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omments1.xml" ContentType="application/vnd.openxmlformats-officedocument.spreadsheetml.comments+xml"/>
  <Override PartName="/xl/drawings/drawing4.xml" ContentType="application/vnd.openxmlformats-officedocument.drawing+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drawings/drawing5.xml" ContentType="application/vnd.openxmlformats-officedocument.drawing+xml"/>
  <Override PartName="/xl/ctrlProps/ctrlProp25.xml" ContentType="application/vnd.ms-excel.controlproperties+xml"/>
  <Override PartName="/xl/comments2.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ctrlProps/ctrlProp26.xml" ContentType="application/vnd.ms-excel.controlproperties+xml"/>
  <Override PartName="/xl/ctrlProps/ctrlProp27.xml" ContentType="application/vnd.ms-excel.controlproperties+xml"/>
  <Override PartName="/xl/comments3.xml" ContentType="application/vnd.openxmlformats-officedocument.spreadsheetml.comments+xml"/>
  <Override PartName="/xl/drawings/drawing8.xml" ContentType="application/vnd.openxmlformats-officedocument.drawing+xml"/>
  <Override PartName="/xl/ctrlProps/ctrlProp28.xml" ContentType="application/vnd.ms-excel.controlproperties+xml"/>
  <Override PartName="/xl/ctrlProps/ctrlProp29.xml" ContentType="application/vnd.ms-excel.controlproperties+xml"/>
  <Override PartName="/xl/comments4.xml" ContentType="application/vnd.openxmlformats-officedocument.spreadsheetml.comments+xml"/>
  <Override PartName="/xl/drawings/drawing9.xml" ContentType="application/vnd.openxmlformats-officedocument.drawing+xml"/>
  <Override PartName="/xl/comments5.xml" ContentType="application/vnd.openxmlformats-officedocument.spreadsheetml.comments+xml"/>
  <Override PartName="/xl/drawings/drawing10.xml" ContentType="application/vnd.openxmlformats-officedocument.drawing+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pivotTables/pivotTable1.xml" ContentType="application/vnd.openxmlformats-officedocument.spreadsheetml.pivotTable+xml"/>
  <Override PartName="/xl/drawings/drawing11.xml" ContentType="application/vnd.openxmlformats-officedocument.drawing+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slicers/slicer1.xml" ContentType="application/vnd.ms-excel.slicer+xml"/>
  <Override PartName="/xl/comments6.xml" ContentType="application/vnd.openxmlformats-officedocument.spreadsheetml.comments+xml"/>
  <Override PartName="/xl/drawings/drawing12.xml" ContentType="application/vnd.openxmlformats-officedocument.drawing+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drawings/drawing13.xml" ContentType="application/vnd.openxmlformats-officedocument.drawing+xml"/>
  <Override PartName="/xl/ctrlProps/ctrlProp44.xml" ContentType="application/vnd.ms-excel.controlproperties+xml"/>
  <Override PartName="/xl/tables/table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codeName="{4470D2CD-2249-CD33-4A35-6F278624656F}"/>
  <workbookPr codeName="ThisWorkbook"/>
  <mc:AlternateContent xmlns:mc="http://schemas.openxmlformats.org/markup-compatibility/2006">
    <mc:Choice Requires="x15">
      <x15ac:absPath xmlns:x15ac="http://schemas.microsoft.com/office/spreadsheetml/2010/11/ac" url="https://cegepvicto-my.sharepoint.com/personal/menard_geoffroy_cegepvicto_ca/Documents/3. Recherche/Transition Bio Express/uploadé/"/>
    </mc:Choice>
  </mc:AlternateContent>
  <xr:revisionPtr revIDLastSave="24" documentId="13_ncr:1_{788B4B57-D4F8-45EA-8449-E49E330086D7}" xr6:coauthVersionLast="45" xr6:coauthVersionMax="45" xr10:uidLastSave="{44499EF6-39BE-4212-A75A-1FC0A3643DE6}"/>
  <bookViews>
    <workbookView xWindow="-120" yWindow="-120" windowWidth="29040" windowHeight="15990" firstSheet="1" activeTab="1" xr2:uid="{00000000-000D-0000-FFFF-FFFF00000000}"/>
  </bookViews>
  <sheets>
    <sheet name="PageTitre" sheetId="29" r:id="rId1"/>
    <sheet name="Accueil" sheetId="15" r:id="rId2"/>
    <sheet name="Config" sheetId="1" r:id="rId3"/>
    <sheet name="Description" sheetId="27" r:id="rId4"/>
    <sheet name="Synthèse" sheetId="13" r:id="rId5"/>
    <sheet name="Lait" sheetId="23" r:id="rId6"/>
    <sheet name="RéfLait" sheetId="24" state="hidden" r:id="rId7"/>
    <sheet name="Champs" sheetId="10" r:id="rId8"/>
    <sheet name="RéfChamps" sheetId="7" r:id="rId9"/>
    <sheet name="RéfChampsOrig" sheetId="31" state="hidden" r:id="rId10"/>
    <sheet name="Investissements" sheetId="18" r:id="rId11"/>
    <sheet name="Normes" sheetId="4" r:id="rId12"/>
    <sheet name="RéfInvest" sheetId="14" state="hidden" r:id="rId13"/>
    <sheet name="Motivations &amp; Freins" sheetId="9" r:id="rId14"/>
    <sheet name="Impression" sheetId="28" r:id="rId15"/>
    <sheet name="termes" sheetId="30" state="hidden" r:id="rId16"/>
    <sheet name="AideContextuelle" sheetId="25" state="hidden" r:id="rId17"/>
  </sheets>
  <functionGroups builtInGroupCount="19"/>
  <externalReferences>
    <externalReference r:id="rId18"/>
  </externalReferences>
  <definedNames>
    <definedName name="_Fill" localSheetId="0" hidden="1">[1]CR!#REF!</definedName>
    <definedName name="_Fill" localSheetId="9" hidden="1">[1]CR!#REF!</definedName>
    <definedName name="_Fill" hidden="1">[1]CR!#REF!</definedName>
    <definedName name="_Fill2" localSheetId="0" hidden="1">[1]CR!#REF!</definedName>
    <definedName name="_Fill2" localSheetId="9" hidden="1">[1]CR!#REF!</definedName>
    <definedName name="_Fill2" hidden="1">[1]CR!#REF!</definedName>
    <definedName name="_xlnm._FilterDatabase" localSheetId="7" hidden="1">Champs!$A$1:$B$466</definedName>
    <definedName name="_xlnm._FilterDatabase" localSheetId="2" hidden="1">Config!$A$16:$A$36</definedName>
    <definedName name="_xlnm._FilterDatabase" localSheetId="11" hidden="1">Normes!$A$1:$A$392</definedName>
    <definedName name="_xlnm._FilterDatabase" localSheetId="8" hidden="1">RéfChamps!$B$4:$T$50</definedName>
    <definedName name="_xlnm._FilterDatabase" localSheetId="9" hidden="1">RéfChampsOrig!$B$4:$T$50</definedName>
    <definedName name="Aide_Champ_Assolement">AideContextuelle!$B$23</definedName>
    <definedName name="Aide_Champ_Besoinsalimentaires">AideContextuelle!$B$24</definedName>
    <definedName name="Aide_Champ_Charges">AideContextuelle!$B$29</definedName>
    <definedName name="Aide_Champ_Détailsparculture__ha">AideContextuelle!$B$27</definedName>
    <definedName name="Aide_Champ_Investissements">AideContextuelle!$B$30</definedName>
    <definedName name="Aide_Champ_Produits">AideContextuelle!$B$28</definedName>
    <definedName name="Aide_Champ_Régimedeproduction">AideContextuelle!$B$22</definedName>
    <definedName name="Aide_Champ_Rotationdessurfacesenculturesetprairies">AideContextuelle!$B$25</definedName>
    <definedName name="Aide_Champ_Rotationdessurfacesenpâturage">AideContextuelle!$B$26</definedName>
    <definedName name="Aide_Champ_SYNTHÈSEDESRÉSULTATS">AideContextuelle!$B$31</definedName>
    <definedName name="Aide_Lait_Alimentation_Concentrés">AideContextuelle!$B$11</definedName>
    <definedName name="Aide_Lait_Alimentation_Foin_ensilagedefoinetmaïsensilage">AideContextuelle!$B$10</definedName>
    <definedName name="Aide_Lait_Alimentation_Pâturages">AideContextuelle!$B$9</definedName>
    <definedName name="Aide_Lait_Céréalesproduitesàlaferme">AideContextuelle!$B$19</definedName>
    <definedName name="Aide_Lait_Coûtsdesfourrages_desgrainsdelafermeetdepaillerécoltée">AideContextuelle!$B$14</definedName>
    <definedName name="Aide_Lait_Investissements">AideContextuelle!$B$16</definedName>
    <definedName name="Aide_Lait_Litière">AideContextuelle!$B$13</definedName>
    <definedName name="Aide_Lait_Main_d_œuvre">AideContextuelle!$B$15</definedName>
    <definedName name="Aide_Lait_Production">AideContextuelle!$B$7</definedName>
    <definedName name="Aide_Lait_Remplacement">AideContextuelle!$B$8</definedName>
    <definedName name="Aide_Lait_Résultatstechniques">AideContextuelle!$B$17</definedName>
    <definedName name="Aide_Lait_Santéetreproduction">AideContextuelle!$B$12</definedName>
    <definedName name="Aide_Lait_Sommaireducompted_exploitation_étable">AideContextuelle!$B$18</definedName>
    <definedName name="Aide_Lait_Systèmedeproduction">AideContextuelle!$B$6</definedName>
    <definedName name="AjouterFenetre">"Plus,Ecran"</definedName>
    <definedName name="amort_cap">RéfLait!$J$18</definedName>
    <definedName name="annees_liees">Lait!$E$3</definedName>
    <definedName name="atestNomSheetSpecific" localSheetId="7">Config!A1</definedName>
    <definedName name="autoconsCulture">Lait!$A$171:$A$188</definedName>
    <definedName name="autoconsommationTAN">Lait!$A$171:$Q$188</definedName>
    <definedName name="autoconsS0">Lait!$G$171:$G$188</definedName>
    <definedName name="autoconsS1">Lait!$I$171:$I$188</definedName>
    <definedName name="autoconsS2">Lait!$K$171:$K$188</definedName>
    <definedName name="autoconsS3">Lait!$M$171:$M$188</definedName>
    <definedName name="autoconsS4">Lait!$O$171:$O$188</definedName>
    <definedName name="autoconsS5">Lait!$Q$171:$Q$188</definedName>
    <definedName name="AutresConcentrés" localSheetId="5">Lait!$D$138</definedName>
    <definedName name="backupAutomatique">Config!$J$11</definedName>
    <definedName name="BesoinFoinS0">Lait!$G$111</definedName>
    <definedName name="BesoinFoinS1">Lait!$I$111</definedName>
    <definedName name="BesoinFoinS2">Lait!$K$111</definedName>
    <definedName name="BesoinFoinS3">Lait!$M$111</definedName>
    <definedName name="BesoinFoinS4">Lait!$O$111</definedName>
    <definedName name="BesoinFoinS5">Lait!$Q$111</definedName>
    <definedName name="BesoinMES0">Lait!$G$112</definedName>
    <definedName name="BesoinMES1">Lait!$I$112</definedName>
    <definedName name="BesoinMES2">Lait!$K$112</definedName>
    <definedName name="BesoinMES3">Lait!$M$112</definedName>
    <definedName name="BesoinMES4">Lait!$O$112</definedName>
    <definedName name="BesoinMES5">Lait!$Q$112</definedName>
    <definedName name="besoinPatS0">Lait!$G$84</definedName>
    <definedName name="BesoinPatS1">Lait!$I$84</definedName>
    <definedName name="BesoinPatS2">Lait!$K$84</definedName>
    <definedName name="BesoinPatS3">Lait!$M$84</definedName>
    <definedName name="BesoinPatS4">Lait!$O$84</definedName>
    <definedName name="BesoinPatS5">Lait!$Q$84</definedName>
    <definedName name="boiteScenarios" localSheetId="2">Config!$B$5:$B$9</definedName>
    <definedName name="boiteTypeDeFerme" localSheetId="2">Config!$E$5:$F$6</definedName>
    <definedName name="ch_bio_moyen">RéfLait!$G$104:$H$169</definedName>
    <definedName name="ch_bio_tete">RéfLait!$I$104:$J$169</definedName>
    <definedName name="Ch_conv_moy">RéfLait!$C$104:$D$169</definedName>
    <definedName name="Ch_conv_tete">RéfLait!$E$104:$F$169</definedName>
    <definedName name="ColsScenario1" localSheetId="7">Champs!$H:$I</definedName>
    <definedName name="ColsScenario1" localSheetId="5">Lait!$H:$I</definedName>
    <definedName name="ColsScenario1" localSheetId="4">Synthèse!$E:$F</definedName>
    <definedName name="ColsScenario2" localSheetId="7">Champs!$J:$K</definedName>
    <definedName name="ColsScenario2" localSheetId="5">Lait!$J:$K</definedName>
    <definedName name="ColsScenario2" localSheetId="4">Synthèse!$G:$H</definedName>
    <definedName name="ColsScenario3" localSheetId="7">Champs!$L:$M</definedName>
    <definedName name="ColsScenario3" localSheetId="5">Lait!$L:$M</definedName>
    <definedName name="ColsScenario3" localSheetId="4">Synthèse!$I:$J</definedName>
    <definedName name="ColsScenario4" localSheetId="7">Champs!$N:$O</definedName>
    <definedName name="ColsScenario4" localSheetId="5">Lait!$N:$O</definedName>
    <definedName name="ColsScenario4" localSheetId="4">Synthèse!$K:$L</definedName>
    <definedName name="ColsScenario5" localSheetId="7">Champs!$P:$Q</definedName>
    <definedName name="ColsScenario5" localSheetId="5">Lait!$P:$Q</definedName>
    <definedName name="ColsScenario5" localSheetId="4">Synthèse!$M:$N</definedName>
    <definedName name="Coût_prod_paille" localSheetId="9">RéfChampsOrig!$BP$76</definedName>
    <definedName name="Coût_prod_paille">RéfChamps!$BP$76</definedName>
    <definedName name="culturesMaïsEnsilage" localSheetId="7">Champs!$119:$124</definedName>
    <definedName name="culturesMargeHa">Synthèse!$C$88:$C$106</definedName>
    <definedName name="CulturesMargeTot" localSheetId="4">Synthèse!$C$111:$C$128</definedName>
    <definedName name="dateDernierBackup">Config!$I$8</definedName>
    <definedName name="descrS1">Config!$O$3</definedName>
    <definedName name="descrS2">Config!$O$4</definedName>
    <definedName name="descrS3">Config!$O$5</definedName>
    <definedName name="descrS4">Config!$O$6</definedName>
    <definedName name="descrS5">Config!$O$7</definedName>
    <definedName name="DétailsCulture" localSheetId="7">Champs!$B$106:$B$246</definedName>
    <definedName name="DétailsDonnée" localSheetId="7">Champs!$D$106:$D$246</definedName>
    <definedName name="DétailsUnité" localSheetId="7">Champs!$E$106:$E$246</definedName>
    <definedName name="DétailsValeurS0" localSheetId="7">Champs!$G$106:$G$246</definedName>
    <definedName name="DétailsValeurS1" localSheetId="7">Champs!$I$106:$I$246</definedName>
    <definedName name="DétailsValeurS1">Synthèse!$J$144:$J$259</definedName>
    <definedName name="DétailsValeurS2" localSheetId="7">Champs!$K$106:$K$246</definedName>
    <definedName name="DétailsValeurS3" localSheetId="7">Champs!$M$106:$M$246</definedName>
    <definedName name="DétailsValeurS4" localSheetId="7">Champs!$O$106:$O$246</definedName>
    <definedName name="DétailsValeurS5" localSheetId="7">Champs!$Q$106:$Q$246</definedName>
    <definedName name="entrée">Lait!$AA$65</definedName>
    <definedName name="espaceListeCulturesChamps" localSheetId="2">Config!$B$16:$B$36</definedName>
    <definedName name="espaceListeCulturesLait" localSheetId="2">Config!$C$16:$C$36</definedName>
    <definedName name="F1_CMML">RéfLait!$E$16</definedName>
    <definedName name="F1_Qual">RéfLait!$E$17</definedName>
    <definedName name="F2_CMML">RéfLait!$F$16</definedName>
    <definedName name="F2_Qual">RéfLait!$F$17</definedName>
    <definedName name="fermeLaitière">Config!$E$6</definedName>
    <definedName name="FichierImport" localSheetId="2">Config!$H$27</definedName>
    <definedName name="filll" localSheetId="0" hidden="1">[1]CR!#REF!</definedName>
    <definedName name="filll" localSheetId="9" hidden="1">[1]CR!#REF!</definedName>
    <definedName name="filll" hidden="1">[1]CR!#REF!</definedName>
    <definedName name="ImpressionFeuilles" localSheetId="14">Impression!$E$5:$E$11</definedName>
    <definedName name="ImpressionInclus" localSheetId="14">Impression!$C$7:$C$7</definedName>
    <definedName name="ImpressionPageTitre" localSheetId="9">#N/A</definedName>
    <definedName name="ImpressionPageTitre">PageTitre!_xlnm.Print_Area</definedName>
    <definedName name="ImpressionSections" localSheetId="14">Impression!$D$5:$D$11</definedName>
    <definedName name="invModeleRef">Investissements!$C$3</definedName>
    <definedName name="JoursPatGenS1">Lait!$I$78</definedName>
    <definedName name="JoursPatGenS2">Lait!$K$78</definedName>
    <definedName name="JoursPatGenS3">Lait!$M$78</definedName>
    <definedName name="JoursPatGenS4">Lait!$O$78</definedName>
    <definedName name="JoursPatGenS5">Lait!$Q$78</definedName>
    <definedName name="JoursPatVaS1">Lait!$I$68</definedName>
    <definedName name="JoursPatVaS2">Lait!$K$68</definedName>
    <definedName name="JoursPatVaS3">Lait!$M$68</definedName>
    <definedName name="JoursPatVaS4">Lait!$O$68</definedName>
    <definedName name="JoursPatVaS5">Lait!$Q$68</definedName>
    <definedName name="JoursStabGenS1">Lait!$I$102</definedName>
    <definedName name="JoursStabGenS2">Lait!$K$102</definedName>
    <definedName name="JoursStabGenS3">Lait!$M$102</definedName>
    <definedName name="JoursStabGenS4">Lait!$O$102</definedName>
    <definedName name="JoursStabGenS5">Lait!$Q$102</definedName>
    <definedName name="JoursStabVaS1">Lait!$I$92</definedName>
    <definedName name="JoursStabVaS2">Lait!$K$92</definedName>
    <definedName name="JoursStabVaS3">Lait!$M$92</definedName>
    <definedName name="JoursStabVaS4">Lait!$O$92</definedName>
    <definedName name="JoursStabVaS5">Lait!$Q$92</definedName>
    <definedName name="K_Qual">RéfLait!$D$17</definedName>
    <definedName name="KCMML">RéfLait!$D$16</definedName>
    <definedName name="ligneRésultats">Champs!$248:$372</definedName>
    <definedName name="lignesChargesTotalesParCulture" localSheetId="7">Champs!$345:$363</definedName>
    <definedName name="lignesDétailsAlimentationConcentrés" localSheetId="5">Lait!$B$118:$B$191</definedName>
    <definedName name="LignesDétailsAlimentationFourrages" localSheetId="5">Lait!$B$92,Lait!$B$95:$B$110</definedName>
    <definedName name="lignesDétailsAmortissements" localSheetId="5">Lait!$B$322:$B$326</definedName>
    <definedName name="lignesDétailsAutre1">Champs!$C$225:$C$230</definedName>
    <definedName name="lignesDétailsAutre2">Champs!$232:$237</definedName>
    <definedName name="lignesDétailsAutre3">Champs!$239:$244</definedName>
    <definedName name="lignesDétailsAvoine">Champs!$162:$167</definedName>
    <definedName name="lignesDétailsBlédAutomne">Champs!$169:$174</definedName>
    <definedName name="lignesDétailsBléDePrintemps">Champs!$148:$153</definedName>
    <definedName name="lignesDétailsCanola">Champs!$197:$202</definedName>
    <definedName name="lignesDétailsCDR" localSheetId="5">Lait!$B$332:$B$335</definedName>
    <definedName name="lignesDétailsChanvre">Champs!$211:$216</definedName>
    <definedName name="lignesDétailsCoûtsAlimentation" localSheetId="5">Lait!$A$213:$A$236</definedName>
    <definedName name="lignesDétailsCoûtsEnEspèces" localSheetId="5">Lait!$A$303:$A$313</definedName>
    <definedName name="lignesDétailsEngraisVerts">Champs!$246:$246</definedName>
    <definedName name="lignesDétailsÉpeautre">Champs!$183:$188</definedName>
    <definedName name="lignesDétailsGrainsMélangés">Champs!$134:$139</definedName>
    <definedName name="lignesDétailsInvestissements" localSheetId="5">Lait!$B$248:$B$271</definedName>
    <definedName name="lignesDétailsLitière" localSheetId="5">Lait!$B$202:$B$208</definedName>
    <definedName name="lignesDétailsMaindOeuvre" localSheetId="5">Lait!$B$240:$B$245</definedName>
    <definedName name="lignesDétailsMaïsEnsilage">Champs!$119:$125</definedName>
    <definedName name="lignesDétailsMaïsGrain">Champs!$127:$132</definedName>
    <definedName name="lignesDétailsOrge">Champs!$155:$160</definedName>
    <definedName name="lignesDétailsPaille" localSheetId="7">Champs!$322:$340</definedName>
    <definedName name="lignesDétailsPâturages" localSheetId="7">Champs!$107:$111</definedName>
    <definedName name="LignesDétailsPâturages" localSheetId="5">Lait!$B$65:$B$83</definedName>
    <definedName name="lignesDétailsPrairies">Champs!$113:$117</definedName>
    <definedName name="lignesDétailsProduction" localSheetId="5">Lait!$C$39:$C$41,Lait!$C$44:$C$47</definedName>
    <definedName name="lignesDétailsProduitsBruts" localSheetId="5">Lait!$B$296:$B$300</definedName>
    <definedName name="lignesDétailsRemplacement" localSheetId="5">Lait!$B$52:$B$60</definedName>
    <definedName name="lignesDétailsRésultatsTechniques" localSheetId="5">Lait!$B$278:$B$283,Lait!$B$287:$B$291</definedName>
    <definedName name="lignesDétailsSantéReproduction" localSheetId="5">Lait!$B$197:$B$198</definedName>
    <definedName name="lignesDétailsSarrazin">Champs!$204:$208</definedName>
    <definedName name="lignesDétailsSeigledAutomne">Champs!$176:$181</definedName>
    <definedName name="lignesDétailsSoya">Champs!$141:$146</definedName>
    <definedName name="lignesDétailsSystProd">Lait!$27:$28,Lait!$30:$30,Lait!$32:$33</definedName>
    <definedName name="lignesDétailsToutes">Champs!$C$106:$C$246</definedName>
    <definedName name="lignesDétalsPrix" localSheetId="5">Lait!$B$329</definedName>
    <definedName name="LignesLait" comment="L'ensemble des lignes dans la feuille Champs qui servent juste aux fermes laitières. Pour cacher avec un macro" localSheetId="7">Champs!$28:$28,Champs!$34:$52,Champs!$106:$112</definedName>
    <definedName name="lignesPaille" localSheetId="7">Champs!$320:$338</definedName>
    <definedName name="liste_prix_auto">RéfLait!$G$6:$G$7</definedName>
    <definedName name="listeComboAjouterLigne" localSheetId="10">Investissements!$K$2:$K$5</definedName>
    <definedName name="listeCultures" localSheetId="9">OFFSET(Config!#REF!,0,0,COUNTA(listeCulturesUtilisées),1)</definedName>
    <definedName name="listeCulturesChamps">Config!$B$16:$B$23</definedName>
    <definedName name="listeCulturesDisponibles">Config!$A$16:$A$36</definedName>
    <definedName name="listeCulturesLait">Config!$C$16:$C$19</definedName>
    <definedName name="listeGestMangeoire">RéfLait!$F$6:$F$10</definedName>
    <definedName name="listeNomsDeZones" localSheetId="2">Config!$D$17:$D$37</definedName>
    <definedName name="listeNomsDeZonesAliments" localSheetId="2">Config!$E$17:$E$37</definedName>
    <definedName name="listeRaces">RéfLait!$D$6:$D$11</definedName>
    <definedName name="listeRégime">RéfLait!$A$6:$A$7</definedName>
    <definedName name="listeStatut">RéfLait!$C$7:$C$8</definedName>
    <definedName name="ListeTaillesRef" localSheetId="10">Investissements!$L$3:$L$7</definedName>
    <definedName name="ModeDeveloppeur" localSheetId="2">Config!$K$1</definedName>
    <definedName name="multiplBatiments">Investissements!$D$9</definedName>
    <definedName name="multiplMachineries" localSheetId="10">Investissements!$D$15</definedName>
    <definedName name="multiplMachineries">Investissements!#REF!</definedName>
    <definedName name="multiplTracteurs">Investissements!$D$12</definedName>
    <definedName name="nAutre1">Config!$E$14</definedName>
    <definedName name="nAutre2">Config!$E$15</definedName>
    <definedName name="nAutre3">Config!$E$16</definedName>
    <definedName name="nb_gen" localSheetId="6">Lait!$D$53</definedName>
    <definedName name="nb_vaches" localSheetId="6">Lait!$D$41</definedName>
    <definedName name="nbElementsSynthèse" comment="Nombre d'éléments à inclure dans la synthèse" localSheetId="13">'Motivations &amp; Freins'!$C$95</definedName>
    <definedName name="NbGenS0">Lait!$G$61</definedName>
    <definedName name="NbGenS1">Lait!$I$61</definedName>
    <definedName name="NbGenS2">Lait!$K$61</definedName>
    <definedName name="NbGenS3">Lait!$M$61</definedName>
    <definedName name="NbGenS4">Lait!$O$61</definedName>
    <definedName name="NbGenS5">Lait!$Q$61</definedName>
    <definedName name="nbJoursEntrEBackups">Config!$J$12</definedName>
    <definedName name="nbPages" localSheetId="14">Impression!#REF!</definedName>
    <definedName name="NbVachesS0">Lait!$G$43</definedName>
    <definedName name="NbVachesS1">Lait!$I$43</definedName>
    <definedName name="NbVachesS2">Lait!$K$43</definedName>
    <definedName name="NbVachesS3">Lait!$M$43</definedName>
    <definedName name="NbVachesS4">Lait!$O$43</definedName>
    <definedName name="NbVachesS5">Lait!$Q$43</definedName>
    <definedName name="nCulturesDisponibles" localSheetId="2">Config!$A$15:$C$33</definedName>
    <definedName name="NomProd">PageTitre!$N$4</definedName>
    <definedName name="NomsScénarios">Config!$C$5:$C$9</definedName>
    <definedName name="nPlansDeRotation">Champs!$I$78:$I$87,Champs!$K$78:$K$87,Champs!$M$78:$M$87,Champs!$O$78:$O$87,Champs!$Q$78:$Q$87,Champs!$Q$92:$Q$101,Champs!$O$92:$O$101,Champs!$M$92:$M$101,Champs!$K$92:$K$101,Champs!$I$92:$I$101</definedName>
    <definedName name="ParcelleCulturesS0" localSheetId="7">Champs!$G$76</definedName>
    <definedName name="ParcelleCulturesS1" comment="grandeur des parcelles">Champs!$I$74</definedName>
    <definedName name="ParcelleCulturesS2">Champs!$K$76</definedName>
    <definedName name="ParcelleCulturesS3">Champs!$M$76</definedName>
    <definedName name="ParcelleCulturesS4">Champs!$O$76</definedName>
    <definedName name="ParcelleCulturesS5">Champs!$Q$76</definedName>
    <definedName name="ParcellePaturageS0" localSheetId="7">Champs!$G$90</definedName>
    <definedName name="ParcellePaturageS1">Champs!$I$90</definedName>
    <definedName name="ParcellePaturageS2">Champs!$K$90</definedName>
    <definedName name="ParcellePaturageS3">Champs!$M$90</definedName>
    <definedName name="ParcellePaturageS4">Champs!$O$90</definedName>
    <definedName name="ParcellePaturageS5">Champs!$Q$90</definedName>
    <definedName name="perfo_bio">RéfLait!$H$74:$I$97</definedName>
    <definedName name="perfo_race_convent">RéfLait!$C$74:$G$97</definedName>
    <definedName name="PlanRotationPaturageS0" localSheetId="7">Champs!$G$92:$G$101</definedName>
    <definedName name="PlanRotationPaturageS1" localSheetId="7">Champs!$I$92:$I$101</definedName>
    <definedName name="PlanRotationPaturageS2" localSheetId="7">Champs!$K$92:$K$101</definedName>
    <definedName name="PlanRotationPaturageS3" localSheetId="7">Champs!$M$92:$M$101</definedName>
    <definedName name="PlanRotationPaturageS4" localSheetId="7">Champs!$O$92:$O$101</definedName>
    <definedName name="PlanRotationPaturageS5" localSheetId="7">Champs!$Q$92:$Q$101</definedName>
    <definedName name="PlanRotationS0">Champs!$G$78:$G$87</definedName>
    <definedName name="PlanRotationS1" localSheetId="7">Champs!$I$78:$I$87</definedName>
    <definedName name="PlanRotationS2" localSheetId="7">Champs!$K$78:$K$87</definedName>
    <definedName name="PlanRotationS3" localSheetId="7">Champs!$M$78:$M$87</definedName>
    <definedName name="PlanRotationS4" localSheetId="7">Champs!$O$78:$O$87</definedName>
    <definedName name="PlanRotationS5" localSheetId="7">Champs!$Q$78:$Q$87</definedName>
    <definedName name="Prix_paille" localSheetId="9">RéfChampsOrig!$BO$7</definedName>
    <definedName name="Prix_paille">RéfChamps!$BO$7</definedName>
    <definedName name="Prix_quota">RéfLait!$C$224</definedName>
    <definedName name="PrixS0" localSheetId="7">Champs!$G$23</definedName>
    <definedName name="PrixS1" localSheetId="7">Champs!$I$23</definedName>
    <definedName name="PrixS2" localSheetId="7">Champs!$K$23</definedName>
    <definedName name="PrixS3" localSheetId="7">Champs!$M$23</definedName>
    <definedName name="PrixS4" localSheetId="7">Champs!$O$23</definedName>
    <definedName name="PrixS5" localSheetId="7">Champs!$Q$23</definedName>
    <definedName name="ProdS0" localSheetId="7">Champs!$G$22</definedName>
    <definedName name="ProdS1" localSheetId="7">Champs!$I$22</definedName>
    <definedName name="ProdS2" localSheetId="7">Champs!$K$22</definedName>
    <definedName name="ProdS3" localSheetId="7">Champs!$M$22</definedName>
    <definedName name="ProdS4" localSheetId="7">Champs!$O$22</definedName>
    <definedName name="ProdS5" localSheetId="7">Champs!$Q$22</definedName>
    <definedName name="ProduitsParCulture" localSheetId="7">Champs!$B$252:$Q$308</definedName>
    <definedName name="recolterPailleBio" localSheetId="7">Champs!$E$321</definedName>
    <definedName name="réfAffectationAlimentsProduits">Champs!$C$250</definedName>
    <definedName name="réfAssolement">Champs!$C$25</definedName>
    <definedName name="RéfBlédAutomne" localSheetId="9">RéfChampsOrig!$U$3</definedName>
    <definedName name="RéfBlédAutomne">RéfChamps!$U$3</definedName>
    <definedName name="réfCultures">Champs!$C$103</definedName>
    <definedName name="RéfGrainsMélangés" localSheetId="9">RéfChampsOrig!$O$3</definedName>
    <definedName name="RéfGrainsMélangés">RéfChamps!$O$3</definedName>
    <definedName name="réfInvestDonnéesBatiments">RéfInvest!$A$8:$N$24</definedName>
    <definedName name="réfInvestDonnéesTracteurs">RéfInvest!$A$28:$N$55</definedName>
    <definedName name="réfInvestissements">Champs!$C$385</definedName>
    <definedName name="réfInvestissementsDétails" localSheetId="9">RéfChampsOrig!$B$78</definedName>
    <definedName name="réfInvestissementsDétails">RéfChamps!$B$78</definedName>
    <definedName name="RéfInvestMachineriesDonnéesCéréales">RéfInvest!$A$73:$N$74</definedName>
    <definedName name="RéfInvestMachineriesDonnéesMaïs">RéfInvest!$A$60:$N$65</definedName>
    <definedName name="réfInvestMachineriesDonnéesSoya">RéfInvest!$A$68:$N$70</definedName>
    <definedName name="RéfInvestSuperficies">RéfInvest!$E$6:$N$6</definedName>
    <definedName name="RéfMaïsGrain" localSheetId="9">RéfChampsOrig!#REF!</definedName>
    <definedName name="réfRotationCultures">Champs!$C$75</definedName>
    <definedName name="réfRotationPâturage">Champs!$C$89</definedName>
    <definedName name="RéfSoya" localSheetId="9">RéfChampsOrig!$I$3</definedName>
    <definedName name="RéfSoya">RéfChamps!$I$3</definedName>
    <definedName name="réfSynthèseChamps">Champs!$C$406</definedName>
    <definedName name="RéfTableDesMatières" localSheetId="7">Champs!$D$4:$D$16</definedName>
    <definedName name="RéfTableDesMatières" localSheetId="5">Lait!$B$5:$D15</definedName>
    <definedName name="RéfTableDesMatières" localSheetId="11">Normes!$B$4:$B$20</definedName>
    <definedName name="scenario1">Config!$C$5</definedName>
    <definedName name="scenario2">Config!$C$6</definedName>
    <definedName name="scenario3">Config!$C$7</definedName>
    <definedName name="scenario4">Config!$C$8</definedName>
    <definedName name="scenario5">Config!$C$9</definedName>
    <definedName name="ScénariosUtilisés" localSheetId="2">Config!$A$5:$A$9</definedName>
    <definedName name="ScoreFreins">'Motivations &amp; Freins'!$N$50:$N$88</definedName>
    <definedName name="ScoreMotivations" localSheetId="13">'Motivations &amp; Freins'!$N$5:$N$43</definedName>
    <definedName name="ScoresEchelle">'Motivations &amp; Freins'!$C$3:$M$3</definedName>
    <definedName name="ScoresFreins">'Motivations &amp; Freins'!$C$50:$M$88</definedName>
    <definedName name="ScoresMotivations">'Motivations &amp; Freins'!$C$4:$M$44</definedName>
    <definedName name="SectionLait" localSheetId="7">Champs!$6:$6,Champs!$34:$73,Champs!$252:$253,Champs!$255:$255,Champs!$258:$258,Champs!$261:$261,Champs!$264:$264,Champs!$267:$267,Champs!$270:$270,Champs!$273:$273,Champs!$276:$276,Champs!$279:$279,Champs!$282:$282,Champs!$285:$285,Champs!$288:$288,Champs!$291:$291,Champs!$294:$294,Champs!$297:$297,Champs!$300:$300,Champs!$303:$303,Champs!$306:$306,Champs!$321:$340</definedName>
    <definedName name="SectionLait" localSheetId="11">Normes!$A$125:$A$204,Normes!$A$13:$A$20</definedName>
    <definedName name="SectionLait" localSheetId="4">Synthèse!$4:$4,Synthèse!$9:$9,Synthèse!$18:$60,Synthèse!$65:$65,Synthèse!$75:$78</definedName>
    <definedName name="Segment_Conformité">#N/A</definedName>
    <definedName name="seuilSynthèse" localSheetId="13">'Motivations &amp; Freins'!$C$94</definedName>
    <definedName name="SommeBâtiments" localSheetId="10">Investissements!$F$9</definedName>
    <definedName name="SommeMachineries" localSheetId="10">Investissements!$F$15</definedName>
    <definedName name="SommeTracteurs" localSheetId="10">Investissements!$F$12</definedName>
    <definedName name="sortie">Lait!$AA$66</definedName>
    <definedName name="SuperficieCulturesS0" localSheetId="7">Champs!$G$30</definedName>
    <definedName name="SuperficieCulturesS1" localSheetId="7">Champs!$I$30</definedName>
    <definedName name="SuperficieCulturesS2" localSheetId="7">Champs!$K$30</definedName>
    <definedName name="SuperficieCulturesS3" localSheetId="7">Champs!$M$30</definedName>
    <definedName name="SuperficieCulturesS4" localSheetId="7">Champs!$O$30</definedName>
    <definedName name="SuperficieCulturesS5" localSheetId="7">Champs!$Q$30</definedName>
    <definedName name="SuperficieMaxCulturesAnnuelles" localSheetId="10">Investissements!$C$4</definedName>
    <definedName name="SuperficiePaturagesS0" localSheetId="7">Champs!$G$28</definedName>
    <definedName name="SuperficiePaturagesS1" localSheetId="7">Champs!$I$28</definedName>
    <definedName name="SuperficiePaturagesS2" localSheetId="7">Champs!$K$28</definedName>
    <definedName name="SuperficiePaturagesS3" localSheetId="7">Champs!$M$28</definedName>
    <definedName name="SuperficiePaturagesS4" localSheetId="7">Champs!$O$28</definedName>
    <definedName name="SuperficiePaturagesS5" localSheetId="7">Champs!$Q$28</definedName>
    <definedName name="SuperficiesAnnuellesTousScenarios" localSheetId="7">Champs!$I$32,Champs!$K$32,Champs!$M$32,Champs!$O$32,Champs!$Q$32</definedName>
    <definedName name="SuperficieTotaleS0" localSheetId="7">Champs!$G$27</definedName>
    <definedName name="SuperficieTotaleS1" localSheetId="7">Champs!$I$27</definedName>
    <definedName name="SuperficieTotaleS2" localSheetId="7">Champs!$K$27</definedName>
    <definedName name="SuperficieTotaleS3" localSheetId="7">Champs!$M$27</definedName>
    <definedName name="SuperficieTotaleS4" localSheetId="7">Champs!$O$27</definedName>
    <definedName name="SuperficieTotaleS5" localSheetId="7">Champs!$Q$27</definedName>
    <definedName name="table_3">RéfLait!$B$54:$E$68</definedName>
    <definedName name="Table_5">RéfLait!$C$105:$J$169</definedName>
    <definedName name="Table_6">RéfLait!$B$175:$G$188</definedName>
    <definedName name="Table_portion_fourrages">RéfLait!$F$66:$G$68</definedName>
    <definedName name="Table_prix_aliments">RéfLait!$B$53:$E$68</definedName>
    <definedName name="table_prix_animaux">RéfLait!$B$43:$D$48</definedName>
    <definedName name="Table_prix_concentrés">RéfLait!$C$27:$D$31</definedName>
    <definedName name="table_prix_lait">RéfLait!$B$24:$O$36</definedName>
    <definedName name="taux_amort">RéfLait!$J$17</definedName>
    <definedName name="TDM" localSheetId="3">Description!$F$1:$F$11</definedName>
    <definedName name="TDM" localSheetId="11">Normes!$B$3:$B$20</definedName>
    <definedName name="tdmChamps" localSheetId="7">Champs!$D$3:$D$16</definedName>
    <definedName name="tdmLait">Lait!$B$4:$D$17</definedName>
    <definedName name="TexteTitreSource">"ZoneTexte 19"</definedName>
    <definedName name="TopFreins">'Motivations &amp; Freins'!$B$125:$D$144</definedName>
    <definedName name="TopMotivations">'Motivations &amp; Freins'!$B$103:$D$122</definedName>
    <definedName name="txtCommercialiasationActu" localSheetId="9">Description!#REF!</definedName>
    <definedName name="txtCommercialiasationChg" localSheetId="9">Description!#REF!</definedName>
    <definedName name="txtÉconomiqueActu" localSheetId="9">Description!#REF!</definedName>
    <definedName name="txtÉconomiqueChg" localSheetId="9">Description!#REF!</definedName>
    <definedName name="txtÉquipementetmatérielActu" localSheetId="9">Description!#REF!</definedName>
    <definedName name="txtÉquipementetmatérielChg" localSheetId="9">Description!#REF!</definedName>
    <definedName name="txtInfrastructureChg" localSheetId="9">Description!#REF!</definedName>
    <definedName name="txtTravauxàforfaitActu" localSheetId="9">Description!#REF!</definedName>
    <definedName name="txtTravauxàforfaitChg" localSheetId="9">Description!#REF!</definedName>
    <definedName name="TypeDeFerme" localSheetId="2">Config!$E$5</definedName>
    <definedName name="version">Accueil!$G$2</definedName>
    <definedName name="versionFichierÀimporter" localSheetId="2">Config!$H$29</definedName>
    <definedName name="_xlnm.Print_Area" localSheetId="1">Accueil!$B$37:$I$54</definedName>
    <definedName name="_xlnm.Print_Area" localSheetId="3">Description!$B$1:$D$146</definedName>
    <definedName name="_xlnm.Print_Area" localSheetId="10">Investissements!$B:$F</definedName>
    <definedName name="_xlnm.Print_Area" localSheetId="5">Lait!$B$1:$Q$347</definedName>
    <definedName name="_xlnm.Print_Area" localSheetId="13">'Motivations &amp; Freins'!$B$97:$D$144</definedName>
    <definedName name="_xlnm.Print_Area" localSheetId="11">Normes!$B$209:$C$266</definedName>
    <definedName name="_xlnm.Print_Area" localSheetId="0">PageTitre!$C$4:$I$42</definedName>
    <definedName name="zoneAliment" localSheetId="7">Champs!$B$53,Champs!$B$54,Champs!$B$55,Champs!$B$321</definedName>
    <definedName name="zoneAlimentAutre1" localSheetId="7">Champs!$B$71,Champs!$B$300,Champs!$B$337</definedName>
    <definedName name="zoneAlimentAutre2" localSheetId="7">Champs!$B$72,Champs!$B$303,Champs!$B$338</definedName>
    <definedName name="zoneAlimentAutre3" localSheetId="7">Champs!$B$73,Champs!$B$306,Champs!$B$339</definedName>
    <definedName name="zoneAlimentAvoine" localSheetId="7">Champs!$B$62,Champs!$B$273,Champs!$B$328</definedName>
    <definedName name="zoneAlimentBledautomne" localSheetId="7">Champs!$B$63,Champs!$B$276,Champs!$B$329</definedName>
    <definedName name="zoneAlimentBledeprintemps" localSheetId="7">Champs!$B$60,Champs!$B$267,Champs!$B$326</definedName>
    <definedName name="zoneAlimentCanola" localSheetId="7">Champs!$B$67,Champs!$B$288,Champs!$B$333</definedName>
    <definedName name="zoneAlimentChanvre" localSheetId="7">Champs!$B$69,Champs!$B$294,Champs!$B$335</definedName>
    <definedName name="zoneAlimentEngraisverts" localSheetId="7">Champs!$B$340</definedName>
    <definedName name="zoneAlimentEpeautredautomne" localSheetId="7">Champs!$B$65,Champs!$B$282,Champs!$B$331</definedName>
    <definedName name="zoneAlimentEpeautredeprintemps" localSheetId="7">Champs!$B$66,Champs!$B$285,Champs!$B$332</definedName>
    <definedName name="zoneAlimentGrainsmelanges" localSheetId="7">Champs!$B$56,Champs!$B$258,Champs!$B$322</definedName>
    <definedName name="zoneAlimentHaricotssecs" localSheetId="7">Champs!$B$70,Champs!$B$297,Champs!$B$336</definedName>
    <definedName name="zoneAlimentMaisensilage" localSheetId="7">Champs!$B$48,Champs!$B$49,Champs!$B$50,Champs!$B$51,Champs!$B$52,Champs!$B$58,Champs!$B$253,Champs!$B$324</definedName>
    <definedName name="zoneAlimentMaisgrain" localSheetId="7">Champs!$B$57,Champs!$B$261,Champs!$B$323</definedName>
    <definedName name="zoneAlimentOrge" localSheetId="7">Champs!$B$61,Champs!$B$270,Champs!$B$327</definedName>
    <definedName name="zoneAlimentPaturage" localSheetId="7">Champs!$B$252</definedName>
    <definedName name="zoneAlimentPrairies" localSheetId="7">Champs!$B$255</definedName>
    <definedName name="zoneAlimentSarrasin" localSheetId="7">Champs!$B$68,Champs!$B$291,Champs!$B$334</definedName>
    <definedName name="zoneAlimentSeigledautomne" localSheetId="7">Champs!$B$64,Champs!$B$279,Champs!$B$330</definedName>
    <definedName name="zoneAlimentSoya" localSheetId="7">Champs!$B$59,Champs!$B$264,Champs!$B$325</definedName>
    <definedName name="zoneAutre1" localSheetId="7">Champs!$71:$71,Champs!$224:$230,Champs!$299:$301,Champs!$337:$337,Champs!$360:$360,Champs!$435:$435,Champs!$459:$459</definedName>
    <definedName name="zoneAutre1" localSheetId="5">Lait!$135:$135,Lait!$186:$186,Lait!$234:$234,Lait!$368:$368</definedName>
    <definedName name="zoneAutre1" localSheetId="8">RéfChamps!$DD:$DI</definedName>
    <definedName name="zoneAutre1" localSheetId="4">Synthèse!$103:$103,Synthèse!$125:$125</definedName>
    <definedName name="zoneAutre2" localSheetId="7">Champs!$72:$72,Champs!$231:$237,Champs!$302:$304,Champs!$338:$338,Champs!$361:$361,Champs!$436:$436,Champs!$460:$460</definedName>
    <definedName name="zoneAutre2" localSheetId="5">Lait!$136:$136,Lait!$187:$187,Lait!$235:$235,Lait!$369:$369</definedName>
    <definedName name="zoneAutre2" localSheetId="8">RéfChamps!$DJ:$DO</definedName>
    <definedName name="zoneAutre2" localSheetId="4">Synthèse!$104:$104,Synthèse!$126:$126</definedName>
    <definedName name="zoneAutre3" localSheetId="7">Champs!$73:$73,Champs!$238:$244,Champs!$305:$307,Champs!$339:$339,Champs!$362:$362,Champs!$437:$437,Champs!$461:$461</definedName>
    <definedName name="zoneAutre3" localSheetId="5">Lait!$137:$137,Lait!$188:$188,Lait!$236:$236,Lait!$370:$370</definedName>
    <definedName name="zoneAutre3" localSheetId="8">RéfChamps!$DP:$DU</definedName>
    <definedName name="zoneAutre3" localSheetId="4">Synthèse!$105:$105,Synthèse!$127:$127</definedName>
    <definedName name="zoneAvoine" localSheetId="7">Champs!$62:$62,Champs!$161:$167,Champs!$272:$274,Champs!$328:$328,Champs!$353:$353,Champs!$426:$426,Champs!$450:$450</definedName>
    <definedName name="zoneAvoine" localSheetId="5">Lait!$126:$126,Lait!$177:$177,Lait!$225:$225,Lait!$359:$359</definedName>
    <definedName name="zoneAvoine" localSheetId="8">RéfChamps!$AG:$AL</definedName>
    <definedName name="zoneAvoine" localSheetId="4">Synthèse!$96:$96,Synthèse!$118:$118</definedName>
    <definedName name="zoneBledautomne" localSheetId="7">Champs!$63:$63,Champs!$168:$174,Champs!$275:$277,Champs!$329:$329,Champs!$354:$354,Champs!$427:$427,Champs!$451:$451</definedName>
    <definedName name="zoneBledautomne" localSheetId="5">Lait!$127:$127,Lait!$178:$178,Lait!$226:$226,Lait!$360:$360</definedName>
    <definedName name="zoneBledautomne" localSheetId="8">RéfChamps!$U:$Z</definedName>
    <definedName name="zoneBledautomne" localSheetId="4">Synthèse!$97:$97,Synthèse!$119:$119</definedName>
    <definedName name="zoneBledeprintemps" localSheetId="7">Champs!$60:$60,Champs!$147:$153,Champs!$266:$268,Champs!$326:$326,Champs!$351:$351,Champs!$424:$424,Champs!$448:$448</definedName>
    <definedName name="zoneBledeprintemps" localSheetId="5">Lait!$124:$124,Lait!$175:$175,Lait!$223:$223,Lait!$357:$357</definedName>
    <definedName name="zoneBledeprintemps" localSheetId="8">RéfChamps!$O:$T</definedName>
    <definedName name="zoneBledeprintemps" localSheetId="4">Synthèse!$94:$94,Synthèse!$116:$116</definedName>
    <definedName name="zoneCanola" localSheetId="7">Champs!$67:$67,Champs!$196:$202,Champs!$287:$289,Champs!$333:$333,Champs!$357:$357,Champs!$431:$431,Champs!$455:$455</definedName>
    <definedName name="zoneCanola" localSheetId="5">Lait!$131:$131,Lait!$182:$182,Lait!$230:$230,Lait!$364:$364</definedName>
    <definedName name="zoneCanola" localSheetId="8">RéfChamps!$CF:$CK</definedName>
    <definedName name="zoneCanola" localSheetId="4">Synthèse!$100:$100,Synthèse!$122:$122</definedName>
    <definedName name="zoneChanvre" localSheetId="7">Champs!$69:$69,Champs!$210:$216,Champs!$293:$295,Champs!$335:$335,Champs!$359:$359,Champs!$433:$433,Champs!$457:$457</definedName>
    <definedName name="zoneChanvre" localSheetId="5">Lait!$133:$133,Lait!$184:$184,Lait!$232:$232,Lait!$366:$366</definedName>
    <definedName name="zoneChanvre" localSheetId="8">RéfChamps!$CR:$CW</definedName>
    <definedName name="zoneChanvre" localSheetId="4">Synthèse!$102:$102,Synthèse!$124:$124</definedName>
    <definedName name="zoneEngraisverts" localSheetId="7">Champs!$245:$246,Champs!$340:$340,Champs!$363:$363,Champs!$438:$438,Champs!$462:$462</definedName>
    <definedName name="zoneEngraisverts" localSheetId="5">Lait!$371:$371</definedName>
    <definedName name="zoneEngraisverts" localSheetId="8">RéfChamps!$DV:$DX</definedName>
    <definedName name="zoneEngraisverts" localSheetId="4">Synthèse!$106:$106,Synthèse!$128:$128</definedName>
    <definedName name="zoneEpeautredautomne" localSheetId="7">Champs!$65:$65,Champs!$182:$188,Champs!$281:$283,Champs!$331:$331,Champs!$356:$356,Champs!$429:$429,Champs!$453:$453</definedName>
    <definedName name="zoneEpeautredautomne" localSheetId="5">Lait!$129:$129,Lait!$180:$180,Lait!$228:$228,Lait!$362:$362</definedName>
    <definedName name="zoneEpeautredautomne" localSheetId="8">RéfChamps!$BT:$BY</definedName>
    <definedName name="zoneEpeautredautomne" localSheetId="4">Synthèse!$99:$99,Synthèse!$121:$121</definedName>
    <definedName name="zoneEpeautredeprintemps" localSheetId="7">Champs!$66:$66,Champs!$189:$195,Champs!$284:$286,Champs!$332:$332,Champs!$430:$430,Champs!$454:$454</definedName>
    <definedName name="zoneEpeautredeprintemps" localSheetId="5">Lait!$130:$130,Lait!$181:$181,Lait!$229:$229,Lait!$363:$363</definedName>
    <definedName name="zoneEpeautredeprintemps" localSheetId="8">RéfChamps!$BZ:$CE</definedName>
    <definedName name="zoneGrainsmelanges" localSheetId="7">Champs!$56:$56,Champs!$133:$139,Champs!$257:$259,Champs!$322:$322,Champs!$347:$347,Champs!$420:$420,Champs!$444:$444</definedName>
    <definedName name="zoneGrainsmelanges" localSheetId="5">Lait!$120:$120,Lait!$171:$171,Lait!$219:$219,Lait!$353:$353</definedName>
    <definedName name="zoneGrainsmelanges" localSheetId="8">RéfChamps!$AS:$AX</definedName>
    <definedName name="zoneGrainsmelanges" localSheetId="4">Synthèse!$90:$90,Synthèse!$112:$112</definedName>
    <definedName name="zoneHaricotssecs" localSheetId="7">Champs!$70:$70,Champs!$217:$223,Champs!$296:$298,Champs!$336:$336,Champs!$434:$434,Champs!$458:$458</definedName>
    <definedName name="zoneHaricotssecs" localSheetId="5">Lait!$134:$134,Lait!$185:$185,Lait!$233:$233,Lait!$367:$367</definedName>
    <definedName name="zoneHaricotssecs" localSheetId="8">RéfChamps!$CX:$DC</definedName>
    <definedName name="zoneInput1" comment="pour resetSheet, les zones à effacer" localSheetId="7">Champs!$H$92:$Q$101,Champs!$H$87:$P$87,Champs!$H$78:$Q$86,Champs!$I$27</definedName>
    <definedName name="zoneInput1" localSheetId="5">Lait!$I$24:$I$33,Lait!$I$37:$I$41,Lait!$I$43:$I$47,Lait!$I$51:$I$56,Lait!$I$58,Lait!$I$60,Lait!$I$65:$I$67,Lait!$I$69:$I$73,Lait!$I$75:$I$77,Lait!$I$79:$I$80,Lait!$I$93:$I$94,Lait!$I$96:$I$98,Lait!$I$104:$I$105,Lait!$I$108:$I$109,Lait!$I$120:$I$150,Lait!$I$155:$I$167,Lait!$I$197:$I$198,Lait!$I$208,Lait!$I$218,Lait!$I$216,Lait!$I$240:$I$245,Lait!$I$249:$I$264,Lait!$I$267,Lait!$I$269:$I$270,Lait!$I$300,Lait!$I$311,Lait!$I$313,Lait!$I$317,Lait!$I$319,Lait!$I$322,Lait!$I$324,Lait!$I$326,Lait!$I$333</definedName>
    <definedName name="ZoneInput1" localSheetId="11">Normes!$E$30:$G$205</definedName>
    <definedName name="zoneInput2" localSheetId="7">Champs!$Q$87,Champs!$Q$27,Champs!$O$27,Champs!$M$27,Champs!$K$27,Champs!$H$375,Champs!$J$375,Champs!$L$375,Champs!$N$375,Champs!$P$375,Champs!$I$368:$I$372,Champs!$K$368:$K$372,Champs!$M$368:$M$372,Champs!$O$368:$O$372,Champs!$Q$368:$Q$372,Champs!$I$393,Champs!$K$393,Champs!$M$393,Champs!$O$393,Champs!$Q$393,Champs!$I$396:$I$397,Champs!$K$396:$K$397,Champs!$M$396:$M$397,Champs!$O$396:$O$397,Champs!$Q$396:$Q$397,Champs!$I$314,Champs!$K$314,Champs!$M$314,Champs!$O$314,Champs!$Q$314,Champs!$I$402,Champs!$K$402,Champs!$M$402,Champs!$O$402,Champs!$Q$402,Champs!$I$382:$I$383,Champs!$K$382:$K$383,Champs!$M$382:$M$383,Champs!$O$382,Champs!$O$383,Champs!$Q$383,Champs!$Q$382,Champs!$Q$375:$Q$377,Champs!$Q$379:$Q$380,Champs!$P$380,Champs!$O$379:$O$380,Champs!$O$375:$O$377,Champs!$N$380,Champs!$M$379:$M$380,Champs!$M$375:$M$377,Champs!$L$380,Champs!$K$379:$K$380,Champs!$K$375:$K$377,Champs!$I$375:$I$377,Champs!$I$379:$I$380,Champs!$J$380,Champs!$H$380</definedName>
    <definedName name="zoneInput2" localSheetId="5">Lait!$K$24:$K$33,Lait!$K$37:$K$41,Lait!$K$43:$K$47,Lait!$K$51:$K$56,Lait!$K$58,Lait!$K$60,Lait!$K$65:$K$67,Lait!$K$69:$K$73,Lait!$K$75:$K$77,Lait!$K$79:$K$80,Lait!$K$93:$K$94,Lait!$K$96:$K$98,Lait!$K$104:$K$105,Lait!$K$108:$K$109,Lait!$K$120:$K$150,Lait!$K$155:$K$167,Lait!$K$197:$K$198,Lait!$K$208,Lait!$K$218,Lait!$K$216,Lait!$K$240:$K$245,Lait!$K$249:$K$264,Lait!$K$267,Lait!$K$269:$K$270,Lait!$K$300,Lait!$K$311,Lait!$K$313,Lait!$K$317,Lait!$K$319,Lait!$K$322,Lait!$K$324,Lait!$K$326,Lait!$K$333</definedName>
    <definedName name="zoneInput3" localSheetId="5">Lait!$M$24:$M$33,Lait!$M$37:$M$41,Lait!$M$43:$M$47,Lait!$M$51:$M$56,Lait!$M$58,Lait!$M$60,Lait!$M$65:$M$67,Lait!$M$69:$M$73,Lait!$M$75:$M$77,Lait!$M$79:$M$80,Lait!$M$93:$M$94,Lait!$M$96:$M$98,Lait!$M$104:$M$105,Lait!$M$108:$M$109,Lait!$M$120:$M$150,Lait!$M$155:$M$167,Lait!$M$197:$M$198,Lait!$M$208,Lait!$M$218,Lait!$M$216,Lait!$M$240:$M$245,Lait!$M$249:$M$264,Lait!$M$267,Lait!$M$269:$M$270,Lait!$M$300,Lait!$M$311,Lait!$M$313,Lait!$M$317,Lait!$M$319,Lait!$M$322,Lait!$M$324,Lait!$M$326,Lait!$M$333</definedName>
    <definedName name="zoneInput4" localSheetId="5">Lait!$O$24:$O$33,Lait!$O$37:$O$41,Lait!$O$43:$O$47,Lait!$O$51:$O$56,Lait!$O$58,Lait!$O$60,Lait!$O$65:$O$67,Lait!$O$69:$O$73,Lait!$O$75:$O$77,Lait!$O$79:$O$80,Lait!$O$93:$O$94,Lait!$O$96:$O$98,Lait!$O$104:$O$105,Lait!$O$108:$O$109,Lait!$O$120:$O$150,Lait!$O$155:$O$167,Lait!$O$197:$O$198,Lait!$O$208,Lait!$O$218,Lait!$O$216,Lait!$O$240:$O$245,Lait!$O$249:$O$264,Lait!$O$267,Lait!$O$269:$O$270,Lait!$O$300,Lait!$O$311,Lait!$O$313,Lait!$O$317,Lait!$O$319,Lait!$O$322,Lait!$O$324,Lait!$O$326,Lait!$O$333</definedName>
    <definedName name="zoneInput5" localSheetId="5">Lait!$Q$24:$Q$33,Lait!$Q$37:$Q$41,Lait!$Q$43:$Q$47,Lait!$Q$51:$Q$56,Lait!$Q$58,Lait!$Q$60,Lait!$Q$65:$Q$67,Lait!$Q$69:$Q$73,Lait!$Q$75:$Q$77,Lait!$Q$79:$Q$80,Lait!$Q$93:$Q$94,Lait!$Q$96:$Q$98,Lait!$Q$104:$Q$105,Lait!$Q$108:$Q$109,Lait!$Q$120:$Q$150,Lait!$Q$155:$Q$167,Lait!$Q$197:$Q$198,Lait!$Q$208,Lait!$Q$218,Lait!$Q$216,Lait!$Q$240:$Q$245,Lait!$Q$249:$Q$264,Lait!$Q$267,Lait!$Q$269:$Q$270,Lait!$Q$300,Lait!$Q$311,Lait!$Q$313,Lait!$Q$317,Lait!$Q$319,Lait!$Q$322,Lait!$Q$324,Lait!$Q$326,Lait!$Q$333</definedName>
    <definedName name="zoneJachere" localSheetId="7">Champs!$72:$72,Champs!$231:$237,Champs!$302:$304,Champs!$338:$338,Champs!$361:$361,Champs!$436:$436,Champs!$460:$460</definedName>
    <definedName name="zoneJachere" localSheetId="5">Lait!$136:$136,Lait!$187:$187,Lait!$235:$235,Lait!$369:$369</definedName>
    <definedName name="zoneJachere" localSheetId="8">RéfChamps!$DJ:$DO</definedName>
    <definedName name="zoneMaisensilage" localSheetId="7">Champs!$48:$52,Champs!$58:$58,Champs!$118:$125,Champs!$253:$253,Champs!$324:$324,Champs!$349:$349,Champs!$422:$422,Champs!$446:$446</definedName>
    <definedName name="zoneMaisensilage" localSheetId="5">Lait!$112:$112,Lait!$122:$122,Lait!$173:$173,Lait!$214:$214,Lait!$221:$221,Lait!$355:$355</definedName>
    <definedName name="zoneMaisensilage" localSheetId="8">RéfChamps!$BK:$BP</definedName>
    <definedName name="zoneMaisensilage" localSheetId="4">Synthèse!$92:$92,Synthèse!$114:$114</definedName>
    <definedName name="zoneMaisgrain" localSheetId="7">Champs!$57:$57,Champs!$126:$132,Champs!$260:$262,Champs!$323:$323,Champs!$348:$348,Champs!$421:$421,Champs!$445:$445</definedName>
    <definedName name="zoneMaisgrain" localSheetId="5">Lait!$121:$121,Lait!$172:$172,Lait!$220:$220,Lait!$354:$354</definedName>
    <definedName name="zoneMaisgrain" localSheetId="8">RéfChamps!$C:$H</definedName>
    <definedName name="zoneMaisgrain" localSheetId="4">Synthèse!$91:$91,Synthèse!$113:$113</definedName>
    <definedName name="zoneOrge" localSheetId="7">Champs!$61:$61,Champs!$154:$160,Champs!$269:$271,Champs!$327:$327,Champs!$352:$352,Champs!$425:$425,Champs!$449:$449</definedName>
    <definedName name="zoneOrge" localSheetId="5">Lait!$125:$125,Lait!$176:$176,Lait!$224:$224,Lait!$358:$358</definedName>
    <definedName name="zoneOrge" localSheetId="8">RéfChamps!$AA:$AF</definedName>
    <definedName name="zoneOrge" localSheetId="4">Synthèse!$95:$95,Synthèse!$117:$117</definedName>
    <definedName name="zonePaturage" localSheetId="7">Champs!$11:$11,Champs!$28:$28,Champs!$30:$30,Champs!$89:$102,Champs!$106:$111,Champs!$252:$252,Champs!$345:$345,Champs!$418:$418</definedName>
    <definedName name="zonePaturage" localSheetId="5">Lait!$215:$215,Lait!$351:$351</definedName>
    <definedName name="zonePaturage" localSheetId="8">RéfChamps!$AY:$BD</definedName>
    <definedName name="zonePaturage" localSheetId="4">Synthèse!$88:$88</definedName>
    <definedName name="zonePrairies" localSheetId="7">Champs!$31:$31,Champs!$112:$117,Champs!$254:$256,Champs!$346:$346,Champs!$419:$419,Champs!$443:$443</definedName>
    <definedName name="zonePrairies" localSheetId="5">Lait!$111:$111,Lait!$213:$213,Lait!$352:$352</definedName>
    <definedName name="zonePrairies" localSheetId="8">RéfChamps!$BE:$BJ</definedName>
    <definedName name="zonePrairies" localSheetId="4">Synthèse!$89:$89,Synthèse!$111:$111</definedName>
    <definedName name="zoneSarrasin" localSheetId="7">Champs!$68:$68,Champs!$203:$209,Champs!$290:$292,Champs!$334:$334,Champs!$358:$358,Champs!$432:$432,Champs!$456:$456</definedName>
    <definedName name="zoneSarrasin" localSheetId="5">Lait!$132:$132,Lait!$183:$183,Lait!$231:$231,Lait!$365:$365</definedName>
    <definedName name="zoneSarrasin" localSheetId="8">RéfChamps!$CL:$CQ</definedName>
    <definedName name="zoneSarrasin" localSheetId="4">Synthèse!$101:$101,Synthèse!$123:$123</definedName>
    <definedName name="zoneSeigledautomne" localSheetId="7">Champs!$64:$64,Champs!$175:$181,Champs!$278:$280,Champs!$330:$330,Champs!$355:$355,Champs!$428:$428,Champs!$452:$452</definedName>
    <definedName name="zoneSeigledautomne" localSheetId="5">Lait!$128:$128,Lait!$179:$179,Lait!$227:$227,Lait!$361:$361</definedName>
    <definedName name="zoneSeigledautomne" localSheetId="4">Synthèse!$98:$98,Synthèse!$120:$120</definedName>
    <definedName name="zoneSoya" localSheetId="7">Champs!$59:$59,Champs!$140:$146,Champs!$263:$265,Champs!$325:$325,Champs!$350:$350,Champs!$423:$423,Champs!$447:$447</definedName>
    <definedName name="zoneSoya" localSheetId="5">Lait!$123:$123,Lait!$174:$174,Lait!$222:$222,Lait!$356:$356</definedName>
    <definedName name="zoneSoya" localSheetId="8">RéfChamps!$I:$N</definedName>
    <definedName name="zoneSoya" localSheetId="4">Synthèse!$93:$93,Synthèse!$115:$115</definedName>
  </definedNames>
  <calcPr calcId="191029"/>
  <pivotCaches>
    <pivotCache cacheId="24" r:id="rId19"/>
  </pivotCaches>
  <extLst>
    <ext xmlns:x14="http://schemas.microsoft.com/office/spreadsheetml/2009/9/main" uri="{BBE1A952-AA13-448e-AADC-164F8A28A991}">
      <x14:slicerCaches>
        <x14:slicerCache r:id="rId20"/>
      </x14:slicerCaches>
    </ext>
    <ext xmlns:x14="http://schemas.microsoft.com/office/spreadsheetml/2009/9/main" uri="{79F54976-1DA5-4618-B147-4CDE4B953A38}">
      <x14:workbookPr defaultImageDpi="150"/>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6" i="18" l="1"/>
  <c r="D13" i="18"/>
  <c r="D10" i="18"/>
  <c r="BS79" i="7"/>
  <c r="V79" i="7"/>
  <c r="BA77" i="7"/>
  <c r="BD77" i="7" s="1"/>
  <c r="BP76" i="7"/>
  <c r="BM76" i="7"/>
  <c r="BJ76" i="7"/>
  <c r="BG76" i="7"/>
  <c r="U73" i="7"/>
  <c r="U66" i="7"/>
  <c r="U65" i="7"/>
  <c r="U64" i="7"/>
  <c r="U62" i="7"/>
  <c r="V56" i="7"/>
  <c r="DX53" i="7"/>
  <c r="DU53" i="7"/>
  <c r="DR53" i="7"/>
  <c r="DO53" i="7"/>
  <c r="DL53" i="7"/>
  <c r="DI53" i="7"/>
  <c r="DF53" i="7"/>
  <c r="DC53" i="7"/>
  <c r="CX53" i="7"/>
  <c r="CZ53" i="7" s="1"/>
  <c r="CW53" i="7"/>
  <c r="CR53" i="7"/>
  <c r="CT53" i="7" s="1"/>
  <c r="CQ53" i="7"/>
  <c r="CL53" i="7"/>
  <c r="CN53" i="7" s="1"/>
  <c r="CK53" i="7"/>
  <c r="CF53" i="7"/>
  <c r="CH53" i="7" s="1"/>
  <c r="CE53" i="7"/>
  <c r="BZ53" i="7"/>
  <c r="CB53" i="7" s="1"/>
  <c r="BY53" i="7"/>
  <c r="BT53" i="7"/>
  <c r="BV53" i="7" s="1"/>
  <c r="BS53" i="7"/>
  <c r="BP53" i="7"/>
  <c r="BK53" i="7"/>
  <c r="BM53" i="7" s="1"/>
  <c r="BJ53" i="7"/>
  <c r="BE53" i="7"/>
  <c r="BG53" i="7" s="1"/>
  <c r="BG69" i="7" s="1"/>
  <c r="BM69" i="7" s="1"/>
  <c r="BD53" i="7"/>
  <c r="BD69" i="7" s="1"/>
  <c r="BJ69" i="7" s="1"/>
  <c r="BP69" i="7" s="1"/>
  <c r="BA53" i="7"/>
  <c r="BA69" i="7" s="1"/>
  <c r="AY53" i="7"/>
  <c r="AX53" i="7"/>
  <c r="AS53" i="7"/>
  <c r="AU53" i="7" s="1"/>
  <c r="AP53" i="7"/>
  <c r="AR53" i="7" s="1"/>
  <c r="AM53" i="7"/>
  <c r="AO53" i="7" s="1"/>
  <c r="AL53" i="7"/>
  <c r="AG53" i="7"/>
  <c r="AI53" i="7" s="1"/>
  <c r="AF53" i="7"/>
  <c r="AA53" i="7"/>
  <c r="AC53" i="7" s="1"/>
  <c r="Z53" i="7"/>
  <c r="U53" i="7"/>
  <c r="W53" i="7" s="1"/>
  <c r="T53" i="7"/>
  <c r="O53" i="7"/>
  <c r="Q53" i="7" s="1"/>
  <c r="N53" i="7"/>
  <c r="I53" i="7"/>
  <c r="K53" i="7" s="1"/>
  <c r="H53" i="7"/>
  <c r="C53" i="7"/>
  <c r="E53" i="7" s="1"/>
  <c r="BS52" i="7"/>
  <c r="DX51" i="7"/>
  <c r="DU51" i="7"/>
  <c r="DR51" i="7"/>
  <c r="DO51" i="7"/>
  <c r="DL51" i="7"/>
  <c r="DI51" i="7"/>
  <c r="DF51" i="7"/>
  <c r="DC51" i="7"/>
  <c r="CZ51" i="7"/>
  <c r="CW51" i="7"/>
  <c r="CT51" i="7"/>
  <c r="CQ51" i="7"/>
  <c r="CN51" i="7"/>
  <c r="CK51" i="7"/>
  <c r="CH51" i="7"/>
  <c r="CE51" i="7"/>
  <c r="CB51" i="7"/>
  <c r="BY51" i="7"/>
  <c r="BV51" i="7"/>
  <c r="BS51" i="7"/>
  <c r="BP51" i="7"/>
  <c r="BM51" i="7"/>
  <c r="BJ51" i="7"/>
  <c r="BG51" i="7"/>
  <c r="BD51" i="7"/>
  <c r="BA51" i="7"/>
  <c r="AX51" i="7"/>
  <c r="AU51" i="7"/>
  <c r="AR51" i="7"/>
  <c r="AO51" i="7"/>
  <c r="AL51" i="7"/>
  <c r="AI51" i="7"/>
  <c r="AF51" i="7"/>
  <c r="AC51" i="7"/>
  <c r="Z51" i="7"/>
  <c r="W51" i="7"/>
  <c r="T51" i="7"/>
  <c r="Q51" i="7"/>
  <c r="N51" i="7"/>
  <c r="K51" i="7"/>
  <c r="H51" i="7"/>
  <c r="E51" i="7"/>
  <c r="DX50" i="7"/>
  <c r="DU50" i="7"/>
  <c r="DR50" i="7"/>
  <c r="DO50" i="7"/>
  <c r="DL50" i="7"/>
  <c r="DI50" i="7"/>
  <c r="DF50" i="7"/>
  <c r="DC50" i="7"/>
  <c r="CZ50" i="7"/>
  <c r="CW50" i="7"/>
  <c r="CT50" i="7"/>
  <c r="CQ50" i="7"/>
  <c r="CN50" i="7"/>
  <c r="CK50" i="7"/>
  <c r="CH50" i="7"/>
  <c r="CE50" i="7"/>
  <c r="CB50" i="7"/>
  <c r="BY50" i="7"/>
  <c r="BV50" i="7"/>
  <c r="BS50" i="7"/>
  <c r="BP50" i="7"/>
  <c r="BM50" i="7"/>
  <c r="BH50" i="7"/>
  <c r="BJ50" i="7" s="1"/>
  <c r="BG50" i="7"/>
  <c r="BE50" i="7"/>
  <c r="BD50" i="7"/>
  <c r="BA50" i="7"/>
  <c r="AX50" i="7"/>
  <c r="AU50" i="7"/>
  <c r="AR50" i="7"/>
  <c r="AO50" i="7"/>
  <c r="AL50" i="7"/>
  <c r="AI50" i="7"/>
  <c r="AF50" i="7"/>
  <c r="AC50" i="7"/>
  <c r="Z50" i="7"/>
  <c r="W50" i="7"/>
  <c r="T50" i="7"/>
  <c r="Q50" i="7"/>
  <c r="N50" i="7"/>
  <c r="K50" i="7"/>
  <c r="H50" i="7"/>
  <c r="E50" i="7"/>
  <c r="DX49" i="7"/>
  <c r="DU49" i="7"/>
  <c r="DR49" i="7"/>
  <c r="DO49" i="7"/>
  <c r="DL49" i="7"/>
  <c r="DI49" i="7"/>
  <c r="DF49" i="7"/>
  <c r="DA49" i="7"/>
  <c r="DC49" i="7" s="1"/>
  <c r="CX49" i="7"/>
  <c r="CZ49" i="7" s="1"/>
  <c r="CW49" i="7"/>
  <c r="CT49" i="7"/>
  <c r="CI49" i="7"/>
  <c r="CK49" i="7" s="1"/>
  <c r="CF49" i="7"/>
  <c r="CH49" i="7" s="1"/>
  <c r="CC49" i="7"/>
  <c r="CE49" i="7" s="1"/>
  <c r="BZ49" i="7"/>
  <c r="CB49" i="7" s="1"/>
  <c r="BW49" i="7"/>
  <c r="BY49" i="7" s="1"/>
  <c r="BT49" i="7"/>
  <c r="BV49" i="7" s="1"/>
  <c r="BS49" i="7"/>
  <c r="BH49" i="7"/>
  <c r="BJ49" i="7" s="1"/>
  <c r="BE49" i="7"/>
  <c r="BG49" i="7" s="1"/>
  <c r="AV49" i="7"/>
  <c r="AX49" i="7" s="1"/>
  <c r="AS49" i="7"/>
  <c r="AU49" i="7" s="1"/>
  <c r="AR49" i="7"/>
  <c r="AO49" i="7"/>
  <c r="AJ49" i="7"/>
  <c r="AL49" i="7" s="1"/>
  <c r="AG49" i="7"/>
  <c r="AI49" i="7" s="1"/>
  <c r="AD49" i="7"/>
  <c r="AF49" i="7" s="1"/>
  <c r="AA49" i="7"/>
  <c r="AC49" i="7" s="1"/>
  <c r="X49" i="7"/>
  <c r="Z49" i="7" s="1"/>
  <c r="U49" i="7"/>
  <c r="W49" i="7" s="1"/>
  <c r="R49" i="7"/>
  <c r="T49" i="7" s="1"/>
  <c r="O49" i="7"/>
  <c r="Q49" i="7" s="1"/>
  <c r="L49" i="7"/>
  <c r="N49" i="7" s="1"/>
  <c r="I49" i="7"/>
  <c r="K49" i="7" s="1"/>
  <c r="F49" i="7"/>
  <c r="H49" i="7" s="1"/>
  <c r="C49" i="7"/>
  <c r="E49" i="7" s="1"/>
  <c r="DX48" i="7"/>
  <c r="DU48" i="7"/>
  <c r="DR48" i="7"/>
  <c r="DO48" i="7"/>
  <c r="DL48" i="7"/>
  <c r="DI48" i="7"/>
  <c r="DF48" i="7"/>
  <c r="DC48" i="7"/>
  <c r="CZ48" i="7"/>
  <c r="CW48" i="7"/>
  <c r="CT48" i="7"/>
  <c r="CQ48" i="7"/>
  <c r="CN48" i="7"/>
  <c r="CK48" i="7"/>
  <c r="CH48" i="7"/>
  <c r="CE48" i="7"/>
  <c r="CB48" i="7"/>
  <c r="BY48" i="7"/>
  <c r="BV48" i="7"/>
  <c r="BS48" i="7"/>
  <c r="BP48" i="7"/>
  <c r="BM48" i="7"/>
  <c r="BD48" i="7"/>
  <c r="BA48" i="7"/>
  <c r="AX48" i="7"/>
  <c r="AU48" i="7"/>
  <c r="AR48" i="7"/>
  <c r="AO48" i="7"/>
  <c r="AL48" i="7"/>
  <c r="AI48" i="7"/>
  <c r="AF48" i="7"/>
  <c r="AC48" i="7"/>
  <c r="Z48" i="7"/>
  <c r="W48" i="7"/>
  <c r="T48" i="7"/>
  <c r="Q48" i="7"/>
  <c r="N48" i="7"/>
  <c r="K48" i="7"/>
  <c r="H48" i="7"/>
  <c r="E48" i="7"/>
  <c r="DX45" i="7"/>
  <c r="DU45" i="7"/>
  <c r="DR45" i="7"/>
  <c r="DO45" i="7"/>
  <c r="DL45" i="7"/>
  <c r="DI45" i="7"/>
  <c r="DF45" i="7"/>
  <c r="DA45" i="7"/>
  <c r="DC45" i="7" s="1"/>
  <c r="CX45" i="7"/>
  <c r="CZ45" i="7" s="1"/>
  <c r="CU45" i="7"/>
  <c r="CW45" i="7" s="1"/>
  <c r="CR45" i="7"/>
  <c r="CT45" i="7" s="1"/>
  <c r="CI45" i="7"/>
  <c r="CK45" i="7" s="1"/>
  <c r="CF45" i="7"/>
  <c r="CH45" i="7" s="1"/>
  <c r="CC45" i="7"/>
  <c r="CE45" i="7" s="1"/>
  <c r="BZ45" i="7"/>
  <c r="CB45" i="7" s="1"/>
  <c r="BW45" i="7"/>
  <c r="BY45" i="7" s="1"/>
  <c r="BT45" i="7"/>
  <c r="BV45" i="7" s="1"/>
  <c r="BQ45" i="7"/>
  <c r="BS45" i="7" s="1"/>
  <c r="BH45" i="7"/>
  <c r="BJ45" i="7" s="1"/>
  <c r="BE45" i="7"/>
  <c r="BG45" i="7" s="1"/>
  <c r="AV45" i="7"/>
  <c r="AX45" i="7" s="1"/>
  <c r="AS45" i="7"/>
  <c r="AU45" i="7" s="1"/>
  <c r="AP45" i="7"/>
  <c r="AR45" i="7" s="1"/>
  <c r="AM45" i="7"/>
  <c r="AO45" i="7" s="1"/>
  <c r="AL45" i="7"/>
  <c r="AJ45" i="7"/>
  <c r="AG45" i="7"/>
  <c r="AI45" i="7" s="1"/>
  <c r="AD45" i="7"/>
  <c r="AF45" i="7" s="1"/>
  <c r="AA45" i="7"/>
  <c r="AC45" i="7" s="1"/>
  <c r="X45" i="7"/>
  <c r="Z45" i="7" s="1"/>
  <c r="U45" i="7"/>
  <c r="W45" i="7" s="1"/>
  <c r="R45" i="7"/>
  <c r="T45" i="7" s="1"/>
  <c r="O45" i="7"/>
  <c r="Q45" i="7" s="1"/>
  <c r="L45" i="7"/>
  <c r="N45" i="7" s="1"/>
  <c r="I45" i="7"/>
  <c r="K45" i="7" s="1"/>
  <c r="F45" i="7"/>
  <c r="H45" i="7" s="1"/>
  <c r="C45" i="7"/>
  <c r="E45" i="7" s="1"/>
  <c r="DX44" i="7"/>
  <c r="DU44" i="7"/>
  <c r="DR44" i="7"/>
  <c r="DO44" i="7"/>
  <c r="DL44" i="7"/>
  <c r="DI44" i="7"/>
  <c r="DF44" i="7"/>
  <c r="DA44" i="7"/>
  <c r="DC44" i="7" s="1"/>
  <c r="CZ44" i="7"/>
  <c r="CX44" i="7"/>
  <c r="CU44" i="7"/>
  <c r="CW44" i="7" s="1"/>
  <c r="CT44" i="7"/>
  <c r="CR44" i="7"/>
  <c r="CI44" i="7"/>
  <c r="CK44" i="7" s="1"/>
  <c r="CF44" i="7"/>
  <c r="CH44" i="7" s="1"/>
  <c r="CC44" i="7"/>
  <c r="CE44" i="7" s="1"/>
  <c r="BZ44" i="7"/>
  <c r="CB44" i="7" s="1"/>
  <c r="BW44" i="7"/>
  <c r="BY44" i="7" s="1"/>
  <c r="BT44" i="7"/>
  <c r="BV44" i="7" s="1"/>
  <c r="BQ44" i="7"/>
  <c r="BS44" i="7" s="1"/>
  <c r="BH44" i="7"/>
  <c r="BJ44" i="7" s="1"/>
  <c r="BE44" i="7"/>
  <c r="BG44" i="7" s="1"/>
  <c r="AV44" i="7"/>
  <c r="AX44" i="7" s="1"/>
  <c r="AS44" i="7"/>
  <c r="AU44" i="7" s="1"/>
  <c r="AR44" i="7"/>
  <c r="AP44" i="7"/>
  <c r="AO44" i="7"/>
  <c r="AM44" i="7"/>
  <c r="AL44" i="7"/>
  <c r="AJ44" i="7"/>
  <c r="AG44" i="7"/>
  <c r="AI44" i="7" s="1"/>
  <c r="AD44" i="7"/>
  <c r="AF44" i="7" s="1"/>
  <c r="AC44" i="7"/>
  <c r="AA44" i="7"/>
  <c r="Z44" i="7"/>
  <c r="X44" i="7"/>
  <c r="U44" i="7"/>
  <c r="W44" i="7" s="1"/>
  <c r="R44" i="7"/>
  <c r="T44" i="7" s="1"/>
  <c r="Q44" i="7"/>
  <c r="O44" i="7"/>
  <c r="L44" i="7"/>
  <c r="N44" i="7" s="1"/>
  <c r="I44" i="7"/>
  <c r="K44" i="7" s="1"/>
  <c r="F44" i="7"/>
  <c r="H44" i="7" s="1"/>
  <c r="C44" i="7"/>
  <c r="E44" i="7" s="1"/>
  <c r="DX43" i="7"/>
  <c r="DU43" i="7"/>
  <c r="DR43" i="7"/>
  <c r="DO43" i="7"/>
  <c r="DL43" i="7"/>
  <c r="DI43" i="7"/>
  <c r="DF43" i="7"/>
  <c r="DA43" i="7"/>
  <c r="DC43" i="7" s="1"/>
  <c r="CX43" i="7"/>
  <c r="CZ43" i="7" s="1"/>
  <c r="CU43" i="7"/>
  <c r="CW43" i="7" s="1"/>
  <c r="CR43" i="7"/>
  <c r="CT43" i="7" s="1"/>
  <c r="CI43" i="7"/>
  <c r="CK43" i="7" s="1"/>
  <c r="CF43" i="7"/>
  <c r="CH43" i="7" s="1"/>
  <c r="CC43" i="7"/>
  <c r="CE43" i="7" s="1"/>
  <c r="BZ43" i="7"/>
  <c r="CB43" i="7" s="1"/>
  <c r="BW43" i="7"/>
  <c r="BY43" i="7" s="1"/>
  <c r="BT43" i="7"/>
  <c r="BV43" i="7" s="1"/>
  <c r="BQ43" i="7"/>
  <c r="BS43" i="7" s="1"/>
  <c r="BH43" i="7"/>
  <c r="BJ43" i="7" s="1"/>
  <c r="BE43" i="7"/>
  <c r="BG43" i="7" s="1"/>
  <c r="AV43" i="7"/>
  <c r="AX43" i="7" s="1"/>
  <c r="AS43" i="7"/>
  <c r="AU43" i="7" s="1"/>
  <c r="AP43" i="7"/>
  <c r="AR43" i="7" s="1"/>
  <c r="AM43" i="7"/>
  <c r="AO43" i="7" s="1"/>
  <c r="AJ43" i="7"/>
  <c r="AL43" i="7" s="1"/>
  <c r="AG43" i="7"/>
  <c r="AI43" i="7" s="1"/>
  <c r="AD43" i="7"/>
  <c r="AF43" i="7" s="1"/>
  <c r="AA43" i="7"/>
  <c r="AC43" i="7" s="1"/>
  <c r="X43" i="7"/>
  <c r="Z43" i="7" s="1"/>
  <c r="U43" i="7"/>
  <c r="W43" i="7" s="1"/>
  <c r="R43" i="7"/>
  <c r="T43" i="7" s="1"/>
  <c r="O43" i="7"/>
  <c r="Q43" i="7" s="1"/>
  <c r="L43" i="7"/>
  <c r="N43" i="7" s="1"/>
  <c r="I43" i="7"/>
  <c r="K43" i="7" s="1"/>
  <c r="F43" i="7"/>
  <c r="H43" i="7" s="1"/>
  <c r="C43" i="7"/>
  <c r="E43" i="7" s="1"/>
  <c r="DX42" i="7"/>
  <c r="DU42" i="7"/>
  <c r="DR42" i="7"/>
  <c r="DO42" i="7"/>
  <c r="DL42" i="7"/>
  <c r="DI42" i="7"/>
  <c r="DF42" i="7"/>
  <c r="DC42" i="7"/>
  <c r="DA42" i="7"/>
  <c r="CX42" i="7"/>
  <c r="CZ42" i="7" s="1"/>
  <c r="CU42" i="7"/>
  <c r="CW42" i="7" s="1"/>
  <c r="CR42" i="7"/>
  <c r="CT42" i="7" s="1"/>
  <c r="CI42" i="7"/>
  <c r="CK42" i="7" s="1"/>
  <c r="CF42" i="7"/>
  <c r="CH42" i="7" s="1"/>
  <c r="CD42" i="7"/>
  <c r="CC42" i="7"/>
  <c r="CA42" i="7"/>
  <c r="BZ42" i="7"/>
  <c r="BW42" i="7"/>
  <c r="BY42" i="7" s="1"/>
  <c r="BV42" i="7"/>
  <c r="BT42" i="7"/>
  <c r="BQ42" i="7"/>
  <c r="BS42" i="7" s="1"/>
  <c r="BJ42" i="7"/>
  <c r="BH42" i="7"/>
  <c r="BE42" i="7"/>
  <c r="BG42" i="7" s="1"/>
  <c r="AX42" i="7"/>
  <c r="AV42" i="7"/>
  <c r="AS42" i="7"/>
  <c r="AU42" i="7" s="1"/>
  <c r="AP42" i="7"/>
  <c r="AR42" i="7" s="1"/>
  <c r="AM42" i="7"/>
  <c r="AO42" i="7" s="1"/>
  <c r="AJ42" i="7"/>
  <c r="AL42" i="7" s="1"/>
  <c r="AI42" i="7"/>
  <c r="AG42" i="7"/>
  <c r="AD42" i="7"/>
  <c r="AF42" i="7" s="1"/>
  <c r="AA42" i="7"/>
  <c r="AC42" i="7" s="1"/>
  <c r="X42" i="7"/>
  <c r="Z42" i="7" s="1"/>
  <c r="U42" i="7"/>
  <c r="W42" i="7" s="1"/>
  <c r="T42" i="7"/>
  <c r="R42" i="7"/>
  <c r="O42" i="7"/>
  <c r="Q42" i="7" s="1"/>
  <c r="N42" i="7"/>
  <c r="L42" i="7"/>
  <c r="I42" i="7"/>
  <c r="K42" i="7" s="1"/>
  <c r="H42" i="7"/>
  <c r="F42" i="7"/>
  <c r="C42" i="7"/>
  <c r="E42" i="7" s="1"/>
  <c r="DX41" i="7"/>
  <c r="DU41" i="7"/>
  <c r="DR41" i="7"/>
  <c r="DO41" i="7"/>
  <c r="DL41" i="7"/>
  <c r="DI41" i="7"/>
  <c r="DF41" i="7"/>
  <c r="DA41" i="7"/>
  <c r="DC41" i="7" s="1"/>
  <c r="CX41" i="7"/>
  <c r="CZ41" i="7" s="1"/>
  <c r="CU41" i="7"/>
  <c r="CW41" i="7" s="1"/>
  <c r="CR41" i="7"/>
  <c r="CT41" i="7" s="1"/>
  <c r="CP41" i="7"/>
  <c r="CM41" i="7"/>
  <c r="CI41" i="7"/>
  <c r="CK41" i="7" s="1"/>
  <c r="CH41" i="7"/>
  <c r="CF41" i="7"/>
  <c r="CC41" i="7"/>
  <c r="CE41" i="7" s="1"/>
  <c r="BZ41" i="7"/>
  <c r="CB41" i="7" s="1"/>
  <c r="BW41" i="7"/>
  <c r="BY41" i="7" s="1"/>
  <c r="BT41" i="7"/>
  <c r="BV41" i="7" s="1"/>
  <c r="BQ41" i="7"/>
  <c r="BS41" i="7" s="1"/>
  <c r="BH41" i="7"/>
  <c r="BJ41" i="7" s="1"/>
  <c r="BE41" i="7"/>
  <c r="BG41" i="7" s="1"/>
  <c r="AV41" i="7"/>
  <c r="AX41" i="7" s="1"/>
  <c r="AS41" i="7"/>
  <c r="AU41" i="7" s="1"/>
  <c r="AP41" i="7"/>
  <c r="AR41" i="7" s="1"/>
  <c r="AM41" i="7"/>
  <c r="AO41" i="7" s="1"/>
  <c r="AJ41" i="7"/>
  <c r="AL41" i="7" s="1"/>
  <c r="AG41" i="7"/>
  <c r="AI41" i="7" s="1"/>
  <c r="AD41" i="7"/>
  <c r="AF41" i="7" s="1"/>
  <c r="AA41" i="7"/>
  <c r="AC41" i="7" s="1"/>
  <c r="X41" i="7"/>
  <c r="Z41" i="7" s="1"/>
  <c r="U41" i="7"/>
  <c r="W41" i="7" s="1"/>
  <c r="R41" i="7"/>
  <c r="T41" i="7" s="1"/>
  <c r="O41" i="7"/>
  <c r="Q41" i="7" s="1"/>
  <c r="N41" i="7"/>
  <c r="L41" i="7"/>
  <c r="I41" i="7"/>
  <c r="K41" i="7" s="1"/>
  <c r="F41" i="7"/>
  <c r="H41" i="7" s="1"/>
  <c r="C41" i="7"/>
  <c r="E41" i="7" s="1"/>
  <c r="DX40" i="7"/>
  <c r="DU40" i="7"/>
  <c r="DR40" i="7"/>
  <c r="DO40" i="7"/>
  <c r="DL40" i="7"/>
  <c r="DI40" i="7"/>
  <c r="DF40" i="7"/>
  <c r="DA40" i="7"/>
  <c r="DC40" i="7" s="1"/>
  <c r="CZ40" i="7"/>
  <c r="CX40" i="7"/>
  <c r="CU40" i="7"/>
  <c r="CW40" i="7" s="1"/>
  <c r="CT40" i="7"/>
  <c r="CR40" i="7"/>
  <c r="CI40" i="7"/>
  <c r="CK40" i="7" s="1"/>
  <c r="CF40" i="7"/>
  <c r="CH40" i="7" s="1"/>
  <c r="CC40" i="7"/>
  <c r="CE40" i="7" s="1"/>
  <c r="CB40" i="7"/>
  <c r="BZ40" i="7"/>
  <c r="BW40" i="7"/>
  <c r="BY40" i="7" s="1"/>
  <c r="BT40" i="7"/>
  <c r="BV40" i="7" s="1"/>
  <c r="BQ40" i="7"/>
  <c r="BS40" i="7" s="1"/>
  <c r="BH40" i="7"/>
  <c r="BJ40" i="7" s="1"/>
  <c r="BE40" i="7"/>
  <c r="BG40" i="7" s="1"/>
  <c r="AV40" i="7"/>
  <c r="AX40" i="7" s="1"/>
  <c r="AS40" i="7"/>
  <c r="AU40" i="7" s="1"/>
  <c r="AP40" i="7"/>
  <c r="AR40" i="7" s="1"/>
  <c r="AM40" i="7"/>
  <c r="AO40" i="7" s="1"/>
  <c r="AJ40" i="7"/>
  <c r="AL40" i="7" s="1"/>
  <c r="AG40" i="7"/>
  <c r="AI40" i="7" s="1"/>
  <c r="AI46" i="7" s="1"/>
  <c r="AD40" i="7"/>
  <c r="AF40" i="7" s="1"/>
  <c r="AA40" i="7"/>
  <c r="AC40" i="7" s="1"/>
  <c r="X40" i="7"/>
  <c r="Z40" i="7" s="1"/>
  <c r="U40" i="7"/>
  <c r="W40" i="7" s="1"/>
  <c r="R40" i="7"/>
  <c r="T40" i="7" s="1"/>
  <c r="O40" i="7"/>
  <c r="Q40" i="7" s="1"/>
  <c r="L40" i="7"/>
  <c r="N40" i="7" s="1"/>
  <c r="I40" i="7"/>
  <c r="K40" i="7" s="1"/>
  <c r="F40" i="7"/>
  <c r="H40" i="7" s="1"/>
  <c r="C40" i="7"/>
  <c r="E40" i="7" s="1"/>
  <c r="DX37" i="7"/>
  <c r="DU37" i="7"/>
  <c r="DR37" i="7"/>
  <c r="DO37" i="7"/>
  <c r="DL37" i="7"/>
  <c r="DI37" i="7"/>
  <c r="DF37" i="7"/>
  <c r="DC37" i="7"/>
  <c r="CZ37" i="7"/>
  <c r="CW37" i="7"/>
  <c r="CT37" i="7"/>
  <c r="CQ37" i="7"/>
  <c r="CN37" i="7"/>
  <c r="CK37" i="7"/>
  <c r="CH37" i="7"/>
  <c r="CE37" i="7"/>
  <c r="CB37" i="7"/>
  <c r="BY37" i="7"/>
  <c r="BV37" i="7"/>
  <c r="BS37" i="7"/>
  <c r="BP37" i="7"/>
  <c r="BM37" i="7"/>
  <c r="BJ37" i="7"/>
  <c r="BG37" i="7"/>
  <c r="BD37" i="7"/>
  <c r="BA37" i="7"/>
  <c r="AX37" i="7"/>
  <c r="AU37" i="7"/>
  <c r="AR37" i="7"/>
  <c r="AO37" i="7"/>
  <c r="AL37" i="7"/>
  <c r="AI37" i="7"/>
  <c r="AF37" i="7"/>
  <c r="AC37" i="7"/>
  <c r="Z37" i="7"/>
  <c r="W37" i="7"/>
  <c r="T37" i="7"/>
  <c r="Q37" i="7"/>
  <c r="N37" i="7"/>
  <c r="K37" i="7"/>
  <c r="H37" i="7"/>
  <c r="E37" i="7"/>
  <c r="DX36" i="7"/>
  <c r="DU36" i="7"/>
  <c r="DR36" i="7"/>
  <c r="DO36" i="7"/>
  <c r="DL36" i="7"/>
  <c r="DI36" i="7"/>
  <c r="DF36" i="7"/>
  <c r="DC36" i="7"/>
  <c r="CZ36" i="7"/>
  <c r="CW36" i="7"/>
  <c r="CT36" i="7"/>
  <c r="CQ36" i="7"/>
  <c r="CN36" i="7"/>
  <c r="CK36" i="7"/>
  <c r="CH36" i="7"/>
  <c r="CE36" i="7"/>
  <c r="CB36" i="7"/>
  <c r="BY36" i="7"/>
  <c r="BV36" i="7"/>
  <c r="BS36" i="7"/>
  <c r="BP36" i="7"/>
  <c r="BM36" i="7"/>
  <c r="BJ36" i="7"/>
  <c r="BC36" i="7"/>
  <c r="BD36" i="7" s="1"/>
  <c r="AZ36" i="7"/>
  <c r="BA36" i="7" s="1"/>
  <c r="AX36" i="7"/>
  <c r="AU36" i="7"/>
  <c r="AR36" i="7"/>
  <c r="AO36" i="7"/>
  <c r="AL36" i="7"/>
  <c r="AI36" i="7"/>
  <c r="AF36" i="7"/>
  <c r="AC36" i="7"/>
  <c r="Z36" i="7"/>
  <c r="W36" i="7"/>
  <c r="T36" i="7"/>
  <c r="Q36" i="7"/>
  <c r="N36" i="7"/>
  <c r="K36" i="7"/>
  <c r="H36" i="7"/>
  <c r="E36" i="7"/>
  <c r="DX35" i="7"/>
  <c r="DU35" i="7"/>
  <c r="DR35" i="7"/>
  <c r="DO35" i="7"/>
  <c r="DL35" i="7"/>
  <c r="DI35" i="7"/>
  <c r="DF35" i="7"/>
  <c r="DC35" i="7"/>
  <c r="CZ35" i="7"/>
  <c r="CW35" i="7"/>
  <c r="CT35" i="7"/>
  <c r="CQ35" i="7"/>
  <c r="CN35" i="7"/>
  <c r="CK35" i="7"/>
  <c r="CH35" i="7"/>
  <c r="CE35" i="7"/>
  <c r="CB35" i="7"/>
  <c r="BY35" i="7"/>
  <c r="BV35" i="7"/>
  <c r="BS35" i="7"/>
  <c r="BP35" i="7"/>
  <c r="BM35" i="7"/>
  <c r="BJ35" i="7"/>
  <c r="BD35" i="7"/>
  <c r="BA35" i="7"/>
  <c r="AX35" i="7"/>
  <c r="AU35" i="7"/>
  <c r="AR35" i="7"/>
  <c r="AO35" i="7"/>
  <c r="AL35" i="7"/>
  <c r="AI35" i="7"/>
  <c r="AF35" i="7"/>
  <c r="AC35" i="7"/>
  <c r="Z35" i="7"/>
  <c r="W35" i="7"/>
  <c r="T35" i="7"/>
  <c r="Q35" i="7"/>
  <c r="N35" i="7"/>
  <c r="K35" i="7"/>
  <c r="H35" i="7"/>
  <c r="E35" i="7"/>
  <c r="DX34" i="7"/>
  <c r="DU34" i="7"/>
  <c r="DR34" i="7"/>
  <c r="DO34" i="7"/>
  <c r="DL34" i="7"/>
  <c r="DI34" i="7"/>
  <c r="DF34" i="7"/>
  <c r="DC34" i="7"/>
  <c r="CZ34" i="7"/>
  <c r="CW34" i="7"/>
  <c r="CT34" i="7"/>
  <c r="CQ34" i="7"/>
  <c r="CN34" i="7"/>
  <c r="CK34" i="7"/>
  <c r="CH34" i="7"/>
  <c r="CE34" i="7"/>
  <c r="CB34" i="7"/>
  <c r="BY34" i="7"/>
  <c r="BV34" i="7"/>
  <c r="BS34" i="7"/>
  <c r="BP34" i="7"/>
  <c r="BM34" i="7"/>
  <c r="BH34" i="7"/>
  <c r="BJ34" i="7" s="1"/>
  <c r="BE34" i="7"/>
  <c r="BG34" i="7" s="1"/>
  <c r="BD34" i="7"/>
  <c r="BA34" i="7"/>
  <c r="AX34" i="7"/>
  <c r="AU34" i="7"/>
  <c r="AR34" i="7"/>
  <c r="AO34" i="7"/>
  <c r="AL34" i="7"/>
  <c r="AI34" i="7"/>
  <c r="AF34" i="7"/>
  <c r="AC34" i="7"/>
  <c r="Z34" i="7"/>
  <c r="W34" i="7"/>
  <c r="T34" i="7"/>
  <c r="Q34" i="7"/>
  <c r="N34" i="7"/>
  <c r="K34" i="7"/>
  <c r="H34" i="7"/>
  <c r="E34" i="7"/>
  <c r="DX33" i="7"/>
  <c r="DU33" i="7"/>
  <c r="DR33" i="7"/>
  <c r="DO33" i="7"/>
  <c r="DL33" i="7"/>
  <c r="DI33" i="7"/>
  <c r="DF33" i="7"/>
  <c r="DC33" i="7"/>
  <c r="CZ33" i="7"/>
  <c r="CW33" i="7"/>
  <c r="CT33" i="7"/>
  <c r="CQ33" i="7"/>
  <c r="CN33" i="7"/>
  <c r="CK33" i="7"/>
  <c r="CH33" i="7"/>
  <c r="CE33" i="7"/>
  <c r="CB33" i="7"/>
  <c r="BY33" i="7"/>
  <c r="BV33" i="7"/>
  <c r="BR33" i="7"/>
  <c r="BQ33" i="7"/>
  <c r="BP33" i="7"/>
  <c r="BM33" i="7"/>
  <c r="BH33" i="7"/>
  <c r="BJ33" i="7" s="1"/>
  <c r="BG33" i="7"/>
  <c r="BE33" i="7"/>
  <c r="BD33" i="7"/>
  <c r="BA33" i="7"/>
  <c r="AX33" i="7"/>
  <c r="AU33" i="7"/>
  <c r="AR33" i="7"/>
  <c r="AO33" i="7"/>
  <c r="AL33" i="7"/>
  <c r="AI33" i="7"/>
  <c r="AF33" i="7"/>
  <c r="AC33" i="7"/>
  <c r="Z33" i="7"/>
  <c r="W33" i="7"/>
  <c r="T33" i="7"/>
  <c r="Q33" i="7"/>
  <c r="N33" i="7"/>
  <c r="K33" i="7"/>
  <c r="H33" i="7"/>
  <c r="E33" i="7"/>
  <c r="DB32" i="7"/>
  <c r="DC32" i="7" s="1"/>
  <c r="CY32" i="7"/>
  <c r="CZ32" i="7" s="1"/>
  <c r="CW32" i="7"/>
  <c r="CT32" i="7"/>
  <c r="CQ32" i="7"/>
  <c r="CN32" i="7"/>
  <c r="CK32" i="7"/>
  <c r="CH32" i="7"/>
  <c r="CE32" i="7"/>
  <c r="CB32" i="7"/>
  <c r="BY32" i="7"/>
  <c r="BV32" i="7"/>
  <c r="BS32" i="7"/>
  <c r="BP32" i="7"/>
  <c r="BM32" i="7"/>
  <c r="BI32" i="7"/>
  <c r="BH32" i="7"/>
  <c r="BF32" i="7"/>
  <c r="BE32" i="7"/>
  <c r="BD32" i="7"/>
  <c r="BA32" i="7"/>
  <c r="AX32" i="7"/>
  <c r="AU32" i="7"/>
  <c r="AR32" i="7"/>
  <c r="AO32" i="7"/>
  <c r="AL32" i="7"/>
  <c r="AI32" i="7"/>
  <c r="AF32" i="7"/>
  <c r="AC32" i="7"/>
  <c r="Z32" i="7"/>
  <c r="W32" i="7"/>
  <c r="T32" i="7"/>
  <c r="Q32" i="7"/>
  <c r="N32" i="7"/>
  <c r="K32" i="7"/>
  <c r="H32" i="7"/>
  <c r="E32" i="7"/>
  <c r="DX31" i="7"/>
  <c r="DU31" i="7"/>
  <c r="DR31" i="7"/>
  <c r="DO31" i="7"/>
  <c r="DL31" i="7"/>
  <c r="DI31" i="7"/>
  <c r="DF31" i="7"/>
  <c r="DC31" i="7"/>
  <c r="CZ31" i="7"/>
  <c r="CW31" i="7"/>
  <c r="CT31" i="7"/>
  <c r="CQ31" i="7"/>
  <c r="CN31" i="7"/>
  <c r="CK31" i="7"/>
  <c r="CH31" i="7"/>
  <c r="CE31" i="7"/>
  <c r="CB31" i="7"/>
  <c r="BY31" i="7"/>
  <c r="BV31" i="7"/>
  <c r="BS31" i="7"/>
  <c r="BP31" i="7"/>
  <c r="BM31" i="7"/>
  <c r="BJ31" i="7"/>
  <c r="BD31" i="7"/>
  <c r="BA31" i="7"/>
  <c r="AX31" i="7"/>
  <c r="AU31" i="7"/>
  <c r="AR31" i="7"/>
  <c r="AO31" i="7"/>
  <c r="AL31" i="7"/>
  <c r="AI31" i="7"/>
  <c r="AF31" i="7"/>
  <c r="AC31" i="7"/>
  <c r="Z31" i="7"/>
  <c r="W31" i="7"/>
  <c r="T31" i="7"/>
  <c r="Q31" i="7"/>
  <c r="N31" i="7"/>
  <c r="K31" i="7"/>
  <c r="H31" i="7"/>
  <c r="E31" i="7"/>
  <c r="DX30" i="7"/>
  <c r="DU30" i="7"/>
  <c r="DR30" i="7"/>
  <c r="DO30" i="7"/>
  <c r="DL30" i="7"/>
  <c r="DI30" i="7"/>
  <c r="DF30" i="7"/>
  <c r="DC30" i="7"/>
  <c r="CZ30" i="7"/>
  <c r="CW30" i="7"/>
  <c r="CT30" i="7"/>
  <c r="CQ30" i="7"/>
  <c r="CN30" i="7"/>
  <c r="CK30" i="7"/>
  <c r="CH30" i="7"/>
  <c r="CE30" i="7"/>
  <c r="CB30" i="7"/>
  <c r="BY30" i="7"/>
  <c r="BV30" i="7"/>
  <c r="BS30" i="7"/>
  <c r="BP30" i="7"/>
  <c r="BM30" i="7"/>
  <c r="BJ30" i="7"/>
  <c r="BG30" i="7"/>
  <c r="BD30" i="7"/>
  <c r="BA30" i="7"/>
  <c r="AX30" i="7"/>
  <c r="AU30" i="7"/>
  <c r="AR30" i="7"/>
  <c r="AO30" i="7"/>
  <c r="AL30" i="7"/>
  <c r="AI30" i="7"/>
  <c r="AF30" i="7"/>
  <c r="AC30" i="7"/>
  <c r="Z30" i="7"/>
  <c r="W30" i="7"/>
  <c r="T30" i="7"/>
  <c r="Q30" i="7"/>
  <c r="N30" i="7"/>
  <c r="K30" i="7"/>
  <c r="H30" i="7"/>
  <c r="E30" i="7"/>
  <c r="DX29" i="7"/>
  <c r="DU29" i="7"/>
  <c r="DR29" i="7"/>
  <c r="DO29" i="7"/>
  <c r="DL29" i="7"/>
  <c r="DI29" i="7"/>
  <c r="DF29" i="7"/>
  <c r="DC29" i="7"/>
  <c r="CZ29" i="7"/>
  <c r="CW29" i="7"/>
  <c r="CT29" i="7"/>
  <c r="CQ29" i="7"/>
  <c r="CN29" i="7"/>
  <c r="CK29" i="7"/>
  <c r="CH29" i="7"/>
  <c r="CE29" i="7"/>
  <c r="CB29" i="7"/>
  <c r="BY29" i="7"/>
  <c r="BV29" i="7"/>
  <c r="BS29" i="7"/>
  <c r="BP29" i="7"/>
  <c r="BM29" i="7"/>
  <c r="BH29" i="7"/>
  <c r="BJ29" i="7" s="1"/>
  <c r="BE29" i="7"/>
  <c r="BG29" i="7" s="1"/>
  <c r="BB29" i="7"/>
  <c r="BD29" i="7" s="1"/>
  <c r="AY29" i="7"/>
  <c r="BA29" i="7" s="1"/>
  <c r="AX29" i="7"/>
  <c r="AU29" i="7"/>
  <c r="AR29" i="7"/>
  <c r="AO29" i="7"/>
  <c r="AL29" i="7"/>
  <c r="AI29" i="7"/>
  <c r="AF29" i="7"/>
  <c r="AC29" i="7"/>
  <c r="Z29" i="7"/>
  <c r="W29" i="7"/>
  <c r="T29" i="7"/>
  <c r="Q29" i="7"/>
  <c r="N29" i="7"/>
  <c r="K29" i="7"/>
  <c r="H29" i="7"/>
  <c r="E29" i="7"/>
  <c r="DX28" i="7"/>
  <c r="DU28" i="7"/>
  <c r="DR28" i="7"/>
  <c r="DO28" i="7"/>
  <c r="DL28" i="7"/>
  <c r="DI28" i="7"/>
  <c r="DF28" i="7"/>
  <c r="DC28" i="7"/>
  <c r="CZ28" i="7"/>
  <c r="CW28" i="7"/>
  <c r="CT28" i="7"/>
  <c r="CQ28" i="7"/>
  <c r="CN28" i="7"/>
  <c r="CK28" i="7"/>
  <c r="CH28" i="7"/>
  <c r="CE28" i="7"/>
  <c r="CB28" i="7"/>
  <c r="BY28" i="7"/>
  <c r="BV28" i="7"/>
  <c r="BS28" i="7"/>
  <c r="BP28" i="7"/>
  <c r="BM28" i="7"/>
  <c r="BJ28" i="7"/>
  <c r="BG28" i="7"/>
  <c r="BD28" i="7"/>
  <c r="BA28" i="7"/>
  <c r="AX28" i="7"/>
  <c r="AU28" i="7"/>
  <c r="AR28" i="7"/>
  <c r="AO28" i="7"/>
  <c r="AL28" i="7"/>
  <c r="AI28" i="7"/>
  <c r="AF28" i="7"/>
  <c r="AC28" i="7"/>
  <c r="Z28" i="7"/>
  <c r="W28" i="7"/>
  <c r="T28" i="7"/>
  <c r="Q28" i="7"/>
  <c r="N28" i="7"/>
  <c r="K28" i="7"/>
  <c r="H28" i="7"/>
  <c r="E28" i="7"/>
  <c r="DX27" i="7"/>
  <c r="DU27" i="7"/>
  <c r="DR27" i="7"/>
  <c r="DO27" i="7"/>
  <c r="DL27" i="7"/>
  <c r="DI27" i="7"/>
  <c r="DF27" i="7"/>
  <c r="DC27" i="7"/>
  <c r="CZ27" i="7"/>
  <c r="CW27" i="7"/>
  <c r="CT27" i="7"/>
  <c r="CQ27" i="7"/>
  <c r="CN27" i="7"/>
  <c r="CK27" i="7"/>
  <c r="CH27" i="7"/>
  <c r="CE27" i="7"/>
  <c r="CB27" i="7"/>
  <c r="BY27" i="7"/>
  <c r="BV27" i="7"/>
  <c r="BS27" i="7"/>
  <c r="BP27" i="7"/>
  <c r="BM27" i="7"/>
  <c r="BJ27" i="7"/>
  <c r="BG27" i="7"/>
  <c r="BD27" i="7"/>
  <c r="BA27" i="7"/>
  <c r="AX27" i="7"/>
  <c r="AU27" i="7"/>
  <c r="AR27" i="7"/>
  <c r="AO27" i="7"/>
  <c r="AL27" i="7"/>
  <c r="AI27" i="7"/>
  <c r="AF27" i="7"/>
  <c r="AC27" i="7"/>
  <c r="Z27" i="7"/>
  <c r="W27" i="7"/>
  <c r="T27" i="7"/>
  <c r="Q27" i="7"/>
  <c r="N27" i="7"/>
  <c r="K27" i="7"/>
  <c r="H27" i="7"/>
  <c r="E27" i="7"/>
  <c r="DX26" i="7"/>
  <c r="DU26" i="7"/>
  <c r="DR26" i="7"/>
  <c r="DO26" i="7"/>
  <c r="DL26" i="7"/>
  <c r="DI26" i="7"/>
  <c r="DF26" i="7"/>
  <c r="DC26" i="7"/>
  <c r="CZ26" i="7"/>
  <c r="CW26" i="7"/>
  <c r="CT26" i="7"/>
  <c r="CQ26" i="7"/>
  <c r="CN26" i="7"/>
  <c r="CK26" i="7"/>
  <c r="CH26" i="7"/>
  <c r="CE26" i="7"/>
  <c r="CB26" i="7"/>
  <c r="BY26" i="7"/>
  <c r="BV26" i="7"/>
  <c r="BS26" i="7"/>
  <c r="BP26" i="7"/>
  <c r="BM26" i="7"/>
  <c r="BJ26" i="7"/>
  <c r="BG26" i="7"/>
  <c r="BD26" i="7"/>
  <c r="BA26" i="7"/>
  <c r="AX26" i="7"/>
  <c r="AU26" i="7"/>
  <c r="AR26" i="7"/>
  <c r="AO26" i="7"/>
  <c r="AL26" i="7"/>
  <c r="AI26" i="7"/>
  <c r="AF26" i="7"/>
  <c r="AC26" i="7"/>
  <c r="Z26" i="7"/>
  <c r="W26" i="7"/>
  <c r="T26" i="7"/>
  <c r="Q26" i="7"/>
  <c r="N26" i="7"/>
  <c r="K26" i="7"/>
  <c r="H26" i="7"/>
  <c r="E26" i="7"/>
  <c r="DX25" i="7"/>
  <c r="DU25" i="7"/>
  <c r="DR25" i="7"/>
  <c r="DO25" i="7"/>
  <c r="DL25" i="7"/>
  <c r="DI25" i="7"/>
  <c r="DF25" i="7"/>
  <c r="DC25" i="7"/>
  <c r="CZ25" i="7"/>
  <c r="CW25" i="7"/>
  <c r="CT25" i="7"/>
  <c r="CQ25" i="7"/>
  <c r="CN25" i="7"/>
  <c r="CK25" i="7"/>
  <c r="CH25" i="7"/>
  <c r="CE25" i="7"/>
  <c r="CB25" i="7"/>
  <c r="BY25" i="7"/>
  <c r="BV25" i="7"/>
  <c r="BS25" i="7"/>
  <c r="BP25" i="7"/>
  <c r="BM25" i="7"/>
  <c r="BH25" i="7"/>
  <c r="BJ25" i="7" s="1"/>
  <c r="BE25" i="7"/>
  <c r="BG25" i="7" s="1"/>
  <c r="BB25" i="7"/>
  <c r="BD25" i="7" s="1"/>
  <c r="AY25" i="7"/>
  <c r="BA25" i="7" s="1"/>
  <c r="AX25" i="7"/>
  <c r="AU25" i="7"/>
  <c r="AR25" i="7"/>
  <c r="AO25" i="7"/>
  <c r="AL25" i="7"/>
  <c r="AI25" i="7"/>
  <c r="AF25" i="7"/>
  <c r="AC25" i="7"/>
  <c r="Z25" i="7"/>
  <c r="W25" i="7"/>
  <c r="T25" i="7"/>
  <c r="Q25" i="7"/>
  <c r="N25" i="7"/>
  <c r="K25" i="7"/>
  <c r="H25" i="7"/>
  <c r="E25" i="7"/>
  <c r="DC24" i="7"/>
  <c r="CZ24" i="7"/>
  <c r="CW24" i="7"/>
  <c r="CT24" i="7"/>
  <c r="CQ24" i="7"/>
  <c r="CN24" i="7"/>
  <c r="CK24" i="7"/>
  <c r="CH24" i="7"/>
  <c r="CE24" i="7"/>
  <c r="CB24" i="7"/>
  <c r="BY24" i="7"/>
  <c r="BV24" i="7"/>
  <c r="BS24" i="7"/>
  <c r="BP24" i="7"/>
  <c r="BM24" i="7"/>
  <c r="BH24" i="7"/>
  <c r="BJ24" i="7" s="1"/>
  <c r="BE24" i="7"/>
  <c r="BG24" i="7" s="1"/>
  <c r="BD24" i="7"/>
  <c r="BB24" i="7"/>
  <c r="AY24" i="7"/>
  <c r="BA24" i="7" s="1"/>
  <c r="AX24" i="7"/>
  <c r="AR24" i="7"/>
  <c r="AO24" i="7"/>
  <c r="AL24" i="7"/>
  <c r="AI24" i="7"/>
  <c r="AF24" i="7"/>
  <c r="AC24" i="7"/>
  <c r="Z24" i="7"/>
  <c r="W24" i="7"/>
  <c r="T24" i="7"/>
  <c r="N24" i="7"/>
  <c r="K24" i="7"/>
  <c r="H24" i="7"/>
  <c r="E24" i="7"/>
  <c r="DX23" i="7"/>
  <c r="DU23" i="7"/>
  <c r="DR23" i="7"/>
  <c r="DO23" i="7"/>
  <c r="DL23" i="7"/>
  <c r="DI23" i="7"/>
  <c r="DF23" i="7"/>
  <c r="DC23" i="7"/>
  <c r="CZ23" i="7"/>
  <c r="CW23" i="7"/>
  <c r="CT23" i="7"/>
  <c r="CQ23" i="7"/>
  <c r="CN23" i="7"/>
  <c r="CK23" i="7"/>
  <c r="CH23" i="7"/>
  <c r="CE23" i="7"/>
  <c r="CB23" i="7"/>
  <c r="BY23" i="7"/>
  <c r="BV23" i="7"/>
  <c r="BS23" i="7"/>
  <c r="BP23" i="7"/>
  <c r="BM23" i="7"/>
  <c r="BJ23" i="7"/>
  <c r="BH23" i="7"/>
  <c r="BB23" i="7"/>
  <c r="BD23" i="7" s="1"/>
  <c r="BA23" i="7"/>
  <c r="AX23" i="7"/>
  <c r="AU23" i="7"/>
  <c r="AR23" i="7"/>
  <c r="AO23" i="7"/>
  <c r="AL23" i="7"/>
  <c r="AI23" i="7"/>
  <c r="AF23" i="7"/>
  <c r="AC23" i="7"/>
  <c r="Z23" i="7"/>
  <c r="W23" i="7"/>
  <c r="T23" i="7"/>
  <c r="Q23" i="7"/>
  <c r="N23" i="7"/>
  <c r="K23" i="7"/>
  <c r="H23" i="7"/>
  <c r="E23" i="7"/>
  <c r="DX22" i="7"/>
  <c r="DU22" i="7"/>
  <c r="DR22" i="7"/>
  <c r="DO22" i="7"/>
  <c r="DL22" i="7"/>
  <c r="DI22" i="7"/>
  <c r="DF22" i="7"/>
  <c r="DC22" i="7"/>
  <c r="CZ22" i="7"/>
  <c r="CW22" i="7"/>
  <c r="CT22" i="7"/>
  <c r="CQ22" i="7"/>
  <c r="CN22" i="7"/>
  <c r="CK22" i="7"/>
  <c r="CH22" i="7"/>
  <c r="CE22" i="7"/>
  <c r="CB22" i="7"/>
  <c r="BY22" i="7"/>
  <c r="BV22" i="7"/>
  <c r="BS22" i="7"/>
  <c r="BO22" i="7"/>
  <c r="BP22" i="7" s="1"/>
  <c r="BL22" i="7"/>
  <c r="BM22" i="7" s="1"/>
  <c r="BJ22" i="7"/>
  <c r="BF22" i="7"/>
  <c r="BG22" i="7" s="1"/>
  <c r="BD22" i="7"/>
  <c r="AZ22" i="7"/>
  <c r="BA22" i="7" s="1"/>
  <c r="AX22" i="7"/>
  <c r="AU22" i="7"/>
  <c r="AR22" i="7"/>
  <c r="AO22" i="7"/>
  <c r="AL22" i="7"/>
  <c r="AI22" i="7"/>
  <c r="AF22" i="7"/>
  <c r="AC22" i="7"/>
  <c r="Z22" i="7"/>
  <c r="W22" i="7"/>
  <c r="T22" i="7"/>
  <c r="Q22" i="7"/>
  <c r="N22" i="7"/>
  <c r="K22" i="7"/>
  <c r="H22" i="7"/>
  <c r="E22" i="7"/>
  <c r="DX21" i="7"/>
  <c r="DU21" i="7"/>
  <c r="DR21" i="7"/>
  <c r="DO21" i="7"/>
  <c r="DL21" i="7"/>
  <c r="DI21" i="7"/>
  <c r="DF21" i="7"/>
  <c r="DC21" i="7"/>
  <c r="CZ21" i="7"/>
  <c r="CW21" i="7"/>
  <c r="CT21" i="7"/>
  <c r="CQ21" i="7"/>
  <c r="CN21" i="7"/>
  <c r="CK21" i="7"/>
  <c r="CH21" i="7"/>
  <c r="CE21" i="7"/>
  <c r="CB21" i="7"/>
  <c r="BY21" i="7"/>
  <c r="BW21" i="7"/>
  <c r="BT21" i="7"/>
  <c r="BV21" i="7" s="1"/>
  <c r="BS21" i="7"/>
  <c r="BP21" i="7"/>
  <c r="BM21" i="7"/>
  <c r="BH21" i="7"/>
  <c r="BJ21" i="7" s="1"/>
  <c r="BE21" i="7"/>
  <c r="BG21" i="7" s="1"/>
  <c r="BB21" i="7"/>
  <c r="BD21" i="7" s="1"/>
  <c r="AY21" i="7"/>
  <c r="BA21" i="7" s="1"/>
  <c r="AX21" i="7"/>
  <c r="AU21" i="7"/>
  <c r="AR21" i="7"/>
  <c r="AO21" i="7"/>
  <c r="AL21" i="7"/>
  <c r="AI21" i="7"/>
  <c r="AF21" i="7"/>
  <c r="AC21" i="7"/>
  <c r="Z21" i="7"/>
  <c r="W21" i="7"/>
  <c r="T21" i="7"/>
  <c r="Q21" i="7"/>
  <c r="N21" i="7"/>
  <c r="K21" i="7"/>
  <c r="H21" i="7"/>
  <c r="E21" i="7"/>
  <c r="DX18" i="7"/>
  <c r="DU18" i="7"/>
  <c r="DR18" i="7"/>
  <c r="DO18" i="7"/>
  <c r="DL18" i="7"/>
  <c r="DI18" i="7"/>
  <c r="DF18" i="7"/>
  <c r="DC18" i="7"/>
  <c r="CX18" i="7"/>
  <c r="CZ18" i="7" s="1"/>
  <c r="CU18" i="7"/>
  <c r="CW18" i="7" s="1"/>
  <c r="CR18" i="7"/>
  <c r="CT18" i="7" s="1"/>
  <c r="CQ18" i="7"/>
  <c r="CN18" i="7"/>
  <c r="CI18" i="7"/>
  <c r="CK18" i="7" s="1"/>
  <c r="CF18" i="7"/>
  <c r="CH18" i="7" s="1"/>
  <c r="CC18" i="7"/>
  <c r="CE18" i="7" s="1"/>
  <c r="BZ18" i="7"/>
  <c r="CB18" i="7" s="1"/>
  <c r="BW18" i="7"/>
  <c r="BY18" i="7" s="1"/>
  <c r="BT18" i="7"/>
  <c r="BV18" i="7" s="1"/>
  <c r="BS18" i="7"/>
  <c r="BP18" i="7"/>
  <c r="BP63" i="7" s="1"/>
  <c r="BK18" i="7"/>
  <c r="BM18" i="7" s="1"/>
  <c r="BM63" i="7" s="1"/>
  <c r="BJ18" i="7"/>
  <c r="BJ63" i="7" s="1"/>
  <c r="BH18" i="7"/>
  <c r="BE18" i="7"/>
  <c r="BG18" i="7" s="1"/>
  <c r="BG63" i="7" s="1"/>
  <c r="BG79" i="7" s="1"/>
  <c r="BB18" i="7"/>
  <c r="BD18" i="7" s="1"/>
  <c r="BD63" i="7" s="1"/>
  <c r="AY18" i="7"/>
  <c r="BA18" i="7" s="1"/>
  <c r="BA63" i="7" s="1"/>
  <c r="BA79" i="7" s="1"/>
  <c r="AX18" i="7"/>
  <c r="AS18" i="7"/>
  <c r="AU18" i="7" s="1"/>
  <c r="AP18" i="7"/>
  <c r="AR18" i="7" s="1"/>
  <c r="AM18" i="7"/>
  <c r="AO18" i="7" s="1"/>
  <c r="AL18" i="7"/>
  <c r="AG18" i="7"/>
  <c r="AI18" i="7" s="1"/>
  <c r="AF18" i="7"/>
  <c r="AC18" i="7"/>
  <c r="AA18" i="7"/>
  <c r="Z18" i="7"/>
  <c r="U18" i="7"/>
  <c r="W18" i="7" s="1"/>
  <c r="T18" i="7"/>
  <c r="O18" i="7"/>
  <c r="Q18" i="7" s="1"/>
  <c r="N18" i="7"/>
  <c r="I18" i="7"/>
  <c r="K18" i="7" s="1"/>
  <c r="H18" i="7"/>
  <c r="E18" i="7"/>
  <c r="DX17" i="7"/>
  <c r="DU17" i="7"/>
  <c r="DR17" i="7"/>
  <c r="DO17" i="7"/>
  <c r="DL17" i="7"/>
  <c r="DI17" i="7"/>
  <c r="DF17" i="7"/>
  <c r="DC17" i="7"/>
  <c r="CZ17" i="7"/>
  <c r="CW17" i="7"/>
  <c r="CT17" i="7"/>
  <c r="CQ17" i="7"/>
  <c r="CN17" i="7"/>
  <c r="CK17" i="7"/>
  <c r="CH17" i="7"/>
  <c r="CC17" i="7"/>
  <c r="CE17" i="7" s="1"/>
  <c r="BZ17" i="7"/>
  <c r="CB17" i="7" s="1"/>
  <c r="BY17" i="7"/>
  <c r="BT17" i="7"/>
  <c r="BV17" i="7" s="1"/>
  <c r="BS17" i="7"/>
  <c r="BP17" i="7"/>
  <c r="BM17" i="7"/>
  <c r="BJ17" i="7"/>
  <c r="BG17" i="7"/>
  <c r="BD17" i="7"/>
  <c r="BA17" i="7"/>
  <c r="AX17" i="7"/>
  <c r="AU17" i="7"/>
  <c r="AR17" i="7"/>
  <c r="AO17" i="7"/>
  <c r="AL17" i="7"/>
  <c r="AG17" i="7"/>
  <c r="AI17" i="7" s="1"/>
  <c r="AF17" i="7"/>
  <c r="AA17" i="7"/>
  <c r="AC17" i="7" s="1"/>
  <c r="Z17" i="7"/>
  <c r="U17" i="7"/>
  <c r="W17" i="7" s="1"/>
  <c r="S17" i="7"/>
  <c r="T17" i="7" s="1"/>
  <c r="O17" i="7"/>
  <c r="Q17" i="7" s="1"/>
  <c r="N17" i="7"/>
  <c r="I17" i="7"/>
  <c r="K17" i="7" s="1"/>
  <c r="H17" i="7"/>
  <c r="C17" i="7"/>
  <c r="E17" i="7" s="1"/>
  <c r="DX16" i="7"/>
  <c r="DU16" i="7"/>
  <c r="DR16" i="7"/>
  <c r="DO16" i="7"/>
  <c r="DL16" i="7"/>
  <c r="DI16" i="7"/>
  <c r="DF16" i="7"/>
  <c r="DC16" i="7"/>
  <c r="CZ16" i="7"/>
  <c r="CW16" i="7"/>
  <c r="CT16" i="7"/>
  <c r="CQ16" i="7"/>
  <c r="CN16" i="7"/>
  <c r="CK16" i="7"/>
  <c r="CH16" i="7"/>
  <c r="CE16" i="7"/>
  <c r="CB16" i="7"/>
  <c r="BY16" i="7"/>
  <c r="BV16" i="7"/>
  <c r="BS16" i="7"/>
  <c r="BP16" i="7"/>
  <c r="BM16" i="7"/>
  <c r="BH16" i="7"/>
  <c r="BJ16" i="7" s="1"/>
  <c r="BE16" i="7"/>
  <c r="BG16" i="7" s="1"/>
  <c r="BD16" i="7"/>
  <c r="BA16" i="7"/>
  <c r="AX16" i="7"/>
  <c r="AU16" i="7"/>
  <c r="AR16" i="7"/>
  <c r="AO16" i="7"/>
  <c r="AL16" i="7"/>
  <c r="AI16" i="7"/>
  <c r="AF16" i="7"/>
  <c r="AC16" i="7"/>
  <c r="Z16" i="7"/>
  <c r="W16" i="7"/>
  <c r="T16" i="7"/>
  <c r="Q16" i="7"/>
  <c r="N16" i="7"/>
  <c r="K16" i="7"/>
  <c r="H16" i="7"/>
  <c r="E16" i="7"/>
  <c r="DX15" i="7"/>
  <c r="DU15" i="7"/>
  <c r="DR15" i="7"/>
  <c r="DO15" i="7"/>
  <c r="DL15" i="7"/>
  <c r="DI15" i="7"/>
  <c r="DF15" i="7"/>
  <c r="DC15" i="7"/>
  <c r="CZ15" i="7"/>
  <c r="CW15" i="7"/>
  <c r="CT15" i="7"/>
  <c r="CQ15" i="7"/>
  <c r="CN15" i="7"/>
  <c r="CK15" i="7"/>
  <c r="CH15" i="7"/>
  <c r="CE15" i="7"/>
  <c r="CB15" i="7"/>
  <c r="BY15" i="7"/>
  <c r="BV15" i="7"/>
  <c r="BS15" i="7"/>
  <c r="BP15" i="7"/>
  <c r="BM15" i="7"/>
  <c r="BJ15" i="7"/>
  <c r="BG15" i="7"/>
  <c r="BD15" i="7"/>
  <c r="BA15" i="7"/>
  <c r="AX15" i="7"/>
  <c r="AU15" i="7"/>
  <c r="AR15" i="7"/>
  <c r="AO15" i="7"/>
  <c r="AL15" i="7"/>
  <c r="AI15" i="7"/>
  <c r="AF15" i="7"/>
  <c r="AC15" i="7"/>
  <c r="Z15" i="7"/>
  <c r="W15" i="7"/>
  <c r="T15" i="7"/>
  <c r="Q15" i="7"/>
  <c r="N15" i="7"/>
  <c r="K15" i="7"/>
  <c r="H15" i="7"/>
  <c r="E15" i="7"/>
  <c r="DX14" i="7"/>
  <c r="DU14" i="7"/>
  <c r="DR14" i="7"/>
  <c r="DO14" i="7"/>
  <c r="DL14" i="7"/>
  <c r="DI14" i="7"/>
  <c r="DF14" i="7"/>
  <c r="DB14" i="7"/>
  <c r="DC14" i="7" s="1"/>
  <c r="CZ14" i="7"/>
  <c r="CW14" i="7"/>
  <c r="CT14" i="7"/>
  <c r="CQ14" i="7"/>
  <c r="CN14" i="7"/>
  <c r="CK14" i="7"/>
  <c r="CH14" i="7"/>
  <c r="CE14" i="7"/>
  <c r="CB14" i="7"/>
  <c r="BY14" i="7"/>
  <c r="BV14" i="7"/>
  <c r="BS14" i="7"/>
  <c r="BP14" i="7"/>
  <c r="BM14" i="7"/>
  <c r="BH14" i="7"/>
  <c r="BJ14" i="7" s="1"/>
  <c r="BG14" i="7"/>
  <c r="BB14" i="7"/>
  <c r="BD14" i="7" s="1"/>
  <c r="BA14" i="7"/>
  <c r="AX14" i="7"/>
  <c r="AU14" i="7"/>
  <c r="AR14" i="7"/>
  <c r="AO14" i="7"/>
  <c r="AL14" i="7"/>
  <c r="AI14" i="7"/>
  <c r="AF14" i="7"/>
  <c r="AC14" i="7"/>
  <c r="Y14" i="7"/>
  <c r="Z14" i="7" s="1"/>
  <c r="W14" i="7"/>
  <c r="S14" i="7"/>
  <c r="T14" i="7" s="1"/>
  <c r="Q14" i="7"/>
  <c r="N14" i="7"/>
  <c r="K14" i="7"/>
  <c r="H14" i="7"/>
  <c r="DX13" i="7"/>
  <c r="DU13" i="7"/>
  <c r="DR13" i="7"/>
  <c r="DO13" i="7"/>
  <c r="DL13" i="7"/>
  <c r="DI13" i="7"/>
  <c r="DF13" i="7"/>
  <c r="DC13" i="7"/>
  <c r="CZ13" i="7"/>
  <c r="CW13" i="7"/>
  <c r="CT13" i="7"/>
  <c r="CQ13" i="7"/>
  <c r="CN13" i="7"/>
  <c r="CK13" i="7"/>
  <c r="CH13" i="7"/>
  <c r="CE13" i="7"/>
  <c r="CB13" i="7"/>
  <c r="BY13" i="7"/>
  <c r="BV13" i="7"/>
  <c r="BS13" i="7"/>
  <c r="BP13" i="7"/>
  <c r="BM13" i="7"/>
  <c r="BI13" i="7"/>
  <c r="BH13" i="7"/>
  <c r="BG13" i="7"/>
  <c r="BC13" i="7"/>
  <c r="BB13" i="7"/>
  <c r="BA13" i="7"/>
  <c r="AX13" i="7"/>
  <c r="AU13" i="7"/>
  <c r="AR13" i="7"/>
  <c r="AO13" i="7"/>
  <c r="AL13" i="7"/>
  <c r="AI13" i="7"/>
  <c r="AF13" i="7"/>
  <c r="AC13" i="7"/>
  <c r="Z13" i="7"/>
  <c r="W13" i="7"/>
  <c r="T13" i="7"/>
  <c r="Q13" i="7"/>
  <c r="N13" i="7"/>
  <c r="K13" i="7"/>
  <c r="H13" i="7"/>
  <c r="E13" i="7"/>
  <c r="DX12" i="7"/>
  <c r="DU12" i="7"/>
  <c r="DR12" i="7"/>
  <c r="DO12" i="7"/>
  <c r="DL12" i="7"/>
  <c r="DI12" i="7"/>
  <c r="DF12" i="7"/>
  <c r="DC12" i="7"/>
  <c r="CZ12" i="7"/>
  <c r="CW12" i="7"/>
  <c r="CT12" i="7"/>
  <c r="CP12" i="7"/>
  <c r="CQ12" i="7" s="1"/>
  <c r="CN12" i="7"/>
  <c r="CK12" i="7"/>
  <c r="CH12" i="7"/>
  <c r="CE12" i="7"/>
  <c r="CB12" i="7"/>
  <c r="BY12" i="7"/>
  <c r="BV12" i="7"/>
  <c r="BS12" i="7"/>
  <c r="BP12" i="7"/>
  <c r="BM12" i="7"/>
  <c r="BI12" i="7"/>
  <c r="BH12" i="7"/>
  <c r="BF12" i="7"/>
  <c r="BE12" i="7"/>
  <c r="BC12" i="7"/>
  <c r="BB12" i="7"/>
  <c r="AZ12" i="7"/>
  <c r="BA12" i="7" s="1"/>
  <c r="AY12" i="7"/>
  <c r="AX12" i="7"/>
  <c r="AU12" i="7"/>
  <c r="AR12" i="7"/>
  <c r="AO12" i="7"/>
  <c r="AL12" i="7"/>
  <c r="AI12" i="7"/>
  <c r="AF12" i="7"/>
  <c r="AC12" i="7"/>
  <c r="Z12" i="7"/>
  <c r="W12" i="7"/>
  <c r="T12" i="7"/>
  <c r="Q12" i="7"/>
  <c r="N12" i="7"/>
  <c r="K12" i="7"/>
  <c r="H12" i="7"/>
  <c r="H19" i="7" s="1"/>
  <c r="E12" i="7"/>
  <c r="DX9" i="7"/>
  <c r="DU9" i="7"/>
  <c r="DR9" i="7"/>
  <c r="DO9" i="7"/>
  <c r="DL9" i="7"/>
  <c r="DI9" i="7"/>
  <c r="DF9" i="7"/>
  <c r="BS9" i="7"/>
  <c r="BP9" i="7"/>
  <c r="BM9" i="7"/>
  <c r="BD9" i="7"/>
  <c r="BA9" i="7"/>
  <c r="DX8" i="7"/>
  <c r="DU8" i="7"/>
  <c r="DR8" i="7"/>
  <c r="DO8" i="7"/>
  <c r="DL8" i="7"/>
  <c r="DI8" i="7"/>
  <c r="DF8" i="7"/>
  <c r="DC8" i="7"/>
  <c r="CZ8" i="7"/>
  <c r="CW8" i="7"/>
  <c r="CT8" i="7"/>
  <c r="CQ8" i="7"/>
  <c r="CN8" i="7"/>
  <c r="CK8" i="7"/>
  <c r="CH8" i="7"/>
  <c r="CE8" i="7"/>
  <c r="CB8" i="7"/>
  <c r="BY8" i="7"/>
  <c r="BV8" i="7"/>
  <c r="BS8" i="7"/>
  <c r="BP8" i="7"/>
  <c r="BM8" i="7"/>
  <c r="BH8" i="7"/>
  <c r="BJ8" i="7" s="1"/>
  <c r="BE8" i="7"/>
  <c r="BG8" i="7" s="1"/>
  <c r="BD8" i="7"/>
  <c r="BA8" i="7"/>
  <c r="AX8" i="7"/>
  <c r="AU8" i="7"/>
  <c r="AR8" i="7"/>
  <c r="AO8" i="7"/>
  <c r="AL8" i="7"/>
  <c r="AI8" i="7"/>
  <c r="AF8" i="7"/>
  <c r="AC8" i="7"/>
  <c r="Z8" i="7"/>
  <c r="W8" i="7"/>
  <c r="T8" i="7"/>
  <c r="Q8" i="7"/>
  <c r="N8" i="7"/>
  <c r="K8" i="7"/>
  <c r="H8" i="7"/>
  <c r="E8" i="7"/>
  <c r="DX7" i="7"/>
  <c r="DU7" i="7"/>
  <c r="DR7" i="7"/>
  <c r="DO7" i="7"/>
  <c r="DL7" i="7"/>
  <c r="DI7" i="7"/>
  <c r="DF7" i="7"/>
  <c r="DC7" i="7"/>
  <c r="CZ7" i="7"/>
  <c r="CW7" i="7"/>
  <c r="CT7" i="7"/>
  <c r="CQ7" i="7"/>
  <c r="CN7" i="7"/>
  <c r="CK7" i="7"/>
  <c r="CH7" i="7"/>
  <c r="CE7" i="7"/>
  <c r="CB7" i="7"/>
  <c r="BY7" i="7"/>
  <c r="BV7" i="7"/>
  <c r="BS7" i="7"/>
  <c r="BP7" i="7"/>
  <c r="BM7" i="7"/>
  <c r="BJ7" i="7"/>
  <c r="BG7" i="7"/>
  <c r="BD7" i="7"/>
  <c r="BA7" i="7"/>
  <c r="AW7" i="7"/>
  <c r="AX7" i="7" s="1"/>
  <c r="AV7" i="7"/>
  <c r="AU7" i="7"/>
  <c r="AR7" i="7"/>
  <c r="AO7" i="7"/>
  <c r="AK7" i="7"/>
  <c r="AL7" i="7" s="1"/>
  <c r="AJ7" i="7"/>
  <c r="AI7" i="7"/>
  <c r="AE7" i="7"/>
  <c r="AD7" i="7"/>
  <c r="AC7" i="7"/>
  <c r="Y7" i="7"/>
  <c r="Z7" i="7" s="1"/>
  <c r="X7" i="7"/>
  <c r="W7" i="7"/>
  <c r="S7" i="7"/>
  <c r="R7" i="7"/>
  <c r="Q7" i="7"/>
  <c r="N7" i="7"/>
  <c r="K7" i="7"/>
  <c r="H7" i="7"/>
  <c r="E7" i="7"/>
  <c r="DX6" i="7"/>
  <c r="DU6" i="7"/>
  <c r="DR6" i="7"/>
  <c r="DO6" i="7"/>
  <c r="DL6" i="7"/>
  <c r="DI6" i="7"/>
  <c r="DF6" i="7"/>
  <c r="DC6" i="7"/>
  <c r="CZ6" i="7"/>
  <c r="CW6" i="7"/>
  <c r="CT6" i="7"/>
  <c r="CQ6" i="7"/>
  <c r="CN6" i="7"/>
  <c r="CK6" i="7"/>
  <c r="CH6" i="7"/>
  <c r="CE6" i="7"/>
  <c r="CB6" i="7"/>
  <c r="BY6" i="7"/>
  <c r="BV6" i="7"/>
  <c r="BS6" i="7"/>
  <c r="BO6" i="7"/>
  <c r="BN6" i="7"/>
  <c r="BN41" i="7" s="1"/>
  <c r="BP41" i="7" s="1"/>
  <c r="BL6" i="7"/>
  <c r="BM6" i="7" s="1"/>
  <c r="BK6" i="7"/>
  <c r="BJ6" i="7"/>
  <c r="BG6" i="7"/>
  <c r="BB6" i="7"/>
  <c r="BD6" i="7" s="1"/>
  <c r="AY6" i="7"/>
  <c r="AY43" i="7" s="1"/>
  <c r="BA43" i="7" s="1"/>
  <c r="AX6" i="7"/>
  <c r="AU6" i="7"/>
  <c r="AR6" i="7"/>
  <c r="AO6" i="7"/>
  <c r="AL6" i="7"/>
  <c r="AI6" i="7"/>
  <c r="AF6" i="7"/>
  <c r="AC6" i="7"/>
  <c r="Z6" i="7"/>
  <c r="W6" i="7"/>
  <c r="T6" i="7"/>
  <c r="Q6" i="7"/>
  <c r="N6" i="7"/>
  <c r="K6" i="7"/>
  <c r="H6" i="7"/>
  <c r="E6" i="7"/>
  <c r="DX5" i="7"/>
  <c r="DU5" i="7"/>
  <c r="DR5" i="7"/>
  <c r="DO5" i="7"/>
  <c r="DL5" i="7"/>
  <c r="DI5" i="7"/>
  <c r="DF5" i="7"/>
  <c r="DC5" i="7"/>
  <c r="CZ5" i="7"/>
  <c r="CW5" i="7"/>
  <c r="CT5" i="7"/>
  <c r="CS9" i="7" s="1"/>
  <c r="CT9" i="7" s="1"/>
  <c r="CO5" i="7"/>
  <c r="CO40" i="7" s="1"/>
  <c r="CQ40" i="7" s="1"/>
  <c r="CN5" i="7"/>
  <c r="CL5" i="7"/>
  <c r="CK5" i="7"/>
  <c r="CH5" i="7"/>
  <c r="CE5" i="7"/>
  <c r="CB5" i="7"/>
  <c r="BY5" i="7"/>
  <c r="BX9" i="7" s="1"/>
  <c r="BY9" i="7" s="1"/>
  <c r="BV5" i="7"/>
  <c r="BS5" i="7"/>
  <c r="BP5" i="7"/>
  <c r="BM5" i="7"/>
  <c r="BM10" i="7" s="1"/>
  <c r="BH5" i="7"/>
  <c r="BH48" i="7" s="1"/>
  <c r="BJ48" i="7" s="1"/>
  <c r="BG5" i="7"/>
  <c r="BE5" i="7"/>
  <c r="BE48" i="7" s="1"/>
  <c r="BG48" i="7" s="1"/>
  <c r="BD5" i="7"/>
  <c r="BA5" i="7"/>
  <c r="AX5" i="7"/>
  <c r="AU5" i="7"/>
  <c r="AR5" i="7"/>
  <c r="AO5" i="7"/>
  <c r="AL5" i="7"/>
  <c r="AI5" i="7"/>
  <c r="AF5" i="7"/>
  <c r="AC5" i="7"/>
  <c r="Z5" i="7"/>
  <c r="W5" i="7"/>
  <c r="T5" i="7"/>
  <c r="Q5" i="7"/>
  <c r="N5" i="7"/>
  <c r="K5" i="7"/>
  <c r="H5" i="7"/>
  <c r="E5" i="7"/>
  <c r="DS3" i="7"/>
  <c r="DP3" i="7"/>
  <c r="DM3" i="7"/>
  <c r="DJ3" i="7"/>
  <c r="DG3" i="7"/>
  <c r="DD3" i="7"/>
  <c r="DU1" i="7"/>
  <c r="DT1" i="7"/>
  <c r="DS1" i="7"/>
  <c r="DR1" i="7"/>
  <c r="DQ1" i="7"/>
  <c r="DP1" i="7"/>
  <c r="DO1" i="7"/>
  <c r="DN1" i="7"/>
  <c r="DM1" i="7"/>
  <c r="DL1" i="7"/>
  <c r="DK1" i="7"/>
  <c r="DJ1" i="7"/>
  <c r="DI1" i="7"/>
  <c r="DH1" i="7"/>
  <c r="DG1" i="7"/>
  <c r="DF1" i="7"/>
  <c r="DE1" i="7"/>
  <c r="DD1" i="7"/>
  <c r="H380" i="10"/>
  <c r="J380" i="10" s="1"/>
  <c r="L380" i="10" s="1"/>
  <c r="N380" i="10" s="1"/>
  <c r="I379" i="10"/>
  <c r="K379" i="10" s="1"/>
  <c r="M379" i="10" s="1"/>
  <c r="O379" i="10" s="1"/>
  <c r="Q379" i="10" s="1"/>
  <c r="I377" i="10"/>
  <c r="K377" i="10" s="1"/>
  <c r="M377" i="10" s="1"/>
  <c r="O377" i="10" s="1"/>
  <c r="Q377" i="10" s="1"/>
  <c r="I376" i="10"/>
  <c r="K376" i="10" s="1"/>
  <c r="I382" i="10"/>
  <c r="K382" i="10" s="1"/>
  <c r="M382" i="10" s="1"/>
  <c r="O382" i="10" s="1"/>
  <c r="Q382" i="10" s="1"/>
  <c r="I396" i="10"/>
  <c r="K396" i="10" s="1"/>
  <c r="M396" i="10" s="1"/>
  <c r="O396" i="10" s="1"/>
  <c r="Q396" i="10" s="1"/>
  <c r="I393" i="10"/>
  <c r="K393" i="10" s="1"/>
  <c r="M393" i="10" s="1"/>
  <c r="O393" i="10" s="1"/>
  <c r="Q393" i="10" s="1"/>
  <c r="Q372" i="10"/>
  <c r="Q371" i="10"/>
  <c r="Q370" i="10"/>
  <c r="Q369" i="10"/>
  <c r="O372" i="10"/>
  <c r="O371" i="10"/>
  <c r="O370" i="10"/>
  <c r="O369" i="10"/>
  <c r="M372" i="10"/>
  <c r="M371" i="10"/>
  <c r="M370" i="10"/>
  <c r="M369" i="10"/>
  <c r="K372" i="10"/>
  <c r="K371" i="10"/>
  <c r="K370" i="10"/>
  <c r="K369" i="10"/>
  <c r="I372" i="10"/>
  <c r="I371" i="10"/>
  <c r="I370" i="10"/>
  <c r="I369" i="10"/>
  <c r="I368" i="10"/>
  <c r="J375" i="10"/>
  <c r="L375" i="10" s="1"/>
  <c r="N375" i="10" s="1"/>
  <c r="P375" i="10" s="1"/>
  <c r="H375" i="10"/>
  <c r="I375" i="10" s="1"/>
  <c r="K27" i="10"/>
  <c r="M27" i="10" s="1"/>
  <c r="M368" i="10" s="1"/>
  <c r="Q258" i="23"/>
  <c r="Q256" i="23"/>
  <c r="Q252" i="23"/>
  <c r="Q250" i="23"/>
  <c r="Q242" i="23"/>
  <c r="Q216" i="23"/>
  <c r="Q208" i="23"/>
  <c r="Q77" i="23"/>
  <c r="Q76" i="23"/>
  <c r="O258" i="23"/>
  <c r="O256" i="23"/>
  <c r="O252" i="23"/>
  <c r="O250" i="23"/>
  <c r="O242" i="23"/>
  <c r="O216" i="23"/>
  <c r="O208" i="23"/>
  <c r="O77" i="23"/>
  <c r="O76" i="23"/>
  <c r="M258" i="23"/>
  <c r="M256" i="23"/>
  <c r="M252" i="23"/>
  <c r="M250" i="23"/>
  <c r="M242" i="23"/>
  <c r="M216" i="23"/>
  <c r="M208" i="23"/>
  <c r="M77" i="23"/>
  <c r="M76" i="23"/>
  <c r="K258" i="23"/>
  <c r="K256" i="23"/>
  <c r="K252" i="23"/>
  <c r="K250" i="23"/>
  <c r="K242" i="23"/>
  <c r="K216" i="23"/>
  <c r="K208" i="23"/>
  <c r="K77" i="23"/>
  <c r="K76" i="23"/>
  <c r="I300" i="23"/>
  <c r="K300" i="23" s="1"/>
  <c r="M300" i="23" s="1"/>
  <c r="O300" i="23" s="1"/>
  <c r="Q300" i="23" s="1"/>
  <c r="I270" i="23"/>
  <c r="K270" i="23" s="1"/>
  <c r="M270" i="23" s="1"/>
  <c r="O270" i="23" s="1"/>
  <c r="Q270" i="23" s="1"/>
  <c r="I269" i="23"/>
  <c r="K269" i="23" s="1"/>
  <c r="M269" i="23" s="1"/>
  <c r="O269" i="23" s="1"/>
  <c r="Q269" i="23" s="1"/>
  <c r="I267" i="23"/>
  <c r="K267" i="23" s="1"/>
  <c r="M267" i="23" s="1"/>
  <c r="O267" i="23" s="1"/>
  <c r="Q267" i="23" s="1"/>
  <c r="I264" i="23"/>
  <c r="I263" i="23"/>
  <c r="K263" i="23" s="1"/>
  <c r="I258" i="23"/>
  <c r="I256" i="23"/>
  <c r="I252" i="23"/>
  <c r="I250" i="23"/>
  <c r="I245" i="23"/>
  <c r="K245" i="23" s="1"/>
  <c r="M245" i="23" s="1"/>
  <c r="O245" i="23" s="1"/>
  <c r="Q245" i="23" s="1"/>
  <c r="I243" i="23"/>
  <c r="K243" i="23" s="1"/>
  <c r="M243" i="23" s="1"/>
  <c r="O243" i="23" s="1"/>
  <c r="Q243" i="23" s="1"/>
  <c r="I242" i="23"/>
  <c r="I216" i="23"/>
  <c r="I208" i="23"/>
  <c r="I166" i="23"/>
  <c r="K166" i="23" s="1"/>
  <c r="M166" i="23" s="1"/>
  <c r="O166" i="23" s="1"/>
  <c r="Q166" i="23" s="1"/>
  <c r="I163" i="23"/>
  <c r="K163" i="23" s="1"/>
  <c r="M163" i="23" s="1"/>
  <c r="O163" i="23" s="1"/>
  <c r="Q163" i="23" s="1"/>
  <c r="I161" i="23"/>
  <c r="K161" i="23" s="1"/>
  <c r="M161" i="23" s="1"/>
  <c r="O161" i="23" s="1"/>
  <c r="Q161" i="23" s="1"/>
  <c r="I160" i="23"/>
  <c r="K160" i="23" s="1"/>
  <c r="M160" i="23" s="1"/>
  <c r="O160" i="23" s="1"/>
  <c r="Q160" i="23" s="1"/>
  <c r="I149" i="23"/>
  <c r="K149" i="23" s="1"/>
  <c r="M149" i="23" s="1"/>
  <c r="O149" i="23" s="1"/>
  <c r="Q149" i="23" s="1"/>
  <c r="I148" i="23"/>
  <c r="K148" i="23" s="1"/>
  <c r="M148" i="23" s="1"/>
  <c r="O148" i="23" s="1"/>
  <c r="Q148" i="23" s="1"/>
  <c r="I146" i="23"/>
  <c r="K146" i="23" s="1"/>
  <c r="M146" i="23" s="1"/>
  <c r="O146" i="23" s="1"/>
  <c r="Q146" i="23" s="1"/>
  <c r="I144" i="23"/>
  <c r="K144" i="23" s="1"/>
  <c r="M144" i="23" s="1"/>
  <c r="O144" i="23" s="1"/>
  <c r="Q144" i="23" s="1"/>
  <c r="I142" i="23"/>
  <c r="K142" i="23" s="1"/>
  <c r="M142" i="23" s="1"/>
  <c r="O142" i="23" s="1"/>
  <c r="Q142" i="23" s="1"/>
  <c r="I140" i="23"/>
  <c r="K140" i="23" s="1"/>
  <c r="M140" i="23" s="1"/>
  <c r="O140" i="23" s="1"/>
  <c r="Q140" i="23" s="1"/>
  <c r="I137" i="23"/>
  <c r="K137" i="23" s="1"/>
  <c r="M137" i="23" s="1"/>
  <c r="O137" i="23" s="1"/>
  <c r="Q137" i="23" s="1"/>
  <c r="I136" i="23"/>
  <c r="K136" i="23" s="1"/>
  <c r="M136" i="23" s="1"/>
  <c r="O136" i="23" s="1"/>
  <c r="Q136" i="23" s="1"/>
  <c r="I135" i="23"/>
  <c r="K135" i="23" s="1"/>
  <c r="M135" i="23" s="1"/>
  <c r="O135" i="23" s="1"/>
  <c r="Q135" i="23" s="1"/>
  <c r="I134" i="23"/>
  <c r="K134" i="23" s="1"/>
  <c r="M134" i="23" s="1"/>
  <c r="O134" i="23" s="1"/>
  <c r="Q134" i="23" s="1"/>
  <c r="I133" i="23"/>
  <c r="K133" i="23" s="1"/>
  <c r="M133" i="23" s="1"/>
  <c r="O133" i="23" s="1"/>
  <c r="Q133" i="23" s="1"/>
  <c r="I132" i="23"/>
  <c r="K132" i="23" s="1"/>
  <c r="M132" i="23" s="1"/>
  <c r="O132" i="23" s="1"/>
  <c r="Q132" i="23" s="1"/>
  <c r="I131" i="23"/>
  <c r="K131" i="23" s="1"/>
  <c r="M131" i="23" s="1"/>
  <c r="O131" i="23" s="1"/>
  <c r="Q131" i="23" s="1"/>
  <c r="I130" i="23"/>
  <c r="K130" i="23" s="1"/>
  <c r="M130" i="23" s="1"/>
  <c r="O130" i="23" s="1"/>
  <c r="Q130" i="23" s="1"/>
  <c r="I129" i="23"/>
  <c r="K129" i="23" s="1"/>
  <c r="M129" i="23" s="1"/>
  <c r="O129" i="23" s="1"/>
  <c r="Q129" i="23" s="1"/>
  <c r="I128" i="23"/>
  <c r="K128" i="23" s="1"/>
  <c r="M128" i="23" s="1"/>
  <c r="O128" i="23" s="1"/>
  <c r="Q128" i="23" s="1"/>
  <c r="I127" i="23"/>
  <c r="K127" i="23" s="1"/>
  <c r="M127" i="23" s="1"/>
  <c r="O127" i="23" s="1"/>
  <c r="Q127" i="23" s="1"/>
  <c r="I126" i="23"/>
  <c r="K126" i="23" s="1"/>
  <c r="M126" i="23" s="1"/>
  <c r="O126" i="23" s="1"/>
  <c r="Q126" i="23" s="1"/>
  <c r="I125" i="23"/>
  <c r="K125" i="23" s="1"/>
  <c r="M125" i="23" s="1"/>
  <c r="O125" i="23" s="1"/>
  <c r="Q125" i="23" s="1"/>
  <c r="I124" i="23"/>
  <c r="K124" i="23" s="1"/>
  <c r="M124" i="23" s="1"/>
  <c r="O124" i="23" s="1"/>
  <c r="Q124" i="23" s="1"/>
  <c r="I123" i="23"/>
  <c r="K123" i="23" s="1"/>
  <c r="M123" i="23" s="1"/>
  <c r="O123" i="23" s="1"/>
  <c r="Q123" i="23" s="1"/>
  <c r="I122" i="23"/>
  <c r="K122" i="23" s="1"/>
  <c r="M122" i="23" s="1"/>
  <c r="O122" i="23" s="1"/>
  <c r="Q122" i="23" s="1"/>
  <c r="I121" i="23"/>
  <c r="K121" i="23" s="1"/>
  <c r="M121" i="23" s="1"/>
  <c r="O121" i="23" s="1"/>
  <c r="Q121" i="23" s="1"/>
  <c r="I120" i="23"/>
  <c r="K120" i="23" s="1"/>
  <c r="M120" i="23" s="1"/>
  <c r="O120" i="23" s="1"/>
  <c r="Q120" i="23" s="1"/>
  <c r="I109" i="23"/>
  <c r="K109" i="23" s="1"/>
  <c r="M109" i="23" s="1"/>
  <c r="O109" i="23" s="1"/>
  <c r="Q109" i="23" s="1"/>
  <c r="I108" i="23"/>
  <c r="K108" i="23" s="1"/>
  <c r="M108" i="23" s="1"/>
  <c r="O108" i="23" s="1"/>
  <c r="Q108" i="23" s="1"/>
  <c r="I105" i="23"/>
  <c r="K105" i="23" s="1"/>
  <c r="M105" i="23" s="1"/>
  <c r="O105" i="23" s="1"/>
  <c r="Q105" i="23" s="1"/>
  <c r="I104" i="23"/>
  <c r="K104" i="23" s="1"/>
  <c r="M104" i="23" s="1"/>
  <c r="O104" i="23" s="1"/>
  <c r="Q104" i="23" s="1"/>
  <c r="I98" i="23"/>
  <c r="K98" i="23" s="1"/>
  <c r="M98" i="23" s="1"/>
  <c r="O98" i="23" s="1"/>
  <c r="Q98" i="23" s="1"/>
  <c r="I96" i="23"/>
  <c r="K96" i="23" s="1"/>
  <c r="M96" i="23" s="1"/>
  <c r="O96" i="23" s="1"/>
  <c r="Q96" i="23" s="1"/>
  <c r="I93" i="23"/>
  <c r="K93" i="23" s="1"/>
  <c r="M93" i="23" s="1"/>
  <c r="O93" i="23" s="1"/>
  <c r="Q93" i="23" s="1"/>
  <c r="I77" i="23"/>
  <c r="I76" i="23"/>
  <c r="I75" i="23"/>
  <c r="K75" i="23" s="1"/>
  <c r="M75" i="23" s="1"/>
  <c r="O75" i="23" s="1"/>
  <c r="Q75" i="23" s="1"/>
  <c r="I73" i="23"/>
  <c r="K73" i="23" s="1"/>
  <c r="M73" i="23" s="1"/>
  <c r="O73" i="23" s="1"/>
  <c r="Q73" i="23" s="1"/>
  <c r="I69" i="23"/>
  <c r="K69" i="23" s="1"/>
  <c r="M69" i="23" s="1"/>
  <c r="I65" i="23"/>
  <c r="K65" i="23" s="1"/>
  <c r="M65" i="23" s="1"/>
  <c r="O65" i="23" s="1"/>
  <c r="Q65" i="23" s="1"/>
  <c r="I58" i="23"/>
  <c r="K58" i="23" s="1"/>
  <c r="M58" i="23" s="1"/>
  <c r="O58" i="23" s="1"/>
  <c r="Q58" i="23" s="1"/>
  <c r="I56" i="23"/>
  <c r="K56" i="23" s="1"/>
  <c r="M56" i="23" s="1"/>
  <c r="O56" i="23" s="1"/>
  <c r="Q56" i="23" s="1"/>
  <c r="I53" i="23"/>
  <c r="K53" i="23" s="1"/>
  <c r="M53" i="23" s="1"/>
  <c r="O53" i="23" s="1"/>
  <c r="Q53" i="23" s="1"/>
  <c r="I52" i="23"/>
  <c r="K52" i="23" s="1"/>
  <c r="M52" i="23" s="1"/>
  <c r="O52" i="23" s="1"/>
  <c r="Q52" i="23" s="1"/>
  <c r="I33" i="23"/>
  <c r="K33" i="23" s="1"/>
  <c r="M33" i="23" s="1"/>
  <c r="O33" i="23" s="1"/>
  <c r="Q33" i="23" s="1"/>
  <c r="I32" i="23"/>
  <c r="K32" i="23" s="1"/>
  <c r="M32" i="23" s="1"/>
  <c r="O32" i="23" s="1"/>
  <c r="Q32" i="23" s="1"/>
  <c r="I31" i="23"/>
  <c r="K31" i="23" s="1"/>
  <c r="M31" i="23" s="1"/>
  <c r="O31" i="23" s="1"/>
  <c r="Q31" i="23" s="1"/>
  <c r="I29" i="23"/>
  <c r="K29" i="23" s="1"/>
  <c r="M29" i="23" s="1"/>
  <c r="O29" i="23" s="1"/>
  <c r="Q29" i="23" s="1"/>
  <c r="I28" i="23"/>
  <c r="K28" i="23" s="1"/>
  <c r="M28" i="23" s="1"/>
  <c r="I27" i="23"/>
  <c r="I262" i="23" s="1"/>
  <c r="I26" i="23"/>
  <c r="I94" i="23" s="1"/>
  <c r="I25" i="23"/>
  <c r="K25" i="23" s="1"/>
  <c r="I24" i="23"/>
  <c r="K24" i="23" s="1"/>
  <c r="M24" i="23" s="1"/>
  <c r="O24" i="23" s="1"/>
  <c r="Q24" i="23" s="1"/>
  <c r="BJ12" i="7" l="1"/>
  <c r="BS33" i="7"/>
  <c r="BS46" i="7"/>
  <c r="I167" i="23"/>
  <c r="BD13" i="7"/>
  <c r="BJ32" i="7"/>
  <c r="AY42" i="7"/>
  <c r="BA42" i="7" s="1"/>
  <c r="CE42" i="7"/>
  <c r="CE46" i="7" s="1"/>
  <c r="K368" i="10"/>
  <c r="V9" i="7"/>
  <c r="W9" i="7" s="1"/>
  <c r="AT9" i="7"/>
  <c r="AU9" i="7" s="1"/>
  <c r="CA9" i="7"/>
  <c r="CB9" i="7" s="1"/>
  <c r="CB10" i="7" s="1"/>
  <c r="CV9" i="7"/>
  <c r="CW9" i="7" s="1"/>
  <c r="DU10" i="7"/>
  <c r="N19" i="7"/>
  <c r="AL19" i="7"/>
  <c r="BV38" i="7"/>
  <c r="DO38" i="7"/>
  <c r="DF46" i="7"/>
  <c r="K26" i="23"/>
  <c r="I164" i="23"/>
  <c r="CD9" i="7"/>
  <c r="CE9" i="7" s="1"/>
  <c r="CM9" i="7"/>
  <c r="CN9" i="7" s="1"/>
  <c r="CN10" i="7" s="1"/>
  <c r="CY9" i="7"/>
  <c r="CZ9" i="7" s="1"/>
  <c r="CZ10" i="7" s="1"/>
  <c r="DX10" i="7"/>
  <c r="DL10" i="7"/>
  <c r="BG12" i="7"/>
  <c r="CH19" i="7"/>
  <c r="DF19" i="7"/>
  <c r="BJ79" i="7"/>
  <c r="E38" i="7"/>
  <c r="AC38" i="7"/>
  <c r="H46" i="7"/>
  <c r="I165" i="23"/>
  <c r="BU9" i="7"/>
  <c r="BV9" i="7" s="1"/>
  <c r="AF19" i="7"/>
  <c r="DI19" i="7"/>
  <c r="BM79" i="7"/>
  <c r="AF46" i="7"/>
  <c r="CZ46" i="7"/>
  <c r="DX46" i="7"/>
  <c r="M79" i="23"/>
  <c r="O69" i="23"/>
  <c r="K162" i="23"/>
  <c r="K164" i="23"/>
  <c r="M25" i="23"/>
  <c r="K167" i="23"/>
  <c r="K165" i="23"/>
  <c r="BS38" i="7"/>
  <c r="CN38" i="7"/>
  <c r="DL38" i="7"/>
  <c r="DU46" i="7"/>
  <c r="AQ9" i="7"/>
  <c r="AR9" i="7" s="1"/>
  <c r="AR10" i="7" s="1"/>
  <c r="BJ5" i="7"/>
  <c r="BI9" i="7" s="1"/>
  <c r="BJ9" i="7" s="1"/>
  <c r="DF10" i="7"/>
  <c r="BD12" i="7"/>
  <c r="BD19" i="7" s="1"/>
  <c r="BP19" i="7"/>
  <c r="CN19" i="7"/>
  <c r="DL19" i="7"/>
  <c r="H38" i="7"/>
  <c r="F52" i="7" s="1"/>
  <c r="H52" i="7" s="1"/>
  <c r="H54" i="7" s="1"/>
  <c r="H55" i="7" s="1"/>
  <c r="BD38" i="7"/>
  <c r="AU46" i="7"/>
  <c r="DC46" i="7"/>
  <c r="BS54" i="7"/>
  <c r="U79" i="7"/>
  <c r="K19" i="7"/>
  <c r="BP6" i="7"/>
  <c r="BP10" i="7" s="1"/>
  <c r="BS19" i="7"/>
  <c r="BS55" i="7" s="1"/>
  <c r="I79" i="23"/>
  <c r="O27" i="10"/>
  <c r="Y9" i="7"/>
  <c r="Z9" i="7" s="1"/>
  <c r="DI10" i="7"/>
  <c r="AF7" i="7"/>
  <c r="AE9" i="7" s="1"/>
  <c r="AF9" i="7" s="1"/>
  <c r="AF10" i="7" s="1"/>
  <c r="AO19" i="7"/>
  <c r="BG19" i="7"/>
  <c r="BV19" i="7"/>
  <c r="CT19" i="7"/>
  <c r="DR19" i="7"/>
  <c r="BJ13" i="7"/>
  <c r="BD79" i="7"/>
  <c r="N38" i="7"/>
  <c r="AL38" i="7"/>
  <c r="CB38" i="7"/>
  <c r="CZ38" i="7"/>
  <c r="DX38" i="7"/>
  <c r="W46" i="7"/>
  <c r="CB42" i="7"/>
  <c r="CB46" i="7" s="1"/>
  <c r="DO19" i="7"/>
  <c r="BS10" i="7"/>
  <c r="T7" i="7"/>
  <c r="S9" i="7" s="1"/>
  <c r="T9" i="7" s="1"/>
  <c r="T10" i="7" s="1"/>
  <c r="AR19" i="7"/>
  <c r="DU19" i="7"/>
  <c r="BM19" i="7"/>
  <c r="CK19" i="7"/>
  <c r="BJ38" i="7"/>
  <c r="CE38" i="7"/>
  <c r="DC38" i="7"/>
  <c r="CQ38" i="7"/>
  <c r="AF38" i="7"/>
  <c r="K46" i="7"/>
  <c r="BG46" i="7"/>
  <c r="I162" i="23"/>
  <c r="K79" i="23"/>
  <c r="G9" i="7"/>
  <c r="H9" i="7" s="1"/>
  <c r="H10" i="7" s="1"/>
  <c r="BD10" i="7"/>
  <c r="DO10" i="7"/>
  <c r="W19" i="7"/>
  <c r="AU19" i="7"/>
  <c r="CB19" i="7"/>
  <c r="CZ19" i="7"/>
  <c r="DX19" i="7"/>
  <c r="T38" i="7"/>
  <c r="AR38" i="7"/>
  <c r="CJ9" i="7"/>
  <c r="CK9" i="7" s="1"/>
  <c r="CK10" i="7" s="1"/>
  <c r="CQ19" i="7"/>
  <c r="J9" i="7"/>
  <c r="K9" i="7" s="1"/>
  <c r="AH9" i="7"/>
  <c r="AI9" i="7" s="1"/>
  <c r="BY10" i="7"/>
  <c r="DR10" i="7"/>
  <c r="Z19" i="7"/>
  <c r="AX19" i="7"/>
  <c r="DB9" i="7"/>
  <c r="DC9" i="7" s="1"/>
  <c r="DC10" i="7" s="1"/>
  <c r="E19" i="7"/>
  <c r="AC19" i="7"/>
  <c r="BY19" i="7"/>
  <c r="CE19" i="7"/>
  <c r="W38" i="7"/>
  <c r="AU38" i="7"/>
  <c r="DR46" i="7"/>
  <c r="K264" i="23"/>
  <c r="M263" i="23"/>
  <c r="O28" i="23"/>
  <c r="I147" i="23"/>
  <c r="K27" i="23"/>
  <c r="I141" i="23"/>
  <c r="I150" i="23"/>
  <c r="I143" i="23"/>
  <c r="I145" i="23"/>
  <c r="I54" i="23"/>
  <c r="AW9" i="7"/>
  <c r="AX9" i="7" s="1"/>
  <c r="AX10" i="7" s="1"/>
  <c r="Q19" i="7"/>
  <c r="T19" i="7"/>
  <c r="CW19" i="7"/>
  <c r="BP38" i="7"/>
  <c r="CW10" i="7"/>
  <c r="BJ19" i="7"/>
  <c r="CE10" i="7"/>
  <c r="Z10" i="7"/>
  <c r="AD52" i="7"/>
  <c r="AF52" i="7" s="1"/>
  <c r="AF54" i="7" s="1"/>
  <c r="AF55" i="7" s="1"/>
  <c r="BA19" i="7"/>
  <c r="AI19" i="7"/>
  <c r="BA38" i="7"/>
  <c r="BK44" i="7"/>
  <c r="BM44" i="7" s="1"/>
  <c r="BK40" i="7"/>
  <c r="BM40" i="7" s="1"/>
  <c r="BK49" i="7"/>
  <c r="BM49" i="7" s="1"/>
  <c r="BK45" i="7"/>
  <c r="BM45" i="7" s="1"/>
  <c r="BK41" i="7"/>
  <c r="BM41" i="7" s="1"/>
  <c r="M9" i="7"/>
  <c r="N9" i="7" s="1"/>
  <c r="N10" i="7" s="1"/>
  <c r="AK9" i="7"/>
  <c r="AL9" i="7" s="1"/>
  <c r="AL10" i="7" s="1"/>
  <c r="W10" i="7"/>
  <c r="AU10" i="7"/>
  <c r="CH38" i="7"/>
  <c r="DF38" i="7"/>
  <c r="DD52" i="7" s="1"/>
  <c r="DF52" i="7" s="1"/>
  <c r="DF54" i="7" s="1"/>
  <c r="DF55" i="7" s="1"/>
  <c r="DF56" i="7" s="1"/>
  <c r="AL46" i="7"/>
  <c r="CK46" i="7"/>
  <c r="CO44" i="7"/>
  <c r="CQ44" i="7" s="1"/>
  <c r="DC19" i="7"/>
  <c r="BV46" i="7"/>
  <c r="BV10" i="7"/>
  <c r="CT10" i="7"/>
  <c r="K38" i="7"/>
  <c r="AI38" i="7"/>
  <c r="CK38" i="7"/>
  <c r="DI38" i="7"/>
  <c r="Z46" i="7"/>
  <c r="BY46" i="7"/>
  <c r="AY44" i="7"/>
  <c r="BA44" i="7" s="1"/>
  <c r="AY40" i="7"/>
  <c r="BA40" i="7" s="1"/>
  <c r="AY49" i="7"/>
  <c r="BA49" i="7" s="1"/>
  <c r="AY45" i="7"/>
  <c r="BA45" i="7" s="1"/>
  <c r="AY41" i="7"/>
  <c r="BA41" i="7" s="1"/>
  <c r="D9" i="7"/>
  <c r="E9" i="7" s="1"/>
  <c r="E10" i="7" s="1"/>
  <c r="P9" i="7"/>
  <c r="Q9" i="7" s="1"/>
  <c r="Q10" i="7" s="1"/>
  <c r="AB9" i="7"/>
  <c r="AC9" i="7" s="1"/>
  <c r="AC10" i="7" s="1"/>
  <c r="AN9" i="7"/>
  <c r="AO9" i="7" s="1"/>
  <c r="AO10" i="7" s="1"/>
  <c r="N46" i="7"/>
  <c r="L52" i="7" s="1"/>
  <c r="N52" i="7" s="1"/>
  <c r="N54" i="7" s="1"/>
  <c r="N55" i="7" s="1"/>
  <c r="AO46" i="7"/>
  <c r="CL42" i="7"/>
  <c r="CN42" i="7" s="1"/>
  <c r="CL49" i="7"/>
  <c r="CN49" i="7" s="1"/>
  <c r="CL45" i="7"/>
  <c r="CN45" i="7" s="1"/>
  <c r="CL43" i="7"/>
  <c r="CN43" i="7" s="1"/>
  <c r="CL44" i="7"/>
  <c r="CN44" i="7" s="1"/>
  <c r="CL40" i="7"/>
  <c r="CN40" i="7" s="1"/>
  <c r="BA6" i="7"/>
  <c r="BA10" i="7" s="1"/>
  <c r="BN49" i="7"/>
  <c r="BP49" i="7" s="1"/>
  <c r="BN45" i="7"/>
  <c r="BP45" i="7" s="1"/>
  <c r="BN42" i="7"/>
  <c r="BP42" i="7" s="1"/>
  <c r="BN43" i="7"/>
  <c r="BP43" i="7" s="1"/>
  <c r="BN44" i="7"/>
  <c r="BP44" i="7" s="1"/>
  <c r="BN40" i="7"/>
  <c r="BP40" i="7" s="1"/>
  <c r="CG9" i="7"/>
  <c r="CH9" i="7" s="1"/>
  <c r="CH10" i="7" s="1"/>
  <c r="Q38" i="7"/>
  <c r="AO38" i="7"/>
  <c r="AC46" i="7"/>
  <c r="BJ46" i="7"/>
  <c r="DI46" i="7"/>
  <c r="CL41" i="7"/>
  <c r="CN41" i="7" s="1"/>
  <c r="BK43" i="7"/>
  <c r="BM43" i="7" s="1"/>
  <c r="BP79" i="7"/>
  <c r="AX46" i="7"/>
  <c r="BB49" i="7"/>
  <c r="BD49" i="7" s="1"/>
  <c r="BB45" i="7"/>
  <c r="BD45" i="7" s="1"/>
  <c r="BB42" i="7"/>
  <c r="BD42" i="7" s="1"/>
  <c r="BB43" i="7"/>
  <c r="BD43" i="7" s="1"/>
  <c r="BB44" i="7"/>
  <c r="BD44" i="7" s="1"/>
  <c r="BB40" i="7"/>
  <c r="BD40" i="7" s="1"/>
  <c r="BF9" i="7"/>
  <c r="BG9" i="7" s="1"/>
  <c r="BG10" i="7" s="1"/>
  <c r="K10" i="7"/>
  <c r="AI10" i="7"/>
  <c r="BG38" i="7"/>
  <c r="BE52" i="7" s="1"/>
  <c r="BG52" i="7" s="1"/>
  <c r="BG54" i="7" s="1"/>
  <c r="BG55" i="7" s="1"/>
  <c r="CT38" i="7"/>
  <c r="DR38" i="7"/>
  <c r="Q46" i="7"/>
  <c r="AR46" i="7"/>
  <c r="AP52" i="7" s="1"/>
  <c r="AR52" i="7" s="1"/>
  <c r="AR54" i="7" s="1"/>
  <c r="AR55" i="7" s="1"/>
  <c r="CT46" i="7"/>
  <c r="BM38" i="7"/>
  <c r="CO49" i="7"/>
  <c r="CQ49" i="7" s="1"/>
  <c r="CO45" i="7"/>
  <c r="CQ45" i="7" s="1"/>
  <c r="CO43" i="7"/>
  <c r="CQ43" i="7" s="1"/>
  <c r="CO42" i="7"/>
  <c r="CQ42" i="7" s="1"/>
  <c r="CO41" i="7"/>
  <c r="CQ41" i="7" s="1"/>
  <c r="BJ10" i="7"/>
  <c r="BY38" i="7"/>
  <c r="BW52" i="7" s="1"/>
  <c r="BY52" i="7" s="1"/>
  <c r="BY54" i="7" s="1"/>
  <c r="BY55" i="7" s="1"/>
  <c r="BY56" i="7" s="1"/>
  <c r="CW38" i="7"/>
  <c r="DU38" i="7"/>
  <c r="DS52" i="7" s="1"/>
  <c r="DU52" i="7" s="1"/>
  <c r="DU54" i="7" s="1"/>
  <c r="DU55" i="7" s="1"/>
  <c r="DU56" i="7" s="1"/>
  <c r="E46" i="7"/>
  <c r="DO46" i="7"/>
  <c r="BB41" i="7"/>
  <c r="BD41" i="7" s="1"/>
  <c r="BK42" i="7"/>
  <c r="BM42" i="7" s="1"/>
  <c r="CQ5" i="7"/>
  <c r="Z38" i="7"/>
  <c r="AX38" i="7"/>
  <c r="AV52" i="7" s="1"/>
  <c r="AX52" i="7" s="1"/>
  <c r="AX54" i="7" s="1"/>
  <c r="AX55" i="7" s="1"/>
  <c r="T46" i="7"/>
  <c r="CH46" i="7"/>
  <c r="CW46" i="7"/>
  <c r="DL46" i="7"/>
  <c r="M376" i="10"/>
  <c r="O376" i="10" s="1"/>
  <c r="Q376" i="10" s="1"/>
  <c r="K375" i="10"/>
  <c r="P380" i="10"/>
  <c r="G383" i="10"/>
  <c r="I16" i="18"/>
  <c r="I13" i="18"/>
  <c r="I10" i="18"/>
  <c r="BT52" i="7" l="1"/>
  <c r="BV52" i="7" s="1"/>
  <c r="BV54" i="7" s="1"/>
  <c r="BV55" i="7" s="1"/>
  <c r="I52" i="7"/>
  <c r="K52" i="7" s="1"/>
  <c r="K54" i="7" s="1"/>
  <c r="K55" i="7" s="1"/>
  <c r="DM52" i="7"/>
  <c r="DO52" i="7" s="1"/>
  <c r="DO54" i="7" s="1"/>
  <c r="DO55" i="7" s="1"/>
  <c r="DO56" i="7" s="1"/>
  <c r="C52" i="7"/>
  <c r="E52" i="7" s="1"/>
  <c r="E54" i="7" s="1"/>
  <c r="E55" i="7" s="1"/>
  <c r="E56" i="7" s="1"/>
  <c r="AA52" i="7"/>
  <c r="AC52" i="7" s="1"/>
  <c r="AC54" i="7" s="1"/>
  <c r="AC55" i="7" s="1"/>
  <c r="CF52" i="7"/>
  <c r="CH52" i="7" s="1"/>
  <c r="CH54" i="7" s="1"/>
  <c r="CH55" i="7" s="1"/>
  <c r="BZ52" i="7"/>
  <c r="CB52" i="7" s="1"/>
  <c r="CB54" i="7" s="1"/>
  <c r="CB55" i="7" s="1"/>
  <c r="DG52" i="7"/>
  <c r="DI52" i="7" s="1"/>
  <c r="DI54" i="7" s="1"/>
  <c r="DI55" i="7" s="1"/>
  <c r="DI56" i="7" s="1"/>
  <c r="M26" i="23"/>
  <c r="K94" i="23"/>
  <c r="CR52" i="7"/>
  <c r="CT52" i="7" s="1"/>
  <c r="CT54" i="7" s="1"/>
  <c r="CT55" i="7" s="1"/>
  <c r="CT56" i="7" s="1"/>
  <c r="AS52" i="7"/>
  <c r="AU52" i="7" s="1"/>
  <c r="AU54" i="7" s="1"/>
  <c r="AU55" i="7" s="1"/>
  <c r="AU56" i="7" s="1"/>
  <c r="BS56" i="7"/>
  <c r="DV52" i="7"/>
  <c r="DX52" i="7" s="1"/>
  <c r="DX54" i="7" s="1"/>
  <c r="DX55" i="7" s="1"/>
  <c r="DX56" i="7" s="1"/>
  <c r="X52" i="7"/>
  <c r="Z52" i="7" s="1"/>
  <c r="Z54" i="7" s="1"/>
  <c r="Z55" i="7" s="1"/>
  <c r="CQ46" i="7"/>
  <c r="CO52" i="7" s="1"/>
  <c r="CQ52" i="7" s="1"/>
  <c r="CX52" i="7"/>
  <c r="CZ52" i="7" s="1"/>
  <c r="CZ54" i="7" s="1"/>
  <c r="CZ55" i="7" s="1"/>
  <c r="AF56" i="7"/>
  <c r="U52" i="7"/>
  <c r="W52" i="7" s="1"/>
  <c r="W54" i="7" s="1"/>
  <c r="W55" i="7" s="1"/>
  <c r="W56" i="7" s="1"/>
  <c r="Q69" i="23"/>
  <c r="O79" i="23"/>
  <c r="BG81" i="7"/>
  <c r="BG82" i="7" s="1"/>
  <c r="DA52" i="7"/>
  <c r="DC52" i="7" s="1"/>
  <c r="DC54" i="7" s="1"/>
  <c r="DC55" i="7" s="1"/>
  <c r="DC56" i="7" s="1"/>
  <c r="BH52" i="7"/>
  <c r="BJ52" i="7" s="1"/>
  <c r="BJ54" i="7" s="1"/>
  <c r="BJ55" i="7" s="1"/>
  <c r="BJ81" i="7" s="1"/>
  <c r="BJ82" i="7" s="1"/>
  <c r="CH56" i="7"/>
  <c r="M167" i="23"/>
  <c r="M164" i="23"/>
  <c r="M162" i="23"/>
  <c r="M165" i="23"/>
  <c r="O25" i="23"/>
  <c r="DJ52" i="7"/>
  <c r="DL52" i="7" s="1"/>
  <c r="DL54" i="7" s="1"/>
  <c r="DL55" i="7" s="1"/>
  <c r="DL56" i="7" s="1"/>
  <c r="AM52" i="7"/>
  <c r="AO52" i="7" s="1"/>
  <c r="AO54" i="7" s="1"/>
  <c r="AO55" i="7" s="1"/>
  <c r="AX56" i="7"/>
  <c r="CC52" i="7"/>
  <c r="CE52" i="7" s="1"/>
  <c r="CE54" i="7" s="1"/>
  <c r="CE55" i="7" s="1"/>
  <c r="CE56" i="7" s="1"/>
  <c r="O368" i="10"/>
  <c r="Q27" i="10"/>
  <c r="Q368" i="10" s="1"/>
  <c r="CI52" i="7"/>
  <c r="CK52" i="7" s="1"/>
  <c r="CK54" i="7" s="1"/>
  <c r="CK55" i="7" s="1"/>
  <c r="CK56" i="7" s="1"/>
  <c r="N56" i="7"/>
  <c r="DP52" i="7"/>
  <c r="DR52" i="7" s="1"/>
  <c r="DR54" i="7" s="1"/>
  <c r="DR55" i="7" s="1"/>
  <c r="DR56" i="7" s="1"/>
  <c r="CN46" i="7"/>
  <c r="CL52" i="7" s="1"/>
  <c r="CN52" i="7" s="1"/>
  <c r="CN54" i="7" s="1"/>
  <c r="CN55" i="7" s="1"/>
  <c r="CN56" i="7" s="1"/>
  <c r="AJ52" i="7"/>
  <c r="AL52" i="7" s="1"/>
  <c r="AL54" i="7" s="1"/>
  <c r="AL55" i="7" s="1"/>
  <c r="M264" i="23"/>
  <c r="O263" i="23"/>
  <c r="K141" i="23"/>
  <c r="K143" i="23"/>
  <c r="M27" i="23"/>
  <c r="K147" i="23"/>
  <c r="K262" i="23"/>
  <c r="K54" i="23"/>
  <c r="K145" i="23"/>
  <c r="K150" i="23"/>
  <c r="Q28" i="23"/>
  <c r="BG56" i="7"/>
  <c r="AC56" i="7"/>
  <c r="CQ54" i="7"/>
  <c r="CQ55" i="7" s="1"/>
  <c r="AL56" i="7"/>
  <c r="BM46" i="7"/>
  <c r="BK52" i="7" s="1"/>
  <c r="BM52" i="7" s="1"/>
  <c r="BM54" i="7" s="1"/>
  <c r="BM55" i="7" s="1"/>
  <c r="BS81" i="7"/>
  <c r="BS82" i="7" s="1"/>
  <c r="H56" i="7"/>
  <c r="BP46" i="7"/>
  <c r="BN52" i="7" s="1"/>
  <c r="BP52" i="7" s="1"/>
  <c r="BP54" i="7" s="1"/>
  <c r="BP55" i="7" s="1"/>
  <c r="AG52" i="7"/>
  <c r="AI52" i="7" s="1"/>
  <c r="AI54" i="7" s="1"/>
  <c r="AI55" i="7" s="1"/>
  <c r="AI56" i="7" s="1"/>
  <c r="AR56" i="7"/>
  <c r="CU52" i="7"/>
  <c r="CW52" i="7" s="1"/>
  <c r="CW54" i="7" s="1"/>
  <c r="CW55" i="7" s="1"/>
  <c r="CW56" i="7" s="1"/>
  <c r="K56" i="7"/>
  <c r="Z56" i="7"/>
  <c r="BD46" i="7"/>
  <c r="BB52" i="7" s="1"/>
  <c r="BD52" i="7" s="1"/>
  <c r="BD54" i="7" s="1"/>
  <c r="BD55" i="7" s="1"/>
  <c r="BA46" i="7"/>
  <c r="AY52" i="7" s="1"/>
  <c r="BA52" i="7" s="1"/>
  <c r="BA54" i="7" s="1"/>
  <c r="BA55" i="7" s="1"/>
  <c r="BA81" i="7" s="1"/>
  <c r="BA82" i="7" s="1"/>
  <c r="BV56" i="7"/>
  <c r="CZ56" i="7"/>
  <c r="O52" i="7"/>
  <c r="Q52" i="7" s="1"/>
  <c r="Q54" i="7" s="1"/>
  <c r="Q55" i="7" s="1"/>
  <c r="Q56" i="7" s="1"/>
  <c r="CP9" i="7"/>
  <c r="CQ9" i="7" s="1"/>
  <c r="CQ10" i="7" s="1"/>
  <c r="R52" i="7"/>
  <c r="T52" i="7" s="1"/>
  <c r="T54" i="7" s="1"/>
  <c r="T55" i="7" s="1"/>
  <c r="T56" i="7" s="1"/>
  <c r="AO56" i="7"/>
  <c r="BJ56" i="7"/>
  <c r="CB56" i="7"/>
  <c r="O375" i="10"/>
  <c r="M375" i="10"/>
  <c r="O26" i="23" l="1"/>
  <c r="M94" i="23"/>
  <c r="O167" i="23"/>
  <c r="O165" i="23"/>
  <c r="O164" i="23"/>
  <c r="Q25" i="23"/>
  <c r="O162" i="23"/>
  <c r="Q79" i="23"/>
  <c r="Q375" i="10"/>
  <c r="O264" i="23"/>
  <c r="Q263" i="23"/>
  <c r="Q264" i="23" s="1"/>
  <c r="M143" i="23"/>
  <c r="M150" i="23"/>
  <c r="M141" i="23"/>
  <c r="M54" i="23"/>
  <c r="O27" i="23"/>
  <c r="M147" i="23"/>
  <c r="M145" i="23"/>
  <c r="M262" i="23"/>
  <c r="BP56" i="7"/>
  <c r="BP81" i="7"/>
  <c r="BP82" i="7" s="1"/>
  <c r="BM81" i="7"/>
  <c r="BM82" i="7" s="1"/>
  <c r="BM56" i="7"/>
  <c r="BD81" i="7"/>
  <c r="BD82" i="7" s="1"/>
  <c r="BD56" i="7"/>
  <c r="CQ56" i="7"/>
  <c r="BA56" i="7"/>
  <c r="I251" i="10"/>
  <c r="K251" i="10" s="1"/>
  <c r="M251" i="10" s="1"/>
  <c r="O251" i="10" s="1"/>
  <c r="Q251" i="10" s="1"/>
  <c r="P77" i="10"/>
  <c r="N77" i="10"/>
  <c r="L77" i="10"/>
  <c r="J77" i="10"/>
  <c r="N23" i="13"/>
  <c r="L23" i="13"/>
  <c r="J23" i="13"/>
  <c r="H23" i="13"/>
  <c r="O94" i="23" l="1"/>
  <c r="Q26" i="23"/>
  <c r="Q94" i="23" s="1"/>
  <c r="Q165" i="23"/>
  <c r="Q164" i="23"/>
  <c r="Q162" i="23"/>
  <c r="Q167" i="23"/>
  <c r="Q27" i="23"/>
  <c r="O147" i="23"/>
  <c r="O262" i="23"/>
  <c r="O54" i="23"/>
  <c r="O145" i="23"/>
  <c r="O143" i="23"/>
  <c r="O150" i="23"/>
  <c r="O141" i="23"/>
  <c r="I373" i="10"/>
  <c r="K373" i="10"/>
  <c r="O373" i="10"/>
  <c r="M373" i="10"/>
  <c r="Q373" i="10"/>
  <c r="Q150" i="23" l="1"/>
  <c r="Q141" i="23"/>
  <c r="Q147" i="23"/>
  <c r="Q262" i="23"/>
  <c r="Q54" i="23"/>
  <c r="Q145" i="23"/>
  <c r="Q143" i="23"/>
  <c r="G77" i="23"/>
  <c r="G76" i="23"/>
  <c r="F16" i="18"/>
  <c r="F15" i="18" s="1"/>
  <c r="E6" i="1" l="1"/>
  <c r="Q51" i="10" l="1"/>
  <c r="I46" i="10"/>
  <c r="Q37" i="10"/>
  <c r="Q108" i="10" s="1"/>
  <c r="I51" i="10"/>
  <c r="M46" i="10"/>
  <c r="O51" i="10"/>
  <c r="K51" i="10"/>
  <c r="M51" i="10"/>
  <c r="Q46" i="10"/>
  <c r="O46" i="10"/>
  <c r="DU1" i="31"/>
  <c r="DT1" i="31"/>
  <c r="DS1" i="31"/>
  <c r="DR1" i="31"/>
  <c r="DQ1" i="31"/>
  <c r="DP1" i="31"/>
  <c r="DO1" i="31"/>
  <c r="DN1" i="31"/>
  <c r="DM1" i="31"/>
  <c r="DL1" i="31"/>
  <c r="DK1" i="31"/>
  <c r="DJ1" i="31"/>
  <c r="DI1" i="31"/>
  <c r="DH1" i="31"/>
  <c r="DG1" i="31"/>
  <c r="DF1" i="31"/>
  <c r="DE1" i="31"/>
  <c r="DD1" i="31"/>
  <c r="K46" i="10" l="1"/>
  <c r="I91" i="10"/>
  <c r="I217" i="10"/>
  <c r="I434" i="10" s="1"/>
  <c r="I189" i="10"/>
  <c r="I430" i="10" s="1"/>
  <c r="N91" i="10"/>
  <c r="O189" i="10"/>
  <c r="O217" i="10"/>
  <c r="O91" i="10"/>
  <c r="J91" i="10"/>
  <c r="K189" i="10"/>
  <c r="K91" i="10"/>
  <c r="K217" i="10"/>
  <c r="P91" i="10"/>
  <c r="Q91" i="10"/>
  <c r="Q189" i="10"/>
  <c r="P454" i="10" s="1"/>
  <c r="Q217" i="10"/>
  <c r="P458" i="10" s="1"/>
  <c r="M189" i="10"/>
  <c r="L91" i="10"/>
  <c r="M217" i="10"/>
  <c r="M91" i="10"/>
  <c r="L454" i="10" l="1"/>
  <c r="M430" i="10"/>
  <c r="O434" i="10"/>
  <c r="N458" i="10"/>
  <c r="O430" i="10"/>
  <c r="N454" i="10"/>
  <c r="J458" i="10"/>
  <c r="K434" i="10"/>
  <c r="L458" i="10"/>
  <c r="M434" i="10"/>
  <c r="J454" i="10"/>
  <c r="K430" i="10"/>
  <c r="K454" i="10" l="1"/>
  <c r="M458" i="10"/>
  <c r="K458" i="10"/>
  <c r="O458" i="10"/>
  <c r="M454" i="10"/>
  <c r="O454" i="10"/>
  <c r="G390" i="10" l="1"/>
  <c r="G389" i="10"/>
  <c r="F12" i="18" l="1"/>
  <c r="G388" i="10" l="1"/>
  <c r="G391" i="10" l="1"/>
  <c r="F9" i="18"/>
  <c r="B8" i="18" l="1"/>
  <c r="O78" i="23" l="1"/>
  <c r="Q68" i="23"/>
  <c r="O68" i="23"/>
  <c r="G68" i="23"/>
  <c r="G262" i="23"/>
  <c r="G258" i="23"/>
  <c r="G256" i="23"/>
  <c r="G252" i="23"/>
  <c r="G250" i="23"/>
  <c r="G208" i="23"/>
  <c r="G167" i="23"/>
  <c r="G165" i="23"/>
  <c r="G164" i="23"/>
  <c r="G162" i="23"/>
  <c r="G150" i="23"/>
  <c r="G147" i="23"/>
  <c r="G145" i="23"/>
  <c r="G143" i="23"/>
  <c r="G141" i="23"/>
  <c r="G94" i="23"/>
  <c r="G54" i="23"/>
  <c r="G216" i="23" l="1"/>
  <c r="Q78" i="23"/>
  <c r="K78" i="23"/>
  <c r="M68" i="23"/>
  <c r="I68" i="23"/>
  <c r="M78" i="23" l="1"/>
  <c r="K68" i="23"/>
  <c r="I78" i="23"/>
  <c r="H30" i="1" l="1"/>
  <c r="I289" i="23" l="1"/>
  <c r="I205" i="23"/>
  <c r="K205" i="23" s="1"/>
  <c r="M205" i="23" s="1"/>
  <c r="O205" i="23" s="1"/>
  <c r="Q205" i="23" s="1"/>
  <c r="I204" i="23"/>
  <c r="K204" i="23" s="1"/>
  <c r="M204" i="23" s="1"/>
  <c r="O204" i="23" s="1"/>
  <c r="Q204" i="23" s="1"/>
  <c r="I203" i="23"/>
  <c r="K203" i="23" s="1"/>
  <c r="M203" i="23" s="1"/>
  <c r="O203" i="23" s="1"/>
  <c r="Q203" i="23" s="1"/>
  <c r="I202" i="23"/>
  <c r="K202" i="23" s="1"/>
  <c r="M202" i="23" s="1"/>
  <c r="O202" i="23" s="1"/>
  <c r="Q202" i="23" s="1"/>
  <c r="I180" i="23"/>
  <c r="I65" i="10" s="1"/>
  <c r="I179" i="23"/>
  <c r="I64" i="10" s="1"/>
  <c r="I177" i="23"/>
  <c r="I62" i="10" s="1"/>
  <c r="I174" i="23"/>
  <c r="I59" i="10" s="1"/>
  <c r="I187" i="23"/>
  <c r="K186" i="23"/>
  <c r="I186" i="23"/>
  <c r="I184" i="23"/>
  <c r="I69" i="10" s="1"/>
  <c r="I183" i="23"/>
  <c r="I68" i="10" s="1"/>
  <c r="K181" i="23"/>
  <c r="K66" i="10" s="1"/>
  <c r="K179" i="23"/>
  <c r="K64" i="10" s="1"/>
  <c r="M177" i="23"/>
  <c r="M62" i="10" s="1"/>
  <c r="K174" i="23"/>
  <c r="K59" i="10" s="1"/>
  <c r="I83" i="23"/>
  <c r="K83" i="23" s="1"/>
  <c r="M83" i="23" s="1"/>
  <c r="O83" i="23" s="1"/>
  <c r="Q83" i="23" s="1"/>
  <c r="I82" i="23"/>
  <c r="K82" i="23" s="1"/>
  <c r="M82" i="23" s="1"/>
  <c r="O82" i="23" s="1"/>
  <c r="Q82" i="23" s="1"/>
  <c r="I81" i="23"/>
  <c r="K81" i="23" s="1"/>
  <c r="M81" i="23" s="1"/>
  <c r="O81" i="23" s="1"/>
  <c r="Q81" i="23" s="1"/>
  <c r="K102" i="23"/>
  <c r="O102" i="23"/>
  <c r="Q92" i="23"/>
  <c r="M92" i="23"/>
  <c r="K92" i="23"/>
  <c r="G333" i="23"/>
  <c r="I333" i="23" s="1"/>
  <c r="K333" i="23" s="1"/>
  <c r="M333" i="23" s="1"/>
  <c r="O333" i="23" s="1"/>
  <c r="Q333" i="23" s="1"/>
  <c r="G264" i="23"/>
  <c r="G242" i="23"/>
  <c r="G188" i="23"/>
  <c r="G187" i="23"/>
  <c r="G186" i="23"/>
  <c r="G185" i="23"/>
  <c r="G184" i="23"/>
  <c r="G183" i="23"/>
  <c r="G182" i="23"/>
  <c r="G181" i="23"/>
  <c r="G180" i="23"/>
  <c r="G179" i="23"/>
  <c r="G178" i="23"/>
  <c r="G177" i="23"/>
  <c r="G176" i="23"/>
  <c r="G175" i="23"/>
  <c r="G174" i="23"/>
  <c r="G173" i="23"/>
  <c r="G172" i="23"/>
  <c r="G79" i="23"/>
  <c r="G92" i="23"/>
  <c r="G78" i="23" l="1"/>
  <c r="G102" i="23" s="1"/>
  <c r="I102" i="23"/>
  <c r="Q102" i="23"/>
  <c r="O92" i="23"/>
  <c r="I92" i="23"/>
  <c r="M102" i="23"/>
  <c r="K180" i="23"/>
  <c r="K65" i="10" s="1"/>
  <c r="I185" i="23"/>
  <c r="I70" i="10" s="1"/>
  <c r="I175" i="23"/>
  <c r="I60" i="10" s="1"/>
  <c r="K177" i="23"/>
  <c r="K62" i="10" s="1"/>
  <c r="I181" i="23"/>
  <c r="I66" i="10" s="1"/>
  <c r="K289" i="23"/>
  <c r="M181" i="23" l="1"/>
  <c r="M66" i="10" s="1"/>
  <c r="M179" i="23"/>
  <c r="M64" i="10" s="1"/>
  <c r="K185" i="23"/>
  <c r="K70" i="10" s="1"/>
  <c r="M180" i="23"/>
  <c r="M65" i="10" s="1"/>
  <c r="O177" i="23"/>
  <c r="O62" i="10" s="1"/>
  <c r="Q177" i="23"/>
  <c r="Q62" i="10" s="1"/>
  <c r="M289" i="23"/>
  <c r="K184" i="23"/>
  <c r="K69" i="10" s="1"/>
  <c r="K183" i="23"/>
  <c r="K68" i="10" s="1"/>
  <c r="O289" i="23" l="1"/>
  <c r="O180" i="23"/>
  <c r="O65" i="10" s="1"/>
  <c r="Q180" i="23"/>
  <c r="Q65" i="10" s="1"/>
  <c r="O181" i="23"/>
  <c r="O66" i="10" s="1"/>
  <c r="Q181" i="23"/>
  <c r="Q66" i="10" s="1"/>
  <c r="M185" i="23"/>
  <c r="M70" i="10" s="1"/>
  <c r="M184" i="23"/>
  <c r="M69" i="10" s="1"/>
  <c r="M183" i="23"/>
  <c r="M68" i="10" s="1"/>
  <c r="O179" i="23"/>
  <c r="O64" i="10" s="1"/>
  <c r="Q179" i="23"/>
  <c r="Q64" i="10" s="1"/>
  <c r="O184" i="23" l="1"/>
  <c r="O69" i="10" s="1"/>
  <c r="Q289" i="23"/>
  <c r="O183" i="23"/>
  <c r="O68" i="10" s="1"/>
  <c r="Q183" i="23"/>
  <c r="Q68" i="10" s="1"/>
  <c r="G397" i="10" l="1"/>
  <c r="BR33" i="31" l="1"/>
  <c r="BQ33" i="31"/>
  <c r="BH5" i="31" l="1"/>
  <c r="BE5" i="31"/>
  <c r="BB6" i="31"/>
  <c r="AY6" i="31"/>
  <c r="BO6" i="31"/>
  <c r="BN6" i="31"/>
  <c r="BL6" i="31"/>
  <c r="BK6" i="31"/>
  <c r="AW7" i="31"/>
  <c r="AV7" i="31"/>
  <c r="AK7" i="31"/>
  <c r="AJ7" i="31"/>
  <c r="AE7" i="31"/>
  <c r="AD7" i="31"/>
  <c r="Y7" i="31"/>
  <c r="X7" i="31"/>
  <c r="S7" i="31"/>
  <c r="R7" i="31"/>
  <c r="BS79" i="31" l="1"/>
  <c r="V79" i="31"/>
  <c r="BA77" i="31"/>
  <c r="BD77" i="31" s="1"/>
  <c r="BP76" i="31"/>
  <c r="BM76" i="31"/>
  <c r="BJ76" i="31"/>
  <c r="BG76" i="31"/>
  <c r="U73" i="31"/>
  <c r="U66" i="31"/>
  <c r="U65" i="31"/>
  <c r="U64" i="31"/>
  <c r="U62" i="31"/>
  <c r="U79" i="31" l="1"/>
  <c r="D232" i="23"/>
  <c r="D231" i="23"/>
  <c r="D230" i="23"/>
  <c r="D229" i="23"/>
  <c r="D228" i="23"/>
  <c r="D227" i="23"/>
  <c r="D226" i="23"/>
  <c r="D225" i="23"/>
  <c r="D224" i="23"/>
  <c r="D223" i="23"/>
  <c r="D222" i="23"/>
  <c r="D221" i="23"/>
  <c r="D220" i="23"/>
  <c r="D219" i="23"/>
  <c r="D139" i="23"/>
  <c r="C370" i="23"/>
  <c r="A370" i="23"/>
  <c r="C369" i="23"/>
  <c r="A369" i="23"/>
  <c r="C368" i="23"/>
  <c r="A368" i="23"/>
  <c r="A236" i="23"/>
  <c r="A235" i="23"/>
  <c r="A234" i="23"/>
  <c r="A188" i="23"/>
  <c r="A187" i="23"/>
  <c r="A186" i="23"/>
  <c r="A137" i="23"/>
  <c r="A136" i="23"/>
  <c r="A135" i="23"/>
  <c r="P3" i="23"/>
  <c r="N3" i="23"/>
  <c r="L3" i="23"/>
  <c r="J3" i="23"/>
  <c r="H3" i="23"/>
  <c r="P2" i="23"/>
  <c r="N2" i="23"/>
  <c r="L2" i="23"/>
  <c r="J2" i="23"/>
  <c r="H2" i="23"/>
  <c r="P45" i="14" l="1"/>
  <c r="D339" i="10" l="1"/>
  <c r="D338" i="10"/>
  <c r="D337" i="10"/>
  <c r="D362" i="10"/>
  <c r="D361" i="10"/>
  <c r="D360" i="10"/>
  <c r="B73" i="10"/>
  <c r="B72" i="10"/>
  <c r="B71" i="10"/>
  <c r="I72" i="10" l="1"/>
  <c r="K71" i="10"/>
  <c r="I71" i="10"/>
  <c r="G72" i="10"/>
  <c r="G73" i="10"/>
  <c r="G68" i="10"/>
  <c r="G64" i="10"/>
  <c r="G60" i="10"/>
  <c r="G71" i="10"/>
  <c r="G67" i="10"/>
  <c r="G63" i="10"/>
  <c r="G59" i="10"/>
  <c r="G70" i="10"/>
  <c r="G66" i="10"/>
  <c r="G62" i="10"/>
  <c r="G58" i="10"/>
  <c r="G69" i="10"/>
  <c r="G65" i="10"/>
  <c r="G61" i="10"/>
  <c r="G57" i="10"/>
  <c r="M1" i="13"/>
  <c r="K1" i="13"/>
  <c r="I1" i="13"/>
  <c r="G1" i="13"/>
  <c r="E1" i="13"/>
  <c r="G368" i="10"/>
  <c r="G375" i="10"/>
  <c r="D73" i="10"/>
  <c r="D72" i="10"/>
  <c r="D71" i="10"/>
  <c r="H251" i="10" l="1"/>
  <c r="J251" i="10" s="1"/>
  <c r="L251" i="10" s="1"/>
  <c r="N251" i="10" s="1"/>
  <c r="P251" i="10" s="1"/>
  <c r="G372" i="10"/>
  <c r="G371" i="10"/>
  <c r="G370" i="10"/>
  <c r="G369" i="10"/>
  <c r="B125" i="10"/>
  <c r="D223" i="10"/>
  <c r="D195" i="10"/>
  <c r="G373" i="10" l="1"/>
  <c r="C247" i="24"/>
  <c r="D236" i="23" s="1"/>
  <c r="C246" i="24"/>
  <c r="D235" i="23" s="1"/>
  <c r="C245" i="24"/>
  <c r="D234" i="23" s="1"/>
  <c r="P74" i="14" l="1"/>
  <c r="P73" i="14"/>
  <c r="P70" i="14"/>
  <c r="P69" i="14"/>
  <c r="P68" i="14"/>
  <c r="P65" i="14"/>
  <c r="P64" i="14"/>
  <c r="P63" i="14"/>
  <c r="P62" i="14"/>
  <c r="P61" i="14"/>
  <c r="P60" i="14"/>
  <c r="P55" i="14"/>
  <c r="P54" i="14"/>
  <c r="P53" i="14"/>
  <c r="P52" i="14"/>
  <c r="P51" i="14"/>
  <c r="P50" i="14"/>
  <c r="P49" i="14"/>
  <c r="P48" i="14"/>
  <c r="P47" i="14"/>
  <c r="P46" i="14"/>
  <c r="P44" i="14"/>
  <c r="P43" i="14"/>
  <c r="P42" i="14"/>
  <c r="P41" i="14"/>
  <c r="P40" i="14"/>
  <c r="P39" i="14"/>
  <c r="G44" i="10" l="1"/>
  <c r="G49" i="10"/>
  <c r="G120" i="10" l="1"/>
  <c r="V56" i="31"/>
  <c r="DX53" i="31"/>
  <c r="DU53" i="31"/>
  <c r="DR53" i="31"/>
  <c r="DO53" i="31"/>
  <c r="DL53" i="31"/>
  <c r="DI53" i="31"/>
  <c r="DF53" i="31"/>
  <c r="DC53" i="31"/>
  <c r="CX53" i="31"/>
  <c r="CZ53" i="31" s="1"/>
  <c r="CW53" i="31"/>
  <c r="CR53" i="31"/>
  <c r="CT53" i="31" s="1"/>
  <c r="CQ53" i="31"/>
  <c r="CL53" i="31"/>
  <c r="CN53" i="31" s="1"/>
  <c r="CK53" i="31"/>
  <c r="CF53" i="31"/>
  <c r="CH53" i="31" s="1"/>
  <c r="CE53" i="31"/>
  <c r="BZ53" i="31"/>
  <c r="CB53" i="31" s="1"/>
  <c r="BY53" i="31"/>
  <c r="BT53" i="31"/>
  <c r="BV53" i="31" s="1"/>
  <c r="BS53" i="31"/>
  <c r="BP53" i="31"/>
  <c r="BK53" i="31"/>
  <c r="BM53" i="31" s="1"/>
  <c r="BJ53" i="31"/>
  <c r="BE53" i="31"/>
  <c r="BG53" i="31" s="1"/>
  <c r="BG69" i="31" s="1"/>
  <c r="BM69" i="31" s="1"/>
  <c r="BD53" i="31"/>
  <c r="BD69" i="31" s="1"/>
  <c r="BJ69" i="31" s="1"/>
  <c r="BP69" i="31" s="1"/>
  <c r="AY53" i="31"/>
  <c r="BA53" i="31" s="1"/>
  <c r="BA69" i="31" s="1"/>
  <c r="AX53" i="31"/>
  <c r="AS53" i="31"/>
  <c r="AU53" i="31" s="1"/>
  <c r="AP53" i="31"/>
  <c r="AR53" i="31" s="1"/>
  <c r="AM53" i="31"/>
  <c r="AO53" i="31" s="1"/>
  <c r="AL53" i="31"/>
  <c r="AG53" i="31"/>
  <c r="AI53" i="31" s="1"/>
  <c r="AF53" i="31"/>
  <c r="AA53" i="31"/>
  <c r="AC53" i="31" s="1"/>
  <c r="Z53" i="31"/>
  <c r="U53" i="31"/>
  <c r="W53" i="31" s="1"/>
  <c r="T53" i="31"/>
  <c r="O53" i="31"/>
  <c r="Q53" i="31" s="1"/>
  <c r="N53" i="31"/>
  <c r="I53" i="31"/>
  <c r="K53" i="31" s="1"/>
  <c r="H53" i="31"/>
  <c r="C53" i="31"/>
  <c r="E53" i="31" s="1"/>
  <c r="BS52" i="31"/>
  <c r="DX51" i="31"/>
  <c r="DU51" i="31"/>
  <c r="DR51" i="31"/>
  <c r="DO51" i="31"/>
  <c r="DL51" i="31"/>
  <c r="DI51" i="31"/>
  <c r="DF51" i="31"/>
  <c r="DC51" i="31"/>
  <c r="CZ51" i="31"/>
  <c r="CW51" i="31"/>
  <c r="CT51" i="31"/>
  <c r="CQ51" i="31"/>
  <c r="CN51" i="31"/>
  <c r="CK51" i="31"/>
  <c r="CH51" i="31"/>
  <c r="CE51" i="31"/>
  <c r="CB51" i="31"/>
  <c r="BY51" i="31"/>
  <c r="BV51" i="31"/>
  <c r="BS51" i="31"/>
  <c r="BP51" i="31"/>
  <c r="BM51" i="31"/>
  <c r="BJ51" i="31"/>
  <c r="BG51" i="31"/>
  <c r="BD51" i="31"/>
  <c r="BA51" i="31"/>
  <c r="AX51" i="31"/>
  <c r="AU51" i="31"/>
  <c r="AR51" i="31"/>
  <c r="AO51" i="31"/>
  <c r="AL51" i="31"/>
  <c r="AI51" i="31"/>
  <c r="AF51" i="31"/>
  <c r="AC51" i="31"/>
  <c r="Z51" i="31"/>
  <c r="W51" i="31"/>
  <c r="T51" i="31"/>
  <c r="Q51" i="31"/>
  <c r="N51" i="31"/>
  <c r="K51" i="31"/>
  <c r="H51" i="31"/>
  <c r="E51" i="31"/>
  <c r="DX50" i="31"/>
  <c r="DU50" i="31"/>
  <c r="DR50" i="31"/>
  <c r="DO50" i="31"/>
  <c r="DL50" i="31"/>
  <c r="DI50" i="31"/>
  <c r="DF50" i="31"/>
  <c r="DC50" i="31"/>
  <c r="CZ50" i="31"/>
  <c r="CW50" i="31"/>
  <c r="CT50" i="31"/>
  <c r="CQ50" i="31"/>
  <c r="CN50" i="31"/>
  <c r="CK50" i="31"/>
  <c r="CH50" i="31"/>
  <c r="CE50" i="31"/>
  <c r="CB50" i="31"/>
  <c r="BY50" i="31"/>
  <c r="BV50" i="31"/>
  <c r="BS50" i="31"/>
  <c r="BP50" i="31"/>
  <c r="BM50" i="31"/>
  <c r="BH50" i="31"/>
  <c r="BJ50" i="31" s="1"/>
  <c r="BE50" i="31"/>
  <c r="BG50" i="31" s="1"/>
  <c r="BD50" i="31"/>
  <c r="BA50" i="31"/>
  <c r="AX50" i="31"/>
  <c r="AU50" i="31"/>
  <c r="AR50" i="31"/>
  <c r="AO50" i="31"/>
  <c r="AL50" i="31"/>
  <c r="AI50" i="31"/>
  <c r="AF50" i="31"/>
  <c r="AC50" i="31"/>
  <c r="Z50" i="31"/>
  <c r="W50" i="31"/>
  <c r="T50" i="31"/>
  <c r="Q50" i="31"/>
  <c r="N50" i="31"/>
  <c r="K50" i="31"/>
  <c r="H50" i="31"/>
  <c r="E50" i="31"/>
  <c r="DX49" i="31"/>
  <c r="DU49" i="31"/>
  <c r="DR49" i="31"/>
  <c r="DO49" i="31"/>
  <c r="DL49" i="31"/>
  <c r="DI49" i="31"/>
  <c r="DF49" i="31"/>
  <c r="DA49" i="31"/>
  <c r="DC49" i="31" s="1"/>
  <c r="CX49" i="31"/>
  <c r="CZ49" i="31" s="1"/>
  <c r="CW49" i="31"/>
  <c r="CT49" i="31"/>
  <c r="CI49" i="31"/>
  <c r="CK49" i="31" s="1"/>
  <c r="CF49" i="31"/>
  <c r="CH49" i="31" s="1"/>
  <c r="CC49" i="31"/>
  <c r="CE49" i="31" s="1"/>
  <c r="BZ49" i="31"/>
  <c r="CB49" i="31" s="1"/>
  <c r="BW49" i="31"/>
  <c r="BY49" i="31" s="1"/>
  <c r="BT49" i="31"/>
  <c r="BV49" i="31" s="1"/>
  <c r="BS49" i="31"/>
  <c r="BN49" i="31"/>
  <c r="BP49" i="31" s="1"/>
  <c r="BK49" i="31"/>
  <c r="BM49" i="31" s="1"/>
  <c r="BH49" i="31"/>
  <c r="BJ49" i="31" s="1"/>
  <c r="BE49" i="31"/>
  <c r="BG49" i="31" s="1"/>
  <c r="BB49" i="31"/>
  <c r="BD49" i="31" s="1"/>
  <c r="AY49" i="31"/>
  <c r="BA49" i="31" s="1"/>
  <c r="AV49" i="31"/>
  <c r="AX49" i="31" s="1"/>
  <c r="AS49" i="31"/>
  <c r="AU49" i="31" s="1"/>
  <c r="AR49" i="31"/>
  <c r="AO49" i="31"/>
  <c r="AJ49" i="31"/>
  <c r="AL49" i="31" s="1"/>
  <c r="AG49" i="31"/>
  <c r="AI49" i="31" s="1"/>
  <c r="AD49" i="31"/>
  <c r="AF49" i="31" s="1"/>
  <c r="AA49" i="31"/>
  <c r="AC49" i="31" s="1"/>
  <c r="X49" i="31"/>
  <c r="Z49" i="31" s="1"/>
  <c r="U49" i="31"/>
  <c r="W49" i="31" s="1"/>
  <c r="R49" i="31"/>
  <c r="T49" i="31" s="1"/>
  <c r="O49" i="31"/>
  <c r="Q49" i="31" s="1"/>
  <c r="L49" i="31"/>
  <c r="N49" i="31" s="1"/>
  <c r="I49" i="31"/>
  <c r="K49" i="31" s="1"/>
  <c r="F49" i="31"/>
  <c r="H49" i="31" s="1"/>
  <c r="C49" i="31"/>
  <c r="E49" i="31" s="1"/>
  <c r="DX48" i="31"/>
  <c r="DU48" i="31"/>
  <c r="DR48" i="31"/>
  <c r="DO48" i="31"/>
  <c r="DL48" i="31"/>
  <c r="DI48" i="31"/>
  <c r="DF48" i="31"/>
  <c r="DC48" i="31"/>
  <c r="CZ48" i="31"/>
  <c r="CW48" i="31"/>
  <c r="CT48" i="31"/>
  <c r="CQ48" i="31"/>
  <c r="CN48" i="31"/>
  <c r="CK48" i="31"/>
  <c r="CH48" i="31"/>
  <c r="CE48" i="31"/>
  <c r="CB48" i="31"/>
  <c r="BY48" i="31"/>
  <c r="BV48" i="31"/>
  <c r="BS48" i="31"/>
  <c r="BP48" i="31"/>
  <c r="BM48" i="31"/>
  <c r="BD48" i="31"/>
  <c r="BA48" i="31"/>
  <c r="AX48" i="31"/>
  <c r="AU48" i="31"/>
  <c r="AR48" i="31"/>
  <c r="AO48" i="31"/>
  <c r="AL48" i="31"/>
  <c r="AI48" i="31"/>
  <c r="AF48" i="31"/>
  <c r="AC48" i="31"/>
  <c r="Z48" i="31"/>
  <c r="W48" i="31"/>
  <c r="T48" i="31"/>
  <c r="Q48" i="31"/>
  <c r="N48" i="31"/>
  <c r="K48" i="31"/>
  <c r="H48" i="31"/>
  <c r="E48" i="31"/>
  <c r="DX45" i="31"/>
  <c r="DU45" i="31"/>
  <c r="DR45" i="31"/>
  <c r="DO45" i="31"/>
  <c r="DL45" i="31"/>
  <c r="DI45" i="31"/>
  <c r="DF45" i="31"/>
  <c r="DA45" i="31"/>
  <c r="DC45" i="31" s="1"/>
  <c r="CX45" i="31"/>
  <c r="CZ45" i="31" s="1"/>
  <c r="CU45" i="31"/>
  <c r="CW45" i="31" s="1"/>
  <c r="CR45" i="31"/>
  <c r="CT45" i="31" s="1"/>
  <c r="CI45" i="31"/>
  <c r="CK45" i="31" s="1"/>
  <c r="CF45" i="31"/>
  <c r="CH45" i="31" s="1"/>
  <c r="CC45" i="31"/>
  <c r="CE45" i="31" s="1"/>
  <c r="BZ45" i="31"/>
  <c r="CB45" i="31" s="1"/>
  <c r="BW45" i="31"/>
  <c r="BY45" i="31" s="1"/>
  <c r="BT45" i="31"/>
  <c r="BV45" i="31" s="1"/>
  <c r="BQ45" i="31"/>
  <c r="BS45" i="31" s="1"/>
  <c r="BN45" i="31"/>
  <c r="BP45" i="31" s="1"/>
  <c r="BK45" i="31"/>
  <c r="BM45" i="31" s="1"/>
  <c r="BH45" i="31"/>
  <c r="BJ45" i="31" s="1"/>
  <c r="BE45" i="31"/>
  <c r="BG45" i="31" s="1"/>
  <c r="BB45" i="31"/>
  <c r="BD45" i="31" s="1"/>
  <c r="AY45" i="31"/>
  <c r="BA45" i="31" s="1"/>
  <c r="AV45" i="31"/>
  <c r="AX45" i="31" s="1"/>
  <c r="AS45" i="31"/>
  <c r="AU45" i="31" s="1"/>
  <c r="AP45" i="31"/>
  <c r="AR45" i="31" s="1"/>
  <c r="AM45" i="31"/>
  <c r="AO45" i="31" s="1"/>
  <c r="AJ45" i="31"/>
  <c r="AL45" i="31" s="1"/>
  <c r="AG45" i="31"/>
  <c r="AI45" i="31" s="1"/>
  <c r="AD45" i="31"/>
  <c r="AF45" i="31" s="1"/>
  <c r="AA45" i="31"/>
  <c r="AC45" i="31" s="1"/>
  <c r="X45" i="31"/>
  <c r="Z45" i="31" s="1"/>
  <c r="U45" i="31"/>
  <c r="W45" i="31" s="1"/>
  <c r="R45" i="31"/>
  <c r="T45" i="31" s="1"/>
  <c r="O45" i="31"/>
  <c r="Q45" i="31" s="1"/>
  <c r="L45" i="31"/>
  <c r="N45" i="31" s="1"/>
  <c r="I45" i="31"/>
  <c r="K45" i="31" s="1"/>
  <c r="F45" i="31"/>
  <c r="H45" i="31" s="1"/>
  <c r="C45" i="31"/>
  <c r="E45" i="31" s="1"/>
  <c r="DX44" i="31"/>
  <c r="DU44" i="31"/>
  <c r="DR44" i="31"/>
  <c r="DO44" i="31"/>
  <c r="DL44" i="31"/>
  <c r="DI44" i="31"/>
  <c r="DF44" i="31"/>
  <c r="DA44" i="31"/>
  <c r="DC44" i="31" s="1"/>
  <c r="CX44" i="31"/>
  <c r="CZ44" i="31" s="1"/>
  <c r="CU44" i="31"/>
  <c r="CW44" i="31" s="1"/>
  <c r="CR44" i="31"/>
  <c r="CT44" i="31" s="1"/>
  <c r="CI44" i="31"/>
  <c r="CK44" i="31" s="1"/>
  <c r="CF44" i="31"/>
  <c r="CH44" i="31" s="1"/>
  <c r="CC44" i="31"/>
  <c r="CE44" i="31" s="1"/>
  <c r="BZ44" i="31"/>
  <c r="CB44" i="31" s="1"/>
  <c r="BW44" i="31"/>
  <c r="BY44" i="31" s="1"/>
  <c r="BT44" i="31"/>
  <c r="BV44" i="31" s="1"/>
  <c r="BQ44" i="31"/>
  <c r="BS44" i="31" s="1"/>
  <c r="BN44" i="31"/>
  <c r="BP44" i="31" s="1"/>
  <c r="BK44" i="31"/>
  <c r="BM44" i="31" s="1"/>
  <c r="BH44" i="31"/>
  <c r="BJ44" i="31" s="1"/>
  <c r="BE44" i="31"/>
  <c r="BG44" i="31" s="1"/>
  <c r="BB44" i="31"/>
  <c r="BD44" i="31" s="1"/>
  <c r="AY44" i="31"/>
  <c r="BA44" i="31" s="1"/>
  <c r="AV44" i="31"/>
  <c r="AX44" i="31" s="1"/>
  <c r="AS44" i="31"/>
  <c r="AU44" i="31" s="1"/>
  <c r="AP44" i="31"/>
  <c r="AR44" i="31" s="1"/>
  <c r="AM44" i="31"/>
  <c r="AO44" i="31" s="1"/>
  <c r="AJ44" i="31"/>
  <c r="AL44" i="31" s="1"/>
  <c r="AG44" i="31"/>
  <c r="AI44" i="31" s="1"/>
  <c r="AD44" i="31"/>
  <c r="AF44" i="31" s="1"/>
  <c r="AA44" i="31"/>
  <c r="AC44" i="31" s="1"/>
  <c r="X44" i="31"/>
  <c r="Z44" i="31" s="1"/>
  <c r="U44" i="31"/>
  <c r="W44" i="31" s="1"/>
  <c r="R44" i="31"/>
  <c r="T44" i="31" s="1"/>
  <c r="O44" i="31"/>
  <c r="Q44" i="31" s="1"/>
  <c r="L44" i="31"/>
  <c r="N44" i="31" s="1"/>
  <c r="I44" i="31"/>
  <c r="K44" i="31" s="1"/>
  <c r="F44" i="31"/>
  <c r="H44" i="31" s="1"/>
  <c r="C44" i="31"/>
  <c r="E44" i="31" s="1"/>
  <c r="DX43" i="31"/>
  <c r="DU43" i="31"/>
  <c r="DR43" i="31"/>
  <c r="DO43" i="31"/>
  <c r="DL43" i="31"/>
  <c r="DI43" i="31"/>
  <c r="DF43" i="31"/>
  <c r="DA43" i="31"/>
  <c r="DC43" i="31" s="1"/>
  <c r="CX43" i="31"/>
  <c r="CZ43" i="31" s="1"/>
  <c r="CU43" i="31"/>
  <c r="CW43" i="31" s="1"/>
  <c r="CR43" i="31"/>
  <c r="CT43" i="31" s="1"/>
  <c r="CI43" i="31"/>
  <c r="CK43" i="31" s="1"/>
  <c r="CF43" i="31"/>
  <c r="CH43" i="31" s="1"/>
  <c r="CC43" i="31"/>
  <c r="CE43" i="31" s="1"/>
  <c r="BZ43" i="31"/>
  <c r="CB43" i="31" s="1"/>
  <c r="BW43" i="31"/>
  <c r="BY43" i="31" s="1"/>
  <c r="BT43" i="31"/>
  <c r="BV43" i="31" s="1"/>
  <c r="BQ43" i="31"/>
  <c r="BS43" i="31" s="1"/>
  <c r="BN43" i="31"/>
  <c r="BP43" i="31" s="1"/>
  <c r="BK43" i="31"/>
  <c r="BM43" i="31" s="1"/>
  <c r="BH43" i="31"/>
  <c r="BJ43" i="31" s="1"/>
  <c r="BE43" i="31"/>
  <c r="BG43" i="31" s="1"/>
  <c r="BB43" i="31"/>
  <c r="BD43" i="31" s="1"/>
  <c r="AY43" i="31"/>
  <c r="BA43" i="31" s="1"/>
  <c r="AV43" i="31"/>
  <c r="AX43" i="31" s="1"/>
  <c r="AS43" i="31"/>
  <c r="AU43" i="31" s="1"/>
  <c r="AP43" i="31"/>
  <c r="AR43" i="31" s="1"/>
  <c r="AM43" i="31"/>
  <c r="AO43" i="31" s="1"/>
  <c r="AJ43" i="31"/>
  <c r="AL43" i="31" s="1"/>
  <c r="AG43" i="31"/>
  <c r="AI43" i="31" s="1"/>
  <c r="AD43" i="31"/>
  <c r="AF43" i="31" s="1"/>
  <c r="AA43" i="31"/>
  <c r="AC43" i="31" s="1"/>
  <c r="X43" i="31"/>
  <c r="Z43" i="31" s="1"/>
  <c r="U43" i="31"/>
  <c r="W43" i="31" s="1"/>
  <c r="R43" i="31"/>
  <c r="T43" i="31" s="1"/>
  <c r="O43" i="31"/>
  <c r="Q43" i="31" s="1"/>
  <c r="L43" i="31"/>
  <c r="N43" i="31" s="1"/>
  <c r="I43" i="31"/>
  <c r="K43" i="31" s="1"/>
  <c r="F43" i="31"/>
  <c r="H43" i="31" s="1"/>
  <c r="C43" i="31"/>
  <c r="E43" i="31" s="1"/>
  <c r="DX42" i="31"/>
  <c r="DU42" i="31"/>
  <c r="DR42" i="31"/>
  <c r="DO42" i="31"/>
  <c r="DL42" i="31"/>
  <c r="DI42" i="31"/>
  <c r="DF42" i="31"/>
  <c r="DA42" i="31"/>
  <c r="DC42" i="31" s="1"/>
  <c r="CX42" i="31"/>
  <c r="CZ42" i="31" s="1"/>
  <c r="CU42" i="31"/>
  <c r="CW42" i="31" s="1"/>
  <c r="CR42" i="31"/>
  <c r="CT42" i="31" s="1"/>
  <c r="CI42" i="31"/>
  <c r="CK42" i="31" s="1"/>
  <c r="CF42" i="31"/>
  <c r="CH42" i="31" s="1"/>
  <c r="CD42" i="31"/>
  <c r="CC42" i="31"/>
  <c r="CA42" i="31"/>
  <c r="BZ42" i="31"/>
  <c r="BW42" i="31"/>
  <c r="BY42" i="31" s="1"/>
  <c r="BT42" i="31"/>
  <c r="BV42" i="31" s="1"/>
  <c r="BQ42" i="31"/>
  <c r="BS42" i="31" s="1"/>
  <c r="BN42" i="31"/>
  <c r="BP42" i="31" s="1"/>
  <c r="BK42" i="31"/>
  <c r="BM42" i="31" s="1"/>
  <c r="BH42" i="31"/>
  <c r="BJ42" i="31" s="1"/>
  <c r="BE42" i="31"/>
  <c r="BG42" i="31" s="1"/>
  <c r="BB42" i="31"/>
  <c r="BD42" i="31" s="1"/>
  <c r="AY42" i="31"/>
  <c r="BA42" i="31" s="1"/>
  <c r="AV42" i="31"/>
  <c r="AX42" i="31" s="1"/>
  <c r="AS42" i="31"/>
  <c r="AU42" i="31" s="1"/>
  <c r="AP42" i="31"/>
  <c r="AR42" i="31" s="1"/>
  <c r="AM42" i="31"/>
  <c r="AO42" i="31" s="1"/>
  <c r="AJ42" i="31"/>
  <c r="AL42" i="31" s="1"/>
  <c r="AG42" i="31"/>
  <c r="AI42" i="31" s="1"/>
  <c r="AD42" i="31"/>
  <c r="AF42" i="31" s="1"/>
  <c r="AA42" i="31"/>
  <c r="AC42" i="31" s="1"/>
  <c r="X42" i="31"/>
  <c r="Z42" i="31" s="1"/>
  <c r="U42" i="31"/>
  <c r="W42" i="31" s="1"/>
  <c r="R42" i="31"/>
  <c r="T42" i="31" s="1"/>
  <c r="O42" i="31"/>
  <c r="Q42" i="31" s="1"/>
  <c r="L42" i="31"/>
  <c r="N42" i="31" s="1"/>
  <c r="I42" i="31"/>
  <c r="K42" i="31" s="1"/>
  <c r="F42" i="31"/>
  <c r="H42" i="31" s="1"/>
  <c r="C42" i="31"/>
  <c r="E42" i="31" s="1"/>
  <c r="DX41" i="31"/>
  <c r="DU41" i="31"/>
  <c r="DR41" i="31"/>
  <c r="DO41" i="31"/>
  <c r="DL41" i="31"/>
  <c r="DI41" i="31"/>
  <c r="DF41" i="31"/>
  <c r="DA41" i="31"/>
  <c r="DC41" i="31" s="1"/>
  <c r="CX41" i="31"/>
  <c r="CZ41" i="31" s="1"/>
  <c r="CU41" i="31"/>
  <c r="CW41" i="31" s="1"/>
  <c r="CR41" i="31"/>
  <c r="CT41" i="31" s="1"/>
  <c r="CP41" i="31"/>
  <c r="CM41" i="31"/>
  <c r="CI41" i="31"/>
  <c r="CK41" i="31" s="1"/>
  <c r="CF41" i="31"/>
  <c r="CH41" i="31" s="1"/>
  <c r="CC41" i="31"/>
  <c r="CE41" i="31" s="1"/>
  <c r="BZ41" i="31"/>
  <c r="CB41" i="31" s="1"/>
  <c r="BW41" i="31"/>
  <c r="BY41" i="31" s="1"/>
  <c r="BT41" i="31"/>
  <c r="BV41" i="31" s="1"/>
  <c r="BQ41" i="31"/>
  <c r="BS41" i="31" s="1"/>
  <c r="BN41" i="31"/>
  <c r="BP41" i="31" s="1"/>
  <c r="BK41" i="31"/>
  <c r="BM41" i="31" s="1"/>
  <c r="BH41" i="31"/>
  <c r="BJ41" i="31" s="1"/>
  <c r="BE41" i="31"/>
  <c r="BG41" i="31" s="1"/>
  <c r="BB41" i="31"/>
  <c r="BD41" i="31" s="1"/>
  <c r="AY41" i="31"/>
  <c r="BA41" i="31" s="1"/>
  <c r="AV41" i="31"/>
  <c r="AX41" i="31" s="1"/>
  <c r="AS41" i="31"/>
  <c r="AU41" i="31" s="1"/>
  <c r="AP41" i="31"/>
  <c r="AR41" i="31" s="1"/>
  <c r="AM41" i="31"/>
  <c r="AO41" i="31" s="1"/>
  <c r="AJ41" i="31"/>
  <c r="AL41" i="31" s="1"/>
  <c r="AG41" i="31"/>
  <c r="AI41" i="31" s="1"/>
  <c r="AD41" i="31"/>
  <c r="AF41" i="31" s="1"/>
  <c r="AA41" i="31"/>
  <c r="AC41" i="31" s="1"/>
  <c r="X41" i="31"/>
  <c r="Z41" i="31" s="1"/>
  <c r="U41" i="31"/>
  <c r="W41" i="31" s="1"/>
  <c r="R41" i="31"/>
  <c r="T41" i="31" s="1"/>
  <c r="O41" i="31"/>
  <c r="Q41" i="31" s="1"/>
  <c r="L41" i="31"/>
  <c r="N41" i="31" s="1"/>
  <c r="I41" i="31"/>
  <c r="K41" i="31" s="1"/>
  <c r="F41" i="31"/>
  <c r="H41" i="31" s="1"/>
  <c r="C41" i="31"/>
  <c r="E41" i="31" s="1"/>
  <c r="DX40" i="31"/>
  <c r="DU40" i="31"/>
  <c r="DR40" i="31"/>
  <c r="DO40" i="31"/>
  <c r="DL40" i="31"/>
  <c r="DI40" i="31"/>
  <c r="DF40" i="31"/>
  <c r="DA40" i="31"/>
  <c r="DC40" i="31" s="1"/>
  <c r="CX40" i="31"/>
  <c r="CZ40" i="31" s="1"/>
  <c r="CU40" i="31"/>
  <c r="CW40" i="31" s="1"/>
  <c r="CR40" i="31"/>
  <c r="CT40" i="31" s="1"/>
  <c r="CI40" i="31"/>
  <c r="CK40" i="31" s="1"/>
  <c r="CF40" i="31"/>
  <c r="CH40" i="31" s="1"/>
  <c r="CC40" i="31"/>
  <c r="CE40" i="31" s="1"/>
  <c r="BZ40" i="31"/>
  <c r="CB40" i="31" s="1"/>
  <c r="BW40" i="31"/>
  <c r="BY40" i="31" s="1"/>
  <c r="BT40" i="31"/>
  <c r="BV40" i="31" s="1"/>
  <c r="BQ40" i="31"/>
  <c r="BS40" i="31" s="1"/>
  <c r="BN40" i="31"/>
  <c r="BP40" i="31" s="1"/>
  <c r="BK40" i="31"/>
  <c r="BM40" i="31" s="1"/>
  <c r="BH40" i="31"/>
  <c r="BJ40" i="31" s="1"/>
  <c r="BE40" i="31"/>
  <c r="BG40" i="31" s="1"/>
  <c r="BB40" i="31"/>
  <c r="BD40" i="31" s="1"/>
  <c r="AY40" i="31"/>
  <c r="BA40" i="31" s="1"/>
  <c r="AV40" i="31"/>
  <c r="AX40" i="31" s="1"/>
  <c r="AS40" i="31"/>
  <c r="AU40" i="31" s="1"/>
  <c r="AP40" i="31"/>
  <c r="AR40" i="31" s="1"/>
  <c r="AM40" i="31"/>
  <c r="AO40" i="31" s="1"/>
  <c r="AJ40" i="31"/>
  <c r="AL40" i="31" s="1"/>
  <c r="AG40" i="31"/>
  <c r="AI40" i="31" s="1"/>
  <c r="AD40" i="31"/>
  <c r="AF40" i="31" s="1"/>
  <c r="AA40" i="31"/>
  <c r="AC40" i="31" s="1"/>
  <c r="X40" i="31"/>
  <c r="Z40" i="31" s="1"/>
  <c r="U40" i="31"/>
  <c r="W40" i="31" s="1"/>
  <c r="R40" i="31"/>
  <c r="T40" i="31" s="1"/>
  <c r="O40" i="31"/>
  <c r="Q40" i="31" s="1"/>
  <c r="L40" i="31"/>
  <c r="N40" i="31" s="1"/>
  <c r="I40" i="31"/>
  <c r="K40" i="31" s="1"/>
  <c r="F40" i="31"/>
  <c r="H40" i="31" s="1"/>
  <c r="C40" i="31"/>
  <c r="E40" i="31" s="1"/>
  <c r="DX37" i="31"/>
  <c r="DU37" i="31"/>
  <c r="DR37" i="31"/>
  <c r="DO37" i="31"/>
  <c r="DL37" i="31"/>
  <c r="DI37" i="31"/>
  <c r="DF37" i="31"/>
  <c r="DC37" i="31"/>
  <c r="CZ37" i="31"/>
  <c r="CW37" i="31"/>
  <c r="CT37" i="31"/>
  <c r="CQ37" i="31"/>
  <c r="CN37" i="31"/>
  <c r="CK37" i="31"/>
  <c r="CH37" i="31"/>
  <c r="CE37" i="31"/>
  <c r="CB37" i="31"/>
  <c r="BY37" i="31"/>
  <c r="BV37" i="31"/>
  <c r="BS37" i="31"/>
  <c r="BP37" i="31"/>
  <c r="BM37" i="31"/>
  <c r="BJ37" i="31"/>
  <c r="BG37" i="31"/>
  <c r="BD37" i="31"/>
  <c r="BA37" i="31"/>
  <c r="AX37" i="31"/>
  <c r="AU37" i="31"/>
  <c r="AR37" i="31"/>
  <c r="AO37" i="31"/>
  <c r="AL37" i="31"/>
  <c r="AI37" i="31"/>
  <c r="AF37" i="31"/>
  <c r="AC37" i="31"/>
  <c r="Z37" i="31"/>
  <c r="W37" i="31"/>
  <c r="T37" i="31"/>
  <c r="Q37" i="31"/>
  <c r="N37" i="31"/>
  <c r="K37" i="31"/>
  <c r="H37" i="31"/>
  <c r="E37" i="31"/>
  <c r="DX36" i="31"/>
  <c r="DU36" i="31"/>
  <c r="DR36" i="31"/>
  <c r="DO36" i="31"/>
  <c r="DL36" i="31"/>
  <c r="DI36" i="31"/>
  <c r="DF36" i="31"/>
  <c r="DC36" i="31"/>
  <c r="CZ36" i="31"/>
  <c r="CW36" i="31"/>
  <c r="CT36" i="31"/>
  <c r="CQ36" i="31"/>
  <c r="CN36" i="31"/>
  <c r="CK36" i="31"/>
  <c r="CH36" i="31"/>
  <c r="CE36" i="31"/>
  <c r="CB36" i="31"/>
  <c r="BY36" i="31"/>
  <c r="BV36" i="31"/>
  <c r="BS36" i="31"/>
  <c r="BP36" i="31"/>
  <c r="BM36" i="31"/>
  <c r="BJ36" i="31"/>
  <c r="BC36" i="31"/>
  <c r="BD36" i="31" s="1"/>
  <c r="AZ36" i="31"/>
  <c r="BA36" i="31" s="1"/>
  <c r="AX36" i="31"/>
  <c r="AU36" i="31"/>
  <c r="AR36" i="31"/>
  <c r="AO36" i="31"/>
  <c r="AL36" i="31"/>
  <c r="AI36" i="31"/>
  <c r="AF36" i="31"/>
  <c r="AC36" i="31"/>
  <c r="Z36" i="31"/>
  <c r="W36" i="31"/>
  <c r="T36" i="31"/>
  <c r="Q36" i="31"/>
  <c r="N36" i="31"/>
  <c r="K36" i="31"/>
  <c r="H36" i="31"/>
  <c r="E36" i="31"/>
  <c r="DX35" i="31"/>
  <c r="DU35" i="31"/>
  <c r="DR35" i="31"/>
  <c r="DO35" i="31"/>
  <c r="DL35" i="31"/>
  <c r="DI35" i="31"/>
  <c r="DF35" i="31"/>
  <c r="DC35" i="31"/>
  <c r="CZ35" i="31"/>
  <c r="CW35" i="31"/>
  <c r="CT35" i="31"/>
  <c r="CQ35" i="31"/>
  <c r="CN35" i="31"/>
  <c r="CK35" i="31"/>
  <c r="CH35" i="31"/>
  <c r="CE35" i="31"/>
  <c r="CB35" i="31"/>
  <c r="BY35" i="31"/>
  <c r="BV35" i="31"/>
  <c r="BS35" i="31"/>
  <c r="BP35" i="31"/>
  <c r="BM35" i="31"/>
  <c r="BJ35" i="31"/>
  <c r="BD35" i="31"/>
  <c r="BA35" i="31"/>
  <c r="AX35" i="31"/>
  <c r="AU35" i="31"/>
  <c r="AR35" i="31"/>
  <c r="AO35" i="31"/>
  <c r="AL35" i="31"/>
  <c r="AI35" i="31"/>
  <c r="AF35" i="31"/>
  <c r="AC35" i="31"/>
  <c r="Z35" i="31"/>
  <c r="W35" i="31"/>
  <c r="T35" i="31"/>
  <c r="Q35" i="31"/>
  <c r="N35" i="31"/>
  <c r="K35" i="31"/>
  <c r="H35" i="31"/>
  <c r="E35" i="31"/>
  <c r="DX34" i="31"/>
  <c r="DU34" i="31"/>
  <c r="DR34" i="31"/>
  <c r="DO34" i="31"/>
  <c r="DL34" i="31"/>
  <c r="DI34" i="31"/>
  <c r="DF34" i="31"/>
  <c r="DC34" i="31"/>
  <c r="CZ34" i="31"/>
  <c r="CW34" i="31"/>
  <c r="CT34" i="31"/>
  <c r="CQ34" i="31"/>
  <c r="CN34" i="31"/>
  <c r="CK34" i="31"/>
  <c r="CH34" i="31"/>
  <c r="CE34" i="31"/>
  <c r="CB34" i="31"/>
  <c r="BY34" i="31"/>
  <c r="BV34" i="31"/>
  <c r="BS34" i="31"/>
  <c r="BP34" i="31"/>
  <c r="BM34" i="31"/>
  <c r="BH34" i="31"/>
  <c r="BJ34" i="31" s="1"/>
  <c r="BE34" i="31"/>
  <c r="BG34" i="31" s="1"/>
  <c r="BD34" i="31"/>
  <c r="BA34" i="31"/>
  <c r="AX34" i="31"/>
  <c r="AU34" i="31"/>
  <c r="AR34" i="31"/>
  <c r="AO34" i="31"/>
  <c r="AL34" i="31"/>
  <c r="AI34" i="31"/>
  <c r="AF34" i="31"/>
  <c r="AC34" i="31"/>
  <c r="Z34" i="31"/>
  <c r="W34" i="31"/>
  <c r="T34" i="31"/>
  <c r="Q34" i="31"/>
  <c r="N34" i="31"/>
  <c r="K34" i="31"/>
  <c r="H34" i="31"/>
  <c r="E34" i="31"/>
  <c r="DX33" i="31"/>
  <c r="DU33" i="31"/>
  <c r="DR33" i="31"/>
  <c r="DO33" i="31"/>
  <c r="DL33" i="31"/>
  <c r="DI33" i="31"/>
  <c r="DF33" i="31"/>
  <c r="DC33" i="31"/>
  <c r="CZ33" i="31"/>
  <c r="CW33" i="31"/>
  <c r="CT33" i="31"/>
  <c r="CQ33" i="31"/>
  <c r="CN33" i="31"/>
  <c r="CK33" i="31"/>
  <c r="CH33" i="31"/>
  <c r="CE33" i="31"/>
  <c r="CB33" i="31"/>
  <c r="BY33" i="31"/>
  <c r="BV33" i="31"/>
  <c r="BS33" i="31"/>
  <c r="BP33" i="31"/>
  <c r="BM33" i="31"/>
  <c r="BH33" i="31"/>
  <c r="BJ33" i="31" s="1"/>
  <c r="BE33" i="31"/>
  <c r="BG33" i="31" s="1"/>
  <c r="BD33" i="31"/>
  <c r="BA33" i="31"/>
  <c r="AX33" i="31"/>
  <c r="AU33" i="31"/>
  <c r="AR33" i="31"/>
  <c r="AO33" i="31"/>
  <c r="AL33" i="31"/>
  <c r="AI33" i="31"/>
  <c r="AF33" i="31"/>
  <c r="AC33" i="31"/>
  <c r="Z33" i="31"/>
  <c r="W33" i="31"/>
  <c r="T33" i="31"/>
  <c r="Q33" i="31"/>
  <c r="N33" i="31"/>
  <c r="K33" i="31"/>
  <c r="H33" i="31"/>
  <c r="E33" i="31"/>
  <c r="DB32" i="31"/>
  <c r="DC32" i="31" s="1"/>
  <c r="CY32" i="31"/>
  <c r="CZ32" i="31" s="1"/>
  <c r="CW32" i="31"/>
  <c r="CT32" i="31"/>
  <c r="CQ32" i="31"/>
  <c r="CN32" i="31"/>
  <c r="CK32" i="31"/>
  <c r="CH32" i="31"/>
  <c r="CE32" i="31"/>
  <c r="CB32" i="31"/>
  <c r="BY32" i="31"/>
  <c r="BV32" i="31"/>
  <c r="BS32" i="31"/>
  <c r="BP32" i="31"/>
  <c r="BM32" i="31"/>
  <c r="BI32" i="31"/>
  <c r="BH32" i="31"/>
  <c r="BF32" i="31"/>
  <c r="BE32" i="31"/>
  <c r="BD32" i="31"/>
  <c r="BA32" i="31"/>
  <c r="AX32" i="31"/>
  <c r="AU32" i="31"/>
  <c r="AR32" i="31"/>
  <c r="AO32" i="31"/>
  <c r="AL32" i="31"/>
  <c r="AI32" i="31"/>
  <c r="AF32" i="31"/>
  <c r="AC32" i="31"/>
  <c r="Z32" i="31"/>
  <c r="W32" i="31"/>
  <c r="T32" i="31"/>
  <c r="Q32" i="31"/>
  <c r="N32" i="31"/>
  <c r="K32" i="31"/>
  <c r="H32" i="31"/>
  <c r="E32" i="31"/>
  <c r="DX31" i="31"/>
  <c r="DU31" i="31"/>
  <c r="DR31" i="31"/>
  <c r="DO31" i="31"/>
  <c r="DL31" i="31"/>
  <c r="DI31" i="31"/>
  <c r="DF31" i="31"/>
  <c r="DC31" i="31"/>
  <c r="CZ31" i="31"/>
  <c r="CW31" i="31"/>
  <c r="CT31" i="31"/>
  <c r="CQ31" i="31"/>
  <c r="CN31" i="31"/>
  <c r="CK31" i="31"/>
  <c r="CH31" i="31"/>
  <c r="CE31" i="31"/>
  <c r="CB31" i="31"/>
  <c r="BY31" i="31"/>
  <c r="BV31" i="31"/>
  <c r="BS31" i="31"/>
  <c r="BP31" i="31"/>
  <c r="BM31" i="31"/>
  <c r="BJ31" i="31"/>
  <c r="BD31" i="31"/>
  <c r="BA31" i="31"/>
  <c r="AX31" i="31"/>
  <c r="AU31" i="31"/>
  <c r="AR31" i="31"/>
  <c r="AO31" i="31"/>
  <c r="AL31" i="31"/>
  <c r="AI31" i="31"/>
  <c r="AF31" i="31"/>
  <c r="AC31" i="31"/>
  <c r="Z31" i="31"/>
  <c r="W31" i="31"/>
  <c r="T31" i="31"/>
  <c r="Q31" i="31"/>
  <c r="N31" i="31"/>
  <c r="K31" i="31"/>
  <c r="H31" i="31"/>
  <c r="E31" i="31"/>
  <c r="DX30" i="31"/>
  <c r="DU30" i="31"/>
  <c r="DR30" i="31"/>
  <c r="DO30" i="31"/>
  <c r="DL30" i="31"/>
  <c r="DI30" i="31"/>
  <c r="DF30" i="31"/>
  <c r="DC30" i="31"/>
  <c r="CZ30" i="31"/>
  <c r="CW30" i="31"/>
  <c r="CT30" i="31"/>
  <c r="CQ30" i="31"/>
  <c r="CN30" i="31"/>
  <c r="CK30" i="31"/>
  <c r="CH30" i="31"/>
  <c r="CE30" i="31"/>
  <c r="CB30" i="31"/>
  <c r="BY30" i="31"/>
  <c r="BV30" i="31"/>
  <c r="BS30" i="31"/>
  <c r="BP30" i="31"/>
  <c r="BM30" i="31"/>
  <c r="BJ30" i="31"/>
  <c r="BG30" i="31"/>
  <c r="BD30" i="31"/>
  <c r="BA30" i="31"/>
  <c r="AX30" i="31"/>
  <c r="AU30" i="31"/>
  <c r="AR30" i="31"/>
  <c r="AO30" i="31"/>
  <c r="AL30" i="31"/>
  <c r="AI30" i="31"/>
  <c r="AF30" i="31"/>
  <c r="AC30" i="31"/>
  <c r="Z30" i="31"/>
  <c r="W30" i="31"/>
  <c r="T30" i="31"/>
  <c r="Q30" i="31"/>
  <c r="N30" i="31"/>
  <c r="K30" i="31"/>
  <c r="H30" i="31"/>
  <c r="E30" i="31"/>
  <c r="DX29" i="31"/>
  <c r="DU29" i="31"/>
  <c r="DR29" i="31"/>
  <c r="DO29" i="31"/>
  <c r="DL29" i="31"/>
  <c r="DI29" i="31"/>
  <c r="DF29" i="31"/>
  <c r="DC29" i="31"/>
  <c r="CZ29" i="31"/>
  <c r="CW29" i="31"/>
  <c r="CT29" i="31"/>
  <c r="CQ29" i="31"/>
  <c r="CN29" i="31"/>
  <c r="CK29" i="31"/>
  <c r="CH29" i="31"/>
  <c r="CE29" i="31"/>
  <c r="CB29" i="31"/>
  <c r="BY29" i="31"/>
  <c r="BV29" i="31"/>
  <c r="BS29" i="31"/>
  <c r="BP29" i="31"/>
  <c r="BM29" i="31"/>
  <c r="BH29" i="31"/>
  <c r="BJ29" i="31" s="1"/>
  <c r="BE29" i="31"/>
  <c r="BG29" i="31" s="1"/>
  <c r="BB29" i="31"/>
  <c r="BD29" i="31" s="1"/>
  <c r="AY29" i="31"/>
  <c r="BA29" i="31" s="1"/>
  <c r="AX29" i="31"/>
  <c r="AU29" i="31"/>
  <c r="AR29" i="31"/>
  <c r="AO29" i="31"/>
  <c r="AL29" i="31"/>
  <c r="AI29" i="31"/>
  <c r="AF29" i="31"/>
  <c r="AC29" i="31"/>
  <c r="Z29" i="31"/>
  <c r="W29" i="31"/>
  <c r="T29" i="31"/>
  <c r="Q29" i="31"/>
  <c r="N29" i="31"/>
  <c r="K29" i="31"/>
  <c r="H29" i="31"/>
  <c r="E29" i="31"/>
  <c r="DX28" i="31"/>
  <c r="DU28" i="31"/>
  <c r="DR28" i="31"/>
  <c r="DO28" i="31"/>
  <c r="DL28" i="31"/>
  <c r="DI28" i="31"/>
  <c r="DF28" i="31"/>
  <c r="DC28" i="31"/>
  <c r="CZ28" i="31"/>
  <c r="CW28" i="31"/>
  <c r="CT28" i="31"/>
  <c r="CQ28" i="31"/>
  <c r="CN28" i="31"/>
  <c r="CK28" i="31"/>
  <c r="CH28" i="31"/>
  <c r="CE28" i="31"/>
  <c r="CB28" i="31"/>
  <c r="BY28" i="31"/>
  <c r="BV28" i="31"/>
  <c r="BS28" i="31"/>
  <c r="BP28" i="31"/>
  <c r="BM28" i="31"/>
  <c r="BJ28" i="31"/>
  <c r="BG28" i="31"/>
  <c r="BD28" i="31"/>
  <c r="BA28" i="31"/>
  <c r="AX28" i="31"/>
  <c r="AU28" i="31"/>
  <c r="AR28" i="31"/>
  <c r="AO28" i="31"/>
  <c r="AL28" i="31"/>
  <c r="AI28" i="31"/>
  <c r="AF28" i="31"/>
  <c r="AC28" i="31"/>
  <c r="Z28" i="31"/>
  <c r="W28" i="31"/>
  <c r="T28" i="31"/>
  <c r="Q28" i="31"/>
  <c r="N28" i="31"/>
  <c r="K28" i="31"/>
  <c r="H28" i="31"/>
  <c r="E28" i="31"/>
  <c r="DX27" i="31"/>
  <c r="DU27" i="31"/>
  <c r="DR27" i="31"/>
  <c r="DO27" i="31"/>
  <c r="DL27" i="31"/>
  <c r="DI27" i="31"/>
  <c r="DF27" i="31"/>
  <c r="DC27" i="31"/>
  <c r="CZ27" i="31"/>
  <c r="CW27" i="31"/>
  <c r="CT27" i="31"/>
  <c r="CQ27" i="31"/>
  <c r="CN27" i="31"/>
  <c r="CK27" i="31"/>
  <c r="CH27" i="31"/>
  <c r="CE27" i="31"/>
  <c r="CB27" i="31"/>
  <c r="BY27" i="31"/>
  <c r="BV27" i="31"/>
  <c r="BS27" i="31"/>
  <c r="BP27" i="31"/>
  <c r="BM27" i="31"/>
  <c r="BJ27" i="31"/>
  <c r="BG27" i="31"/>
  <c r="BD27" i="31"/>
  <c r="BA27" i="31"/>
  <c r="AX27" i="31"/>
  <c r="AU27" i="31"/>
  <c r="AR27" i="31"/>
  <c r="AO27" i="31"/>
  <c r="AL27" i="31"/>
  <c r="AI27" i="31"/>
  <c r="AF27" i="31"/>
  <c r="AC27" i="31"/>
  <c r="Z27" i="31"/>
  <c r="W27" i="31"/>
  <c r="T27" i="31"/>
  <c r="Q27" i="31"/>
  <c r="N27" i="31"/>
  <c r="K27" i="31"/>
  <c r="H27" i="31"/>
  <c r="E27" i="31"/>
  <c r="DX26" i="31"/>
  <c r="DU26" i="31"/>
  <c r="DR26" i="31"/>
  <c r="DO26" i="31"/>
  <c r="DL26" i="31"/>
  <c r="DI26" i="31"/>
  <c r="DF26" i="31"/>
  <c r="DC26" i="31"/>
  <c r="CZ26" i="31"/>
  <c r="CW26" i="31"/>
  <c r="CT26" i="31"/>
  <c r="CQ26" i="31"/>
  <c r="CN26" i="31"/>
  <c r="CK26" i="31"/>
  <c r="CH26" i="31"/>
  <c r="CE26" i="31"/>
  <c r="CB26" i="31"/>
  <c r="BY26" i="31"/>
  <c r="BV26" i="31"/>
  <c r="BS26" i="31"/>
  <c r="BP26" i="31"/>
  <c r="BM26" i="31"/>
  <c r="BJ26" i="31"/>
  <c r="BG26" i="31"/>
  <c r="BD26" i="31"/>
  <c r="BA26" i="31"/>
  <c r="AX26" i="31"/>
  <c r="AU26" i="31"/>
  <c r="AR26" i="31"/>
  <c r="AO26" i="31"/>
  <c r="AL26" i="31"/>
  <c r="AI26" i="31"/>
  <c r="AF26" i="31"/>
  <c r="AC26" i="31"/>
  <c r="Z26" i="31"/>
  <c r="W26" i="31"/>
  <c r="T26" i="31"/>
  <c r="Q26" i="31"/>
  <c r="N26" i="31"/>
  <c r="K26" i="31"/>
  <c r="H26" i="31"/>
  <c r="E26" i="31"/>
  <c r="DX25" i="31"/>
  <c r="DU25" i="31"/>
  <c r="DR25" i="31"/>
  <c r="DO25" i="31"/>
  <c r="DL25" i="31"/>
  <c r="DI25" i="31"/>
  <c r="DF25" i="31"/>
  <c r="DC25" i="31"/>
  <c r="CZ25" i="31"/>
  <c r="CW25" i="31"/>
  <c r="CT25" i="31"/>
  <c r="CQ25" i="31"/>
  <c r="CN25" i="31"/>
  <c r="CK25" i="31"/>
  <c r="CH25" i="31"/>
  <c r="CE25" i="31"/>
  <c r="CB25" i="31"/>
  <c r="BY25" i="31"/>
  <c r="BV25" i="31"/>
  <c r="BS25" i="31"/>
  <c r="BP25" i="31"/>
  <c r="BM25" i="31"/>
  <c r="BH25" i="31"/>
  <c r="BJ25" i="31" s="1"/>
  <c r="BE25" i="31"/>
  <c r="BG25" i="31" s="1"/>
  <c r="BB25" i="31"/>
  <c r="BD25" i="31" s="1"/>
  <c r="AY25" i="31"/>
  <c r="BA25" i="31" s="1"/>
  <c r="AX25" i="31"/>
  <c r="AU25" i="31"/>
  <c r="AR25" i="31"/>
  <c r="AO25" i="31"/>
  <c r="AL25" i="31"/>
  <c r="AI25" i="31"/>
  <c r="AF25" i="31"/>
  <c r="AC25" i="31"/>
  <c r="Z25" i="31"/>
  <c r="W25" i="31"/>
  <c r="T25" i="31"/>
  <c r="Q25" i="31"/>
  <c r="N25" i="31"/>
  <c r="K25" i="31"/>
  <c r="H25" i="31"/>
  <c r="E25" i="31"/>
  <c r="DC24" i="31"/>
  <c r="CZ24" i="31"/>
  <c r="CW24" i="31"/>
  <c r="CT24" i="31"/>
  <c r="CQ24" i="31"/>
  <c r="CN24" i="31"/>
  <c r="CK24" i="31"/>
  <c r="CH24" i="31"/>
  <c r="CE24" i="31"/>
  <c r="CB24" i="31"/>
  <c r="BY24" i="31"/>
  <c r="BV24" i="31"/>
  <c r="BS24" i="31"/>
  <c r="BP24" i="31"/>
  <c r="BM24" i="31"/>
  <c r="BH24" i="31"/>
  <c r="BJ24" i="31" s="1"/>
  <c r="BE24" i="31"/>
  <c r="BG24" i="31" s="1"/>
  <c r="BB24" i="31"/>
  <c r="BD24" i="31" s="1"/>
  <c r="AY24" i="31"/>
  <c r="BA24" i="31" s="1"/>
  <c r="AX24" i="31"/>
  <c r="AR24" i="31"/>
  <c r="AO24" i="31"/>
  <c r="AL24" i="31"/>
  <c r="AI24" i="31"/>
  <c r="AF24" i="31"/>
  <c r="AC24" i="31"/>
  <c r="Z24" i="31"/>
  <c r="W24" i="31"/>
  <c r="T24" i="31"/>
  <c r="N24" i="31"/>
  <c r="K24" i="31"/>
  <c r="H24" i="31"/>
  <c r="E24" i="31"/>
  <c r="DX23" i="31"/>
  <c r="DU23" i="31"/>
  <c r="DR23" i="31"/>
  <c r="DO23" i="31"/>
  <c r="DL23" i="31"/>
  <c r="DI23" i="31"/>
  <c r="DF23" i="31"/>
  <c r="DC23" i="31"/>
  <c r="CZ23" i="31"/>
  <c r="CW23" i="31"/>
  <c r="CT23" i="31"/>
  <c r="CQ23" i="31"/>
  <c r="CN23" i="31"/>
  <c r="CK23" i="31"/>
  <c r="CH23" i="31"/>
  <c r="CE23" i="31"/>
  <c r="CB23" i="31"/>
  <c r="BY23" i="31"/>
  <c r="BV23" i="31"/>
  <c r="BS23" i="31"/>
  <c r="BP23" i="31"/>
  <c r="BM23" i="31"/>
  <c r="BH23" i="31"/>
  <c r="BJ23" i="31" s="1"/>
  <c r="BB23" i="31"/>
  <c r="BD23" i="31" s="1"/>
  <c r="BA23" i="31"/>
  <c r="AX23" i="31"/>
  <c r="AU23" i="31"/>
  <c r="AR23" i="31"/>
  <c r="AO23" i="31"/>
  <c r="AL23" i="31"/>
  <c r="AI23" i="31"/>
  <c r="AF23" i="31"/>
  <c r="AC23" i="31"/>
  <c r="Z23" i="31"/>
  <c r="W23" i="31"/>
  <c r="T23" i="31"/>
  <c r="Q23" i="31"/>
  <c r="N23" i="31"/>
  <c r="K23" i="31"/>
  <c r="H23" i="31"/>
  <c r="E23" i="31"/>
  <c r="DX22" i="31"/>
  <c r="DU22" i="31"/>
  <c r="DR22" i="31"/>
  <c r="DO22" i="31"/>
  <c r="DL22" i="31"/>
  <c r="DI22" i="31"/>
  <c r="DF22" i="31"/>
  <c r="DC22" i="31"/>
  <c r="CZ22" i="31"/>
  <c r="CW22" i="31"/>
  <c r="CT22" i="31"/>
  <c r="CQ22" i="31"/>
  <c r="CN22" i="31"/>
  <c r="CK22" i="31"/>
  <c r="CH22" i="31"/>
  <c r="CE22" i="31"/>
  <c r="CB22" i="31"/>
  <c r="BY22" i="31"/>
  <c r="BV22" i="31"/>
  <c r="BS22" i="31"/>
  <c r="BO22" i="31"/>
  <c r="BP22" i="31" s="1"/>
  <c r="BL22" i="31"/>
  <c r="BM22" i="31" s="1"/>
  <c r="BJ22" i="31"/>
  <c r="BF22" i="31"/>
  <c r="BG22" i="31" s="1"/>
  <c r="BD22" i="31"/>
  <c r="AZ22" i="31"/>
  <c r="BA22" i="31" s="1"/>
  <c r="AX22" i="31"/>
  <c r="AU22" i="31"/>
  <c r="AR22" i="31"/>
  <c r="AO22" i="31"/>
  <c r="AL22" i="31"/>
  <c r="AI22" i="31"/>
  <c r="AF22" i="31"/>
  <c r="AC22" i="31"/>
  <c r="Z22" i="31"/>
  <c r="W22" i="31"/>
  <c r="T22" i="31"/>
  <c r="Q22" i="31"/>
  <c r="N22" i="31"/>
  <c r="K22" i="31"/>
  <c r="H22" i="31"/>
  <c r="E22" i="31"/>
  <c r="DX21" i="31"/>
  <c r="DU21" i="31"/>
  <c r="DR21" i="31"/>
  <c r="DO21" i="31"/>
  <c r="DL21" i="31"/>
  <c r="DI21" i="31"/>
  <c r="DF21" i="31"/>
  <c r="DC21" i="31"/>
  <c r="CZ21" i="31"/>
  <c r="CW21" i="31"/>
  <c r="CT21" i="31"/>
  <c r="CQ21" i="31"/>
  <c r="CN21" i="31"/>
  <c r="CK21" i="31"/>
  <c r="CH21" i="31"/>
  <c r="CE21" i="31"/>
  <c r="CB21" i="31"/>
  <c r="BW21" i="31"/>
  <c r="BY21" i="31" s="1"/>
  <c r="BT21" i="31"/>
  <c r="BV21" i="31" s="1"/>
  <c r="BS21" i="31"/>
  <c r="BP21" i="31"/>
  <c r="BM21" i="31"/>
  <c r="BH21" i="31"/>
  <c r="BJ21" i="31" s="1"/>
  <c r="BE21" i="31"/>
  <c r="BG21" i="31" s="1"/>
  <c r="BB21" i="31"/>
  <c r="BD21" i="31" s="1"/>
  <c r="AY21" i="31"/>
  <c r="BA21" i="31" s="1"/>
  <c r="AX21" i="31"/>
  <c r="AU21" i="31"/>
  <c r="AR21" i="31"/>
  <c r="AO21" i="31"/>
  <c r="AL21" i="31"/>
  <c r="AI21" i="31"/>
  <c r="AF21" i="31"/>
  <c r="AC21" i="31"/>
  <c r="Z21" i="31"/>
  <c r="W21" i="31"/>
  <c r="T21" i="31"/>
  <c r="Q21" i="31"/>
  <c r="N21" i="31"/>
  <c r="K21" i="31"/>
  <c r="H21" i="31"/>
  <c r="E21" i="31"/>
  <c r="DX18" i="31"/>
  <c r="DU18" i="31"/>
  <c r="DR18" i="31"/>
  <c r="DO18" i="31"/>
  <c r="DL18" i="31"/>
  <c r="DI18" i="31"/>
  <c r="DF18" i="31"/>
  <c r="DC18" i="31"/>
  <c r="CX18" i="31"/>
  <c r="CZ18" i="31" s="1"/>
  <c r="CU18" i="31"/>
  <c r="CW18" i="31" s="1"/>
  <c r="CR18" i="31"/>
  <c r="CT18" i="31" s="1"/>
  <c r="CQ18" i="31"/>
  <c r="CN18" i="31"/>
  <c r="CI18" i="31"/>
  <c r="CK18" i="31" s="1"/>
  <c r="CF18" i="31"/>
  <c r="CH18" i="31" s="1"/>
  <c r="CC18" i="31"/>
  <c r="CE18" i="31" s="1"/>
  <c r="BZ18" i="31"/>
  <c r="CB18" i="31" s="1"/>
  <c r="BW18" i="31"/>
  <c r="BY18" i="31" s="1"/>
  <c r="BT18" i="31"/>
  <c r="BV18" i="31" s="1"/>
  <c r="BS18" i="31"/>
  <c r="BP18" i="31"/>
  <c r="BP63" i="31" s="1"/>
  <c r="BK18" i="31"/>
  <c r="BM18" i="31" s="1"/>
  <c r="BM63" i="31" s="1"/>
  <c r="BM79" i="31" s="1"/>
  <c r="BH18" i="31"/>
  <c r="BJ18" i="31" s="1"/>
  <c r="BJ63" i="31" s="1"/>
  <c r="BJ79" i="31" s="1"/>
  <c r="BE18" i="31"/>
  <c r="BG18" i="31" s="1"/>
  <c r="BG63" i="31" s="1"/>
  <c r="BG79" i="31" s="1"/>
  <c r="BB18" i="31"/>
  <c r="BD18" i="31" s="1"/>
  <c r="BD63" i="31" s="1"/>
  <c r="AY18" i="31"/>
  <c r="BA18" i="31" s="1"/>
  <c r="BA63" i="31" s="1"/>
  <c r="AX18" i="31"/>
  <c r="AS18" i="31"/>
  <c r="AU18" i="31" s="1"/>
  <c r="AP18" i="31"/>
  <c r="AR18" i="31" s="1"/>
  <c r="AM18" i="31"/>
  <c r="AO18" i="31" s="1"/>
  <c r="AL18" i="31"/>
  <c r="AG18" i="31"/>
  <c r="AI18" i="31" s="1"/>
  <c r="AF18" i="31"/>
  <c r="AA18" i="31"/>
  <c r="AC18" i="31" s="1"/>
  <c r="Z18" i="31"/>
  <c r="U18" i="31"/>
  <c r="W18" i="31" s="1"/>
  <c r="T18" i="31"/>
  <c r="O18" i="31"/>
  <c r="Q18" i="31" s="1"/>
  <c r="N18" i="31"/>
  <c r="I18" i="31"/>
  <c r="K18" i="31" s="1"/>
  <c r="H18" i="31"/>
  <c r="E18" i="31"/>
  <c r="DX17" i="31"/>
  <c r="DU17" i="31"/>
  <c r="DR17" i="31"/>
  <c r="DO17" i="31"/>
  <c r="DL17" i="31"/>
  <c r="DI17" i="31"/>
  <c r="DF17" i="31"/>
  <c r="DC17" i="31"/>
  <c r="CZ17" i="31"/>
  <c r="CW17" i="31"/>
  <c r="CT17" i="31"/>
  <c r="CQ17" i="31"/>
  <c r="CN17" i="31"/>
  <c r="CK17" i="31"/>
  <c r="CH17" i="31"/>
  <c r="CC17" i="31"/>
  <c r="CE17" i="31" s="1"/>
  <c r="BZ17" i="31"/>
  <c r="CB17" i="31" s="1"/>
  <c r="BY17" i="31"/>
  <c r="BT17" i="31"/>
  <c r="BV17" i="31" s="1"/>
  <c r="BS17" i="31"/>
  <c r="BP17" i="31"/>
  <c r="BM17" i="31"/>
  <c r="BJ17" i="31"/>
  <c r="BG17" i="31"/>
  <c r="BD17" i="31"/>
  <c r="BA17" i="31"/>
  <c r="AX17" i="31"/>
  <c r="AU17" i="31"/>
  <c r="AR17" i="31"/>
  <c r="AO17" i="31"/>
  <c r="AL17" i="31"/>
  <c r="AG17" i="31"/>
  <c r="AI17" i="31" s="1"/>
  <c r="AF17" i="31"/>
  <c r="AA17" i="31"/>
  <c r="AC17" i="31" s="1"/>
  <c r="Z17" i="31"/>
  <c r="U17" i="31"/>
  <c r="W17" i="31" s="1"/>
  <c r="S17" i="31"/>
  <c r="T17" i="31" s="1"/>
  <c r="O17" i="31"/>
  <c r="Q17" i="31" s="1"/>
  <c r="N17" i="31"/>
  <c r="I17" i="31"/>
  <c r="K17" i="31" s="1"/>
  <c r="H17" i="31"/>
  <c r="C17" i="31"/>
  <c r="E17" i="31" s="1"/>
  <c r="DX16" i="31"/>
  <c r="DU16" i="31"/>
  <c r="DR16" i="31"/>
  <c r="DO16" i="31"/>
  <c r="DL16" i="31"/>
  <c r="DI16" i="31"/>
  <c r="DF16" i="31"/>
  <c r="DC16" i="31"/>
  <c r="CZ16" i="31"/>
  <c r="CW16" i="31"/>
  <c r="CT16" i="31"/>
  <c r="CQ16" i="31"/>
  <c r="CN16" i="31"/>
  <c r="CK16" i="31"/>
  <c r="CH16" i="31"/>
  <c r="CE16" i="31"/>
  <c r="CB16" i="31"/>
  <c r="BY16" i="31"/>
  <c r="BV16" i="31"/>
  <c r="BS16" i="31"/>
  <c r="BP16" i="31"/>
  <c r="BM16" i="31"/>
  <c r="BH16" i="31"/>
  <c r="BJ16" i="31" s="1"/>
  <c r="BE16" i="31"/>
  <c r="BG16" i="31" s="1"/>
  <c r="BD16" i="31"/>
  <c r="BA16" i="31"/>
  <c r="AX16" i="31"/>
  <c r="AU16" i="31"/>
  <c r="AR16" i="31"/>
  <c r="AO16" i="31"/>
  <c r="AL16" i="31"/>
  <c r="AI16" i="31"/>
  <c r="AF16" i="31"/>
  <c r="AC16" i="31"/>
  <c r="Z16" i="31"/>
  <c r="W16" i="31"/>
  <c r="T16" i="31"/>
  <c r="Q16" i="31"/>
  <c r="N16" i="31"/>
  <c r="K16" i="31"/>
  <c r="H16" i="31"/>
  <c r="E16" i="31"/>
  <c r="DX15" i="31"/>
  <c r="DU15" i="31"/>
  <c r="DR15" i="31"/>
  <c r="DO15" i="31"/>
  <c r="DL15" i="31"/>
  <c r="DI15" i="31"/>
  <c r="DF15" i="31"/>
  <c r="DC15" i="31"/>
  <c r="CZ15" i="31"/>
  <c r="CW15" i="31"/>
  <c r="CT15" i="31"/>
  <c r="CQ15" i="31"/>
  <c r="CN15" i="31"/>
  <c r="CK15" i="31"/>
  <c r="CH15" i="31"/>
  <c r="CE15" i="31"/>
  <c r="CB15" i="31"/>
  <c r="BY15" i="31"/>
  <c r="BV15" i="31"/>
  <c r="BS15" i="31"/>
  <c r="BP15" i="31"/>
  <c r="BM15" i="31"/>
  <c r="BJ15" i="31"/>
  <c r="BG15" i="31"/>
  <c r="BD15" i="31"/>
  <c r="BA15" i="31"/>
  <c r="AX15" i="31"/>
  <c r="AU15" i="31"/>
  <c r="AR15" i="31"/>
  <c r="AO15" i="31"/>
  <c r="AL15" i="31"/>
  <c r="AI15" i="31"/>
  <c r="AF15" i="31"/>
  <c r="AC15" i="31"/>
  <c r="Z15" i="31"/>
  <c r="W15" i="31"/>
  <c r="T15" i="31"/>
  <c r="Q15" i="31"/>
  <c r="N15" i="31"/>
  <c r="K15" i="31"/>
  <c r="H15" i="31"/>
  <c r="E15" i="31"/>
  <c r="DX14" i="31"/>
  <c r="DU14" i="31"/>
  <c r="DR14" i="31"/>
  <c r="DO14" i="31"/>
  <c r="DL14" i="31"/>
  <c r="DI14" i="31"/>
  <c r="DF14" i="31"/>
  <c r="DB14" i="31"/>
  <c r="DC14" i="31" s="1"/>
  <c r="CZ14" i="31"/>
  <c r="CW14" i="31"/>
  <c r="CT14" i="31"/>
  <c r="CQ14" i="31"/>
  <c r="CN14" i="31"/>
  <c r="CK14" i="31"/>
  <c r="CH14" i="31"/>
  <c r="CE14" i="31"/>
  <c r="CB14" i="31"/>
  <c r="BY14" i="31"/>
  <c r="BV14" i="31"/>
  <c r="BS14" i="31"/>
  <c r="BP14" i="31"/>
  <c r="BM14" i="31"/>
  <c r="BH14" i="31"/>
  <c r="BJ14" i="31" s="1"/>
  <c r="BG14" i="31"/>
  <c r="BB14" i="31"/>
  <c r="BD14" i="31" s="1"/>
  <c r="BA14" i="31"/>
  <c r="AX14" i="31"/>
  <c r="AU14" i="31"/>
  <c r="AR14" i="31"/>
  <c r="AO14" i="31"/>
  <c r="AL14" i="31"/>
  <c r="AI14" i="31"/>
  <c r="AF14" i="31"/>
  <c r="AC14" i="31"/>
  <c r="Y14" i="31"/>
  <c r="Z14" i="31" s="1"/>
  <c r="W14" i="31"/>
  <c r="S14" i="31"/>
  <c r="T14" i="31" s="1"/>
  <c r="Q14" i="31"/>
  <c r="N14" i="31"/>
  <c r="K14" i="31"/>
  <c r="H14" i="31"/>
  <c r="DX13" i="31"/>
  <c r="DU13" i="31"/>
  <c r="DR13" i="31"/>
  <c r="DO13" i="31"/>
  <c r="DL13" i="31"/>
  <c r="DI13" i="31"/>
  <c r="DF13" i="31"/>
  <c r="DC13" i="31"/>
  <c r="CZ13" i="31"/>
  <c r="CW13" i="31"/>
  <c r="CT13" i="31"/>
  <c r="CQ13" i="31"/>
  <c r="CN13" i="31"/>
  <c r="CK13" i="31"/>
  <c r="CH13" i="31"/>
  <c r="CE13" i="31"/>
  <c r="CB13" i="31"/>
  <c r="BY13" i="31"/>
  <c r="BV13" i="31"/>
  <c r="BS13" i="31"/>
  <c r="BP13" i="31"/>
  <c r="BM13" i="31"/>
  <c r="BI13" i="31"/>
  <c r="BH13" i="31"/>
  <c r="BG13" i="31"/>
  <c r="BC13" i="31"/>
  <c r="BB13" i="31"/>
  <c r="BA13" i="31"/>
  <c r="AX13" i="31"/>
  <c r="AU13" i="31"/>
  <c r="AR13" i="31"/>
  <c r="AO13" i="31"/>
  <c r="AL13" i="31"/>
  <c r="AI13" i="31"/>
  <c r="AF13" i="31"/>
  <c r="AC13" i="31"/>
  <c r="Z13" i="31"/>
  <c r="W13" i="31"/>
  <c r="T13" i="31"/>
  <c r="Q13" i="31"/>
  <c r="N13" i="31"/>
  <c r="K13" i="31"/>
  <c r="H13" i="31"/>
  <c r="E13" i="31"/>
  <c r="DX12" i="31"/>
  <c r="DU12" i="31"/>
  <c r="DR12" i="31"/>
  <c r="DO12" i="31"/>
  <c r="DL12" i="31"/>
  <c r="DI12" i="31"/>
  <c r="DF12" i="31"/>
  <c r="DC12" i="31"/>
  <c r="CZ12" i="31"/>
  <c r="CW12" i="31"/>
  <c r="CT12" i="31"/>
  <c r="CP12" i="31"/>
  <c r="CQ12" i="31" s="1"/>
  <c r="CN12" i="31"/>
  <c r="CK12" i="31"/>
  <c r="CH12" i="31"/>
  <c r="CE12" i="31"/>
  <c r="CB12" i="31"/>
  <c r="BY12" i="31"/>
  <c r="BV12" i="31"/>
  <c r="BS12" i="31"/>
  <c r="BP12" i="31"/>
  <c r="BM12" i="31"/>
  <c r="BI12" i="31"/>
  <c r="BH12" i="31"/>
  <c r="BF12" i="31"/>
  <c r="BE12" i="31"/>
  <c r="BC12" i="31"/>
  <c r="BB12" i="31"/>
  <c r="AZ12" i="31"/>
  <c r="AY12" i="31"/>
  <c r="AX12" i="31"/>
  <c r="AU12" i="31"/>
  <c r="AR12" i="31"/>
  <c r="AO12" i="31"/>
  <c r="AL12" i="31"/>
  <c r="AI12" i="31"/>
  <c r="AF12" i="31"/>
  <c r="AC12" i="31"/>
  <c r="Z12" i="31"/>
  <c r="W12" i="31"/>
  <c r="T12" i="31"/>
  <c r="Q12" i="31"/>
  <c r="N12" i="31"/>
  <c r="K12" i="31"/>
  <c r="H12" i="31"/>
  <c r="E12" i="31"/>
  <c r="DX9" i="31"/>
  <c r="DU9" i="31"/>
  <c r="DR9" i="31"/>
  <c r="DO9" i="31"/>
  <c r="DL9" i="31"/>
  <c r="DI9" i="31"/>
  <c r="DF9" i="31"/>
  <c r="BS9" i="31"/>
  <c r="BP9" i="31"/>
  <c r="BM9" i="31"/>
  <c r="BD9" i="31"/>
  <c r="BA9" i="31"/>
  <c r="DX8" i="31"/>
  <c r="DU8" i="31"/>
  <c r="DR8" i="31"/>
  <c r="DO8" i="31"/>
  <c r="DL8" i="31"/>
  <c r="DI8" i="31"/>
  <c r="DF8" i="31"/>
  <c r="DC8" i="31"/>
  <c r="CZ8" i="31"/>
  <c r="CW8" i="31"/>
  <c r="CT8" i="31"/>
  <c r="CQ8" i="31"/>
  <c r="CN8" i="31"/>
  <c r="CK8" i="31"/>
  <c r="CH8" i="31"/>
  <c r="CE8" i="31"/>
  <c r="CB8" i="31"/>
  <c r="BY8" i="31"/>
  <c r="BV8" i="31"/>
  <c r="BS8" i="31"/>
  <c r="BP8" i="31"/>
  <c r="BM8" i="31"/>
  <c r="BH8" i="31"/>
  <c r="BJ8" i="31" s="1"/>
  <c r="BE8" i="31"/>
  <c r="BG8" i="31" s="1"/>
  <c r="BD8" i="31"/>
  <c r="BA8" i="31"/>
  <c r="AX8" i="31"/>
  <c r="AU8" i="31"/>
  <c r="AR8" i="31"/>
  <c r="AO8" i="31"/>
  <c r="AL8" i="31"/>
  <c r="AI8" i="31"/>
  <c r="AF8" i="31"/>
  <c r="AC8" i="31"/>
  <c r="Z8" i="31"/>
  <c r="W8" i="31"/>
  <c r="T8" i="31"/>
  <c r="Q8" i="31"/>
  <c r="N8" i="31"/>
  <c r="K8" i="31"/>
  <c r="H8" i="31"/>
  <c r="E8" i="31"/>
  <c r="DX7" i="31"/>
  <c r="DU7" i="31"/>
  <c r="DR7" i="31"/>
  <c r="DO7" i="31"/>
  <c r="DL7" i="31"/>
  <c r="DI7" i="31"/>
  <c r="DF7" i="31"/>
  <c r="DC7" i="31"/>
  <c r="CZ7" i="31"/>
  <c r="CW7" i="31"/>
  <c r="CT7" i="31"/>
  <c r="CQ7" i="31"/>
  <c r="CN7" i="31"/>
  <c r="CK7" i="31"/>
  <c r="CH7" i="31"/>
  <c r="CE7" i="31"/>
  <c r="CB7" i="31"/>
  <c r="BY7" i="31"/>
  <c r="BV7" i="31"/>
  <c r="BS7" i="31"/>
  <c r="BP7" i="31"/>
  <c r="BM7" i="31"/>
  <c r="BJ7" i="31"/>
  <c r="BG7" i="31"/>
  <c r="BD7" i="31"/>
  <c r="BA7" i="31"/>
  <c r="AX7" i="31"/>
  <c r="AU7" i="31"/>
  <c r="AR7" i="31"/>
  <c r="AO7" i="31"/>
  <c r="AL7" i="31"/>
  <c r="AI7" i="31"/>
  <c r="AF7" i="31"/>
  <c r="AC7" i="31"/>
  <c r="Z7" i="31"/>
  <c r="W7" i="31"/>
  <c r="T7" i="31"/>
  <c r="Q7" i="31"/>
  <c r="N7" i="31"/>
  <c r="K7" i="31"/>
  <c r="H7" i="31"/>
  <c r="E7" i="31"/>
  <c r="DX6" i="31"/>
  <c r="DU6" i="31"/>
  <c r="DR6" i="31"/>
  <c r="DO6" i="31"/>
  <c r="DL6" i="31"/>
  <c r="DI6" i="31"/>
  <c r="DF6" i="31"/>
  <c r="DC6" i="31"/>
  <c r="CZ6" i="31"/>
  <c r="CW6" i="31"/>
  <c r="CT6" i="31"/>
  <c r="CQ6" i="31"/>
  <c r="CN6" i="31"/>
  <c r="CK6" i="31"/>
  <c r="CH6" i="31"/>
  <c r="CE6" i="31"/>
  <c r="CB6" i="31"/>
  <c r="BY6" i="31"/>
  <c r="BV6" i="31"/>
  <c r="BS6" i="31"/>
  <c r="BP6" i="31"/>
  <c r="BM6" i="31"/>
  <c r="BJ6" i="31"/>
  <c r="BG6" i="31"/>
  <c r="BD6" i="31"/>
  <c r="BA6" i="31"/>
  <c r="AX6" i="31"/>
  <c r="AU6" i="31"/>
  <c r="AR6" i="31"/>
  <c r="AO6" i="31"/>
  <c r="AL6" i="31"/>
  <c r="AI6" i="31"/>
  <c r="AF6" i="31"/>
  <c r="AC6" i="31"/>
  <c r="Z6" i="31"/>
  <c r="W6" i="31"/>
  <c r="T6" i="31"/>
  <c r="Q6" i="31"/>
  <c r="N6" i="31"/>
  <c r="K6" i="31"/>
  <c r="H6" i="31"/>
  <c r="E6" i="31"/>
  <c r="DX5" i="31"/>
  <c r="DU5" i="31"/>
  <c r="DR5" i="31"/>
  <c r="DO5" i="31"/>
  <c r="DL5" i="31"/>
  <c r="DI5" i="31"/>
  <c r="DF5" i="31"/>
  <c r="DC5" i="31"/>
  <c r="CZ5" i="31"/>
  <c r="CW5" i="31"/>
  <c r="CV9" i="31" s="1"/>
  <c r="CW9" i="31" s="1"/>
  <c r="CT5" i="31"/>
  <c r="CO5" i="31"/>
  <c r="CO42" i="31" s="1"/>
  <c r="CQ42" i="31" s="1"/>
  <c r="CL5" i="31"/>
  <c r="CN5" i="31" s="1"/>
  <c r="CK5" i="31"/>
  <c r="CH5" i="31"/>
  <c r="CE5" i="31"/>
  <c r="CB5" i="31"/>
  <c r="BY5" i="31"/>
  <c r="BV5" i="31"/>
  <c r="BS5" i="31"/>
  <c r="BP5" i="31"/>
  <c r="BM5" i="31"/>
  <c r="BE48" i="31"/>
  <c r="BG48" i="31" s="1"/>
  <c r="BD5" i="31"/>
  <c r="BA5" i="31"/>
  <c r="AX5" i="31"/>
  <c r="AU5" i="31"/>
  <c r="AR5" i="31"/>
  <c r="AO5" i="31"/>
  <c r="AL5" i="31"/>
  <c r="AI5" i="31"/>
  <c r="AF5" i="31"/>
  <c r="AC5" i="31"/>
  <c r="Z5" i="31"/>
  <c r="W5" i="31"/>
  <c r="T5" i="31"/>
  <c r="Q5" i="31"/>
  <c r="N5" i="31"/>
  <c r="K5" i="31"/>
  <c r="H5" i="31"/>
  <c r="E5" i="31"/>
  <c r="DS3" i="31"/>
  <c r="DP3" i="31"/>
  <c r="DM3" i="31"/>
  <c r="DJ3" i="31"/>
  <c r="DG3" i="31"/>
  <c r="DD3" i="31"/>
  <c r="BD79" i="31" l="1"/>
  <c r="BP79" i="31"/>
  <c r="DB9" i="31"/>
  <c r="DC9" i="31" s="1"/>
  <c r="DC10" i="31" s="1"/>
  <c r="AB9" i="31"/>
  <c r="AC9" i="31" s="1"/>
  <c r="AC10" i="31" s="1"/>
  <c r="BA79" i="31"/>
  <c r="D9" i="31"/>
  <c r="E9" i="31" s="1"/>
  <c r="BJ13" i="31"/>
  <c r="BD13" i="31"/>
  <c r="DO46" i="31"/>
  <c r="BJ32" i="31"/>
  <c r="BJ38" i="31" s="1"/>
  <c r="BA12" i="31"/>
  <c r="BA19" i="31" s="1"/>
  <c r="AO46" i="31"/>
  <c r="M9" i="31"/>
  <c r="N9" i="31" s="1"/>
  <c r="N10" i="31" s="1"/>
  <c r="Y9" i="31"/>
  <c r="Z9" i="31" s="1"/>
  <c r="Z10" i="31" s="1"/>
  <c r="AK9" i="31"/>
  <c r="AL9" i="31" s="1"/>
  <c r="AL10" i="31" s="1"/>
  <c r="AW9" i="31"/>
  <c r="AX9" i="31" s="1"/>
  <c r="AX10" i="31" s="1"/>
  <c r="CQ5" i="31"/>
  <c r="CP9" i="31" s="1"/>
  <c r="CQ9" i="31" s="1"/>
  <c r="BD12" i="31"/>
  <c r="G9" i="31"/>
  <c r="H9" i="31" s="1"/>
  <c r="H10" i="31" s="1"/>
  <c r="S9" i="31"/>
  <c r="T9" i="31" s="1"/>
  <c r="T10" i="31" s="1"/>
  <c r="AE9" i="31"/>
  <c r="AF9" i="31" s="1"/>
  <c r="AF10" i="31" s="1"/>
  <c r="AQ9" i="31"/>
  <c r="AR9" i="31" s="1"/>
  <c r="AR10" i="31" s="1"/>
  <c r="BD10" i="31"/>
  <c r="BM46" i="31"/>
  <c r="CE42" i="31"/>
  <c r="CE46" i="31" s="1"/>
  <c r="BM10" i="31"/>
  <c r="BJ46" i="31"/>
  <c r="CH46" i="31"/>
  <c r="AL19" i="31"/>
  <c r="AX19" i="31"/>
  <c r="BJ12" i="31"/>
  <c r="BJ19" i="31" s="1"/>
  <c r="DU19" i="31"/>
  <c r="BY38" i="31"/>
  <c r="BD46" i="31"/>
  <c r="BS10" i="31"/>
  <c r="CD9" i="31"/>
  <c r="CE9" i="31" s="1"/>
  <c r="CE10" i="31" s="1"/>
  <c r="P9" i="31"/>
  <c r="Q9" i="31" s="1"/>
  <c r="Q10" i="31" s="1"/>
  <c r="AN9" i="31"/>
  <c r="AO9" i="31" s="1"/>
  <c r="AO10" i="31" s="1"/>
  <c r="BY19" i="31"/>
  <c r="AX46" i="31"/>
  <c r="BV46" i="31"/>
  <c r="CZ46" i="31"/>
  <c r="DI46" i="31"/>
  <c r="DU46" i="31"/>
  <c r="CN19" i="31"/>
  <c r="DL19" i="31"/>
  <c r="DX19" i="31"/>
  <c r="DF19" i="31"/>
  <c r="BP46" i="31"/>
  <c r="CT46" i="31"/>
  <c r="CB42" i="31"/>
  <c r="CB46" i="31" s="1"/>
  <c r="BH48" i="31"/>
  <c r="BJ48" i="31" s="1"/>
  <c r="BJ5" i="31"/>
  <c r="J9" i="31"/>
  <c r="K9" i="31" s="1"/>
  <c r="K10" i="31" s="1"/>
  <c r="BP10" i="31"/>
  <c r="CS9" i="31"/>
  <c r="CT9" i="31" s="1"/>
  <c r="CT10" i="31" s="1"/>
  <c r="K19" i="31"/>
  <c r="W19" i="31"/>
  <c r="AI19" i="31"/>
  <c r="AU19" i="31"/>
  <c r="BG12" i="31"/>
  <c r="BG19" i="31" s="1"/>
  <c r="BM19" i="31"/>
  <c r="CK19" i="31"/>
  <c r="CW19" i="31"/>
  <c r="DI19" i="31"/>
  <c r="H38" i="31"/>
  <c r="T38" i="31"/>
  <c r="AR38" i="31"/>
  <c r="CH38" i="31"/>
  <c r="CT38" i="31"/>
  <c r="DF38" i="31"/>
  <c r="DR38" i="31"/>
  <c r="AF38" i="31"/>
  <c r="DC46" i="31"/>
  <c r="CO44" i="31"/>
  <c r="CQ44" i="31" s="1"/>
  <c r="CO45" i="31"/>
  <c r="CQ45" i="31" s="1"/>
  <c r="Z19" i="31"/>
  <c r="N19" i="31"/>
  <c r="BD38" i="31"/>
  <c r="E46" i="31"/>
  <c r="K46" i="31"/>
  <c r="Q46" i="31"/>
  <c r="AI46" i="31"/>
  <c r="BA46" i="31"/>
  <c r="BS46" i="31"/>
  <c r="CK46" i="31"/>
  <c r="W46" i="31"/>
  <c r="DL10" i="31"/>
  <c r="DX10" i="31"/>
  <c r="DF10" i="31"/>
  <c r="DR10" i="31"/>
  <c r="E19" i="31"/>
  <c r="Q19" i="31"/>
  <c r="AO19" i="31"/>
  <c r="BS19" i="31"/>
  <c r="CE19" i="31"/>
  <c r="CQ19" i="31"/>
  <c r="DO19" i="31"/>
  <c r="N38" i="31"/>
  <c r="Z38" i="31"/>
  <c r="AL38" i="31"/>
  <c r="AX38" i="31"/>
  <c r="BG38" i="31"/>
  <c r="CN38" i="31"/>
  <c r="CZ38" i="31"/>
  <c r="DL38" i="31"/>
  <c r="CB38" i="31"/>
  <c r="DX38" i="31"/>
  <c r="DR46" i="31"/>
  <c r="BX9" i="31"/>
  <c r="BY9" i="31" s="1"/>
  <c r="BY10" i="31" s="1"/>
  <c r="CJ9" i="31"/>
  <c r="CK9" i="31" s="1"/>
  <c r="CK10" i="31" s="1"/>
  <c r="DO10" i="31"/>
  <c r="E10" i="31"/>
  <c r="BA10" i="31"/>
  <c r="CW10" i="31"/>
  <c r="DI10" i="31"/>
  <c r="DU10" i="31"/>
  <c r="BV19" i="31"/>
  <c r="CH19" i="31"/>
  <c r="CT19" i="31"/>
  <c r="DR19" i="31"/>
  <c r="H46" i="31"/>
  <c r="N46" i="31"/>
  <c r="T46" i="31"/>
  <c r="Z46" i="31"/>
  <c r="AF46" i="31"/>
  <c r="AL46" i="31"/>
  <c r="AR46" i="31"/>
  <c r="AC19" i="31"/>
  <c r="BP38" i="31"/>
  <c r="DC19" i="31"/>
  <c r="V9" i="31"/>
  <c r="W9" i="31" s="1"/>
  <c r="W10" i="31" s="1"/>
  <c r="AH9" i="31"/>
  <c r="AI9" i="31" s="1"/>
  <c r="AI10" i="31" s="1"/>
  <c r="AT9" i="31"/>
  <c r="AU9" i="31" s="1"/>
  <c r="AU10" i="31" s="1"/>
  <c r="BG5" i="31"/>
  <c r="CL49" i="31"/>
  <c r="CN49" i="31" s="1"/>
  <c r="CL45" i="31"/>
  <c r="CN45" i="31" s="1"/>
  <c r="CL43" i="31"/>
  <c r="CN43" i="31" s="1"/>
  <c r="CL42" i="31"/>
  <c r="CN42" i="31" s="1"/>
  <c r="CL40" i="31"/>
  <c r="CN40" i="31" s="1"/>
  <c r="CL44" i="31"/>
  <c r="CN44" i="31" s="1"/>
  <c r="BU9" i="31"/>
  <c r="BV9" i="31" s="1"/>
  <c r="BV10" i="31" s="1"/>
  <c r="CA9" i="31"/>
  <c r="CB9" i="31" s="1"/>
  <c r="CB10" i="31" s="1"/>
  <c r="CG9" i="31"/>
  <c r="CH9" i="31" s="1"/>
  <c r="CH10" i="31" s="1"/>
  <c r="CM9" i="31"/>
  <c r="CN9" i="31" s="1"/>
  <c r="CN10" i="31" s="1"/>
  <c r="CY9" i="31"/>
  <c r="CZ9" i="31" s="1"/>
  <c r="CZ10" i="31" s="1"/>
  <c r="E38" i="31"/>
  <c r="Q38" i="31"/>
  <c r="AC38" i="31"/>
  <c r="AO38" i="31"/>
  <c r="BS38" i="31"/>
  <c r="CK38" i="31"/>
  <c r="CW38" i="31"/>
  <c r="DI38" i="31"/>
  <c r="DU38" i="31"/>
  <c r="CZ19" i="31"/>
  <c r="BA38" i="31"/>
  <c r="BG46" i="31"/>
  <c r="CO49" i="31"/>
  <c r="CQ49" i="31" s="1"/>
  <c r="CO41" i="31"/>
  <c r="CQ41" i="31" s="1"/>
  <c r="CO43" i="31"/>
  <c r="CQ43" i="31" s="1"/>
  <c r="CO40" i="31"/>
  <c r="CQ40" i="31" s="1"/>
  <c r="H19" i="31"/>
  <c r="T19" i="31"/>
  <c r="AF19" i="31"/>
  <c r="AR19" i="31"/>
  <c r="BP19" i="31"/>
  <c r="CB19" i="31"/>
  <c r="K38" i="31"/>
  <c r="W38" i="31"/>
  <c r="AI38" i="31"/>
  <c r="AU38" i="31"/>
  <c r="BM38" i="31"/>
  <c r="BV38" i="31"/>
  <c r="CE38" i="31"/>
  <c r="CQ38" i="31"/>
  <c r="DC38" i="31"/>
  <c r="DO38" i="31"/>
  <c r="CW46" i="31"/>
  <c r="CL41" i="31"/>
  <c r="CN41" i="31" s="1"/>
  <c r="DL46" i="31"/>
  <c r="DX46" i="31"/>
  <c r="AC46" i="31"/>
  <c r="AU46" i="31"/>
  <c r="BY46" i="31"/>
  <c r="DF46" i="31"/>
  <c r="BS54" i="31"/>
  <c r="G394" i="10" l="1"/>
  <c r="G414" i="10"/>
  <c r="AP52" i="31"/>
  <c r="AR52" i="31" s="1"/>
  <c r="AR54" i="31" s="1"/>
  <c r="AR55" i="31" s="1"/>
  <c r="AR56" i="31" s="1"/>
  <c r="BD19" i="31"/>
  <c r="BB52" i="31" s="1"/>
  <c r="BD52" i="31" s="1"/>
  <c r="BD54" i="31" s="1"/>
  <c r="BD55" i="31" s="1"/>
  <c r="CX52" i="31"/>
  <c r="CZ52" i="31" s="1"/>
  <c r="CZ54" i="31" s="1"/>
  <c r="CZ55" i="31" s="1"/>
  <c r="CZ56" i="31" s="1"/>
  <c r="BS55" i="31"/>
  <c r="BS81" i="31" s="1"/>
  <c r="BS82" i="31" s="1"/>
  <c r="BK52" i="31"/>
  <c r="BM52" i="31" s="1"/>
  <c r="BM54" i="31" s="1"/>
  <c r="BM55" i="31" s="1"/>
  <c r="BM81" i="31" s="1"/>
  <c r="BM82" i="31" s="1"/>
  <c r="CQ10" i="31"/>
  <c r="DG52" i="31"/>
  <c r="DI52" i="31" s="1"/>
  <c r="DI54" i="31" s="1"/>
  <c r="DI55" i="31" s="1"/>
  <c r="DI56" i="31" s="1"/>
  <c r="AM52" i="31"/>
  <c r="AO52" i="31" s="1"/>
  <c r="AO54" i="31" s="1"/>
  <c r="AO55" i="31" s="1"/>
  <c r="AO56" i="31" s="1"/>
  <c r="I52" i="31"/>
  <c r="K52" i="31" s="1"/>
  <c r="K54" i="31" s="1"/>
  <c r="K55" i="31" s="1"/>
  <c r="K56" i="31" s="1"/>
  <c r="DV52" i="31"/>
  <c r="DX52" i="31" s="1"/>
  <c r="DX54" i="31" s="1"/>
  <c r="DX55" i="31" s="1"/>
  <c r="DX56" i="31" s="1"/>
  <c r="U52" i="31"/>
  <c r="W52" i="31" s="1"/>
  <c r="W54" i="31" s="1"/>
  <c r="W55" i="31" s="1"/>
  <c r="W56" i="31" s="1"/>
  <c r="F52" i="31"/>
  <c r="H52" i="31" s="1"/>
  <c r="H54" i="31" s="1"/>
  <c r="H55" i="31" s="1"/>
  <c r="H56" i="31" s="1"/>
  <c r="DM52" i="31"/>
  <c r="DO52" i="31" s="1"/>
  <c r="DO54" i="31" s="1"/>
  <c r="DO55" i="31" s="1"/>
  <c r="DO56" i="31" s="1"/>
  <c r="AY52" i="31"/>
  <c r="BA52" i="31" s="1"/>
  <c r="BA54" i="31" s="1"/>
  <c r="BA55" i="31" s="1"/>
  <c r="BW52" i="31"/>
  <c r="BY52" i="31" s="1"/>
  <c r="BY54" i="31" s="1"/>
  <c r="BY55" i="31" s="1"/>
  <c r="BY56" i="31" s="1"/>
  <c r="BT52" i="31"/>
  <c r="BV52" i="31" s="1"/>
  <c r="BV54" i="31" s="1"/>
  <c r="BV55" i="31" s="1"/>
  <c r="BV56" i="31" s="1"/>
  <c r="BI9" i="31"/>
  <c r="BJ9" i="31" s="1"/>
  <c r="BJ10" i="31" s="1"/>
  <c r="DJ52" i="31"/>
  <c r="DL52" i="31" s="1"/>
  <c r="DL54" i="31" s="1"/>
  <c r="DL55" i="31" s="1"/>
  <c r="DL56" i="31" s="1"/>
  <c r="DD52" i="31"/>
  <c r="DF52" i="31" s="1"/>
  <c r="DF54" i="31" s="1"/>
  <c r="DF55" i="31" s="1"/>
  <c r="DF56" i="31" s="1"/>
  <c r="BZ52" i="31"/>
  <c r="CB52" i="31" s="1"/>
  <c r="CB54" i="31" s="1"/>
  <c r="CB55" i="31" s="1"/>
  <c r="BE52" i="31"/>
  <c r="BG52" i="31" s="1"/>
  <c r="BG54" i="31" s="1"/>
  <c r="BG55" i="31" s="1"/>
  <c r="CI52" i="31"/>
  <c r="CK52" i="31" s="1"/>
  <c r="CK54" i="31" s="1"/>
  <c r="CK55" i="31" s="1"/>
  <c r="CK56" i="31" s="1"/>
  <c r="CR52" i="31"/>
  <c r="CT52" i="31" s="1"/>
  <c r="CT54" i="31" s="1"/>
  <c r="CT55" i="31" s="1"/>
  <c r="CT56" i="31" s="1"/>
  <c r="AV52" i="31"/>
  <c r="AX52" i="31" s="1"/>
  <c r="AX54" i="31" s="1"/>
  <c r="AX55" i="31" s="1"/>
  <c r="AX56" i="31" s="1"/>
  <c r="CC52" i="31"/>
  <c r="CE52" i="31" s="1"/>
  <c r="CE54" i="31" s="1"/>
  <c r="CE55" i="31" s="1"/>
  <c r="CE56" i="31" s="1"/>
  <c r="AG52" i="31"/>
  <c r="AI52" i="31" s="1"/>
  <c r="AI54" i="31" s="1"/>
  <c r="AI55" i="31" s="1"/>
  <c r="AI56" i="31" s="1"/>
  <c r="R52" i="31"/>
  <c r="T52" i="31" s="1"/>
  <c r="T54" i="31" s="1"/>
  <c r="T55" i="31" s="1"/>
  <c r="T56" i="31" s="1"/>
  <c r="DS52" i="31"/>
  <c r="DU52" i="31" s="1"/>
  <c r="DU54" i="31" s="1"/>
  <c r="DU55" i="31" s="1"/>
  <c r="DU56" i="31" s="1"/>
  <c r="C52" i="31"/>
  <c r="E52" i="31" s="1"/>
  <c r="E54" i="31" s="1"/>
  <c r="E55" i="31" s="1"/>
  <c r="E56" i="31" s="1"/>
  <c r="CF52" i="31"/>
  <c r="CH52" i="31" s="1"/>
  <c r="CH54" i="31" s="1"/>
  <c r="CH55" i="31" s="1"/>
  <c r="CH56" i="31" s="1"/>
  <c r="AD52" i="31"/>
  <c r="AF52" i="31" s="1"/>
  <c r="AF54" i="31" s="1"/>
  <c r="AF55" i="31" s="1"/>
  <c r="AF56" i="31" s="1"/>
  <c r="O52" i="31"/>
  <c r="Q52" i="31" s="1"/>
  <c r="Q54" i="31" s="1"/>
  <c r="Q55" i="31" s="1"/>
  <c r="Q56" i="31" s="1"/>
  <c r="DP52" i="31"/>
  <c r="DR52" i="31" s="1"/>
  <c r="DR54" i="31" s="1"/>
  <c r="DR55" i="31" s="1"/>
  <c r="DR56" i="31" s="1"/>
  <c r="AJ52" i="31"/>
  <c r="AL52" i="31" s="1"/>
  <c r="AL54" i="31" s="1"/>
  <c r="AL55" i="31" s="1"/>
  <c r="AL56" i="31" s="1"/>
  <c r="AS52" i="31"/>
  <c r="AU52" i="31" s="1"/>
  <c r="AU54" i="31" s="1"/>
  <c r="AU55" i="31" s="1"/>
  <c r="AU56" i="31" s="1"/>
  <c r="CB56" i="31"/>
  <c r="X52" i="31"/>
  <c r="Z52" i="31" s="1"/>
  <c r="Z54" i="31" s="1"/>
  <c r="Z55" i="31" s="1"/>
  <c r="Z56" i="31" s="1"/>
  <c r="L52" i="31"/>
  <c r="N52" i="31" s="1"/>
  <c r="N54" i="31" s="1"/>
  <c r="N55" i="31" s="1"/>
  <c r="N56" i="31" s="1"/>
  <c r="CU52" i="31"/>
  <c r="CW52" i="31" s="1"/>
  <c r="CW54" i="31" s="1"/>
  <c r="CW55" i="31" s="1"/>
  <c r="CW56" i="31" s="1"/>
  <c r="CQ46" i="31"/>
  <c r="CO52" i="31" s="1"/>
  <c r="CQ52" i="31" s="1"/>
  <c r="CQ54" i="31" s="1"/>
  <c r="CQ55" i="31" s="1"/>
  <c r="DA52" i="31"/>
  <c r="DC52" i="31" s="1"/>
  <c r="DC54" i="31" s="1"/>
  <c r="DC55" i="31" s="1"/>
  <c r="DC56" i="31" s="1"/>
  <c r="CN46" i="31"/>
  <c r="CL52" i="31" s="1"/>
  <c r="CN52" i="31" s="1"/>
  <c r="CN54" i="31" s="1"/>
  <c r="CN55" i="31" s="1"/>
  <c r="CN56" i="31" s="1"/>
  <c r="BH52" i="31"/>
  <c r="BJ52" i="31" s="1"/>
  <c r="BJ54" i="31" s="1"/>
  <c r="BJ55" i="31" s="1"/>
  <c r="AA52" i="31"/>
  <c r="AC52" i="31" s="1"/>
  <c r="AC54" i="31" s="1"/>
  <c r="AC55" i="31" s="1"/>
  <c r="AC56" i="31" s="1"/>
  <c r="BN52" i="31"/>
  <c r="BP52" i="31" s="1"/>
  <c r="BP54" i="31" s="1"/>
  <c r="BP55" i="31" s="1"/>
  <c r="BF9" i="31"/>
  <c r="BG9" i="31" s="1"/>
  <c r="BG10" i="31" s="1"/>
  <c r="G398" i="10" l="1"/>
  <c r="G403" i="10" s="1"/>
  <c r="CQ56" i="31"/>
  <c r="G380" i="10"/>
  <c r="G395" i="10" s="1"/>
  <c r="BM56" i="31"/>
  <c r="BG81" i="31"/>
  <c r="BG82" i="31" s="1"/>
  <c r="BA56" i="31"/>
  <c r="BA81" i="31"/>
  <c r="BA82" i="31" s="1"/>
  <c r="BD56" i="31"/>
  <c r="BD81" i="31"/>
  <c r="BD82" i="31" s="1"/>
  <c r="BS56" i="31"/>
  <c r="BJ81" i="31"/>
  <c r="BJ82" i="31" s="1"/>
  <c r="BG56" i="31"/>
  <c r="BP81" i="31"/>
  <c r="BP82" i="31" s="1"/>
  <c r="BP56" i="31"/>
  <c r="BJ56" i="31"/>
  <c r="C110" i="24" l="1"/>
  <c r="C149" i="24" s="1"/>
  <c r="E39" i="24"/>
  <c r="O104" i="24"/>
  <c r="C122" i="24"/>
  <c r="G114" i="10"/>
  <c r="E69" i="24"/>
  <c r="E67" i="24"/>
  <c r="A1" i="25"/>
  <c r="Q23" i="10"/>
  <c r="O23" i="10"/>
  <c r="M23" i="10"/>
  <c r="K23" i="10"/>
  <c r="Q22" i="10"/>
  <c r="O22" i="10"/>
  <c r="M22" i="10"/>
  <c r="K22" i="10"/>
  <c r="G23" i="10"/>
  <c r="G22" i="10"/>
  <c r="G121" i="10" s="1"/>
  <c r="B117" i="10"/>
  <c r="B111" i="10"/>
  <c r="D117" i="10"/>
  <c r="D125" i="10"/>
  <c r="D132" i="10"/>
  <c r="B120" i="10"/>
  <c r="B121" i="10"/>
  <c r="B122" i="10"/>
  <c r="D62" i="4"/>
  <c r="D64" i="4"/>
  <c r="D68" i="4"/>
  <c r="D63" i="4"/>
  <c r="D93" i="4"/>
  <c r="D73" i="4"/>
  <c r="D70" i="4"/>
  <c r="D83" i="4"/>
  <c r="D106" i="4"/>
  <c r="D81" i="4"/>
  <c r="D60" i="4"/>
  <c r="D103" i="4"/>
  <c r="D101" i="4"/>
  <c r="D115" i="4"/>
  <c r="D45" i="4"/>
  <c r="D48" i="4"/>
  <c r="D65" i="4"/>
  <c r="D113" i="4"/>
  <c r="D89" i="4"/>
  <c r="D76" i="4"/>
  <c r="D79" i="4"/>
  <c r="D99" i="4"/>
  <c r="D56" i="4"/>
  <c r="D57" i="4"/>
  <c r="D92" i="4"/>
  <c r="D41" i="4"/>
  <c r="D54" i="4"/>
  <c r="D42" i="4"/>
  <c r="D51" i="4"/>
  <c r="D118" i="4"/>
  <c r="D59" i="4"/>
  <c r="D87" i="4"/>
  <c r="D72" i="4"/>
  <c r="D123" i="4"/>
  <c r="D120" i="4"/>
  <c r="D112" i="4"/>
  <c r="D38" i="4"/>
  <c r="D98" i="4"/>
  <c r="D67" i="4"/>
  <c r="D124" i="4"/>
  <c r="D40" i="4"/>
  <c r="D102" i="4"/>
  <c r="D84" i="4"/>
  <c r="D75" i="4"/>
  <c r="D53" i="4"/>
  <c r="D69" i="4"/>
  <c r="D47" i="4"/>
  <c r="D96" i="4"/>
  <c r="D116" i="4"/>
  <c r="D50" i="4"/>
  <c r="D44" i="4"/>
  <c r="D78" i="4"/>
  <c r="D36" i="4"/>
  <c r="D39" i="4"/>
  <c r="D90" i="4"/>
  <c r="D109" i="4"/>
  <c r="D104" i="4"/>
  <c r="D86" i="4"/>
  <c r="D107" i="4"/>
  <c r="D80" i="4"/>
  <c r="D95" i="4"/>
  <c r="D117" i="4"/>
  <c r="D37" i="4"/>
  <c r="D110" i="4"/>
  <c r="D121" i="4"/>
  <c r="B216" i="10"/>
  <c r="B209" i="10"/>
  <c r="B202" i="10"/>
  <c r="B188" i="10"/>
  <c r="D188" i="10"/>
  <c r="D216" i="10"/>
  <c r="D209" i="10"/>
  <c r="D202" i="10"/>
  <c r="D146" i="10"/>
  <c r="N86" i="13"/>
  <c r="L86" i="13"/>
  <c r="J86" i="13"/>
  <c r="H86" i="13"/>
  <c r="F86" i="13"/>
  <c r="H30" i="13"/>
  <c r="J30" i="13"/>
  <c r="L30" i="13"/>
  <c r="N30" i="13"/>
  <c r="F61" i="13"/>
  <c r="C99" i="9"/>
  <c r="C46" i="9"/>
  <c r="N6" i="9"/>
  <c r="N7" i="9"/>
  <c r="N8" i="9"/>
  <c r="N9" i="9"/>
  <c r="N10" i="9"/>
  <c r="N11" i="9"/>
  <c r="N12" i="9"/>
  <c r="N13" i="9"/>
  <c r="N14" i="9"/>
  <c r="N15" i="9"/>
  <c r="N16" i="9"/>
  <c r="N17" i="9"/>
  <c r="N18" i="9"/>
  <c r="N19" i="9"/>
  <c r="N20" i="9"/>
  <c r="N21" i="9"/>
  <c r="N22" i="9"/>
  <c r="N23" i="9"/>
  <c r="N24" i="9"/>
  <c r="N25" i="9"/>
  <c r="N26" i="9"/>
  <c r="N27" i="9"/>
  <c r="N28" i="9"/>
  <c r="N29" i="9"/>
  <c r="N30" i="9"/>
  <c r="N31" i="9"/>
  <c r="N32" i="9"/>
  <c r="N33" i="9"/>
  <c r="N34" i="9"/>
  <c r="N35" i="9"/>
  <c r="N36" i="9"/>
  <c r="N37" i="9"/>
  <c r="N38" i="9"/>
  <c r="N39" i="9"/>
  <c r="N40" i="9"/>
  <c r="N41" i="9"/>
  <c r="N42" i="9"/>
  <c r="N43" i="9"/>
  <c r="N44" i="9"/>
  <c r="N45" i="9"/>
  <c r="N46" i="9"/>
  <c r="N47" i="9"/>
  <c r="N48" i="9"/>
  <c r="N49" i="9"/>
  <c r="N50" i="9"/>
  <c r="N51" i="9"/>
  <c r="N52" i="9"/>
  <c r="N53" i="9"/>
  <c r="N54" i="9"/>
  <c r="N55" i="9"/>
  <c r="N56" i="9"/>
  <c r="N57" i="9"/>
  <c r="N58" i="9"/>
  <c r="N59" i="9"/>
  <c r="N60" i="9"/>
  <c r="N61" i="9"/>
  <c r="N62" i="9"/>
  <c r="N63" i="9"/>
  <c r="N64" i="9"/>
  <c r="N65" i="9"/>
  <c r="N66" i="9"/>
  <c r="N67" i="9"/>
  <c r="N68" i="9"/>
  <c r="N69" i="9"/>
  <c r="N70" i="9"/>
  <c r="N71" i="9"/>
  <c r="N72" i="9"/>
  <c r="N73" i="9"/>
  <c r="N74" i="9"/>
  <c r="N75" i="9"/>
  <c r="N76" i="9"/>
  <c r="N77" i="9"/>
  <c r="N78" i="9"/>
  <c r="N79" i="9"/>
  <c r="N80" i="9"/>
  <c r="N81" i="9"/>
  <c r="N82" i="9"/>
  <c r="N83" i="9"/>
  <c r="N84" i="9"/>
  <c r="N85" i="9"/>
  <c r="N86" i="9"/>
  <c r="N87" i="9"/>
  <c r="N88" i="9"/>
  <c r="N5" i="9"/>
  <c r="C100" i="9"/>
  <c r="N32" i="29"/>
  <c r="N31" i="29"/>
  <c r="N29" i="29"/>
  <c r="N30" i="29"/>
  <c r="E18" i="13"/>
  <c r="C91" i="9"/>
  <c r="F23" i="13"/>
  <c r="F21" i="13"/>
  <c r="F30" i="13"/>
  <c r="M182" i="24"/>
  <c r="N182" i="24" s="1"/>
  <c r="O182" i="24" s="1"/>
  <c r="B247" i="24"/>
  <c r="B246" i="24"/>
  <c r="B245" i="24"/>
  <c r="I58" i="24"/>
  <c r="I57" i="24"/>
  <c r="F17" i="24"/>
  <c r="N153" i="24" s="1"/>
  <c r="C218" i="24"/>
  <c r="J210" i="24"/>
  <c r="I210" i="24"/>
  <c r="H210" i="24"/>
  <c r="J209" i="24"/>
  <c r="I209" i="24"/>
  <c r="H209" i="24"/>
  <c r="J208" i="24"/>
  <c r="I208" i="24"/>
  <c r="H208" i="24"/>
  <c r="L206" i="24"/>
  <c r="L208" i="24" s="1"/>
  <c r="E184" i="24"/>
  <c r="E185" i="24" s="1"/>
  <c r="F185" i="24" s="1"/>
  <c r="G185" i="24" s="1"/>
  <c r="F183" i="24"/>
  <c r="G183" i="24" s="1"/>
  <c r="D183" i="24"/>
  <c r="C183" i="24" s="1"/>
  <c r="E182" i="24"/>
  <c r="F182" i="24" s="1"/>
  <c r="G182" i="24" s="1"/>
  <c r="L181" i="24"/>
  <c r="K181" i="24" s="1"/>
  <c r="M180" i="24"/>
  <c r="M179" i="24" s="1"/>
  <c r="P173" i="24"/>
  <c r="H171" i="24"/>
  <c r="R169" i="24"/>
  <c r="Q166" i="24"/>
  <c r="N150" i="24"/>
  <c r="M150" i="24"/>
  <c r="L150" i="24"/>
  <c r="N148" i="24"/>
  <c r="M148" i="24"/>
  <c r="L148" i="24"/>
  <c r="J144" i="24"/>
  <c r="H144" i="24"/>
  <c r="F144" i="24"/>
  <c r="D144" i="24"/>
  <c r="I122" i="24"/>
  <c r="G122" i="24"/>
  <c r="E122" i="24"/>
  <c r="I119" i="24"/>
  <c r="G119" i="24"/>
  <c r="E119" i="24"/>
  <c r="C119" i="24"/>
  <c r="I118" i="24"/>
  <c r="G118" i="24"/>
  <c r="E118" i="24"/>
  <c r="C118" i="24"/>
  <c r="I114" i="24"/>
  <c r="G114" i="24"/>
  <c r="C114" i="24"/>
  <c r="I110" i="24"/>
  <c r="I126" i="24" s="1"/>
  <c r="G110" i="24"/>
  <c r="G135" i="24" s="1"/>
  <c r="E110" i="24"/>
  <c r="E133" i="24" s="1"/>
  <c r="C159" i="24"/>
  <c r="I108" i="24"/>
  <c r="G108" i="24"/>
  <c r="E108" i="24"/>
  <c r="C108" i="24"/>
  <c r="O105" i="24"/>
  <c r="I97" i="24"/>
  <c r="D97" i="24"/>
  <c r="I96" i="24"/>
  <c r="F96" i="24"/>
  <c r="D95" i="24"/>
  <c r="I94" i="24"/>
  <c r="H94" i="24"/>
  <c r="G94" i="24"/>
  <c r="F94" i="24"/>
  <c r="C94" i="24"/>
  <c r="I93" i="24"/>
  <c r="H93" i="24"/>
  <c r="G93" i="24"/>
  <c r="F93" i="24"/>
  <c r="E93" i="24"/>
  <c r="D93" i="24"/>
  <c r="C93" i="24"/>
  <c r="I92" i="24"/>
  <c r="H92" i="24"/>
  <c r="G92" i="24"/>
  <c r="F92" i="24"/>
  <c r="E91" i="24"/>
  <c r="E92" i="24" s="1"/>
  <c r="D91" i="24"/>
  <c r="D92" i="24" s="1"/>
  <c r="C91" i="24"/>
  <c r="C92" i="24" s="1"/>
  <c r="E88" i="24"/>
  <c r="D88" i="24"/>
  <c r="C88" i="24"/>
  <c r="D83" i="24"/>
  <c r="D82" i="24"/>
  <c r="E68" i="24"/>
  <c r="G67" i="24"/>
  <c r="F67" i="24"/>
  <c r="D64" i="24"/>
  <c r="E63" i="24"/>
  <c r="C48" i="24"/>
  <c r="C47" i="24"/>
  <c r="D46" i="24"/>
  <c r="D45" i="24"/>
  <c r="D44" i="24"/>
  <c r="E38" i="24"/>
  <c r="O36" i="24"/>
  <c r="O35" i="24"/>
  <c r="O34" i="24"/>
  <c r="O33" i="24"/>
  <c r="O32" i="24"/>
  <c r="N31" i="24"/>
  <c r="O31" i="24" s="1"/>
  <c r="O30" i="24"/>
  <c r="O29" i="24"/>
  <c r="O28" i="24"/>
  <c r="O27" i="24"/>
  <c r="O26" i="24"/>
  <c r="O25" i="24"/>
  <c r="J17" i="24"/>
  <c r="E17" i="24"/>
  <c r="M153" i="24" s="1"/>
  <c r="D17" i="24"/>
  <c r="F171" i="24"/>
  <c r="H21" i="13"/>
  <c r="N181" i="24"/>
  <c r="O181" i="24" s="1"/>
  <c r="Q165" i="24"/>
  <c r="C124" i="24"/>
  <c r="C125" i="24"/>
  <c r="C126" i="24"/>
  <c r="C127" i="24"/>
  <c r="C128" i="24"/>
  <c r="C129" i="24"/>
  <c r="C130" i="24"/>
  <c r="C131" i="24"/>
  <c r="C132" i="24"/>
  <c r="C133" i="24"/>
  <c r="C134" i="24"/>
  <c r="C135" i="24"/>
  <c r="C136" i="24"/>
  <c r="C143" i="24"/>
  <c r="C146" i="24"/>
  <c r="C155" i="24"/>
  <c r="C166" i="24"/>
  <c r="C168" i="24"/>
  <c r="C165" i="24"/>
  <c r="C164" i="24"/>
  <c r="C163" i="24"/>
  <c r="C162" i="24"/>
  <c r="C161" i="24"/>
  <c r="C160" i="24"/>
  <c r="D169" i="24"/>
  <c r="C167" i="24"/>
  <c r="C140" i="24"/>
  <c r="C147" i="24"/>
  <c r="C153" i="24"/>
  <c r="C156" i="24"/>
  <c r="C137" i="24"/>
  <c r="C141" i="24"/>
  <c r="C157" i="24"/>
  <c r="C138" i="24"/>
  <c r="C142" i="24"/>
  <c r="C150" i="24"/>
  <c r="C154" i="24"/>
  <c r="C158" i="24"/>
  <c r="D107" i="13"/>
  <c r="D461" i="10"/>
  <c r="B461" i="10"/>
  <c r="D460" i="10"/>
  <c r="B460" i="10"/>
  <c r="D459" i="10"/>
  <c r="B459" i="10"/>
  <c r="D181" i="10"/>
  <c r="D174" i="10"/>
  <c r="D167" i="10"/>
  <c r="D160" i="10"/>
  <c r="D153" i="10"/>
  <c r="D106" i="13"/>
  <c r="C106" i="13"/>
  <c r="D105" i="13"/>
  <c r="D104" i="13"/>
  <c r="D103" i="13"/>
  <c r="D102" i="13"/>
  <c r="C102" i="13"/>
  <c r="D101" i="13"/>
  <c r="C101" i="13"/>
  <c r="D100" i="13"/>
  <c r="C100" i="13"/>
  <c r="D99" i="13"/>
  <c r="C99" i="13"/>
  <c r="D98" i="13"/>
  <c r="C98" i="13"/>
  <c r="D97" i="13"/>
  <c r="C97" i="13"/>
  <c r="D96" i="13"/>
  <c r="C96" i="13"/>
  <c r="D95" i="13"/>
  <c r="C95" i="13"/>
  <c r="D94" i="13"/>
  <c r="C94" i="13"/>
  <c r="D93" i="13"/>
  <c r="C93" i="13"/>
  <c r="D92" i="13"/>
  <c r="C92" i="13"/>
  <c r="D91" i="13"/>
  <c r="C91" i="13"/>
  <c r="D90" i="13"/>
  <c r="C90" i="13"/>
  <c r="D89" i="13"/>
  <c r="C89" i="13"/>
  <c r="D88" i="13"/>
  <c r="C88" i="13"/>
  <c r="C63" i="13"/>
  <c r="D63" i="13"/>
  <c r="F63" i="13"/>
  <c r="C64" i="13"/>
  <c r="D64" i="13"/>
  <c r="C65" i="13"/>
  <c r="D65" i="13"/>
  <c r="C66" i="13"/>
  <c r="D66" i="13"/>
  <c r="B437" i="10"/>
  <c r="B436" i="10"/>
  <c r="B435" i="10"/>
  <c r="B338" i="10"/>
  <c r="B339" i="10"/>
  <c r="B337" i="10"/>
  <c r="D437" i="10"/>
  <c r="D436" i="10"/>
  <c r="C104" i="13" s="1"/>
  <c r="D435" i="10"/>
  <c r="B132" i="10"/>
  <c r="N75" i="14"/>
  <c r="M75" i="14"/>
  <c r="L75" i="14"/>
  <c r="K75" i="14"/>
  <c r="J75" i="14"/>
  <c r="I75" i="14"/>
  <c r="H75" i="14"/>
  <c r="G75" i="14"/>
  <c r="F75" i="14"/>
  <c r="E75" i="14"/>
  <c r="N56" i="14"/>
  <c r="L56" i="14"/>
  <c r="J56" i="14"/>
  <c r="H56" i="14"/>
  <c r="F56" i="14"/>
  <c r="E56" i="14"/>
  <c r="M25" i="14"/>
  <c r="K25" i="14"/>
  <c r="I25" i="14"/>
  <c r="G25" i="14"/>
  <c r="E25" i="14"/>
  <c r="N13" i="14"/>
  <c r="L13" i="14"/>
  <c r="J13" i="14"/>
  <c r="H13" i="14"/>
  <c r="F13" i="14"/>
  <c r="N12" i="14"/>
  <c r="L11" i="14"/>
  <c r="J10" i="14"/>
  <c r="H9" i="14"/>
  <c r="F8" i="14"/>
  <c r="I22" i="10"/>
  <c r="H63" i="13"/>
  <c r="I9" i="1"/>
  <c r="B307" i="10"/>
  <c r="B306" i="10"/>
  <c r="D305" i="10"/>
  <c r="B305" i="10"/>
  <c r="B304" i="10"/>
  <c r="B303" i="10"/>
  <c r="D302" i="10"/>
  <c r="B302" i="10"/>
  <c r="B301" i="10"/>
  <c r="B300" i="10"/>
  <c r="D299" i="10"/>
  <c r="B299" i="10"/>
  <c r="B291" i="10"/>
  <c r="B288" i="10"/>
  <c r="B282" i="10"/>
  <c r="B279" i="10"/>
  <c r="B276" i="10"/>
  <c r="B273" i="10"/>
  <c r="B363" i="10"/>
  <c r="B362" i="10"/>
  <c r="B361" i="10"/>
  <c r="B360" i="10"/>
  <c r="B359" i="10"/>
  <c r="B358" i="10"/>
  <c r="B357" i="10"/>
  <c r="B356" i="10"/>
  <c r="B355" i="10"/>
  <c r="B354" i="10"/>
  <c r="B353" i="10"/>
  <c r="B352" i="10"/>
  <c r="B351" i="10"/>
  <c r="B350" i="10"/>
  <c r="B349" i="10"/>
  <c r="B348" i="10"/>
  <c r="B347" i="10"/>
  <c r="B346" i="10"/>
  <c r="B345" i="10"/>
  <c r="B246" i="10"/>
  <c r="B245" i="10"/>
  <c r="D238" i="10"/>
  <c r="D231" i="10"/>
  <c r="D224" i="10"/>
  <c r="D230" i="10" s="1"/>
  <c r="B215" i="10"/>
  <c r="B214" i="10"/>
  <c r="B213" i="10"/>
  <c r="B212" i="10"/>
  <c r="B211" i="10"/>
  <c r="B210" i="10"/>
  <c r="B208" i="10"/>
  <c r="B207" i="10"/>
  <c r="B206" i="10"/>
  <c r="B205" i="10"/>
  <c r="B204" i="10"/>
  <c r="B203" i="10"/>
  <c r="B201" i="10"/>
  <c r="B200" i="10"/>
  <c r="B199" i="10"/>
  <c r="B198" i="10"/>
  <c r="B197" i="10"/>
  <c r="B196" i="10"/>
  <c r="B187" i="10"/>
  <c r="B186" i="10"/>
  <c r="B185" i="10"/>
  <c r="B184" i="10"/>
  <c r="B183" i="10"/>
  <c r="B182" i="10"/>
  <c r="B181" i="10"/>
  <c r="B180" i="10"/>
  <c r="B179" i="10"/>
  <c r="B178" i="10"/>
  <c r="B177" i="10"/>
  <c r="B176" i="10"/>
  <c r="B175" i="10"/>
  <c r="B174" i="10"/>
  <c r="B173" i="10"/>
  <c r="B172" i="10"/>
  <c r="B171" i="10"/>
  <c r="B170" i="10"/>
  <c r="B169" i="10"/>
  <c r="B168" i="10"/>
  <c r="B167" i="10"/>
  <c r="B166" i="10"/>
  <c r="B165" i="10"/>
  <c r="B164" i="10"/>
  <c r="B163" i="10"/>
  <c r="B162" i="10"/>
  <c r="B161" i="10"/>
  <c r="B160" i="10"/>
  <c r="B159" i="10"/>
  <c r="B158" i="10"/>
  <c r="B157" i="10"/>
  <c r="B156" i="10"/>
  <c r="B155" i="10"/>
  <c r="B154" i="10"/>
  <c r="B153" i="10"/>
  <c r="B152" i="10"/>
  <c r="B151" i="10"/>
  <c r="B150" i="10"/>
  <c r="B149" i="10"/>
  <c r="B148" i="10"/>
  <c r="B147" i="10"/>
  <c r="B146" i="10"/>
  <c r="B145" i="10"/>
  <c r="B144" i="10"/>
  <c r="B143" i="10"/>
  <c r="B142" i="10"/>
  <c r="B141" i="10"/>
  <c r="B140" i="10"/>
  <c r="B139" i="10"/>
  <c r="D139" i="10" s="1"/>
  <c r="B138" i="10"/>
  <c r="B137" i="10"/>
  <c r="B136" i="10"/>
  <c r="B135" i="10"/>
  <c r="B134" i="10"/>
  <c r="B133" i="10"/>
  <c r="B131" i="10"/>
  <c r="B130" i="10"/>
  <c r="B129" i="10"/>
  <c r="B128" i="10"/>
  <c r="B127" i="10"/>
  <c r="B126" i="10"/>
  <c r="B124" i="10"/>
  <c r="B123" i="10"/>
  <c r="B119" i="10"/>
  <c r="B118" i="10"/>
  <c r="B116" i="10"/>
  <c r="B115" i="10"/>
  <c r="B114" i="10"/>
  <c r="B113" i="10"/>
  <c r="B112" i="10"/>
  <c r="B110" i="10"/>
  <c r="B109" i="10"/>
  <c r="B108" i="10"/>
  <c r="B107" i="10"/>
  <c r="B106" i="10"/>
  <c r="P3" i="10"/>
  <c r="N3" i="10"/>
  <c r="L3" i="10"/>
  <c r="J3" i="10"/>
  <c r="H3" i="10"/>
  <c r="P2" i="10"/>
  <c r="N2" i="10"/>
  <c r="L2" i="10"/>
  <c r="J2" i="10"/>
  <c r="H2" i="10"/>
  <c r="N61" i="13"/>
  <c r="L61" i="13"/>
  <c r="J61" i="13"/>
  <c r="H61" i="13"/>
  <c r="M18" i="13"/>
  <c r="K18" i="13"/>
  <c r="I18" i="13"/>
  <c r="G18" i="13"/>
  <c r="A35" i="1"/>
  <c r="A34" i="1"/>
  <c r="A33" i="1"/>
  <c r="F77" i="10"/>
  <c r="D200" i="4"/>
  <c r="D157" i="4"/>
  <c r="D148" i="4"/>
  <c r="D178" i="4"/>
  <c r="D188" i="4"/>
  <c r="D145" i="4"/>
  <c r="D154" i="4"/>
  <c r="D150" i="4"/>
  <c r="D167" i="4"/>
  <c r="D194" i="4"/>
  <c r="D155" i="4"/>
  <c r="D186" i="4"/>
  <c r="D176" i="4"/>
  <c r="D151" i="4"/>
  <c r="D142" i="4"/>
  <c r="D125" i="4"/>
  <c r="D129" i="4"/>
  <c r="D128" i="4"/>
  <c r="D199" i="4"/>
  <c r="D197" i="4"/>
  <c r="D193" i="4"/>
  <c r="D160" i="4"/>
  <c r="D175" i="4"/>
  <c r="D195" i="4"/>
  <c r="D140" i="4"/>
  <c r="D158" i="4"/>
  <c r="D130" i="4"/>
  <c r="D180" i="4"/>
  <c r="D164" i="4"/>
  <c r="D170" i="4"/>
  <c r="D133" i="4"/>
  <c r="D177" i="4"/>
  <c r="D143" i="4"/>
  <c r="D135" i="4"/>
  <c r="D169" i="4"/>
  <c r="D185" i="4"/>
  <c r="D136" i="4"/>
  <c r="D166" i="4"/>
  <c r="D146" i="4"/>
  <c r="D201" i="4"/>
  <c r="D163" i="4"/>
  <c r="D183" i="4"/>
  <c r="D181" i="4"/>
  <c r="D131" i="4"/>
  <c r="D137" i="4"/>
  <c r="D173" i="4"/>
  <c r="D141" i="4"/>
  <c r="D161" i="4"/>
  <c r="D153" i="4"/>
  <c r="D138" i="4"/>
  <c r="D127" i="4"/>
  <c r="D172" i="4"/>
  <c r="D190" i="4"/>
  <c r="D126" i="4"/>
  <c r="K383" i="10" l="1"/>
  <c r="K397" i="10"/>
  <c r="M383" i="10"/>
  <c r="M397" i="10"/>
  <c r="Q383" i="10"/>
  <c r="Q397" i="10"/>
  <c r="O383" i="10"/>
  <c r="O397" i="10"/>
  <c r="I159" i="23"/>
  <c r="K159" i="23"/>
  <c r="M159" i="23"/>
  <c r="O159" i="23"/>
  <c r="Q159" i="23"/>
  <c r="I41" i="23"/>
  <c r="K41" i="23"/>
  <c r="M41" i="23"/>
  <c r="O41" i="23"/>
  <c r="Q41" i="23"/>
  <c r="I44" i="23"/>
  <c r="I39" i="23"/>
  <c r="I40" i="23"/>
  <c r="K45" i="23"/>
  <c r="I156" i="23"/>
  <c r="K38" i="23"/>
  <c r="K46" i="23"/>
  <c r="I45" i="23"/>
  <c r="I51" i="23"/>
  <c r="K40" i="23"/>
  <c r="K283" i="23" s="1"/>
  <c r="K44" i="23"/>
  <c r="I47" i="23"/>
  <c r="K51" i="23"/>
  <c r="K156" i="23"/>
  <c r="K39" i="23"/>
  <c r="K37" i="23"/>
  <c r="I46" i="23"/>
  <c r="K47" i="23"/>
  <c r="I37" i="23"/>
  <c r="I38" i="23"/>
  <c r="M156" i="23"/>
  <c r="M38" i="23"/>
  <c r="M47" i="23"/>
  <c r="M46" i="23"/>
  <c r="M44" i="23"/>
  <c r="M37" i="23"/>
  <c r="M39" i="23"/>
  <c r="M51" i="23"/>
  <c r="M45" i="23"/>
  <c r="M40" i="23"/>
  <c r="O40" i="23"/>
  <c r="O283" i="23" s="1"/>
  <c r="O37" i="23"/>
  <c r="O156" i="23"/>
  <c r="O44" i="23"/>
  <c r="O38" i="23"/>
  <c r="O47" i="23"/>
  <c r="O45" i="23"/>
  <c r="O39" i="23"/>
  <c r="O51" i="23"/>
  <c r="O46" i="23"/>
  <c r="Q47" i="23"/>
  <c r="Q51" i="23"/>
  <c r="Q38" i="23"/>
  <c r="Q37" i="23"/>
  <c r="Q46" i="23"/>
  <c r="Q39" i="23"/>
  <c r="Q44" i="23"/>
  <c r="Q45" i="23"/>
  <c r="Q40" i="23"/>
  <c r="Q156" i="23"/>
  <c r="Q139" i="23"/>
  <c r="O139" i="23"/>
  <c r="K139" i="23"/>
  <c r="M139" i="23"/>
  <c r="I139" i="23"/>
  <c r="I30" i="23"/>
  <c r="K30" i="23"/>
  <c r="M30" i="23"/>
  <c r="O30" i="23"/>
  <c r="Q30" i="23"/>
  <c r="O254" i="23"/>
  <c r="M254" i="23"/>
  <c r="I254" i="23"/>
  <c r="K254" i="23"/>
  <c r="Q254" i="23"/>
  <c r="I397" i="10"/>
  <c r="I383" i="10"/>
  <c r="M388" i="10"/>
  <c r="K37" i="10"/>
  <c r="M44" i="10"/>
  <c r="M389" i="10"/>
  <c r="M49" i="10"/>
  <c r="M390" i="10"/>
  <c r="I84" i="13" s="1"/>
  <c r="Q106" i="10"/>
  <c r="O106" i="10"/>
  <c r="M106" i="10"/>
  <c r="I106" i="10"/>
  <c r="K106" i="10"/>
  <c r="K28" i="10" s="1"/>
  <c r="K30" i="10" s="1"/>
  <c r="K161" i="10"/>
  <c r="M161" i="10"/>
  <c r="O161" i="10"/>
  <c r="Q161" i="10"/>
  <c r="I161" i="10"/>
  <c r="O245" i="10"/>
  <c r="I245" i="10"/>
  <c r="I340" i="10" s="1"/>
  <c r="Q245" i="10"/>
  <c r="K245" i="10"/>
  <c r="M245" i="10"/>
  <c r="K233" i="10"/>
  <c r="K219" i="10"/>
  <c r="J296" i="10" s="1"/>
  <c r="J297" i="10" s="1"/>
  <c r="K205" i="10"/>
  <c r="K191" i="10"/>
  <c r="J284" i="10" s="1"/>
  <c r="K177" i="10"/>
  <c r="K163" i="10"/>
  <c r="K149" i="10"/>
  <c r="K135" i="10"/>
  <c r="K109" i="10"/>
  <c r="K239" i="10"/>
  <c r="K225" i="10"/>
  <c r="K211" i="10"/>
  <c r="K197" i="10"/>
  <c r="K183" i="10"/>
  <c r="K169" i="10"/>
  <c r="K155" i="10"/>
  <c r="K141" i="10"/>
  <c r="K127" i="10"/>
  <c r="K113" i="10"/>
  <c r="K242" i="10"/>
  <c r="K228" i="10"/>
  <c r="K214" i="10"/>
  <c r="K200" i="10"/>
  <c r="K186" i="10"/>
  <c r="K172" i="10"/>
  <c r="K158" i="10"/>
  <c r="K144" i="10"/>
  <c r="K130" i="10"/>
  <c r="K107" i="10"/>
  <c r="K240" i="10"/>
  <c r="K226" i="10"/>
  <c r="K212" i="10"/>
  <c r="K198" i="10"/>
  <c r="K184" i="10"/>
  <c r="K170" i="10"/>
  <c r="K156" i="10"/>
  <c r="K142" i="10"/>
  <c r="K128" i="10"/>
  <c r="J260" i="10" s="1"/>
  <c r="K246" i="10"/>
  <c r="K232" i="10"/>
  <c r="K218" i="10"/>
  <c r="K204" i="10"/>
  <c r="K190" i="10"/>
  <c r="K176" i="10"/>
  <c r="K162" i="10"/>
  <c r="K148" i="10"/>
  <c r="K134" i="10"/>
  <c r="K235" i="10"/>
  <c r="K221" i="10"/>
  <c r="K207" i="10"/>
  <c r="K193" i="10"/>
  <c r="K179" i="10"/>
  <c r="K165" i="10"/>
  <c r="K151" i="10"/>
  <c r="K137" i="10"/>
  <c r="K123" i="10"/>
  <c r="K115" i="10"/>
  <c r="K119" i="10"/>
  <c r="K332" i="10"/>
  <c r="K336" i="10"/>
  <c r="M37" i="10"/>
  <c r="O389" i="10"/>
  <c r="O44" i="10"/>
  <c r="O49" i="10"/>
  <c r="O390" i="10"/>
  <c r="K84" i="13" s="1"/>
  <c r="O388" i="10"/>
  <c r="O154" i="10"/>
  <c r="Q154" i="10"/>
  <c r="I154" i="10"/>
  <c r="K154" i="10"/>
  <c r="M154" i="10"/>
  <c r="M203" i="10"/>
  <c r="I203" i="10"/>
  <c r="K203" i="10"/>
  <c r="O203" i="10"/>
  <c r="Q203" i="10"/>
  <c r="I119" i="10"/>
  <c r="I233" i="10"/>
  <c r="I219" i="10"/>
  <c r="I205" i="10"/>
  <c r="I191" i="10"/>
  <c r="I177" i="10"/>
  <c r="I163" i="10"/>
  <c r="I149" i="10"/>
  <c r="I135" i="10"/>
  <c r="I239" i="10"/>
  <c r="I225" i="10"/>
  <c r="I211" i="10"/>
  <c r="I197" i="10"/>
  <c r="I183" i="10"/>
  <c r="I169" i="10"/>
  <c r="I155" i="10"/>
  <c r="I141" i="10"/>
  <c r="I127" i="10"/>
  <c r="I113" i="10"/>
  <c r="I107" i="10"/>
  <c r="I345" i="10" s="1"/>
  <c r="I240" i="10"/>
  <c r="I226" i="10"/>
  <c r="I212" i="10"/>
  <c r="I198" i="10"/>
  <c r="I184" i="10"/>
  <c r="I170" i="10"/>
  <c r="I156" i="10"/>
  <c r="I142" i="10"/>
  <c r="I128" i="10"/>
  <c r="H260" i="10" s="1"/>
  <c r="I246" i="10"/>
  <c r="I232" i="10"/>
  <c r="I218" i="10"/>
  <c r="I204" i="10"/>
  <c r="I190" i="10"/>
  <c r="I176" i="10"/>
  <c r="I162" i="10"/>
  <c r="I148" i="10"/>
  <c r="I134" i="10"/>
  <c r="I336" i="10"/>
  <c r="I332" i="10"/>
  <c r="M239" i="10"/>
  <c r="M225" i="10"/>
  <c r="M211" i="10"/>
  <c r="M197" i="10"/>
  <c r="M183" i="10"/>
  <c r="M169" i="10"/>
  <c r="M155" i="10"/>
  <c r="M141" i="10"/>
  <c r="M127" i="10"/>
  <c r="M113" i="10"/>
  <c r="M242" i="10"/>
  <c r="M228" i="10"/>
  <c r="M214" i="10"/>
  <c r="M200" i="10"/>
  <c r="M186" i="10"/>
  <c r="M172" i="10"/>
  <c r="M158" i="10"/>
  <c r="M144" i="10"/>
  <c r="M130" i="10"/>
  <c r="M107" i="10"/>
  <c r="M345" i="10" s="1"/>
  <c r="M240" i="10"/>
  <c r="M226" i="10"/>
  <c r="M212" i="10"/>
  <c r="M198" i="10"/>
  <c r="M184" i="10"/>
  <c r="M170" i="10"/>
  <c r="M156" i="10"/>
  <c r="M142" i="10"/>
  <c r="M128" i="10"/>
  <c r="L260" i="10" s="1"/>
  <c r="M246" i="10"/>
  <c r="M232" i="10"/>
  <c r="M218" i="10"/>
  <c r="M204" i="10"/>
  <c r="M190" i="10"/>
  <c r="M176" i="10"/>
  <c r="M162" i="10"/>
  <c r="M148" i="10"/>
  <c r="M134" i="10"/>
  <c r="M235" i="10"/>
  <c r="M221" i="10"/>
  <c r="M207" i="10"/>
  <c r="M193" i="10"/>
  <c r="M179" i="10"/>
  <c r="M165" i="10"/>
  <c r="M151" i="10"/>
  <c r="M137" i="10"/>
  <c r="M123" i="10"/>
  <c r="M119" i="10"/>
  <c r="M115" i="10"/>
  <c r="M233" i="10"/>
  <c r="M219" i="10"/>
  <c r="L296" i="10" s="1"/>
  <c r="L297" i="10" s="1"/>
  <c r="M205" i="10"/>
  <c r="M135" i="10"/>
  <c r="M177" i="10"/>
  <c r="M109" i="10"/>
  <c r="M191" i="10"/>
  <c r="L284" i="10" s="1"/>
  <c r="M149" i="10"/>
  <c r="M163" i="10"/>
  <c r="M336" i="10"/>
  <c r="M332" i="10"/>
  <c r="Q389" i="10"/>
  <c r="M83" i="13" s="1"/>
  <c r="Q44" i="10"/>
  <c r="Q49" i="10"/>
  <c r="Q390" i="10"/>
  <c r="Q388" i="10"/>
  <c r="O37" i="10"/>
  <c r="M118" i="10"/>
  <c r="K118" i="10"/>
  <c r="O118" i="10"/>
  <c r="Q118" i="10"/>
  <c r="I118" i="10"/>
  <c r="I324" i="10" s="1"/>
  <c r="M147" i="10"/>
  <c r="K147" i="10"/>
  <c r="O147" i="10"/>
  <c r="I147" i="10"/>
  <c r="Q147" i="10"/>
  <c r="O242" i="10"/>
  <c r="O228" i="10"/>
  <c r="O214" i="10"/>
  <c r="O200" i="10"/>
  <c r="O186" i="10"/>
  <c r="O172" i="10"/>
  <c r="O158" i="10"/>
  <c r="O144" i="10"/>
  <c r="O130" i="10"/>
  <c r="O107" i="10"/>
  <c r="O239" i="10"/>
  <c r="O240" i="10"/>
  <c r="O226" i="10"/>
  <c r="O212" i="10"/>
  <c r="O198" i="10"/>
  <c r="O184" i="10"/>
  <c r="O170" i="10"/>
  <c r="O156" i="10"/>
  <c r="O142" i="10"/>
  <c r="O128" i="10"/>
  <c r="N260" i="10" s="1"/>
  <c r="O246" i="10"/>
  <c r="O232" i="10"/>
  <c r="O218" i="10"/>
  <c r="O204" i="10"/>
  <c r="O190" i="10"/>
  <c r="O176" i="10"/>
  <c r="O162" i="10"/>
  <c r="O148" i="10"/>
  <c r="O134" i="10"/>
  <c r="O235" i="10"/>
  <c r="O221" i="10"/>
  <c r="O207" i="10"/>
  <c r="O193" i="10"/>
  <c r="O179" i="10"/>
  <c r="O165" i="10"/>
  <c r="O151" i="10"/>
  <c r="O137" i="10"/>
  <c r="O123" i="10"/>
  <c r="O119" i="10"/>
  <c r="O349" i="10" s="1"/>
  <c r="O115" i="10"/>
  <c r="O233" i="10"/>
  <c r="O219" i="10"/>
  <c r="N296" i="10" s="1"/>
  <c r="O205" i="10"/>
  <c r="O191" i="10"/>
  <c r="N284" i="10" s="1"/>
  <c r="O177" i="10"/>
  <c r="O163" i="10"/>
  <c r="O149" i="10"/>
  <c r="O135" i="10"/>
  <c r="O109" i="10"/>
  <c r="O225" i="10"/>
  <c r="O183" i="10"/>
  <c r="O113" i="10"/>
  <c r="O169" i="10"/>
  <c r="O155" i="10"/>
  <c r="O197" i="10"/>
  <c r="O127" i="10"/>
  <c r="O211" i="10"/>
  <c r="O141" i="10"/>
  <c r="O336" i="10"/>
  <c r="O332" i="10"/>
  <c r="I140" i="10"/>
  <c r="I325" i="10" s="1"/>
  <c r="M140" i="10"/>
  <c r="K140" i="10"/>
  <c r="O140" i="10"/>
  <c r="Q140" i="10"/>
  <c r="M196" i="10"/>
  <c r="O196" i="10"/>
  <c r="Q196" i="10"/>
  <c r="I196" i="10"/>
  <c r="I333" i="10" s="1"/>
  <c r="K196" i="10"/>
  <c r="Q242" i="10"/>
  <c r="Q214" i="10"/>
  <c r="Q240" i="10"/>
  <c r="Q226" i="10"/>
  <c r="Q212" i="10"/>
  <c r="Q198" i="10"/>
  <c r="Q184" i="10"/>
  <c r="Q170" i="10"/>
  <c r="Q156" i="10"/>
  <c r="Q142" i="10"/>
  <c r="Q128" i="10"/>
  <c r="P260" i="10" s="1"/>
  <c r="Q246" i="10"/>
  <c r="Q232" i="10"/>
  <c r="Q218" i="10"/>
  <c r="Q204" i="10"/>
  <c r="Q190" i="10"/>
  <c r="Q176" i="10"/>
  <c r="Q162" i="10"/>
  <c r="Q148" i="10"/>
  <c r="Q134" i="10"/>
  <c r="Q228" i="10"/>
  <c r="Q235" i="10"/>
  <c r="Q221" i="10"/>
  <c r="Q207" i="10"/>
  <c r="Q193" i="10"/>
  <c r="Q179" i="10"/>
  <c r="Q165" i="10"/>
  <c r="Q151" i="10"/>
  <c r="Q137" i="10"/>
  <c r="Q123" i="10"/>
  <c r="Q119" i="10"/>
  <c r="Q115" i="10"/>
  <c r="Q110" i="10"/>
  <c r="Q215" i="23" s="1"/>
  <c r="Q233" i="10"/>
  <c r="Q219" i="10"/>
  <c r="P296" i="10" s="1"/>
  <c r="Q205" i="10"/>
  <c r="Q191" i="10"/>
  <c r="P284" i="10" s="1"/>
  <c r="Q177" i="10"/>
  <c r="Q163" i="10"/>
  <c r="Q149" i="10"/>
  <c r="Q135" i="10"/>
  <c r="Q109" i="10"/>
  <c r="Q239" i="10"/>
  <c r="Q225" i="10"/>
  <c r="Q211" i="10"/>
  <c r="Q197" i="10"/>
  <c r="Q183" i="10"/>
  <c r="Q169" i="10"/>
  <c r="Q155" i="10"/>
  <c r="Q141" i="10"/>
  <c r="Q350" i="10" s="1"/>
  <c r="Q127" i="10"/>
  <c r="Q113" i="10"/>
  <c r="Q158" i="10"/>
  <c r="Q200" i="10"/>
  <c r="Q130" i="10"/>
  <c r="Q172" i="10"/>
  <c r="Q107" i="10"/>
  <c r="Q144" i="10"/>
  <c r="Q186" i="10"/>
  <c r="Q336" i="10"/>
  <c r="Q332" i="10"/>
  <c r="K133" i="10"/>
  <c r="K322" i="10" s="1"/>
  <c r="O133" i="10"/>
  <c r="M133" i="10"/>
  <c r="Q133" i="10"/>
  <c r="I133" i="10"/>
  <c r="I322" i="10" s="1"/>
  <c r="K234" i="10"/>
  <c r="K220" i="10"/>
  <c r="K206" i="10"/>
  <c r="K192" i="10"/>
  <c r="K178" i="10"/>
  <c r="K164" i="10"/>
  <c r="K150" i="10"/>
  <c r="K136" i="10"/>
  <c r="K122" i="10"/>
  <c r="K241" i="10"/>
  <c r="K213" i="10"/>
  <c r="K227" i="10"/>
  <c r="K157" i="10"/>
  <c r="K199" i="10"/>
  <c r="K129" i="10"/>
  <c r="K171" i="10"/>
  <c r="K143" i="10"/>
  <c r="K185" i="10"/>
  <c r="O112" i="10"/>
  <c r="M112" i="10"/>
  <c r="I112" i="10"/>
  <c r="I419" i="10" s="1"/>
  <c r="Q112" i="10"/>
  <c r="K112" i="10"/>
  <c r="K31" i="10" s="1"/>
  <c r="I182" i="10"/>
  <c r="M182" i="10"/>
  <c r="K182" i="10"/>
  <c r="O182" i="10"/>
  <c r="Q182" i="10"/>
  <c r="M234" i="10"/>
  <c r="M220" i="10"/>
  <c r="M206" i="10"/>
  <c r="M192" i="10"/>
  <c r="M178" i="10"/>
  <c r="M164" i="10"/>
  <c r="M150" i="10"/>
  <c r="M136" i="10"/>
  <c r="M122" i="10"/>
  <c r="M241" i="10"/>
  <c r="M227" i="10"/>
  <c r="M213" i="10"/>
  <c r="M199" i="10"/>
  <c r="M185" i="10"/>
  <c r="M171" i="10"/>
  <c r="M157" i="10"/>
  <c r="M143" i="10"/>
  <c r="M129" i="10"/>
  <c r="I390" i="10"/>
  <c r="I388" i="10"/>
  <c r="I389" i="10"/>
  <c r="I44" i="10"/>
  <c r="I49" i="10"/>
  <c r="M126" i="10"/>
  <c r="I126" i="10"/>
  <c r="I323" i="10" s="1"/>
  <c r="Q126" i="10"/>
  <c r="O126" i="10"/>
  <c r="K126" i="10"/>
  <c r="K323" i="10" s="1"/>
  <c r="O175" i="10"/>
  <c r="I175" i="10"/>
  <c r="M175" i="10"/>
  <c r="Q175" i="10"/>
  <c r="K175" i="10"/>
  <c r="O234" i="10"/>
  <c r="O220" i="10"/>
  <c r="O206" i="10"/>
  <c r="O192" i="10"/>
  <c r="O178" i="10"/>
  <c r="O164" i="10"/>
  <c r="O150" i="10"/>
  <c r="O136" i="10"/>
  <c r="O122" i="10"/>
  <c r="O241" i="10"/>
  <c r="O227" i="10"/>
  <c r="O213" i="10"/>
  <c r="O199" i="10"/>
  <c r="O185" i="10"/>
  <c r="O171" i="10"/>
  <c r="O157" i="10"/>
  <c r="O143" i="10"/>
  <c r="O129" i="10"/>
  <c r="K388" i="10"/>
  <c r="I37" i="10"/>
  <c r="K389" i="10"/>
  <c r="K44" i="10"/>
  <c r="K49" i="10"/>
  <c r="K390" i="10"/>
  <c r="G84" i="13" s="1"/>
  <c r="Q168" i="10"/>
  <c r="I168" i="10"/>
  <c r="O168" i="10"/>
  <c r="K168" i="10"/>
  <c r="M168" i="10"/>
  <c r="Q210" i="10"/>
  <c r="K210" i="10"/>
  <c r="M210" i="10"/>
  <c r="I210" i="10"/>
  <c r="I335" i="10" s="1"/>
  <c r="O210" i="10"/>
  <c r="Q234" i="10"/>
  <c r="Q220" i="10"/>
  <c r="Q206" i="10"/>
  <c r="Q192" i="10"/>
  <c r="Q178" i="10"/>
  <c r="Q164" i="10"/>
  <c r="Q150" i="10"/>
  <c r="Q136" i="10"/>
  <c r="Q122" i="10"/>
  <c r="Q241" i="10"/>
  <c r="Q227" i="10"/>
  <c r="Q213" i="10"/>
  <c r="Q199" i="10"/>
  <c r="Q185" i="10"/>
  <c r="Q171" i="10"/>
  <c r="Q157" i="10"/>
  <c r="Q143" i="10"/>
  <c r="Q129" i="10"/>
  <c r="I166" i="24"/>
  <c r="E82" i="24"/>
  <c r="E95" i="24"/>
  <c r="F95" i="24" s="1"/>
  <c r="K155" i="23" s="1"/>
  <c r="Q282" i="23"/>
  <c r="D47" i="24"/>
  <c r="E83" i="24"/>
  <c r="E94" i="24" s="1"/>
  <c r="D48" i="24"/>
  <c r="E97" i="24"/>
  <c r="F97" i="24" s="1"/>
  <c r="M158" i="23" s="1"/>
  <c r="G116" i="10"/>
  <c r="G213" i="23" s="1"/>
  <c r="G214" i="23"/>
  <c r="G41" i="23"/>
  <c r="I283" i="23"/>
  <c r="M283" i="23"/>
  <c r="G59" i="23"/>
  <c r="G46" i="23"/>
  <c r="G40" i="23"/>
  <c r="G283" i="23" s="1"/>
  <c r="G44" i="23"/>
  <c r="G38" i="23"/>
  <c r="I59" i="23"/>
  <c r="G47" i="23"/>
  <c r="G158" i="23"/>
  <c r="I116" i="23"/>
  <c r="G45" i="23"/>
  <c r="G39" i="23"/>
  <c r="G156" i="23"/>
  <c r="G51" i="23"/>
  <c r="G37" i="23"/>
  <c r="G116" i="23"/>
  <c r="Q116" i="23"/>
  <c r="O116" i="23"/>
  <c r="K59" i="23"/>
  <c r="K116" i="23"/>
  <c r="O59" i="23"/>
  <c r="M59" i="23"/>
  <c r="M116" i="23"/>
  <c r="Q59" i="23"/>
  <c r="G139" i="23"/>
  <c r="G159" i="23"/>
  <c r="M84" i="13"/>
  <c r="G254" i="23"/>
  <c r="G30" i="23"/>
  <c r="E186" i="24"/>
  <c r="D186" i="24" s="1"/>
  <c r="C186" i="24" s="1"/>
  <c r="I34" i="23"/>
  <c r="E146" i="24"/>
  <c r="E132" i="24"/>
  <c r="D185" i="24"/>
  <c r="C185" i="24" s="1"/>
  <c r="E147" i="24"/>
  <c r="E128" i="24"/>
  <c r="D184" i="24"/>
  <c r="C184" i="24" s="1"/>
  <c r="E156" i="24"/>
  <c r="E166" i="24"/>
  <c r="E168" i="24"/>
  <c r="E127" i="24"/>
  <c r="G153" i="24"/>
  <c r="B231" i="10"/>
  <c r="D237" i="10"/>
  <c r="B244" i="10"/>
  <c r="D244" i="10"/>
  <c r="I150" i="24"/>
  <c r="L153" i="24"/>
  <c r="G119" i="10"/>
  <c r="G107" i="10"/>
  <c r="G113" i="10"/>
  <c r="I130" i="24"/>
  <c r="G37" i="10"/>
  <c r="I158" i="24"/>
  <c r="I141" i="24"/>
  <c r="I134" i="24"/>
  <c r="I136" i="24"/>
  <c r="I146" i="24"/>
  <c r="I151" i="24"/>
  <c r="I161" i="24"/>
  <c r="J169" i="24"/>
  <c r="I133" i="24"/>
  <c r="I137" i="24"/>
  <c r="I147" i="24"/>
  <c r="I156" i="24"/>
  <c r="I164" i="24"/>
  <c r="I132" i="24"/>
  <c r="I138" i="24"/>
  <c r="I149" i="24"/>
  <c r="I157" i="24"/>
  <c r="I165" i="24"/>
  <c r="D94" i="24"/>
  <c r="G242" i="10"/>
  <c r="G214" i="10"/>
  <c r="G186" i="10"/>
  <c r="G158" i="10"/>
  <c r="G130" i="10"/>
  <c r="G207" i="10"/>
  <c r="G179" i="10"/>
  <c r="G151" i="10"/>
  <c r="G123" i="10"/>
  <c r="G235" i="10"/>
  <c r="G228" i="10"/>
  <c r="G200" i="10"/>
  <c r="G172" i="10"/>
  <c r="G144" i="10"/>
  <c r="G115" i="10"/>
  <c r="G221" i="10"/>
  <c r="G193" i="10"/>
  <c r="G165" i="10"/>
  <c r="G137" i="10"/>
  <c r="G109" i="10"/>
  <c r="I135" i="24"/>
  <c r="I131" i="24"/>
  <c r="E167" i="24"/>
  <c r="E157" i="24"/>
  <c r="I140" i="24"/>
  <c r="I148" i="24"/>
  <c r="I155" i="24"/>
  <c r="I159" i="24"/>
  <c r="I168" i="24"/>
  <c r="E135" i="24"/>
  <c r="G159" i="24"/>
  <c r="G92" i="10"/>
  <c r="B289" i="10"/>
  <c r="B277" i="10"/>
  <c r="B292" i="10"/>
  <c r="B280" i="10"/>
  <c r="B274" i="10"/>
  <c r="B283" i="10"/>
  <c r="G240" i="10"/>
  <c r="G205" i="10"/>
  <c r="G184" i="10"/>
  <c r="G156" i="10"/>
  <c r="G128" i="10"/>
  <c r="F260" i="10" s="1"/>
  <c r="G225" i="10"/>
  <c r="G204" i="10"/>
  <c r="G169" i="10"/>
  <c r="G141" i="10"/>
  <c r="G177" i="10"/>
  <c r="G246" i="10"/>
  <c r="G438" i="10" s="1"/>
  <c r="G190" i="10"/>
  <c r="G162" i="10"/>
  <c r="G233" i="10"/>
  <c r="G212" i="10"/>
  <c r="G149" i="10"/>
  <c r="G218" i="10"/>
  <c r="G134" i="10"/>
  <c r="G226" i="10"/>
  <c r="G198" i="10"/>
  <c r="G170" i="10"/>
  <c r="G142" i="10"/>
  <c r="G239" i="10"/>
  <c r="G211" i="10"/>
  <c r="G183" i="10"/>
  <c r="G155" i="10"/>
  <c r="G127" i="10"/>
  <c r="G135" i="10"/>
  <c r="G148" i="10"/>
  <c r="G163" i="10"/>
  <c r="G219" i="10"/>
  <c r="G232" i="10"/>
  <c r="G176" i="10"/>
  <c r="G191" i="10"/>
  <c r="G197" i="10"/>
  <c r="G220" i="10"/>
  <c r="G192" i="10"/>
  <c r="G157" i="10"/>
  <c r="G224" i="23" s="1"/>
  <c r="G136" i="10"/>
  <c r="G219" i="23" s="1"/>
  <c r="G241" i="10"/>
  <c r="G213" i="10"/>
  <c r="G178" i="10"/>
  <c r="G227" i="23" s="1"/>
  <c r="G164" i="10"/>
  <c r="G225" i="23" s="1"/>
  <c r="G129" i="10"/>
  <c r="G220" i="23" s="1"/>
  <c r="G171" i="10"/>
  <c r="G226" i="23" s="1"/>
  <c r="G234" i="10"/>
  <c r="G199" i="10"/>
  <c r="G185" i="10"/>
  <c r="G150" i="10"/>
  <c r="G223" i="23" s="1"/>
  <c r="G122" i="10"/>
  <c r="G227" i="10"/>
  <c r="G206" i="10"/>
  <c r="G143" i="10"/>
  <c r="G222" i="23" s="1"/>
  <c r="Q167" i="24"/>
  <c r="C151" i="24"/>
  <c r="C152" i="24"/>
  <c r="G164" i="24"/>
  <c r="I128" i="24"/>
  <c r="I142" i="24"/>
  <c r="I153" i="24"/>
  <c r="I162" i="24"/>
  <c r="I127" i="24"/>
  <c r="I145" i="24"/>
  <c r="I154" i="24"/>
  <c r="I163" i="24"/>
  <c r="I124" i="24"/>
  <c r="H169" i="24"/>
  <c r="G142" i="24"/>
  <c r="G130" i="24"/>
  <c r="G149" i="24"/>
  <c r="G125" i="24"/>
  <c r="G168" i="24"/>
  <c r="G138" i="24"/>
  <c r="G143" i="24"/>
  <c r="G150" i="24"/>
  <c r="G154" i="24"/>
  <c r="G160" i="24"/>
  <c r="G165" i="24"/>
  <c r="G134" i="24"/>
  <c r="G129" i="24"/>
  <c r="P153" i="24"/>
  <c r="L182" i="24"/>
  <c r="K182" i="24" s="1"/>
  <c r="M183" i="24"/>
  <c r="P165" i="24" s="1"/>
  <c r="P167" i="24" s="1"/>
  <c r="P168" i="24" s="1"/>
  <c r="C202" i="24"/>
  <c r="D202" i="24" s="1"/>
  <c r="G166" i="24"/>
  <c r="G140" i="24"/>
  <c r="G145" i="24"/>
  <c r="G151" i="24"/>
  <c r="G156" i="24"/>
  <c r="G161" i="24"/>
  <c r="G133" i="24"/>
  <c r="G127" i="24"/>
  <c r="N25" i="14"/>
  <c r="G167" i="24"/>
  <c r="G141" i="24"/>
  <c r="G146" i="24"/>
  <c r="G152" i="24"/>
  <c r="G158" i="24"/>
  <c r="G162" i="24"/>
  <c r="G131" i="24"/>
  <c r="G126" i="24"/>
  <c r="P148" i="24"/>
  <c r="H25" i="14"/>
  <c r="F25" i="14"/>
  <c r="L25" i="14"/>
  <c r="I125" i="24"/>
  <c r="F169" i="24"/>
  <c r="E148" i="24"/>
  <c r="E160" i="24"/>
  <c r="C139" i="24"/>
  <c r="E125" i="24"/>
  <c r="P150" i="24"/>
  <c r="E150" i="24"/>
  <c r="E140" i="24"/>
  <c r="E152" i="24"/>
  <c r="E162" i="24"/>
  <c r="E126" i="24"/>
  <c r="E134" i="24"/>
  <c r="C145" i="24"/>
  <c r="B235" i="10"/>
  <c r="E141" i="24"/>
  <c r="E153" i="24"/>
  <c r="E163" i="24"/>
  <c r="C144" i="24"/>
  <c r="E124" i="24"/>
  <c r="C148" i="24"/>
  <c r="B234" i="10"/>
  <c r="E137" i="24"/>
  <c r="E161" i="24"/>
  <c r="J25" i="14"/>
  <c r="L180" i="24"/>
  <c r="K180" i="24" s="1"/>
  <c r="E143" i="24"/>
  <c r="E154" i="24"/>
  <c r="E164" i="24"/>
  <c r="N180" i="24"/>
  <c r="O180" i="24" s="1"/>
  <c r="E130" i="24"/>
  <c r="E145" i="24"/>
  <c r="E155" i="24"/>
  <c r="E165" i="24"/>
  <c r="E136" i="24"/>
  <c r="L179" i="24"/>
  <c r="K179" i="24" s="1"/>
  <c r="M178" i="24"/>
  <c r="N179" i="24"/>
  <c r="O179" i="24" s="1"/>
  <c r="E187" i="24"/>
  <c r="G136" i="24"/>
  <c r="G148" i="24"/>
  <c r="G157" i="24"/>
  <c r="G128" i="24"/>
  <c r="E138" i="24"/>
  <c r="E149" i="24"/>
  <c r="E158" i="24"/>
  <c r="E129" i="24"/>
  <c r="I167" i="24"/>
  <c r="I160" i="24"/>
  <c r="I152" i="24"/>
  <c r="I143" i="24"/>
  <c r="I129" i="24"/>
  <c r="D182" i="24"/>
  <c r="C182" i="24" s="1"/>
  <c r="E181" i="24"/>
  <c r="E131" i="24"/>
  <c r="E159" i="24"/>
  <c r="E151" i="24"/>
  <c r="E142" i="24"/>
  <c r="F184" i="24"/>
  <c r="G184" i="24" s="1"/>
  <c r="G124" i="24"/>
  <c r="G132" i="24"/>
  <c r="G163" i="24"/>
  <c r="G155" i="24"/>
  <c r="G147" i="24"/>
  <c r="G137" i="24"/>
  <c r="B229" i="10"/>
  <c r="B228" i="10"/>
  <c r="B225" i="10"/>
  <c r="B242" i="10"/>
  <c r="B241" i="10"/>
  <c r="B227" i="10"/>
  <c r="B224" i="10"/>
  <c r="B226" i="10"/>
  <c r="B243" i="10"/>
  <c r="B240" i="10"/>
  <c r="B230" i="10"/>
  <c r="I23" i="10"/>
  <c r="I115" i="10" s="1"/>
  <c r="B237" i="10"/>
  <c r="B236" i="10"/>
  <c r="B233" i="10"/>
  <c r="B232" i="10"/>
  <c r="L63" i="13"/>
  <c r="N63" i="13"/>
  <c r="J63" i="13"/>
  <c r="C105" i="13"/>
  <c r="C103" i="13"/>
  <c r="B239" i="10"/>
  <c r="B238" i="10"/>
  <c r="Q358" i="10" l="1"/>
  <c r="Q352" i="10"/>
  <c r="G155" i="23"/>
  <c r="G95" i="24"/>
  <c r="O352" i="10"/>
  <c r="O345" i="10"/>
  <c r="F186" i="24"/>
  <c r="G186" i="24" s="1"/>
  <c r="G97" i="24"/>
  <c r="K345" i="10"/>
  <c r="Q353" i="10"/>
  <c r="O358" i="10"/>
  <c r="I353" i="10"/>
  <c r="Q198" i="23"/>
  <c r="Q197" i="23"/>
  <c r="O155" i="23"/>
  <c r="O198" i="23"/>
  <c r="O197" i="23"/>
  <c r="K55" i="23"/>
  <c r="K60" i="23"/>
  <c r="O158" i="23"/>
  <c r="M155" i="23"/>
  <c r="K158" i="23"/>
  <c r="Q155" i="23"/>
  <c r="O60" i="23"/>
  <c r="O55" i="23"/>
  <c r="M55" i="23"/>
  <c r="M60" i="23"/>
  <c r="K197" i="23"/>
  <c r="K198" i="23"/>
  <c r="I55" i="23"/>
  <c r="I60" i="23"/>
  <c r="I155" i="23"/>
  <c r="Q60" i="23"/>
  <c r="Q55" i="23"/>
  <c r="Q158" i="23"/>
  <c r="I158" i="23"/>
  <c r="M197" i="23"/>
  <c r="M198" i="23"/>
  <c r="I197" i="23"/>
  <c r="I198" i="23"/>
  <c r="Q345" i="10"/>
  <c r="Q351" i="10"/>
  <c r="Q349" i="10"/>
  <c r="M358" i="10"/>
  <c r="Q391" i="10"/>
  <c r="Q394" i="10" s="1"/>
  <c r="Q380" i="10" s="1"/>
  <c r="Q357" i="10"/>
  <c r="K353" i="10"/>
  <c r="M353" i="10"/>
  <c r="M349" i="10"/>
  <c r="O124" i="10"/>
  <c r="I254" i="10"/>
  <c r="O353" i="10"/>
  <c r="O351" i="10"/>
  <c r="K124" i="10"/>
  <c r="O427" i="10"/>
  <c r="N451" i="10"/>
  <c r="O329" i="10"/>
  <c r="N275" i="10"/>
  <c r="I428" i="10"/>
  <c r="I330" i="10"/>
  <c r="P281" i="10"/>
  <c r="Q331" i="10"/>
  <c r="P453" i="10"/>
  <c r="L443" i="10"/>
  <c r="M419" i="10"/>
  <c r="J444" i="10"/>
  <c r="J257" i="10"/>
  <c r="K420" i="10"/>
  <c r="Q287" i="10"/>
  <c r="Q201" i="10"/>
  <c r="Q431" i="10" s="1"/>
  <c r="Q124" i="10"/>
  <c r="Q236" i="10"/>
  <c r="O354" i="10"/>
  <c r="O236" i="10"/>
  <c r="O269" i="10"/>
  <c r="O159" i="10"/>
  <c r="I424" i="10"/>
  <c r="I326" i="10"/>
  <c r="L446" i="10"/>
  <c r="M324" i="10"/>
  <c r="M422" i="10"/>
  <c r="M152" i="10"/>
  <c r="M266" i="10"/>
  <c r="M351" i="10"/>
  <c r="M293" i="10"/>
  <c r="M215" i="10"/>
  <c r="M356" i="10"/>
  <c r="I165" i="10"/>
  <c r="I351" i="10"/>
  <c r="I186" i="10"/>
  <c r="I352" i="10"/>
  <c r="K327" i="10"/>
  <c r="J269" i="10"/>
  <c r="K425" i="10"/>
  <c r="J449" i="10"/>
  <c r="O114" i="10"/>
  <c r="O47" i="10"/>
  <c r="K222" i="10"/>
  <c r="K296" i="10"/>
  <c r="K297" i="10" s="1"/>
  <c r="K275" i="10"/>
  <c r="K173" i="10"/>
  <c r="K350" i="10"/>
  <c r="O426" i="10"/>
  <c r="N450" i="10"/>
  <c r="O328" i="10"/>
  <c r="N272" i="10"/>
  <c r="I241" i="10"/>
  <c r="I227" i="10"/>
  <c r="I213" i="10"/>
  <c r="I199" i="10"/>
  <c r="I185" i="10"/>
  <c r="I171" i="10"/>
  <c r="I226" i="23" s="1"/>
  <c r="I157" i="10"/>
  <c r="I224" i="23" s="1"/>
  <c r="I143" i="10"/>
  <c r="I222" i="23" s="1"/>
  <c r="I129" i="10"/>
  <c r="I220" i="23" s="1"/>
  <c r="I234" i="10"/>
  <c r="I220" i="10"/>
  <c r="I206" i="10"/>
  <c r="I192" i="10"/>
  <c r="I178" i="10"/>
  <c r="I227" i="23" s="1"/>
  <c r="I164" i="10"/>
  <c r="I225" i="23" s="1"/>
  <c r="I150" i="10"/>
  <c r="I223" i="23" s="1"/>
  <c r="I136" i="10"/>
  <c r="I219" i="23" s="1"/>
  <c r="K219" i="23" s="1"/>
  <c r="M226" i="23" s="1"/>
  <c r="I122" i="10"/>
  <c r="N457" i="10"/>
  <c r="O335" i="10"/>
  <c r="N293" i="10"/>
  <c r="I427" i="10"/>
  <c r="I329" i="10"/>
  <c r="I108" i="10"/>
  <c r="I110" i="10" s="1"/>
  <c r="I215" i="23" s="1"/>
  <c r="N452" i="10"/>
  <c r="O330" i="10"/>
  <c r="N278" i="10"/>
  <c r="O428" i="10"/>
  <c r="I114" i="10"/>
  <c r="I116" i="10" s="1"/>
  <c r="I213" i="23" s="1"/>
  <c r="I47" i="10"/>
  <c r="N453" i="10"/>
  <c r="O331" i="10"/>
  <c r="N281" i="10"/>
  <c r="O429" i="10"/>
  <c r="O419" i="10"/>
  <c r="N443" i="10"/>
  <c r="Q269" i="10"/>
  <c r="Q159" i="10"/>
  <c r="Q359" i="10"/>
  <c r="P285" i="10"/>
  <c r="P286" i="10" s="1"/>
  <c r="Q138" i="10"/>
  <c r="Q257" i="10"/>
  <c r="Q229" i="10"/>
  <c r="P287" i="10"/>
  <c r="P455" i="10"/>
  <c r="Q333" i="10"/>
  <c r="O346" i="10"/>
  <c r="N285" i="10"/>
  <c r="N286" i="10" s="1"/>
  <c r="O138" i="10"/>
  <c r="O257" i="10"/>
  <c r="O347" i="10"/>
  <c r="O438" i="10"/>
  <c r="L106" i="13" s="1"/>
  <c r="O363" i="10"/>
  <c r="O275" i="10"/>
  <c r="O173" i="10"/>
  <c r="N448" i="10"/>
  <c r="N266" i="10"/>
  <c r="O424" i="10"/>
  <c r="O326" i="10"/>
  <c r="O108" i="10"/>
  <c r="O110" i="10" s="1"/>
  <c r="O215" i="23" s="1"/>
  <c r="M166" i="10"/>
  <c r="M272" i="10"/>
  <c r="M229" i="10"/>
  <c r="M357" i="10"/>
  <c r="I123" i="10"/>
  <c r="I124" i="10" s="1"/>
  <c r="I422" i="10" s="1"/>
  <c r="I235" i="10"/>
  <c r="I200" i="10"/>
  <c r="I354" i="10"/>
  <c r="I349" i="10"/>
  <c r="I425" i="10"/>
  <c r="I327" i="10"/>
  <c r="K236" i="10"/>
  <c r="K281" i="10"/>
  <c r="K187" i="10"/>
  <c r="K352" i="10"/>
  <c r="L462" i="10"/>
  <c r="M340" i="10"/>
  <c r="L450" i="10"/>
  <c r="L272" i="10"/>
  <c r="M426" i="10"/>
  <c r="M328" i="10"/>
  <c r="M120" i="10"/>
  <c r="M121" i="10" s="1"/>
  <c r="M214" i="23" s="1"/>
  <c r="M52" i="10"/>
  <c r="Q329" i="10"/>
  <c r="P275" i="10"/>
  <c r="P451" i="10"/>
  <c r="Q427" i="10"/>
  <c r="K391" i="10"/>
  <c r="K421" i="10"/>
  <c r="J445" i="10"/>
  <c r="K331" i="10"/>
  <c r="J281" i="10"/>
  <c r="J453" i="10"/>
  <c r="K429" i="10"/>
  <c r="Q346" i="10"/>
  <c r="Q266" i="10"/>
  <c r="Q152" i="10"/>
  <c r="Q347" i="10"/>
  <c r="Q363" i="10"/>
  <c r="Q438" i="10"/>
  <c r="N106" i="13" s="1"/>
  <c r="O431" i="10"/>
  <c r="O333" i="10"/>
  <c r="N455" i="10"/>
  <c r="N287" i="10"/>
  <c r="O356" i="10"/>
  <c r="O152" i="10"/>
  <c r="O266" i="10"/>
  <c r="O187" i="10"/>
  <c r="O281" i="10"/>
  <c r="J448" i="10"/>
  <c r="K326" i="10"/>
  <c r="J266" i="10"/>
  <c r="Q414" i="10"/>
  <c r="L298" i="10"/>
  <c r="M278" i="10"/>
  <c r="M180" i="10"/>
  <c r="M355" i="10"/>
  <c r="M260" i="10"/>
  <c r="M131" i="10"/>
  <c r="M243" i="10"/>
  <c r="M359" i="10"/>
  <c r="I193" i="10"/>
  <c r="I355" i="10"/>
  <c r="I214" i="10"/>
  <c r="I356" i="10"/>
  <c r="P456" i="10"/>
  <c r="Q334" i="10"/>
  <c r="P290" i="10"/>
  <c r="Q327" i="10"/>
  <c r="P269" i="10"/>
  <c r="Q425" i="10"/>
  <c r="P449" i="10"/>
  <c r="K257" i="10"/>
  <c r="K138" i="10"/>
  <c r="K347" i="10"/>
  <c r="K363" i="10"/>
  <c r="K438" i="10"/>
  <c r="H106" i="13" s="1"/>
  <c r="K287" i="10"/>
  <c r="K201" i="10"/>
  <c r="K354" i="10"/>
  <c r="J462" i="10"/>
  <c r="K340" i="10"/>
  <c r="J450" i="10"/>
  <c r="K328" i="10"/>
  <c r="K426" i="10"/>
  <c r="J272" i="10"/>
  <c r="J273" i="10" s="1"/>
  <c r="M433" i="10"/>
  <c r="L293" i="10"/>
  <c r="L457" i="10"/>
  <c r="M335" i="10"/>
  <c r="N445" i="10"/>
  <c r="O421" i="10"/>
  <c r="O323" i="10"/>
  <c r="M331" i="10"/>
  <c r="L281" i="10"/>
  <c r="M429" i="10"/>
  <c r="L453" i="10"/>
  <c r="Q187" i="10"/>
  <c r="Q429" i="10" s="1"/>
  <c r="Q281" i="10"/>
  <c r="Q348" i="10"/>
  <c r="Q272" i="10"/>
  <c r="Q166" i="10"/>
  <c r="L455" i="10"/>
  <c r="M431" i="10"/>
  <c r="L287" i="10"/>
  <c r="M333" i="10"/>
  <c r="O350" i="10"/>
  <c r="O166" i="10"/>
  <c r="O272" i="10"/>
  <c r="O201" i="10"/>
  <c r="O287" i="10"/>
  <c r="M326" i="10"/>
  <c r="L448" i="10"/>
  <c r="L266" i="10"/>
  <c r="M424" i="10"/>
  <c r="M284" i="10"/>
  <c r="M194" i="10"/>
  <c r="M145" i="10"/>
  <c r="M263" i="10"/>
  <c r="M346" i="10"/>
  <c r="I151" i="10"/>
  <c r="I228" i="10"/>
  <c r="I357" i="10"/>
  <c r="N456" i="10"/>
  <c r="O334" i="10"/>
  <c r="N290" i="10"/>
  <c r="O432" i="10"/>
  <c r="N449" i="10"/>
  <c r="O425" i="10"/>
  <c r="N269" i="10"/>
  <c r="O327" i="10"/>
  <c r="M108" i="10"/>
  <c r="K152" i="10"/>
  <c r="K424" i="10" s="1"/>
  <c r="K266" i="10"/>
  <c r="K351" i="10"/>
  <c r="K215" i="10"/>
  <c r="K293" i="10"/>
  <c r="K356" i="10"/>
  <c r="P462" i="10"/>
  <c r="Q340" i="10"/>
  <c r="K418" i="10"/>
  <c r="J88" i="13" s="1"/>
  <c r="K335" i="10"/>
  <c r="J457" i="10"/>
  <c r="J293" i="10"/>
  <c r="K433" i="10"/>
  <c r="K120" i="10"/>
  <c r="K121" i="10" s="1"/>
  <c r="K214" i="23" s="1"/>
  <c r="K52" i="10"/>
  <c r="Q421" i="10"/>
  <c r="P445" i="10"/>
  <c r="Q323" i="10"/>
  <c r="I391" i="10"/>
  <c r="I331" i="10"/>
  <c r="I429" i="10"/>
  <c r="I420" i="10"/>
  <c r="Q263" i="10"/>
  <c r="Q145" i="10"/>
  <c r="Q278" i="10"/>
  <c r="Q180" i="10"/>
  <c r="Q423" i="10"/>
  <c r="P447" i="10"/>
  <c r="Q325" i="10"/>
  <c r="P263" i="10"/>
  <c r="O359" i="10"/>
  <c r="O278" i="10"/>
  <c r="O180" i="10"/>
  <c r="O355" i="10"/>
  <c r="O293" i="10"/>
  <c r="O215" i="10"/>
  <c r="O433" i="10" s="1"/>
  <c r="O457" i="10" s="1"/>
  <c r="Q120" i="10"/>
  <c r="Q121" i="10" s="1"/>
  <c r="Q214" i="23" s="1"/>
  <c r="Q52" i="10"/>
  <c r="M254" i="10"/>
  <c r="M290" i="10"/>
  <c r="M208" i="10"/>
  <c r="M432" i="10" s="1"/>
  <c r="M269" i="10"/>
  <c r="M159" i="10"/>
  <c r="M348" i="10"/>
  <c r="I179" i="10"/>
  <c r="I358" i="10"/>
  <c r="I130" i="10"/>
  <c r="I242" i="10"/>
  <c r="I359" i="10"/>
  <c r="J456" i="10"/>
  <c r="J290" i="10"/>
  <c r="K432" i="10"/>
  <c r="K334" i="10"/>
  <c r="O391" i="10"/>
  <c r="K166" i="10"/>
  <c r="K272" i="10"/>
  <c r="K229" i="10"/>
  <c r="K357" i="10"/>
  <c r="K238" i="10"/>
  <c r="K305" i="10" s="1"/>
  <c r="I238" i="10"/>
  <c r="M238" i="10"/>
  <c r="M362" i="10" s="1"/>
  <c r="O238" i="10"/>
  <c r="O362" i="10" s="1"/>
  <c r="Q238" i="10"/>
  <c r="Q305" i="10" s="1"/>
  <c r="I231" i="10"/>
  <c r="I361" i="10" s="1"/>
  <c r="M231" i="10"/>
  <c r="M302" i="10" s="1"/>
  <c r="Q231" i="10"/>
  <c r="K231" i="10"/>
  <c r="O231" i="10"/>
  <c r="Q335" i="10"/>
  <c r="P457" i="10"/>
  <c r="P293" i="10"/>
  <c r="J452" i="10"/>
  <c r="K428" i="10"/>
  <c r="K330" i="10"/>
  <c r="J278" i="10"/>
  <c r="K419" i="10"/>
  <c r="J89" i="13" s="1"/>
  <c r="J443" i="10"/>
  <c r="P444" i="10"/>
  <c r="Q322" i="10"/>
  <c r="P257" i="10"/>
  <c r="Q420" i="10"/>
  <c r="Q194" i="10"/>
  <c r="Q430" i="10" s="1"/>
  <c r="Q454" i="10" s="1"/>
  <c r="Q284" i="10"/>
  <c r="Q355" i="10"/>
  <c r="Q215" i="10"/>
  <c r="Q433" i="10" s="1"/>
  <c r="Q293" i="10"/>
  <c r="O423" i="10"/>
  <c r="O325" i="10"/>
  <c r="N447" i="10"/>
  <c r="N263" i="10"/>
  <c r="O348" i="10"/>
  <c r="O254" i="10"/>
  <c r="O284" i="10"/>
  <c r="O194" i="10"/>
  <c r="O229" i="10"/>
  <c r="Q422" i="10"/>
  <c r="Q324" i="10"/>
  <c r="P446" i="10"/>
  <c r="L285" i="10"/>
  <c r="M296" i="10"/>
  <c r="M297" i="10" s="1"/>
  <c r="M222" i="10"/>
  <c r="M275" i="10"/>
  <c r="M173" i="10"/>
  <c r="M350" i="10"/>
  <c r="I137" i="10"/>
  <c r="I144" i="10"/>
  <c r="I346" i="10"/>
  <c r="I432" i="10"/>
  <c r="I334" i="10"/>
  <c r="K180" i="10"/>
  <c r="K278" i="10"/>
  <c r="K355" i="10"/>
  <c r="K131" i="10"/>
  <c r="K260" i="10"/>
  <c r="K243" i="10"/>
  <c r="K359" i="10"/>
  <c r="J285" i="10"/>
  <c r="O340" i="10"/>
  <c r="N462" i="10"/>
  <c r="M418" i="10"/>
  <c r="L88" i="13" s="1"/>
  <c r="M114" i="10"/>
  <c r="M116" i="10" s="1"/>
  <c r="M213" i="23" s="1"/>
  <c r="M47" i="10"/>
  <c r="M329" i="10"/>
  <c r="L275" i="10"/>
  <c r="L451" i="10"/>
  <c r="M427" i="10"/>
  <c r="K114" i="10"/>
  <c r="J254" i="10" s="1"/>
  <c r="K47" i="10"/>
  <c r="P452" i="10"/>
  <c r="Q330" i="10"/>
  <c r="Q428" i="10"/>
  <c r="P278" i="10"/>
  <c r="M323" i="10"/>
  <c r="M421" i="10"/>
  <c r="L445" i="10"/>
  <c r="P443" i="10"/>
  <c r="Q419" i="10"/>
  <c r="M420" i="10"/>
  <c r="L257" i="10"/>
  <c r="M322" i="10"/>
  <c r="L444" i="10"/>
  <c r="Q173" i="10"/>
  <c r="Q275" i="10"/>
  <c r="Q354" i="10"/>
  <c r="Q254" i="10"/>
  <c r="Q208" i="10"/>
  <c r="Q432" i="10" s="1"/>
  <c r="Q290" i="10"/>
  <c r="Q243" i="10"/>
  <c r="K325" i="10"/>
  <c r="K423" i="10"/>
  <c r="J447" i="10"/>
  <c r="J263" i="10"/>
  <c r="O357" i="10"/>
  <c r="O290" i="10"/>
  <c r="O208" i="10"/>
  <c r="O131" i="10"/>
  <c r="O260" i="10"/>
  <c r="O243" i="10"/>
  <c r="O422" i="10"/>
  <c r="O324" i="10"/>
  <c r="N446" i="10"/>
  <c r="Q114" i="10"/>
  <c r="P254" i="10" s="1"/>
  <c r="Q47" i="10"/>
  <c r="M124" i="10"/>
  <c r="M236" i="10"/>
  <c r="M187" i="10"/>
  <c r="M281" i="10"/>
  <c r="M352" i="10"/>
  <c r="I221" i="10"/>
  <c r="I158" i="10"/>
  <c r="I348" i="10"/>
  <c r="M334" i="10"/>
  <c r="L290" i="10"/>
  <c r="L456" i="10"/>
  <c r="O120" i="10"/>
  <c r="O121" i="10" s="1"/>
  <c r="O214" i="23" s="1"/>
  <c r="O52" i="10"/>
  <c r="K349" i="10"/>
  <c r="K194" i="10"/>
  <c r="K284" i="10"/>
  <c r="K145" i="10"/>
  <c r="K263" i="10"/>
  <c r="K346" i="10"/>
  <c r="I426" i="10"/>
  <c r="I328" i="10"/>
  <c r="N252" i="10"/>
  <c r="O418" i="10"/>
  <c r="N88" i="13" s="1"/>
  <c r="K108" i="10"/>
  <c r="K110" i="10" s="1"/>
  <c r="K215" i="23" s="1"/>
  <c r="O224" i="10"/>
  <c r="Q224" i="10"/>
  <c r="M224" i="10"/>
  <c r="M299" i="10" s="1"/>
  <c r="I224" i="10"/>
  <c r="I248" i="10" s="1"/>
  <c r="K224" i="10"/>
  <c r="K360" i="10" s="1"/>
  <c r="K329" i="10"/>
  <c r="J275" i="10"/>
  <c r="K427" i="10"/>
  <c r="J451" i="10"/>
  <c r="M428" i="10"/>
  <c r="L278" i="10"/>
  <c r="L452" i="10"/>
  <c r="M330" i="10"/>
  <c r="I120" i="10"/>
  <c r="I121" i="10" s="1"/>
  <c r="I52" i="10"/>
  <c r="N444" i="10"/>
  <c r="N257" i="10"/>
  <c r="O322" i="10"/>
  <c r="O420" i="10"/>
  <c r="Q131" i="10"/>
  <c r="Q260" i="10"/>
  <c r="Q356" i="10"/>
  <c r="Q296" i="10"/>
  <c r="Q222" i="10"/>
  <c r="Q434" i="10" s="1"/>
  <c r="Q458" i="10" s="1"/>
  <c r="K333" i="10"/>
  <c r="J287" i="10"/>
  <c r="J455" i="10"/>
  <c r="K431" i="10"/>
  <c r="L447" i="10"/>
  <c r="L263" i="10"/>
  <c r="M325" i="10"/>
  <c r="M423" i="10"/>
  <c r="O222" i="10"/>
  <c r="O296" i="10"/>
  <c r="O145" i="10"/>
  <c r="O263" i="10"/>
  <c r="P448" i="10"/>
  <c r="Q326" i="10"/>
  <c r="Q424" i="10"/>
  <c r="P266" i="10"/>
  <c r="J446" i="10"/>
  <c r="K324" i="10"/>
  <c r="K422" i="10"/>
  <c r="M138" i="10"/>
  <c r="M257" i="10"/>
  <c r="M347" i="10"/>
  <c r="M438" i="10"/>
  <c r="M462" i="10" s="1"/>
  <c r="M363" i="10"/>
  <c r="M201" i="10"/>
  <c r="M287" i="10"/>
  <c r="M354" i="10"/>
  <c r="I207" i="10"/>
  <c r="I347" i="10"/>
  <c r="I363" i="10"/>
  <c r="I438" i="10"/>
  <c r="F106" i="13" s="1"/>
  <c r="I172" i="10"/>
  <c r="I350" i="10"/>
  <c r="I109" i="10"/>
  <c r="I418" i="10" s="1"/>
  <c r="H88" i="13" s="1"/>
  <c r="M425" i="10"/>
  <c r="L269" i="10"/>
  <c r="L449" i="10"/>
  <c r="M327" i="10"/>
  <c r="K254" i="10"/>
  <c r="K290" i="10"/>
  <c r="K208" i="10"/>
  <c r="K358" i="10"/>
  <c r="K159" i="10"/>
  <c r="K269" i="10"/>
  <c r="K348" i="10"/>
  <c r="J298" i="10"/>
  <c r="Q328" i="10"/>
  <c r="P450" i="10"/>
  <c r="Q426" i="10"/>
  <c r="P272" i="10"/>
  <c r="P252" i="10"/>
  <c r="Q252" i="10" s="1"/>
  <c r="Q418" i="10"/>
  <c r="M391" i="10"/>
  <c r="Q28" i="10"/>
  <c r="Q30" i="10" s="1"/>
  <c r="Q31" i="10"/>
  <c r="O28" i="10"/>
  <c r="O30" i="10" s="1"/>
  <c r="O31" i="10"/>
  <c r="M31" i="10"/>
  <c r="M28" i="10"/>
  <c r="M30" i="10" s="1"/>
  <c r="I31" i="10"/>
  <c r="I28" i="10"/>
  <c r="I30" i="10" s="1"/>
  <c r="G42" i="23"/>
  <c r="G43" i="23" s="1"/>
  <c r="G313" i="23" s="1"/>
  <c r="G34" i="23"/>
  <c r="I139" i="24"/>
  <c r="H202" i="24"/>
  <c r="G282" i="23"/>
  <c r="G281" i="23"/>
  <c r="H257" i="10"/>
  <c r="K282" i="23"/>
  <c r="K42" i="23"/>
  <c r="K43" i="23" s="1"/>
  <c r="Q283" i="23"/>
  <c r="K34" i="23"/>
  <c r="I281" i="23"/>
  <c r="G95" i="23"/>
  <c r="G103" i="23" s="1"/>
  <c r="G106" i="23" s="1"/>
  <c r="K95" i="23"/>
  <c r="K97" i="23" s="1"/>
  <c r="I95" i="23"/>
  <c r="I97" i="23" s="1"/>
  <c r="G265" i="23"/>
  <c r="G198" i="23"/>
  <c r="G197" i="23"/>
  <c r="G60" i="23"/>
  <c r="G55" i="23"/>
  <c r="M184" i="24"/>
  <c r="M185" i="24" s="1"/>
  <c r="G83" i="13"/>
  <c r="I83" i="13"/>
  <c r="K83" i="13"/>
  <c r="K82" i="13"/>
  <c r="I82" i="13"/>
  <c r="G82" i="13"/>
  <c r="R390" i="10"/>
  <c r="O42" i="23"/>
  <c r="O43" i="23" s="1"/>
  <c r="Q34" i="23"/>
  <c r="M42" i="23"/>
  <c r="M43" i="23" s="1"/>
  <c r="O282" i="23"/>
  <c r="I282" i="23"/>
  <c r="Q42" i="23"/>
  <c r="Q43" i="23" s="1"/>
  <c r="I42" i="23"/>
  <c r="I43" i="23" s="1"/>
  <c r="O281" i="23"/>
  <c r="K281" i="23"/>
  <c r="Q281" i="23"/>
  <c r="M282" i="23"/>
  <c r="M34" i="23"/>
  <c r="M281" i="23"/>
  <c r="O34" i="23"/>
  <c r="K168" i="23"/>
  <c r="Q168" i="23"/>
  <c r="O168" i="23"/>
  <c r="G168" i="23"/>
  <c r="M168" i="23"/>
  <c r="E82" i="13"/>
  <c r="R388" i="10"/>
  <c r="M82" i="13"/>
  <c r="M81" i="13" s="1"/>
  <c r="E83" i="13"/>
  <c r="R389" i="10"/>
  <c r="E84" i="13"/>
  <c r="G175" i="10"/>
  <c r="G428" i="10" s="1"/>
  <c r="G51" i="10"/>
  <c r="G52" i="10" s="1"/>
  <c r="F173" i="23" s="1"/>
  <c r="G46" i="10"/>
  <c r="G47" i="10" s="1"/>
  <c r="G161" i="10"/>
  <c r="G426" i="10" s="1"/>
  <c r="G118" i="10"/>
  <c r="G422" i="10" s="1"/>
  <c r="G217" i="10"/>
  <c r="G434" i="10" s="1"/>
  <c r="G210" i="10"/>
  <c r="G433" i="10" s="1"/>
  <c r="G91" i="10"/>
  <c r="G112" i="10"/>
  <c r="G419" i="10" s="1"/>
  <c r="F89" i="13" s="1"/>
  <c r="G182" i="10"/>
  <c r="G429" i="10" s="1"/>
  <c r="G147" i="10"/>
  <c r="G424" i="10" s="1"/>
  <c r="G245" i="10"/>
  <c r="G133" i="10"/>
  <c r="G189" i="10"/>
  <c r="G430" i="10" s="1"/>
  <c r="G126" i="10"/>
  <c r="G421" i="10" s="1"/>
  <c r="G140" i="10"/>
  <c r="G423" i="10" s="1"/>
  <c r="G203" i="10"/>
  <c r="G432" i="10" s="1"/>
  <c r="G231" i="10"/>
  <c r="G154" i="10"/>
  <c r="G425" i="10" s="1"/>
  <c r="G168" i="10"/>
  <c r="G427" i="10" s="1"/>
  <c r="G196" i="10"/>
  <c r="G431" i="10" s="1"/>
  <c r="G202" i="24"/>
  <c r="F261" i="10"/>
  <c r="F172" i="23" s="1"/>
  <c r="G124" i="10"/>
  <c r="I144" i="24"/>
  <c r="N183" i="24"/>
  <c r="O183" i="24" s="1"/>
  <c r="S168" i="24"/>
  <c r="S169" i="24" s="1"/>
  <c r="L183" i="24"/>
  <c r="K183" i="24" s="1"/>
  <c r="G144" i="24"/>
  <c r="G108" i="10"/>
  <c r="E139" i="24"/>
  <c r="E144" i="24"/>
  <c r="L184" i="24"/>
  <c r="K184" i="24" s="1"/>
  <c r="J21" i="13"/>
  <c r="F187" i="24"/>
  <c r="G187" i="24" s="1"/>
  <c r="D187" i="24"/>
  <c r="C187" i="24" s="1"/>
  <c r="E188" i="24"/>
  <c r="F173" i="24"/>
  <c r="D181" i="24"/>
  <c r="C181" i="24" s="1"/>
  <c r="E180" i="24"/>
  <c r="F181" i="24"/>
  <c r="G181" i="24" s="1"/>
  <c r="M177" i="24"/>
  <c r="L178" i="24"/>
  <c r="K178" i="24" s="1"/>
  <c r="N178" i="24"/>
  <c r="O178" i="24" s="1"/>
  <c r="G139" i="24"/>
  <c r="G224" i="10"/>
  <c r="G238" i="10"/>
  <c r="N184" i="24" l="1"/>
  <c r="O184" i="24" s="1"/>
  <c r="I168" i="23"/>
  <c r="G325" i="23"/>
  <c r="G268" i="23"/>
  <c r="G276" i="23"/>
  <c r="G296" i="23" s="1"/>
  <c r="G297" i="23" s="1"/>
  <c r="O248" i="10"/>
  <c r="G153" i="23"/>
  <c r="G319" i="23"/>
  <c r="K322" i="23"/>
  <c r="K319" i="23"/>
  <c r="K313" i="23"/>
  <c r="K311" i="23"/>
  <c r="K326" i="23"/>
  <c r="K324" i="23"/>
  <c r="I313" i="23"/>
  <c r="Q324" i="23"/>
  <c r="M240" i="23"/>
  <c r="I311" i="23"/>
  <c r="O324" i="23"/>
  <c r="M324" i="23"/>
  <c r="I240" i="23"/>
  <c r="O240" i="23"/>
  <c r="I326" i="23"/>
  <c r="K240" i="23"/>
  <c r="I322" i="23"/>
  <c r="I324" i="23"/>
  <c r="Q240" i="23"/>
  <c r="I319" i="23"/>
  <c r="Q326" i="23"/>
  <c r="Q322" i="23"/>
  <c r="Q319" i="23"/>
  <c r="Q313" i="23"/>
  <c r="Q311" i="23"/>
  <c r="G311" i="23"/>
  <c r="G322" i="23"/>
  <c r="G326" i="23"/>
  <c r="M326" i="23"/>
  <c r="M322" i="23"/>
  <c r="M319" i="23"/>
  <c r="M313" i="23"/>
  <c r="M311" i="23"/>
  <c r="G275" i="23"/>
  <c r="G57" i="23"/>
  <c r="G61" i="23" s="1"/>
  <c r="G171" i="23" s="1"/>
  <c r="O319" i="23"/>
  <c r="O313" i="23"/>
  <c r="O311" i="23"/>
  <c r="O326" i="23"/>
  <c r="O322" i="23"/>
  <c r="G290" i="23"/>
  <c r="K446" i="10"/>
  <c r="M452" i="10"/>
  <c r="Q248" i="10"/>
  <c r="P245" i="10" s="1"/>
  <c r="Q457" i="10"/>
  <c r="Q456" i="10"/>
  <c r="O452" i="10"/>
  <c r="K448" i="10"/>
  <c r="O305" i="10"/>
  <c r="M445" i="10"/>
  <c r="K449" i="10"/>
  <c r="K362" i="10"/>
  <c r="Q453" i="10"/>
  <c r="M248" i="10"/>
  <c r="M444" i="10"/>
  <c r="M443" i="10"/>
  <c r="Q445" i="10"/>
  <c r="K453" i="10"/>
  <c r="K457" i="10"/>
  <c r="K450" i="10"/>
  <c r="K462" i="10"/>
  <c r="O443" i="10"/>
  <c r="O456" i="10"/>
  <c r="M450" i="10"/>
  <c r="O444" i="10"/>
  <c r="M448" i="10"/>
  <c r="K452" i="10"/>
  <c r="Q448" i="10"/>
  <c r="O446" i="10"/>
  <c r="M447" i="10"/>
  <c r="O449" i="10"/>
  <c r="O445" i="10"/>
  <c r="K445" i="10"/>
  <c r="K455" i="10"/>
  <c r="O451" i="10"/>
  <c r="M453" i="10"/>
  <c r="K298" i="10"/>
  <c r="J106" i="13"/>
  <c r="M285" i="10"/>
  <c r="Q286" i="10"/>
  <c r="I214" i="23"/>
  <c r="Q337" i="10"/>
  <c r="P459" i="10"/>
  <c r="P299" i="10"/>
  <c r="I159" i="10"/>
  <c r="I269" i="10"/>
  <c r="K285" i="10"/>
  <c r="N460" i="10"/>
  <c r="O338" i="10"/>
  <c r="N302" i="10"/>
  <c r="O436" i="10"/>
  <c r="I339" i="10"/>
  <c r="I437" i="10"/>
  <c r="I260" i="10"/>
  <c r="I131" i="10"/>
  <c r="I421" i="10" s="1"/>
  <c r="M456" i="10"/>
  <c r="J274" i="10"/>
  <c r="K274" i="10" s="1"/>
  <c r="K273" i="10"/>
  <c r="I284" i="10"/>
  <c r="I194" i="10"/>
  <c r="K394" i="10"/>
  <c r="K380" i="10" s="1"/>
  <c r="K414" i="10"/>
  <c r="N294" i="10"/>
  <c r="O294" i="10" s="1"/>
  <c r="N253" i="10"/>
  <c r="O253" i="10" s="1"/>
  <c r="O116" i="10"/>
  <c r="O213" i="23" s="1"/>
  <c r="I272" i="10"/>
  <c r="I166" i="10"/>
  <c r="O302" i="10"/>
  <c r="P273" i="10"/>
  <c r="Q273" i="10" s="1"/>
  <c r="M449" i="10"/>
  <c r="O435" i="10"/>
  <c r="N299" i="10"/>
  <c r="N459" i="10"/>
  <c r="O337" i="10"/>
  <c r="K447" i="10"/>
  <c r="O447" i="10"/>
  <c r="J279" i="10"/>
  <c r="K279" i="10" s="1"/>
  <c r="J460" i="10"/>
  <c r="K436" i="10"/>
  <c r="K338" i="10"/>
  <c r="J302" i="10"/>
  <c r="K339" i="10"/>
  <c r="K437" i="10"/>
  <c r="J461" i="10"/>
  <c r="J305" i="10"/>
  <c r="O414" i="10"/>
  <c r="O394" i="10"/>
  <c r="O380" i="10" s="1"/>
  <c r="I394" i="10"/>
  <c r="I380" i="10" s="1"/>
  <c r="I414" i="10"/>
  <c r="J294" i="10"/>
  <c r="J295" i="10" s="1"/>
  <c r="K295" i="10" s="1"/>
  <c r="M110" i="10"/>
  <c r="M215" i="23" s="1"/>
  <c r="L252" i="10"/>
  <c r="M455" i="10"/>
  <c r="Q462" i="10"/>
  <c r="Q451" i="10"/>
  <c r="K361" i="10"/>
  <c r="I287" i="10"/>
  <c r="I201" i="10"/>
  <c r="I431" i="10" s="1"/>
  <c r="O453" i="10"/>
  <c r="N279" i="10"/>
  <c r="O279" i="10" s="1"/>
  <c r="P282" i="10"/>
  <c r="Q282" i="10" s="1"/>
  <c r="Q450" i="10"/>
  <c r="I290" i="10"/>
  <c r="I208" i="10"/>
  <c r="K451" i="10"/>
  <c r="I222" i="10"/>
  <c r="I296" i="10"/>
  <c r="O299" i="10"/>
  <c r="Q444" i="10"/>
  <c r="P460" i="10"/>
  <c r="P302" i="10"/>
  <c r="Q338" i="10"/>
  <c r="I180" i="10"/>
  <c r="I278" i="10"/>
  <c r="P291" i="10"/>
  <c r="Q291" i="10" s="1"/>
  <c r="M305" i="10"/>
  <c r="M298" i="10"/>
  <c r="J282" i="10"/>
  <c r="K282" i="10" s="1"/>
  <c r="L273" i="10"/>
  <c r="M273" i="10" s="1"/>
  <c r="I302" i="10"/>
  <c r="I236" i="10"/>
  <c r="O252" i="10"/>
  <c r="O462" i="10"/>
  <c r="Q285" i="10"/>
  <c r="N282" i="10"/>
  <c r="O282" i="10" s="1"/>
  <c r="Q302" i="10"/>
  <c r="K116" i="10"/>
  <c r="K213" i="23" s="1"/>
  <c r="J253" i="10"/>
  <c r="K253" i="10" s="1"/>
  <c r="I360" i="10"/>
  <c r="M436" i="10"/>
  <c r="M338" i="10"/>
  <c r="L302" i="10"/>
  <c r="L460" i="10"/>
  <c r="K456" i="10"/>
  <c r="I229" i="10"/>
  <c r="I299" i="10"/>
  <c r="K302" i="10"/>
  <c r="Q436" i="10"/>
  <c r="L254" i="10"/>
  <c r="L291" i="10"/>
  <c r="M291" i="10" s="1"/>
  <c r="P253" i="10"/>
  <c r="Q253" i="10" s="1"/>
  <c r="Q116" i="10"/>
  <c r="Q213" i="23" s="1"/>
  <c r="Q437" i="10"/>
  <c r="M451" i="10"/>
  <c r="L286" i="10"/>
  <c r="M286" i="10" s="1"/>
  <c r="I436" i="10"/>
  <c r="I338" i="10"/>
  <c r="J291" i="10"/>
  <c r="K291" i="10" s="1"/>
  <c r="I266" i="10"/>
  <c r="I152" i="10"/>
  <c r="O448" i="10"/>
  <c r="Q361" i="10"/>
  <c r="M414" i="10"/>
  <c r="M394" i="10"/>
  <c r="M380" i="10" s="1"/>
  <c r="K337" i="10"/>
  <c r="K435" i="10"/>
  <c r="J459" i="10"/>
  <c r="J299" i="10"/>
  <c r="P279" i="10"/>
  <c r="Q279" i="10" s="1"/>
  <c r="I263" i="10"/>
  <c r="I145" i="10"/>
  <c r="I423" i="10" s="1"/>
  <c r="Q339" i="10"/>
  <c r="P461" i="10"/>
  <c r="P305" i="10"/>
  <c r="K248" i="10"/>
  <c r="M360" i="10"/>
  <c r="O360" i="10"/>
  <c r="M457" i="10"/>
  <c r="Q299" i="10"/>
  <c r="N273" i="10"/>
  <c r="O273" i="10" s="1"/>
  <c r="Q455" i="10"/>
  <c r="I275" i="10"/>
  <c r="I173" i="10"/>
  <c r="L279" i="10"/>
  <c r="M279" i="10" s="1"/>
  <c r="I435" i="10"/>
  <c r="I337" i="10"/>
  <c r="I362" i="10"/>
  <c r="M361" i="10"/>
  <c r="Q452" i="10"/>
  <c r="I257" i="10"/>
  <c r="I138" i="10"/>
  <c r="Q446" i="10"/>
  <c r="N461" i="10"/>
  <c r="O437" i="10"/>
  <c r="N305" i="10"/>
  <c r="O339" i="10"/>
  <c r="K299" i="10"/>
  <c r="L294" i="10"/>
  <c r="M294" i="10" s="1"/>
  <c r="I293" i="10"/>
  <c r="I215" i="10"/>
  <c r="I433" i="10" s="1"/>
  <c r="O455" i="10"/>
  <c r="Q360" i="10"/>
  <c r="O286" i="10"/>
  <c r="Q435" i="10"/>
  <c r="Q459" i="10" s="1"/>
  <c r="I281" i="10"/>
  <c r="I187" i="10"/>
  <c r="O361" i="10"/>
  <c r="L253" i="10"/>
  <c r="M253" i="10" s="1"/>
  <c r="M337" i="10"/>
  <c r="L459" i="10"/>
  <c r="M435" i="10"/>
  <c r="L299" i="10"/>
  <c r="J264" i="10"/>
  <c r="K264" i="10" s="1"/>
  <c r="Q443" i="10"/>
  <c r="J286" i="10"/>
  <c r="K286" i="10" s="1"/>
  <c r="K443" i="10"/>
  <c r="M339" i="10"/>
  <c r="L305" i="10"/>
  <c r="M437" i="10"/>
  <c r="L461" i="10"/>
  <c r="I305" i="10"/>
  <c r="I243" i="10"/>
  <c r="Q447" i="10"/>
  <c r="J252" i="10"/>
  <c r="K252" i="10" s="1"/>
  <c r="N291" i="10"/>
  <c r="O291" i="10" s="1"/>
  <c r="Q362" i="10"/>
  <c r="L282" i="10"/>
  <c r="M282" i="10" s="1"/>
  <c r="Q449" i="10"/>
  <c r="O285" i="10"/>
  <c r="N254" i="10"/>
  <c r="O450" i="10"/>
  <c r="M446" i="10"/>
  <c r="K444" i="10"/>
  <c r="G322" i="10"/>
  <c r="G420" i="10"/>
  <c r="G339" i="10"/>
  <c r="G437" i="10"/>
  <c r="G338" i="10"/>
  <c r="G436" i="10"/>
  <c r="G337" i="10"/>
  <c r="G435" i="10"/>
  <c r="O95" i="23"/>
  <c r="O97" i="23" s="1"/>
  <c r="Q95" i="23"/>
  <c r="Q97" i="23" s="1"/>
  <c r="M95" i="23"/>
  <c r="M97" i="23" s="1"/>
  <c r="I81" i="13"/>
  <c r="N245" i="10"/>
  <c r="G110" i="10"/>
  <c r="G215" i="23" s="1"/>
  <c r="G308" i="23"/>
  <c r="F257" i="10"/>
  <c r="K103" i="23"/>
  <c r="K106" i="23" s="1"/>
  <c r="I103" i="23"/>
  <c r="I106" i="23" s="1"/>
  <c r="M222" i="23"/>
  <c r="M225" i="23"/>
  <c r="M219" i="23"/>
  <c r="M227" i="23"/>
  <c r="M223" i="23"/>
  <c r="M224" i="23"/>
  <c r="M220" i="23"/>
  <c r="K223" i="23"/>
  <c r="K227" i="23"/>
  <c r="K224" i="23"/>
  <c r="K226" i="23"/>
  <c r="K220" i="23"/>
  <c r="K222" i="23"/>
  <c r="K225" i="23"/>
  <c r="G97" i="23"/>
  <c r="G101" i="23" s="1"/>
  <c r="G323" i="23"/>
  <c r="G271" i="23"/>
  <c r="G334" i="23" s="1"/>
  <c r="I101" i="23"/>
  <c r="G99" i="23"/>
  <c r="G100" i="23" s="1"/>
  <c r="G81" i="13"/>
  <c r="K81" i="13"/>
  <c r="G303" i="23"/>
  <c r="G291" i="23"/>
  <c r="G277" i="23"/>
  <c r="G169" i="23"/>
  <c r="G170" i="23"/>
  <c r="G189" i="23"/>
  <c r="G190" i="23"/>
  <c r="G305" i="23" s="1"/>
  <c r="G206" i="23"/>
  <c r="G279" i="23"/>
  <c r="G280" i="23" s="1"/>
  <c r="E81" i="13"/>
  <c r="H89" i="13"/>
  <c r="F447" i="10"/>
  <c r="G325" i="10"/>
  <c r="F449" i="10"/>
  <c r="G327" i="10"/>
  <c r="F445" i="10"/>
  <c r="G323" i="10"/>
  <c r="F448" i="10"/>
  <c r="G326" i="10"/>
  <c r="F458" i="10"/>
  <c r="G336" i="10"/>
  <c r="F452" i="10"/>
  <c r="G330" i="10"/>
  <c r="F451" i="10"/>
  <c r="G329" i="10"/>
  <c r="F462" i="10"/>
  <c r="G462" i="10" s="1"/>
  <c r="G340" i="10"/>
  <c r="F450" i="10"/>
  <c r="G328" i="10"/>
  <c r="F454" i="10"/>
  <c r="G332" i="10"/>
  <c r="F453" i="10"/>
  <c r="G331" i="10"/>
  <c r="F446" i="10"/>
  <c r="G446" i="10" s="1"/>
  <c r="G324" i="10"/>
  <c r="F455" i="10"/>
  <c r="G333" i="10"/>
  <c r="F456" i="10"/>
  <c r="G334" i="10"/>
  <c r="F457" i="10"/>
  <c r="G335" i="10"/>
  <c r="H461" i="10"/>
  <c r="H458" i="10"/>
  <c r="I458" i="10" s="1"/>
  <c r="H302" i="10"/>
  <c r="H303" i="10" s="1"/>
  <c r="R391" i="10"/>
  <c r="G362" i="10"/>
  <c r="F461" i="10"/>
  <c r="F444" i="10"/>
  <c r="G360" i="10"/>
  <c r="F459" i="10"/>
  <c r="G361" i="10"/>
  <c r="F460" i="10"/>
  <c r="G31" i="10"/>
  <c r="F443" i="10"/>
  <c r="G443" i="10" s="1"/>
  <c r="N89" i="13"/>
  <c r="L89" i="13"/>
  <c r="H449" i="10"/>
  <c r="I449" i="10" s="1"/>
  <c r="H450" i="10"/>
  <c r="I450" i="10" s="1"/>
  <c r="H452" i="10"/>
  <c r="I452" i="10" s="1"/>
  <c r="H455" i="10"/>
  <c r="G352" i="10"/>
  <c r="F263" i="10"/>
  <c r="F264" i="10" s="1"/>
  <c r="F174" i="23" s="1"/>
  <c r="H453" i="10"/>
  <c r="I453" i="10" s="1"/>
  <c r="H454" i="10"/>
  <c r="I454" i="10" s="1"/>
  <c r="G272" i="10"/>
  <c r="H448" i="10"/>
  <c r="I448" i="10" s="1"/>
  <c r="H457" i="10"/>
  <c r="H447" i="10"/>
  <c r="G357" i="10"/>
  <c r="G356" i="10"/>
  <c r="H456" i="10"/>
  <c r="I456" i="10" s="1"/>
  <c r="H451" i="10"/>
  <c r="I451" i="10" s="1"/>
  <c r="G354" i="10"/>
  <c r="G257" i="10"/>
  <c r="H444" i="10"/>
  <c r="I444" i="10" s="1"/>
  <c r="F278" i="10"/>
  <c r="F279" i="10" s="1"/>
  <c r="F179" i="23" s="1"/>
  <c r="G355" i="10"/>
  <c r="F272" i="10"/>
  <c r="F273" i="10" s="1"/>
  <c r="F177" i="23" s="1"/>
  <c r="G353" i="10"/>
  <c r="F253" i="10"/>
  <c r="G253" i="10" s="1"/>
  <c r="F287" i="10"/>
  <c r="F288" i="10" s="1"/>
  <c r="F182" i="23" s="1"/>
  <c r="G349" i="10"/>
  <c r="F296" i="10"/>
  <c r="F297" i="10" s="1"/>
  <c r="G359" i="10"/>
  <c r="G351" i="10"/>
  <c r="F275" i="10"/>
  <c r="F276" i="10" s="1"/>
  <c r="F178" i="23" s="1"/>
  <c r="G275" i="10"/>
  <c r="F293" i="10"/>
  <c r="F294" i="10" s="1"/>
  <c r="F184" i="23" s="1"/>
  <c r="G346" i="10"/>
  <c r="G358" i="10"/>
  <c r="H272" i="10"/>
  <c r="H273" i="10" s="1"/>
  <c r="G348" i="10"/>
  <c r="F266" i="10"/>
  <c r="F267" i="10" s="1"/>
  <c r="F175" i="23" s="1"/>
  <c r="G266" i="10"/>
  <c r="G260" i="10"/>
  <c r="G261" i="10" s="1"/>
  <c r="F284" i="10"/>
  <c r="F285" i="10" s="1"/>
  <c r="F181" i="23" s="1"/>
  <c r="F281" i="10"/>
  <c r="F282" i="10" s="1"/>
  <c r="F180" i="23" s="1"/>
  <c r="F302" i="10"/>
  <c r="F303" i="10" s="1"/>
  <c r="F254" i="10"/>
  <c r="F290" i="10"/>
  <c r="F291" i="10" s="1"/>
  <c r="F183" i="23" s="1"/>
  <c r="G254" i="10"/>
  <c r="G347" i="10"/>
  <c r="H287" i="10"/>
  <c r="G287" i="10"/>
  <c r="G269" i="10"/>
  <c r="G363" i="10"/>
  <c r="F269" i="10"/>
  <c r="F270" i="10" s="1"/>
  <c r="F176" i="23" s="1"/>
  <c r="G263" i="10"/>
  <c r="G350" i="10"/>
  <c r="H263" i="10"/>
  <c r="H264" i="10" s="1"/>
  <c r="H460" i="10"/>
  <c r="I460" i="10" s="1"/>
  <c r="H293" i="10"/>
  <c r="H294" i="10" s="1"/>
  <c r="H275" i="10"/>
  <c r="H445" i="10"/>
  <c r="H459" i="10"/>
  <c r="I459" i="10" s="1"/>
  <c r="H269" i="10"/>
  <c r="J177" i="23"/>
  <c r="H278" i="10"/>
  <c r="H279" i="10" s="1"/>
  <c r="H281" i="10"/>
  <c r="H282" i="10" s="1"/>
  <c r="H296" i="10"/>
  <c r="H297" i="10" s="1"/>
  <c r="H266" i="10"/>
  <c r="H267" i="10" s="1"/>
  <c r="H290" i="10"/>
  <c r="H291" i="10" s="1"/>
  <c r="J181" i="23"/>
  <c r="H284" i="10"/>
  <c r="H285" i="10" s="1"/>
  <c r="L181" i="23"/>
  <c r="H305" i="10"/>
  <c r="N181" i="23"/>
  <c r="P181" i="23"/>
  <c r="H299" i="10"/>
  <c r="H300" i="10" s="1"/>
  <c r="J92" i="13"/>
  <c r="H92" i="13"/>
  <c r="N92" i="13"/>
  <c r="L92" i="13"/>
  <c r="F92" i="13"/>
  <c r="G194" i="10"/>
  <c r="G284" i="10"/>
  <c r="G222" i="10"/>
  <c r="G296" i="10"/>
  <c r="G166" i="10"/>
  <c r="G131" i="10"/>
  <c r="G281" i="10"/>
  <c r="G138" i="10"/>
  <c r="G152" i="10"/>
  <c r="G159" i="10"/>
  <c r="G145" i="10"/>
  <c r="G187" i="10"/>
  <c r="G173" i="10"/>
  <c r="G201" i="10"/>
  <c r="G299" i="10"/>
  <c r="G229" i="10"/>
  <c r="G302" i="10"/>
  <c r="G236" i="10"/>
  <c r="G290" i="10"/>
  <c r="G208" i="10"/>
  <c r="G305" i="10"/>
  <c r="G243" i="10"/>
  <c r="G293" i="10"/>
  <c r="G215" i="10"/>
  <c r="G278" i="10"/>
  <c r="G180" i="10"/>
  <c r="F305" i="10"/>
  <c r="F306" i="10" s="1"/>
  <c r="F188" i="23" s="1"/>
  <c r="F299" i="10"/>
  <c r="F300" i="10" s="1"/>
  <c r="F186" i="23" s="1"/>
  <c r="L21" i="13"/>
  <c r="N21" i="13"/>
  <c r="N185" i="24"/>
  <c r="O185" i="24" s="1"/>
  <c r="L185" i="24"/>
  <c r="K185" i="24" s="1"/>
  <c r="M186" i="24"/>
  <c r="D180" i="24"/>
  <c r="C180" i="24" s="1"/>
  <c r="C201" i="24"/>
  <c r="F180" i="24"/>
  <c r="G180" i="24" s="1"/>
  <c r="E179" i="24"/>
  <c r="L177" i="24"/>
  <c r="K177" i="24" s="1"/>
  <c r="M176" i="24"/>
  <c r="N177" i="24"/>
  <c r="O177" i="24" s="1"/>
  <c r="E189" i="24"/>
  <c r="F188" i="24"/>
  <c r="G188" i="24" s="1"/>
  <c r="D188" i="24"/>
  <c r="C188" i="24" s="1"/>
  <c r="H462" i="10"/>
  <c r="F262" i="10"/>
  <c r="G298" i="23" l="1"/>
  <c r="G299" i="23"/>
  <c r="K244" i="23"/>
  <c r="K241" i="23"/>
  <c r="O244" i="23"/>
  <c r="O241" i="23"/>
  <c r="I241" i="23"/>
  <c r="Q244" i="23"/>
  <c r="Q241" i="23"/>
  <c r="M244" i="23"/>
  <c r="M241" i="23"/>
  <c r="Q103" i="23"/>
  <c r="O103" i="23"/>
  <c r="J463" i="10"/>
  <c r="L183" i="23"/>
  <c r="P179" i="23"/>
  <c r="I297" i="10"/>
  <c r="N184" i="23"/>
  <c r="J179" i="23"/>
  <c r="P183" i="23"/>
  <c r="I300" i="10"/>
  <c r="N179" i="23"/>
  <c r="I273" i="10"/>
  <c r="J180" i="23"/>
  <c r="K321" i="10"/>
  <c r="I264" i="10"/>
  <c r="I321" i="10"/>
  <c r="J183" i="23"/>
  <c r="I445" i="10"/>
  <c r="F113" i="13" s="1"/>
  <c r="I455" i="10"/>
  <c r="F122" i="13" s="1"/>
  <c r="G321" i="10"/>
  <c r="I303" i="10"/>
  <c r="I457" i="10"/>
  <c r="F124" i="13" s="1"/>
  <c r="I279" i="10"/>
  <c r="L179" i="23"/>
  <c r="J184" i="23"/>
  <c r="I285" i="10"/>
  <c r="I282" i="10"/>
  <c r="I291" i="10"/>
  <c r="I461" i="10"/>
  <c r="F127" i="13" s="1"/>
  <c r="Q461" i="10"/>
  <c r="O460" i="10"/>
  <c r="N463" i="10"/>
  <c r="N183" i="23"/>
  <c r="K461" i="10"/>
  <c r="I447" i="10"/>
  <c r="F115" i="13" s="1"/>
  <c r="I267" i="10"/>
  <c r="M252" i="10"/>
  <c r="L463" i="10"/>
  <c r="K459" i="10"/>
  <c r="H125" i="13" s="1"/>
  <c r="O459" i="10"/>
  <c r="P463" i="10"/>
  <c r="I294" i="10"/>
  <c r="J280" i="10"/>
  <c r="K280" i="10" s="1"/>
  <c r="P280" i="10"/>
  <c r="Q280" i="10" s="1"/>
  <c r="L274" i="10"/>
  <c r="M274" i="10" s="1"/>
  <c r="P274" i="10"/>
  <c r="Q274" i="10" s="1"/>
  <c r="N274" i="10"/>
  <c r="O274" i="10" s="1"/>
  <c r="K294" i="10"/>
  <c r="L280" i="10"/>
  <c r="M280" i="10" s="1"/>
  <c r="J292" i="10"/>
  <c r="K292" i="10" s="1"/>
  <c r="J265" i="10"/>
  <c r="K265" i="10" s="1"/>
  <c r="N283" i="10"/>
  <c r="O283" i="10" s="1"/>
  <c r="P283" i="10"/>
  <c r="Q283" i="10" s="1"/>
  <c r="L184" i="23"/>
  <c r="M459" i="10"/>
  <c r="O461" i="10"/>
  <c r="M460" i="10"/>
  <c r="N280" i="10"/>
  <c r="O280" i="10" s="1"/>
  <c r="L180" i="23"/>
  <c r="L283" i="10"/>
  <c r="M283" i="10" s="1"/>
  <c r="L295" i="10"/>
  <c r="M295" i="10" s="1"/>
  <c r="J300" i="10"/>
  <c r="J301" i="10" s="1"/>
  <c r="K301" i="10" s="1"/>
  <c r="Q460" i="10"/>
  <c r="Q463" i="10" s="1"/>
  <c r="P292" i="10"/>
  <c r="Q292" i="10" s="1"/>
  <c r="I395" i="10"/>
  <c r="I398" i="10"/>
  <c r="I403" i="10" s="1"/>
  <c r="K460" i="10"/>
  <c r="N295" i="10"/>
  <c r="O295" i="10" s="1"/>
  <c r="M461" i="10"/>
  <c r="N292" i="10"/>
  <c r="O292" i="10" s="1"/>
  <c r="L292" i="10"/>
  <c r="M292" i="10" s="1"/>
  <c r="J283" i="10"/>
  <c r="K283" i="10" s="1"/>
  <c r="I462" i="10"/>
  <c r="H186" i="23"/>
  <c r="H184" i="23"/>
  <c r="H183" i="23"/>
  <c r="H181" i="23"/>
  <c r="H180" i="23"/>
  <c r="H179" i="23"/>
  <c r="H177" i="23"/>
  <c r="H175" i="23"/>
  <c r="H174" i="23"/>
  <c r="L238" i="10"/>
  <c r="L245" i="10"/>
  <c r="J238" i="10"/>
  <c r="J245" i="10"/>
  <c r="P231" i="10"/>
  <c r="P238" i="10"/>
  <c r="N231" i="10"/>
  <c r="N238" i="10"/>
  <c r="L224" i="10"/>
  <c r="L231" i="10"/>
  <c r="J224" i="10"/>
  <c r="J231" i="10"/>
  <c r="P217" i="10"/>
  <c r="P224" i="10"/>
  <c r="N217" i="10"/>
  <c r="N224" i="10"/>
  <c r="L210" i="10"/>
  <c r="L217" i="10"/>
  <c r="J210" i="10"/>
  <c r="J217" i="10"/>
  <c r="P203" i="10"/>
  <c r="P210" i="10"/>
  <c r="N203" i="10"/>
  <c r="N210" i="10"/>
  <c r="L196" i="10"/>
  <c r="L203" i="10"/>
  <c r="J196" i="10"/>
  <c r="J203" i="10"/>
  <c r="P189" i="10"/>
  <c r="P196" i="10"/>
  <c r="N189" i="10"/>
  <c r="N196" i="10"/>
  <c r="L182" i="10"/>
  <c r="L189" i="10"/>
  <c r="J182" i="10"/>
  <c r="J189" i="10"/>
  <c r="P175" i="10"/>
  <c r="P182" i="10"/>
  <c r="N175" i="10"/>
  <c r="N182" i="10"/>
  <c r="L168" i="10"/>
  <c r="L175" i="10"/>
  <c r="J168" i="10"/>
  <c r="J175" i="10"/>
  <c r="P161" i="10"/>
  <c r="P168" i="10"/>
  <c r="N161" i="10"/>
  <c r="N168" i="10"/>
  <c r="L154" i="10"/>
  <c r="L161" i="10"/>
  <c r="J154" i="10"/>
  <c r="J161" i="10"/>
  <c r="P147" i="10"/>
  <c r="P154" i="10"/>
  <c r="N147" i="10"/>
  <c r="N154" i="10"/>
  <c r="L140" i="10"/>
  <c r="L147" i="10"/>
  <c r="J140" i="10"/>
  <c r="J147" i="10"/>
  <c r="P133" i="10"/>
  <c r="P140" i="10"/>
  <c r="N133" i="10"/>
  <c r="N140" i="10"/>
  <c r="L126" i="10"/>
  <c r="L133" i="10"/>
  <c r="J126" i="10"/>
  <c r="J133" i="10"/>
  <c r="P118" i="10"/>
  <c r="P126" i="10"/>
  <c r="N118" i="10"/>
  <c r="N126" i="10"/>
  <c r="L112" i="10"/>
  <c r="L118" i="10"/>
  <c r="J112" i="10"/>
  <c r="J118" i="10"/>
  <c r="P106" i="10"/>
  <c r="P112" i="10"/>
  <c r="N106" i="10"/>
  <c r="N112" i="10"/>
  <c r="L106" i="10"/>
  <c r="J106" i="10"/>
  <c r="J112" i="13"/>
  <c r="H112" i="13"/>
  <c r="G112" i="23"/>
  <c r="M103" i="23"/>
  <c r="M106" i="23" s="1"/>
  <c r="G111" i="23"/>
  <c r="G306" i="23" s="1"/>
  <c r="O226" i="23"/>
  <c r="O220" i="23"/>
  <c r="O224" i="23"/>
  <c r="O219" i="23"/>
  <c r="O225" i="23"/>
  <c r="O223" i="23"/>
  <c r="O222" i="23"/>
  <c r="O227" i="23"/>
  <c r="K99" i="23"/>
  <c r="I99" i="23"/>
  <c r="F187" i="23"/>
  <c r="H187" i="23"/>
  <c r="G278" i="23"/>
  <c r="G138" i="23" s="1"/>
  <c r="M99" i="23"/>
  <c r="O101" i="23" s="1"/>
  <c r="G295" i="23"/>
  <c r="H304" i="10"/>
  <c r="I304" i="10" s="1"/>
  <c r="G32" i="10"/>
  <c r="G365" i="10" s="1"/>
  <c r="G461" i="10"/>
  <c r="G460" i="10"/>
  <c r="G459" i="10"/>
  <c r="G458" i="10"/>
  <c r="G457" i="10"/>
  <c r="G456" i="10"/>
  <c r="G455" i="10"/>
  <c r="G454" i="10"/>
  <c r="G453" i="10"/>
  <c r="G452" i="10"/>
  <c r="G451" i="10"/>
  <c r="G450" i="10"/>
  <c r="G449" i="10"/>
  <c r="G448" i="10"/>
  <c r="G447" i="10"/>
  <c r="G445" i="10"/>
  <c r="G444" i="10"/>
  <c r="G264" i="10"/>
  <c r="F265" i="10"/>
  <c r="G265" i="10" s="1"/>
  <c r="G273" i="10"/>
  <c r="F280" i="10"/>
  <c r="G280" i="10" s="1"/>
  <c r="G279" i="10"/>
  <c r="G270" i="10"/>
  <c r="F274" i="10"/>
  <c r="G274" i="10" s="1"/>
  <c r="G267" i="10"/>
  <c r="G300" i="10"/>
  <c r="G291" i="10"/>
  <c r="G282" i="10"/>
  <c r="G285" i="10"/>
  <c r="G297" i="10"/>
  <c r="G276" i="10"/>
  <c r="G306" i="10"/>
  <c r="G303" i="10"/>
  <c r="G294" i="10"/>
  <c r="G288" i="10"/>
  <c r="F289" i="10"/>
  <c r="G289" i="10" s="1"/>
  <c r="G262" i="10"/>
  <c r="F298" i="10"/>
  <c r="G298" i="10" s="1"/>
  <c r="F277" i="10"/>
  <c r="G277" i="10" s="1"/>
  <c r="H274" i="10"/>
  <c r="I274" i="10" s="1"/>
  <c r="F295" i="10"/>
  <c r="G295" i="10" s="1"/>
  <c r="F268" i="10"/>
  <c r="G268" i="10" s="1"/>
  <c r="F283" i="10"/>
  <c r="G283" i="10" s="1"/>
  <c r="F304" i="10"/>
  <c r="G304" i="10" s="1"/>
  <c r="F292" i="10"/>
  <c r="G292" i="10" s="1"/>
  <c r="F271" i="10"/>
  <c r="G271" i="10" s="1"/>
  <c r="H265" i="10"/>
  <c r="I265" i="10" s="1"/>
  <c r="H295" i="10"/>
  <c r="I295" i="10" s="1"/>
  <c r="H280" i="10"/>
  <c r="I280" i="10" s="1"/>
  <c r="H298" i="10"/>
  <c r="I298" i="10" s="1"/>
  <c r="H283" i="10"/>
  <c r="I283" i="10" s="1"/>
  <c r="F125" i="13"/>
  <c r="H268" i="10"/>
  <c r="I268" i="10" s="1"/>
  <c r="H292" i="10"/>
  <c r="I292" i="10" s="1"/>
  <c r="H286" i="10"/>
  <c r="I286" i="10" s="1"/>
  <c r="F126" i="13"/>
  <c r="J90" i="13"/>
  <c r="H98" i="13"/>
  <c r="H120" i="13"/>
  <c r="F93" i="13"/>
  <c r="H123" i="13"/>
  <c r="H101" i="13"/>
  <c r="L90" i="13"/>
  <c r="J91" i="13"/>
  <c r="H119" i="13"/>
  <c r="H97" i="13"/>
  <c r="H116" i="13"/>
  <c r="H94" i="13"/>
  <c r="J96" i="13"/>
  <c r="N91" i="13"/>
  <c r="N96" i="13"/>
  <c r="F91" i="13"/>
  <c r="L97" i="13"/>
  <c r="F100" i="13"/>
  <c r="H90" i="13"/>
  <c r="H99" i="13"/>
  <c r="H121" i="13"/>
  <c r="H96" i="13"/>
  <c r="H118" i="13"/>
  <c r="H301" i="10"/>
  <c r="I301" i="10" s="1"/>
  <c r="N90" i="13"/>
  <c r="L96" i="13"/>
  <c r="F97" i="13"/>
  <c r="F119" i="13"/>
  <c r="J95" i="13"/>
  <c r="N97" i="13"/>
  <c r="N95" i="13"/>
  <c r="F96" i="13"/>
  <c r="F118" i="13"/>
  <c r="N94" i="13"/>
  <c r="H93" i="13"/>
  <c r="H115" i="13"/>
  <c r="J93" i="13"/>
  <c r="J115" i="13"/>
  <c r="H91" i="13"/>
  <c r="H113" i="13"/>
  <c r="J94" i="13"/>
  <c r="L93" i="13"/>
  <c r="N93" i="13"/>
  <c r="F121" i="13"/>
  <c r="F99" i="13"/>
  <c r="L94" i="13"/>
  <c r="J98" i="13"/>
  <c r="H95" i="13"/>
  <c r="H117" i="13"/>
  <c r="H100" i="13"/>
  <c r="H122" i="13"/>
  <c r="F101" i="13"/>
  <c r="F123" i="13"/>
  <c r="H124" i="13"/>
  <c r="H102" i="13"/>
  <c r="L91" i="13"/>
  <c r="F98" i="13"/>
  <c r="F120" i="13"/>
  <c r="J97" i="13"/>
  <c r="L95" i="13"/>
  <c r="F95" i="13"/>
  <c r="F117" i="13"/>
  <c r="F94" i="13"/>
  <c r="F116" i="13"/>
  <c r="F102" i="13"/>
  <c r="H105" i="13"/>
  <c r="F105" i="13"/>
  <c r="F104" i="13"/>
  <c r="H103" i="13"/>
  <c r="F103" i="13"/>
  <c r="F286" i="10"/>
  <c r="G286" i="10" s="1"/>
  <c r="H128" i="13"/>
  <c r="H104" i="13"/>
  <c r="J103" i="13"/>
  <c r="J105" i="13"/>
  <c r="H127" i="13"/>
  <c r="J104" i="13"/>
  <c r="F301" i="10"/>
  <c r="G301" i="10" s="1"/>
  <c r="L186" i="24"/>
  <c r="K186" i="24" s="1"/>
  <c r="N186" i="24"/>
  <c r="O186" i="24" s="1"/>
  <c r="M187" i="24"/>
  <c r="N176" i="24"/>
  <c r="O176" i="24" s="1"/>
  <c r="L176" i="24"/>
  <c r="K176" i="24" s="1"/>
  <c r="D179" i="24"/>
  <c r="C179" i="24" s="1"/>
  <c r="E178" i="24"/>
  <c r="F179" i="24"/>
  <c r="G179" i="24" s="1"/>
  <c r="D201" i="24"/>
  <c r="G201" i="24"/>
  <c r="D189" i="24"/>
  <c r="C189" i="24" s="1"/>
  <c r="E190" i="24"/>
  <c r="F189" i="24"/>
  <c r="G189" i="24" s="1"/>
  <c r="F307" i="10"/>
  <c r="G307" i="10" s="1"/>
  <c r="K395" i="10" l="1"/>
  <c r="K463" i="10"/>
  <c r="H126" i="13"/>
  <c r="O463" i="10"/>
  <c r="G207" i="23"/>
  <c r="G310" i="23" s="1"/>
  <c r="K398" i="10"/>
  <c r="K403" i="10" s="1"/>
  <c r="M463" i="10"/>
  <c r="K300" i="10"/>
  <c r="J186" i="23"/>
  <c r="F128" i="13"/>
  <c r="I100" i="23"/>
  <c r="K101" i="23"/>
  <c r="K100" i="23"/>
  <c r="M101" i="23"/>
  <c r="G154" i="23"/>
  <c r="G286" i="23" s="1"/>
  <c r="Q224" i="23"/>
  <c r="Q222" i="23"/>
  <c r="Q226" i="23"/>
  <c r="Q219" i="23"/>
  <c r="Q225" i="23"/>
  <c r="Q223" i="23"/>
  <c r="Q227" i="23"/>
  <c r="Q220" i="23"/>
  <c r="G151" i="23"/>
  <c r="G117" i="23" s="1"/>
  <c r="G285" i="23" s="1"/>
  <c r="G157" i="23"/>
  <c r="O99" i="23"/>
  <c r="Q101" i="23" s="1"/>
  <c r="O106" i="23"/>
  <c r="M100" i="23"/>
  <c r="G329" i="23"/>
  <c r="I207" i="23"/>
  <c r="F463" i="10"/>
  <c r="H446" i="10"/>
  <c r="G42" i="10"/>
  <c r="J99" i="13"/>
  <c r="J100" i="13"/>
  <c r="J102" i="13"/>
  <c r="J101" i="13"/>
  <c r="J113" i="13"/>
  <c r="G463" i="10"/>
  <c r="J121" i="13"/>
  <c r="J118" i="13"/>
  <c r="J123" i="13"/>
  <c r="J127" i="13"/>
  <c r="J128" i="13"/>
  <c r="J122" i="13"/>
  <c r="J120" i="13"/>
  <c r="J125" i="13"/>
  <c r="J124" i="13"/>
  <c r="J116" i="13"/>
  <c r="J126" i="13"/>
  <c r="J117" i="13"/>
  <c r="J119" i="13"/>
  <c r="M188" i="24"/>
  <c r="L187" i="24"/>
  <c r="K187" i="24" s="1"/>
  <c r="N187" i="24"/>
  <c r="O187" i="24" s="1"/>
  <c r="E191" i="24"/>
  <c r="F190" i="24"/>
  <c r="G190" i="24" s="1"/>
  <c r="D190" i="24"/>
  <c r="C190" i="24" s="1"/>
  <c r="H201" i="24"/>
  <c r="D178" i="24"/>
  <c r="C178" i="24" s="1"/>
  <c r="C200" i="24"/>
  <c r="E177" i="24"/>
  <c r="F178" i="24"/>
  <c r="G178" i="24" s="1"/>
  <c r="K70" i="23" l="1"/>
  <c r="I70" i="23"/>
  <c r="M70" i="23"/>
  <c r="O70" i="23"/>
  <c r="Q70" i="23"/>
  <c r="G309" i="23"/>
  <c r="M395" i="10"/>
  <c r="M398" i="10"/>
  <c r="M403" i="10" s="1"/>
  <c r="I32" i="10"/>
  <c r="I446" i="10"/>
  <c r="F114" i="13" s="1"/>
  <c r="G304" i="23"/>
  <c r="G70" i="23"/>
  <c r="G287" i="23"/>
  <c r="G191" i="23"/>
  <c r="G192" i="23" s="1"/>
  <c r="O100" i="23"/>
  <c r="Q106" i="23"/>
  <c r="Q99" i="23"/>
  <c r="P177" i="23"/>
  <c r="P180" i="23"/>
  <c r="G439" i="10"/>
  <c r="G50" i="10"/>
  <c r="G48" i="10"/>
  <c r="G41" i="10"/>
  <c r="F255" i="10"/>
  <c r="G255" i="10" s="1"/>
  <c r="G56" i="10"/>
  <c r="F258" i="10"/>
  <c r="K201" i="24"/>
  <c r="L102" i="13"/>
  <c r="L124" i="13"/>
  <c r="L121" i="13"/>
  <c r="L99" i="13"/>
  <c r="L128" i="13"/>
  <c r="L123" i="13"/>
  <c r="L101" i="13"/>
  <c r="L122" i="13"/>
  <c r="L100" i="13"/>
  <c r="L115" i="13"/>
  <c r="L119" i="13"/>
  <c r="L116" i="13"/>
  <c r="L105" i="13"/>
  <c r="L127" i="13"/>
  <c r="L117" i="13"/>
  <c r="L112" i="13"/>
  <c r="L98" i="13"/>
  <c r="L120" i="13"/>
  <c r="L113" i="13"/>
  <c r="L118" i="13"/>
  <c r="L104" i="13"/>
  <c r="L126" i="13"/>
  <c r="L103" i="13"/>
  <c r="L125" i="13"/>
  <c r="L201" i="24"/>
  <c r="M189" i="24"/>
  <c r="L188" i="24"/>
  <c r="K188" i="24" s="1"/>
  <c r="N188" i="24"/>
  <c r="O188" i="24" s="1"/>
  <c r="E176" i="24"/>
  <c r="F177" i="24"/>
  <c r="G177" i="24" s="1"/>
  <c r="D177" i="24"/>
  <c r="C177" i="24" s="1"/>
  <c r="D200" i="24"/>
  <c r="K200" i="24"/>
  <c r="G200" i="24"/>
  <c r="E192" i="24"/>
  <c r="F191" i="24"/>
  <c r="G191" i="24" s="1"/>
  <c r="D191" i="24"/>
  <c r="C191" i="24" s="1"/>
  <c r="K80" i="23" l="1"/>
  <c r="M80" i="23"/>
  <c r="I80" i="23"/>
  <c r="O80" i="23"/>
  <c r="Q80" i="23"/>
  <c r="O395" i="10"/>
  <c r="O398" i="10"/>
  <c r="I33" i="10"/>
  <c r="I365" i="10"/>
  <c r="H114" i="13"/>
  <c r="K32" i="10"/>
  <c r="F171" i="23"/>
  <c r="G284" i="23"/>
  <c r="G119" i="23"/>
  <c r="G118" i="23" s="1"/>
  <c r="G288" i="23" s="1"/>
  <c r="G85" i="23"/>
  <c r="I85" i="23"/>
  <c r="G80" i="23"/>
  <c r="G84" i="23" s="1"/>
  <c r="Q100" i="23"/>
  <c r="N177" i="23"/>
  <c r="K207" i="23"/>
  <c r="M321" i="10"/>
  <c r="F256" i="10"/>
  <c r="G256" i="10" s="1"/>
  <c r="F66" i="13"/>
  <c r="G258" i="10"/>
  <c r="F259" i="10"/>
  <c r="G259" i="10" s="1"/>
  <c r="G40" i="10"/>
  <c r="G45" i="10"/>
  <c r="H77" i="10"/>
  <c r="N119" i="13"/>
  <c r="N123" i="13"/>
  <c r="N101" i="13"/>
  <c r="N104" i="13"/>
  <c r="N126" i="13"/>
  <c r="N116" i="13"/>
  <c r="N99" i="13"/>
  <c r="N121" i="13"/>
  <c r="N112" i="13"/>
  <c r="N105" i="13"/>
  <c r="N127" i="13"/>
  <c r="N124" i="13"/>
  <c r="N102" i="13"/>
  <c r="N118" i="13"/>
  <c r="N122" i="13"/>
  <c r="N100" i="13"/>
  <c r="N113" i="13"/>
  <c r="N115" i="13"/>
  <c r="N98" i="13"/>
  <c r="N120" i="13"/>
  <c r="N117" i="13"/>
  <c r="N128" i="13"/>
  <c r="N103" i="13"/>
  <c r="N125" i="13"/>
  <c r="N189" i="24"/>
  <c r="O189" i="24" s="1"/>
  <c r="L189" i="24"/>
  <c r="K189" i="24" s="1"/>
  <c r="M190" i="24"/>
  <c r="D192" i="24"/>
  <c r="C192" i="24" s="1"/>
  <c r="E193" i="24"/>
  <c r="F192" i="24"/>
  <c r="G192" i="24" s="1"/>
  <c r="H200" i="24"/>
  <c r="L200" i="24"/>
  <c r="D176" i="24"/>
  <c r="C176" i="24" s="1"/>
  <c r="F176" i="24"/>
  <c r="G176" i="24" s="1"/>
  <c r="Q395" i="10" l="1"/>
  <c r="Q398" i="10"/>
  <c r="O403" i="10"/>
  <c r="K33" i="10"/>
  <c r="K365" i="10"/>
  <c r="M207" i="23"/>
  <c r="M310" i="23" s="1"/>
  <c r="J114" i="13"/>
  <c r="M32" i="10"/>
  <c r="G88" i="23"/>
  <c r="G307" i="23"/>
  <c r="H66" i="13"/>
  <c r="O32" i="10"/>
  <c r="O321" i="10"/>
  <c r="G311" i="10"/>
  <c r="G310" i="10"/>
  <c r="G410" i="10" s="1"/>
  <c r="G36" i="10"/>
  <c r="G38" i="10" s="1"/>
  <c r="H443" i="10"/>
  <c r="I443" i="10" s="1"/>
  <c r="I463" i="10" s="1"/>
  <c r="H254" i="10"/>
  <c r="H253" i="10"/>
  <c r="I253" i="10" s="1"/>
  <c r="L190" i="24"/>
  <c r="K190" i="24" s="1"/>
  <c r="M191" i="24"/>
  <c r="N190" i="24"/>
  <c r="O190" i="24" s="1"/>
  <c r="F193" i="24"/>
  <c r="G193" i="24" s="1"/>
  <c r="D193" i="24"/>
  <c r="C193" i="24" s="1"/>
  <c r="Q403" i="10" l="1"/>
  <c r="O33" i="10"/>
  <c r="O365" i="10"/>
  <c r="M33" i="10"/>
  <c r="M365" i="10"/>
  <c r="K439" i="10"/>
  <c r="O207" i="23"/>
  <c r="O310" i="23" s="1"/>
  <c r="H463" i="10"/>
  <c r="J66" i="13"/>
  <c r="L114" i="13"/>
  <c r="Q321" i="10"/>
  <c r="H111" i="13"/>
  <c r="L66" i="13"/>
  <c r="F92" i="10"/>
  <c r="F91" i="10" s="1"/>
  <c r="M192" i="24"/>
  <c r="N191" i="24"/>
  <c r="O191" i="24" s="1"/>
  <c r="L191" i="24"/>
  <c r="K191" i="24" s="1"/>
  <c r="M439" i="10" l="1"/>
  <c r="Q207" i="23"/>
  <c r="Q310" i="23" s="1"/>
  <c r="N114" i="13"/>
  <c r="Q32" i="10"/>
  <c r="F111" i="13"/>
  <c r="K86" i="23"/>
  <c r="O86" i="23"/>
  <c r="M86" i="23"/>
  <c r="Q86" i="23"/>
  <c r="H252" i="10"/>
  <c r="I252" i="10" s="1"/>
  <c r="I86" i="23"/>
  <c r="C4" i="18"/>
  <c r="D4" i="18" s="1"/>
  <c r="H129" i="13"/>
  <c r="J111" i="13"/>
  <c r="H118" i="10"/>
  <c r="H91" i="10"/>
  <c r="G106" i="10"/>
  <c r="G418" i="10" s="1"/>
  <c r="F88" i="13" s="1"/>
  <c r="H65" i="13"/>
  <c r="M193" i="24"/>
  <c r="N192" i="24"/>
  <c r="O192" i="24" s="1"/>
  <c r="L192" i="24"/>
  <c r="K192" i="24" s="1"/>
  <c r="O439" i="10" l="1"/>
  <c r="Q33" i="10"/>
  <c r="Q365" i="10"/>
  <c r="H106" i="10"/>
  <c r="H112" i="10"/>
  <c r="G28" i="10"/>
  <c r="G30" i="10" s="1"/>
  <c r="G33" i="10" s="1"/>
  <c r="G86" i="23"/>
  <c r="G87" i="23" s="1"/>
  <c r="N66" i="13"/>
  <c r="J129" i="13"/>
  <c r="L111" i="13"/>
  <c r="F252" i="10"/>
  <c r="O344" i="10"/>
  <c r="K344" i="10"/>
  <c r="Q344" i="10"/>
  <c r="I344" i="10"/>
  <c r="M344" i="10"/>
  <c r="G248" i="10"/>
  <c r="F217" i="10" s="1"/>
  <c r="G345" i="10"/>
  <c r="G344" i="10" s="1"/>
  <c r="G317" i="10" s="1"/>
  <c r="F64" i="13"/>
  <c r="F65" i="13"/>
  <c r="H64" i="13"/>
  <c r="L65" i="13"/>
  <c r="J65" i="13"/>
  <c r="N65" i="13"/>
  <c r="N64" i="13"/>
  <c r="N193" i="24"/>
  <c r="O193" i="24" s="1"/>
  <c r="L193" i="24"/>
  <c r="K193" i="24" s="1"/>
  <c r="L64" i="13"/>
  <c r="O317" i="10" l="1"/>
  <c r="O412" i="10" s="1"/>
  <c r="M317" i="10"/>
  <c r="M412" i="10" s="1"/>
  <c r="K317" i="10"/>
  <c r="K412" i="10" s="1"/>
  <c r="I317" i="10"/>
  <c r="I412" i="10" s="1"/>
  <c r="G252" i="10"/>
  <c r="G312" i="10" s="1"/>
  <c r="G315" i="10" s="1"/>
  <c r="G401" i="10" s="1"/>
  <c r="G313" i="10"/>
  <c r="F75" i="13" s="1"/>
  <c r="G29" i="10"/>
  <c r="G412" i="10"/>
  <c r="L129" i="13"/>
  <c r="Q317" i="10"/>
  <c r="Q412" i="10" s="1"/>
  <c r="F118" i="10"/>
  <c r="F203" i="10"/>
  <c r="F154" i="10"/>
  <c r="F182" i="10"/>
  <c r="F112" i="10"/>
  <c r="F161" i="10"/>
  <c r="F168" i="10"/>
  <c r="F140" i="10"/>
  <c r="F238" i="10"/>
  <c r="F175" i="10"/>
  <c r="F196" i="10"/>
  <c r="F133" i="10"/>
  <c r="F224" i="10"/>
  <c r="F245" i="10"/>
  <c r="F126" i="10"/>
  <c r="F210" i="10"/>
  <c r="F147" i="10"/>
  <c r="F231" i="10"/>
  <c r="H238" i="10"/>
  <c r="H245" i="10"/>
  <c r="H224" i="10"/>
  <c r="H231" i="10"/>
  <c r="H210" i="10"/>
  <c r="H217" i="10"/>
  <c r="H196" i="10"/>
  <c r="H203" i="10"/>
  <c r="H182" i="10"/>
  <c r="H189" i="10"/>
  <c r="H168" i="10"/>
  <c r="H175" i="10"/>
  <c r="H154" i="10"/>
  <c r="H161" i="10"/>
  <c r="H140" i="10"/>
  <c r="H147" i="10"/>
  <c r="H126" i="10"/>
  <c r="H133" i="10"/>
  <c r="F189" i="10"/>
  <c r="F106" i="10"/>
  <c r="J64" i="13"/>
  <c r="Q439" i="10" l="1"/>
  <c r="F10" i="13"/>
  <c r="L69" i="13"/>
  <c r="L10" i="13"/>
  <c r="J10" i="13"/>
  <c r="J69" i="13"/>
  <c r="H10" i="13"/>
  <c r="H69" i="13"/>
  <c r="N10" i="13"/>
  <c r="F76" i="13"/>
  <c r="N111" i="13"/>
  <c r="N129" i="13"/>
  <c r="F69" i="13"/>
  <c r="G404" i="10"/>
  <c r="N69" i="13" l="1"/>
  <c r="G318" i="10"/>
  <c r="G319" i="10" s="1"/>
  <c r="G411" i="10"/>
  <c r="G413" i="10" s="1"/>
  <c r="N107" i="13" l="1"/>
  <c r="L177" i="23" l="1"/>
  <c r="N180" i="23" l="1"/>
  <c r="J174" i="23" l="1"/>
  <c r="O175" i="23" l="1"/>
  <c r="O176" i="23"/>
  <c r="M176" i="23"/>
  <c r="Q174" i="23"/>
  <c r="Q176" i="23"/>
  <c r="O174" i="23"/>
  <c r="M175" i="23"/>
  <c r="Q175" i="23"/>
  <c r="K176" i="23"/>
  <c r="Q61" i="10" l="1"/>
  <c r="P270" i="10"/>
  <c r="P176" i="23" s="1"/>
  <c r="M61" i="10"/>
  <c r="L270" i="10"/>
  <c r="L176" i="23" s="1"/>
  <c r="Q60" i="10"/>
  <c r="P267" i="10"/>
  <c r="M60" i="10"/>
  <c r="L267" i="10"/>
  <c r="O59" i="10"/>
  <c r="N264" i="10"/>
  <c r="N174" i="23" s="1"/>
  <c r="Q59" i="10"/>
  <c r="P264" i="10"/>
  <c r="P174" i="23" s="1"/>
  <c r="O61" i="10"/>
  <c r="N270" i="10"/>
  <c r="K61" i="10"/>
  <c r="J270" i="10"/>
  <c r="O60" i="10"/>
  <c r="N267" i="10"/>
  <c r="N175" i="23" s="1"/>
  <c r="K270" i="10" l="1"/>
  <c r="J271" i="10"/>
  <c r="K271" i="10" s="1"/>
  <c r="L268" i="10"/>
  <c r="M268" i="10" s="1"/>
  <c r="M267" i="10"/>
  <c r="O270" i="10"/>
  <c r="N271" i="10"/>
  <c r="O271" i="10" s="1"/>
  <c r="Q267" i="10"/>
  <c r="P268" i="10"/>
  <c r="Q268" i="10" s="1"/>
  <c r="Q264" i="10"/>
  <c r="P265" i="10"/>
  <c r="Q265" i="10" s="1"/>
  <c r="M270" i="10"/>
  <c r="L271" i="10"/>
  <c r="M271" i="10" s="1"/>
  <c r="N265" i="10"/>
  <c r="O265" i="10" s="1"/>
  <c r="O264" i="10"/>
  <c r="P271" i="10"/>
  <c r="Q271" i="10" s="1"/>
  <c r="Q270" i="10"/>
  <c r="O267" i="10"/>
  <c r="N268" i="10"/>
  <c r="O268" i="10" s="1"/>
  <c r="P175" i="23"/>
  <c r="J176" i="23"/>
  <c r="N176" i="23"/>
  <c r="L175" i="23"/>
  <c r="F11" i="13" l="1"/>
  <c r="F40" i="13"/>
  <c r="H11" i="13"/>
  <c r="H40" i="13"/>
  <c r="J11" i="13"/>
  <c r="J40" i="13"/>
  <c r="L40" i="13"/>
  <c r="L11" i="13"/>
  <c r="N11" i="13"/>
  <c r="N40" i="13"/>
  <c r="F44" i="13"/>
  <c r="F13" i="13"/>
  <c r="H44" i="13"/>
  <c r="H13" i="13"/>
  <c r="J44" i="13"/>
  <c r="J13" i="13"/>
  <c r="L13" i="13"/>
  <c r="L44" i="13"/>
  <c r="N13" i="13"/>
  <c r="N44" i="13"/>
  <c r="F20" i="13"/>
  <c r="I87" i="23"/>
  <c r="I153" i="23"/>
  <c r="I57" i="23"/>
  <c r="I277" i="23" s="1"/>
  <c r="I290" i="23"/>
  <c r="G324" i="23"/>
  <c r="G321" i="23" s="1"/>
  <c r="I308" i="23"/>
  <c r="G240" i="23"/>
  <c r="I244" i="23" s="1"/>
  <c r="I276" i="23"/>
  <c r="I275" i="23"/>
  <c r="I279" i="23" l="1"/>
  <c r="I280" i="23" s="1"/>
  <c r="I296" i="23"/>
  <c r="I297" i="23" s="1"/>
  <c r="G246" i="23"/>
  <c r="I303" i="23"/>
  <c r="F34" i="13" s="1"/>
  <c r="F39" i="13"/>
  <c r="G244" i="23"/>
  <c r="G241" i="23"/>
  <c r="G312" i="23" s="1"/>
  <c r="G302" i="23" s="1"/>
  <c r="G328" i="23" s="1"/>
  <c r="F22" i="13"/>
  <c r="I298" i="23"/>
  <c r="I278" i="23"/>
  <c r="I291" i="23"/>
  <c r="I299" i="23" s="1"/>
  <c r="F29" i="13" s="1"/>
  <c r="I61" i="23"/>
  <c r="I171" i="23" s="1"/>
  <c r="I56" i="10" s="1"/>
  <c r="I138" i="23" l="1"/>
  <c r="I157" i="23"/>
  <c r="H258" i="10"/>
  <c r="F28" i="13"/>
  <c r="F26" i="13" s="1"/>
  <c r="G315" i="23"/>
  <c r="G332" i="23"/>
  <c r="G335" i="23" s="1"/>
  <c r="I295" i="23"/>
  <c r="I189" i="23"/>
  <c r="I112" i="23"/>
  <c r="I42" i="10" s="1"/>
  <c r="I206" i="23"/>
  <c r="I190" i="23"/>
  <c r="I305" i="23" s="1"/>
  <c r="F36" i="13" s="1"/>
  <c r="I169" i="23"/>
  <c r="I111" i="23"/>
  <c r="I41" i="10" s="1"/>
  <c r="I170" i="23"/>
  <c r="I50" i="10" l="1"/>
  <c r="I48" i="10"/>
  <c r="I40" i="10"/>
  <c r="I45" i="10"/>
  <c r="I258" i="10"/>
  <c r="I182" i="23"/>
  <c r="I67" i="10" s="1"/>
  <c r="I172" i="23"/>
  <c r="I57" i="10" s="1"/>
  <c r="H288" i="10"/>
  <c r="I288" i="10" s="1"/>
  <c r="I173" i="23"/>
  <c r="I58" i="10" s="1"/>
  <c r="I178" i="23"/>
  <c r="I63" i="10" s="1"/>
  <c r="H259" i="10"/>
  <c r="H171" i="23"/>
  <c r="I176" i="23"/>
  <c r="I61" i="10" s="1"/>
  <c r="I188" i="23"/>
  <c r="I73" i="10" s="1"/>
  <c r="I329" i="23"/>
  <c r="F4" i="13"/>
  <c r="I306" i="23"/>
  <c r="H255" i="10"/>
  <c r="I255" i="10" s="1"/>
  <c r="I310" i="23"/>
  <c r="I309" i="23"/>
  <c r="H173" i="23" l="1"/>
  <c r="I259" i="10"/>
  <c r="H261" i="10"/>
  <c r="H182" i="23"/>
  <c r="H289" i="10"/>
  <c r="I289" i="10" s="1"/>
  <c r="H276" i="10"/>
  <c r="I276" i="10" s="1"/>
  <c r="H256" i="10"/>
  <c r="I256" i="10" s="1"/>
  <c r="F37" i="13"/>
  <c r="H306" i="10"/>
  <c r="I306" i="10" s="1"/>
  <c r="H270" i="10"/>
  <c r="I270" i="10" s="1"/>
  <c r="I313" i="10" l="1"/>
  <c r="H75" i="13" s="1"/>
  <c r="I261" i="10"/>
  <c r="I312" i="10" s="1"/>
  <c r="F77" i="13"/>
  <c r="H172" i="23"/>
  <c r="H262" i="10"/>
  <c r="H178" i="23"/>
  <c r="H277" i="10"/>
  <c r="I277" i="10" s="1"/>
  <c r="H271" i="10"/>
  <c r="I271" i="10" s="1"/>
  <c r="H176" i="23"/>
  <c r="H307" i="10"/>
  <c r="I307" i="10" s="1"/>
  <c r="H188" i="23"/>
  <c r="F78" i="13"/>
  <c r="I311" i="10" l="1"/>
  <c r="F73" i="13" s="1"/>
  <c r="I262" i="10"/>
  <c r="I310" i="10" s="1"/>
  <c r="I410" i="10" s="1"/>
  <c r="I284" i="23"/>
  <c r="K85" i="23"/>
  <c r="I84" i="23"/>
  <c r="I88" i="23" l="1"/>
  <c r="I36" i="10"/>
  <c r="I38" i="10" s="1"/>
  <c r="I29" i="10" s="1"/>
  <c r="F74" i="13"/>
  <c r="I315" i="10"/>
  <c r="I411" i="10" s="1"/>
  <c r="I413" i="10" s="1"/>
  <c r="H76" i="13"/>
  <c r="I307" i="23"/>
  <c r="F38" i="13" s="1"/>
  <c r="K175" i="23"/>
  <c r="M174" i="23"/>
  <c r="M59" i="10" l="1"/>
  <c r="L264" i="10"/>
  <c r="K60" i="10"/>
  <c r="J267" i="10"/>
  <c r="J175" i="23" s="1"/>
  <c r="I401" i="10"/>
  <c r="I404" i="10" s="1"/>
  <c r="I318" i="10"/>
  <c r="I319" i="10" s="1"/>
  <c r="F68" i="13"/>
  <c r="F24" i="13"/>
  <c r="K267" i="10" l="1"/>
  <c r="J268" i="10"/>
  <c r="K268" i="10" s="1"/>
  <c r="L265" i="10"/>
  <c r="M265" i="10" s="1"/>
  <c r="M264" i="10"/>
  <c r="F70" i="13"/>
  <c r="F71" i="13" s="1"/>
  <c r="F5" i="13"/>
  <c r="F6" i="13" s="1"/>
  <c r="L174" i="23"/>
  <c r="O185" i="23"/>
  <c r="K187" i="23"/>
  <c r="Q184" i="23"/>
  <c r="M186" i="23"/>
  <c r="K72" i="10" l="1"/>
  <c r="J303" i="10"/>
  <c r="J187" i="23" s="1"/>
  <c r="M71" i="10"/>
  <c r="L300" i="10"/>
  <c r="L186" i="23" s="1"/>
  <c r="O70" i="10"/>
  <c r="N297" i="10"/>
  <c r="Q69" i="10"/>
  <c r="P294" i="10"/>
  <c r="P184" i="23" s="1"/>
  <c r="I119" i="23"/>
  <c r="I118" i="23" s="1"/>
  <c r="I288" i="23" s="1"/>
  <c r="I151" i="23"/>
  <c r="I191" i="23" s="1"/>
  <c r="I192" i="23" s="1"/>
  <c r="I154" i="23"/>
  <c r="I286" i="23" s="1"/>
  <c r="Q294" i="10" l="1"/>
  <c r="P295" i="10"/>
  <c r="Q295" i="10" s="1"/>
  <c r="N298" i="10"/>
  <c r="O298" i="10" s="1"/>
  <c r="O297" i="10"/>
  <c r="M300" i="10"/>
  <c r="L301" i="10"/>
  <c r="M301" i="10" s="1"/>
  <c r="K303" i="10"/>
  <c r="J304" i="10"/>
  <c r="K304" i="10" s="1"/>
  <c r="I304" i="23"/>
  <c r="I117" i="23"/>
  <c r="I285" i="23" s="1"/>
  <c r="I287" i="23"/>
  <c r="F35" i="13" l="1"/>
  <c r="F32" i="13" s="1"/>
  <c r="I312" i="23" l="1"/>
  <c r="F43" i="13" s="1"/>
  <c r="F42" i="13" s="1"/>
  <c r="F46" i="13" s="1"/>
  <c r="I302" i="23" l="1"/>
  <c r="F9" i="13" s="1"/>
  <c r="F12" i="13"/>
  <c r="I246" i="23"/>
  <c r="I265" i="23"/>
  <c r="I325" i="23" l="1"/>
  <c r="F51" i="13" s="1"/>
  <c r="I268" i="23"/>
  <c r="I271" i="23" s="1"/>
  <c r="I334" i="23" s="1"/>
  <c r="I332" i="23"/>
  <c r="I315" i="23"/>
  <c r="F14" i="13"/>
  <c r="F16" i="13" s="1"/>
  <c r="I323" i="23"/>
  <c r="I335" i="23" l="1"/>
  <c r="F58" i="13"/>
  <c r="F57" i="13" s="1"/>
  <c r="F55" i="13" s="1"/>
  <c r="F60" i="13" s="1"/>
  <c r="I321" i="23"/>
  <c r="I328" i="23" s="1"/>
  <c r="F50" i="13"/>
  <c r="F48" i="13" s="1"/>
  <c r="F53" i="13" s="1"/>
  <c r="K87" i="23"/>
  <c r="H20" i="13"/>
  <c r="K308" i="23"/>
  <c r="K312" i="23"/>
  <c r="K57" i="23"/>
  <c r="K290" i="23"/>
  <c r="K275" i="23"/>
  <c r="K276" i="23"/>
  <c r="H22" i="13" s="1"/>
  <c r="K153" i="23"/>
  <c r="K298" i="23" l="1"/>
  <c r="K296" i="23"/>
  <c r="K297" i="23" s="1"/>
  <c r="K277" i="23"/>
  <c r="H39" i="13"/>
  <c r="K279" i="23"/>
  <c r="K280" i="23" s="1"/>
  <c r="H43" i="13"/>
  <c r="H42" i="13" s="1"/>
  <c r="H12" i="13"/>
  <c r="K291" i="23"/>
  <c r="K299" i="23" s="1"/>
  <c r="H29" i="13" s="1"/>
  <c r="K303" i="23"/>
  <c r="K61" i="23"/>
  <c r="K278" i="23"/>
  <c r="K157" i="23" s="1"/>
  <c r="K138" i="23" l="1"/>
  <c r="K295" i="23"/>
  <c r="K206" i="23"/>
  <c r="K112" i="23"/>
  <c r="K42" i="10" s="1"/>
  <c r="K190" i="23"/>
  <c r="K305" i="23" s="1"/>
  <c r="H36" i="13" s="1"/>
  <c r="K189" i="23"/>
  <c r="K111" i="23"/>
  <c r="K170" i="23"/>
  <c r="H34" i="13"/>
  <c r="H28" i="13"/>
  <c r="H26" i="13" s="1"/>
  <c r="K169" i="23"/>
  <c r="K41" i="10" l="1"/>
  <c r="J255" i="10"/>
  <c r="K50" i="10"/>
  <c r="K48" i="10"/>
  <c r="K182" i="23"/>
  <c r="K172" i="23"/>
  <c r="K173" i="23"/>
  <c r="K58" i="10" s="1"/>
  <c r="K178" i="23"/>
  <c r="K309" i="23"/>
  <c r="K310" i="23"/>
  <c r="K306" i="23"/>
  <c r="K188" i="23"/>
  <c r="K171" i="23"/>
  <c r="K329" i="23"/>
  <c r="H4" i="13"/>
  <c r="J256" i="10" l="1"/>
  <c r="K256" i="10" s="1"/>
  <c r="K255" i="10"/>
  <c r="J173" i="23"/>
  <c r="K40" i="10"/>
  <c r="K45" i="10"/>
  <c r="K73" i="10"/>
  <c r="J306" i="10"/>
  <c r="K67" i="10"/>
  <c r="J288" i="10"/>
  <c r="J182" i="23" s="1"/>
  <c r="K63" i="10"/>
  <c r="J276" i="10"/>
  <c r="K57" i="10"/>
  <c r="J261" i="10"/>
  <c r="K56" i="10"/>
  <c r="J258" i="10"/>
  <c r="H37" i="13"/>
  <c r="J262" i="10" l="1"/>
  <c r="K262" i="10" s="1"/>
  <c r="K261" i="10"/>
  <c r="K276" i="10"/>
  <c r="J277" i="10"/>
  <c r="K277" i="10" s="1"/>
  <c r="K288" i="10"/>
  <c r="J289" i="10"/>
  <c r="K289" i="10" s="1"/>
  <c r="K306" i="10"/>
  <c r="J307" i="10"/>
  <c r="K307" i="10" s="1"/>
  <c r="K258" i="10"/>
  <c r="J259" i="10"/>
  <c r="K313" i="10"/>
  <c r="J75" i="13" s="1"/>
  <c r="J172" i="23"/>
  <c r="J178" i="23"/>
  <c r="H78" i="13"/>
  <c r="H77" i="13"/>
  <c r="J171" i="23"/>
  <c r="J188" i="23"/>
  <c r="K312" i="10" l="1"/>
  <c r="J76" i="13" s="1"/>
  <c r="K259" i="10"/>
  <c r="K310" i="10" s="1"/>
  <c r="K410" i="10" s="1"/>
  <c r="K311" i="10"/>
  <c r="H73" i="13" s="1"/>
  <c r="H74" i="13" l="1"/>
  <c r="K315" i="10"/>
  <c r="K284" i="23"/>
  <c r="M85" i="23"/>
  <c r="K84" i="23"/>
  <c r="K88" i="23" l="1"/>
  <c r="K36" i="10"/>
  <c r="K38" i="10" s="1"/>
  <c r="K411" i="10"/>
  <c r="K413" i="10" s="1"/>
  <c r="K318" i="10"/>
  <c r="K319" i="10" s="1"/>
  <c r="K401" i="10"/>
  <c r="K404" i="10" s="1"/>
  <c r="H68" i="13"/>
  <c r="K29" i="10"/>
  <c r="K307" i="23"/>
  <c r="H38" i="13" s="1"/>
  <c r="Q185" i="23"/>
  <c r="M187" i="23"/>
  <c r="O186" i="23"/>
  <c r="O71" i="10" l="1"/>
  <c r="N300" i="10"/>
  <c r="N186" i="23" s="1"/>
  <c r="Q70" i="10"/>
  <c r="P297" i="10"/>
  <c r="M72" i="10"/>
  <c r="L303" i="10"/>
  <c r="L187" i="23" s="1"/>
  <c r="H107" i="13"/>
  <c r="H70" i="13"/>
  <c r="H71" i="13" s="1"/>
  <c r="H5" i="13"/>
  <c r="H6" i="13" s="1"/>
  <c r="H24" i="13"/>
  <c r="K119" i="23"/>
  <c r="K118" i="23" s="1"/>
  <c r="K288" i="23" s="1"/>
  <c r="K151" i="23"/>
  <c r="K191" i="23" s="1"/>
  <c r="K192" i="23" s="1"/>
  <c r="K154" i="23"/>
  <c r="M303" i="10" l="1"/>
  <c r="L304" i="10"/>
  <c r="M304" i="10" s="1"/>
  <c r="P298" i="10"/>
  <c r="Q298" i="10" s="1"/>
  <c r="Q297" i="10"/>
  <c r="O300" i="10"/>
  <c r="N301" i="10"/>
  <c r="O301" i="10" s="1"/>
  <c r="K117" i="23"/>
  <c r="K285" i="23" s="1"/>
  <c r="K287" i="23"/>
  <c r="K286" i="23"/>
  <c r="K304" i="23"/>
  <c r="K302" i="23" l="1"/>
  <c r="H35" i="13"/>
  <c r="H32" i="13" s="1"/>
  <c r="H46" i="13" s="1"/>
  <c r="K315" i="23" l="1"/>
  <c r="H9" i="13"/>
  <c r="H14" i="13" s="1"/>
  <c r="H16" i="13" s="1"/>
  <c r="K332" i="23"/>
  <c r="K246" i="23"/>
  <c r="K265" i="23"/>
  <c r="K325" i="23" l="1"/>
  <c r="H51" i="13" s="1"/>
  <c r="K268" i="23"/>
  <c r="K323" i="23" s="1"/>
  <c r="H58" i="13"/>
  <c r="H50" i="13"/>
  <c r="H48" i="13" s="1"/>
  <c r="H53" i="13" s="1"/>
  <c r="K271" i="23"/>
  <c r="K334" i="23" s="1"/>
  <c r="K321" i="23" l="1"/>
  <c r="K328" i="23" s="1"/>
  <c r="H57" i="13"/>
  <c r="H55" i="13" s="1"/>
  <c r="H60" i="13" s="1"/>
  <c r="K335" i="23"/>
  <c r="M87" i="23"/>
  <c r="J20" i="13"/>
  <c r="M290" i="23"/>
  <c r="M312" i="23"/>
  <c r="T311" i="23" s="1"/>
  <c r="M308" i="23"/>
  <c r="M57" i="23"/>
  <c r="M61" i="23" s="1"/>
  <c r="M171" i="23" s="1"/>
  <c r="M153" i="23"/>
  <c r="M276" i="23"/>
  <c r="M275" i="23"/>
  <c r="M56" i="10" l="1"/>
  <c r="L258" i="10"/>
  <c r="M296" i="23"/>
  <c r="M297" i="23" s="1"/>
  <c r="J12" i="13"/>
  <c r="J39" i="13"/>
  <c r="M189" i="23"/>
  <c r="M206" i="23"/>
  <c r="M309" i="23" s="1"/>
  <c r="M112" i="23"/>
  <c r="M42" i="10" s="1"/>
  <c r="M190" i="23"/>
  <c r="M305" i="23" s="1"/>
  <c r="J36" i="13" s="1"/>
  <c r="M170" i="23"/>
  <c r="M111" i="23"/>
  <c r="J43" i="13"/>
  <c r="J42" i="13" s="1"/>
  <c r="M279" i="23"/>
  <c r="M280" i="23" s="1"/>
  <c r="M291" i="23"/>
  <c r="M299" i="23" s="1"/>
  <c r="J29" i="13" s="1"/>
  <c r="M303" i="23"/>
  <c r="M298" i="23"/>
  <c r="M277" i="23"/>
  <c r="J22" i="13"/>
  <c r="M169" i="23"/>
  <c r="M41" i="10" l="1"/>
  <c r="M45" i="10" s="1"/>
  <c r="L255" i="10"/>
  <c r="M50" i="10"/>
  <c r="M48" i="10"/>
  <c r="M258" i="10"/>
  <c r="L259" i="10"/>
  <c r="M182" i="23"/>
  <c r="M172" i="23"/>
  <c r="M173" i="23"/>
  <c r="M178" i="23"/>
  <c r="L171" i="23"/>
  <c r="J28" i="13"/>
  <c r="J26" i="13" s="1"/>
  <c r="J34" i="13"/>
  <c r="M188" i="23"/>
  <c r="M306" i="23"/>
  <c r="J37" i="13" s="1"/>
  <c r="M295" i="23"/>
  <c r="M278" i="23"/>
  <c r="M138" i="23" l="1"/>
  <c r="M157" i="23"/>
  <c r="M40" i="10"/>
  <c r="M255" i="10"/>
  <c r="L256" i="10"/>
  <c r="M256" i="10" s="1"/>
  <c r="L173" i="23"/>
  <c r="M58" i="10"/>
  <c r="M57" i="10"/>
  <c r="L261" i="10"/>
  <c r="M67" i="10"/>
  <c r="L288" i="10"/>
  <c r="L182" i="23" s="1"/>
  <c r="M63" i="10"/>
  <c r="L276" i="10"/>
  <c r="M73" i="10"/>
  <c r="L306" i="10"/>
  <c r="M259" i="10"/>
  <c r="M329" i="23"/>
  <c r="J4" i="13"/>
  <c r="L289" i="10" l="1"/>
  <c r="M289" i="10" s="1"/>
  <c r="M288" i="10"/>
  <c r="L262" i="10"/>
  <c r="M261" i="10"/>
  <c r="M313" i="10"/>
  <c r="L75" i="13" s="1"/>
  <c r="M306" i="10"/>
  <c r="L307" i="10"/>
  <c r="M307" i="10" s="1"/>
  <c r="L277" i="10"/>
  <c r="M277" i="10" s="1"/>
  <c r="M276" i="10"/>
  <c r="J77" i="13"/>
  <c r="L172" i="23"/>
  <c r="L178" i="23"/>
  <c r="L188" i="23"/>
  <c r="J78" i="13"/>
  <c r="M312" i="10" l="1"/>
  <c r="L76" i="13" s="1"/>
  <c r="M262" i="10"/>
  <c r="M310" i="10" s="1"/>
  <c r="M410" i="10" s="1"/>
  <c r="M311" i="10"/>
  <c r="J73" i="13" s="1"/>
  <c r="M284" i="23"/>
  <c r="O85" i="23"/>
  <c r="M84" i="23"/>
  <c r="M36" i="10" l="1"/>
  <c r="M38" i="10" s="1"/>
  <c r="M29" i="10" s="1"/>
  <c r="M315" i="10"/>
  <c r="J74" i="13"/>
  <c r="M307" i="23"/>
  <c r="J38" i="13" s="1"/>
  <c r="M88" i="23"/>
  <c r="Q186" i="23"/>
  <c r="O187" i="23"/>
  <c r="J24" i="13" l="1"/>
  <c r="O72" i="10"/>
  <c r="N303" i="10"/>
  <c r="Q71" i="10"/>
  <c r="P300" i="10"/>
  <c r="M411" i="10"/>
  <c r="M413" i="10" s="1"/>
  <c r="M318" i="10"/>
  <c r="M319" i="10" s="1"/>
  <c r="M401" i="10"/>
  <c r="M404" i="10" s="1"/>
  <c r="J68" i="13"/>
  <c r="Q300" i="10" l="1"/>
  <c r="P301" i="10"/>
  <c r="Q301" i="10" s="1"/>
  <c r="O303" i="10"/>
  <c r="N304" i="10"/>
  <c r="O304" i="10" s="1"/>
  <c r="N187" i="23"/>
  <c r="J107" i="13"/>
  <c r="J70" i="13"/>
  <c r="J71" i="13" s="1"/>
  <c r="J5" i="13"/>
  <c r="J6" i="13" s="1"/>
  <c r="P186" i="23"/>
  <c r="M119" i="23"/>
  <c r="M118" i="23" s="1"/>
  <c r="M288" i="23" s="1"/>
  <c r="M154" i="23"/>
  <c r="M304" i="23" s="1"/>
  <c r="M151" i="23"/>
  <c r="M191" i="23" s="1"/>
  <c r="M192" i="23" s="1"/>
  <c r="M286" i="23" l="1"/>
  <c r="J35" i="13"/>
  <c r="J32" i="13" s="1"/>
  <c r="J46" i="13" s="1"/>
  <c r="M302" i="23"/>
  <c r="M287" i="23"/>
  <c r="M117" i="23"/>
  <c r="M285" i="23" s="1"/>
  <c r="M315" i="23" l="1"/>
  <c r="J9" i="13"/>
  <c r="J14" i="13" s="1"/>
  <c r="J16" i="13" s="1"/>
  <c r="M332" i="23"/>
  <c r="M246" i="23" l="1"/>
  <c r="M265" i="23"/>
  <c r="M325" i="23" l="1"/>
  <c r="J51" i="13" s="1"/>
  <c r="M268" i="23"/>
  <c r="M323" i="23" s="1"/>
  <c r="J50" i="13" s="1"/>
  <c r="J48" i="13" s="1"/>
  <c r="J53" i="13" s="1"/>
  <c r="M321" i="23" l="1"/>
  <c r="M328" i="23" s="1"/>
  <c r="J58" i="13"/>
  <c r="M271" i="23"/>
  <c r="M334" i="23" s="1"/>
  <c r="M335" i="23" s="1"/>
  <c r="O312" i="23"/>
  <c r="J57" i="13" l="1"/>
  <c r="J55" i="13" s="1"/>
  <c r="J60" i="13" s="1"/>
  <c r="L12" i="13"/>
  <c r="L43" i="13"/>
  <c r="L42" i="13" s="1"/>
  <c r="L20" i="13"/>
  <c r="O87" i="23"/>
  <c r="O290" i="23"/>
  <c r="O153" i="23"/>
  <c r="O308" i="23"/>
  <c r="O57" i="23"/>
  <c r="O291" i="23" s="1"/>
  <c r="O276" i="23"/>
  <c r="O275" i="23"/>
  <c r="O303" i="23" l="1"/>
  <c r="L34" i="13" s="1"/>
  <c r="O298" i="23"/>
  <c r="O279" i="23"/>
  <c r="O280" i="23" s="1"/>
  <c r="O277" i="23"/>
  <c r="L39" i="13"/>
  <c r="O61" i="23"/>
  <c r="O189" i="23" s="1"/>
  <c r="O299" i="23"/>
  <c r="L29" i="13" s="1"/>
  <c r="L22" i="13"/>
  <c r="O296" i="23"/>
  <c r="O169" i="23" l="1"/>
  <c r="O182" i="23"/>
  <c r="O172" i="23"/>
  <c r="O173" i="23"/>
  <c r="O178" i="23"/>
  <c r="O278" i="23"/>
  <c r="O157" i="23" s="1"/>
  <c r="O190" i="23"/>
  <c r="O305" i="23" s="1"/>
  <c r="L36" i="13" s="1"/>
  <c r="O171" i="23"/>
  <c r="O112" i="23"/>
  <c r="O42" i="10" s="1"/>
  <c r="O206" i="23"/>
  <c r="O309" i="23" s="1"/>
  <c r="O111" i="23"/>
  <c r="O170" i="23"/>
  <c r="O188" i="23"/>
  <c r="O297" i="23"/>
  <c r="O295" i="23" s="1"/>
  <c r="O138" i="23" l="1"/>
  <c r="O41" i="10"/>
  <c r="O45" i="10" s="1"/>
  <c r="N255" i="10"/>
  <c r="O50" i="10"/>
  <c r="O48" i="10"/>
  <c r="O73" i="10"/>
  <c r="N306" i="10"/>
  <c r="N173" i="23"/>
  <c r="O58" i="10"/>
  <c r="O67" i="10"/>
  <c r="N288" i="10"/>
  <c r="N182" i="23" s="1"/>
  <c r="O63" i="10"/>
  <c r="N276" i="10"/>
  <c r="O57" i="10"/>
  <c r="N261" i="10"/>
  <c r="O56" i="10"/>
  <c r="N258" i="10"/>
  <c r="O306" i="23"/>
  <c r="L37" i="13" s="1"/>
  <c r="O329" i="23"/>
  <c r="L4" i="13"/>
  <c r="L28" i="13"/>
  <c r="L26" i="13" s="1"/>
  <c r="O40" i="10" l="1"/>
  <c r="O255" i="10"/>
  <c r="N256" i="10"/>
  <c r="O256" i="10" s="1"/>
  <c r="O276" i="10"/>
  <c r="N277" i="10"/>
  <c r="O277" i="10" s="1"/>
  <c r="O288" i="10"/>
  <c r="N289" i="10"/>
  <c r="O289" i="10" s="1"/>
  <c r="O306" i="10"/>
  <c r="N307" i="10"/>
  <c r="O307" i="10" s="1"/>
  <c r="O261" i="10"/>
  <c r="N262" i="10"/>
  <c r="O262" i="10" s="1"/>
  <c r="O258" i="10"/>
  <c r="N259" i="10"/>
  <c r="O313" i="10"/>
  <c r="N75" i="13" s="1"/>
  <c r="N172" i="23"/>
  <c r="L77" i="13"/>
  <c r="N178" i="23"/>
  <c r="L78" i="13"/>
  <c r="N171" i="23"/>
  <c r="N188" i="23"/>
  <c r="O312" i="10" l="1"/>
  <c r="O259" i="10"/>
  <c r="O310" i="10" s="1"/>
  <c r="O410" i="10" s="1"/>
  <c r="O311" i="10"/>
  <c r="L73" i="13" s="1"/>
  <c r="L74" i="13" l="1"/>
  <c r="O315" i="10"/>
  <c r="N76" i="13"/>
  <c r="O284" i="23"/>
  <c r="Q85" i="23"/>
  <c r="O84" i="23"/>
  <c r="O307" i="23" l="1"/>
  <c r="L38" i="13" s="1"/>
  <c r="O36" i="10"/>
  <c r="O38" i="10" s="1"/>
  <c r="O411" i="10"/>
  <c r="O413" i="10" s="1"/>
  <c r="O401" i="10"/>
  <c r="O404" i="10" s="1"/>
  <c r="O318" i="10"/>
  <c r="O319" i="10" s="1"/>
  <c r="L68" i="13"/>
  <c r="O88" i="23"/>
  <c r="Q187" i="23"/>
  <c r="Q72" i="10" l="1"/>
  <c r="P303" i="10"/>
  <c r="P187" i="23" s="1"/>
  <c r="L24" i="13"/>
  <c r="O29" i="10"/>
  <c r="L5" i="13"/>
  <c r="L6" i="13" s="1"/>
  <c r="L70" i="13"/>
  <c r="L71" i="13" s="1"/>
  <c r="L107" i="13"/>
  <c r="O119" i="23"/>
  <c r="O118" i="23" s="1"/>
  <c r="O288" i="23" s="1"/>
  <c r="O154" i="23"/>
  <c r="O151" i="23"/>
  <c r="O191" i="23" s="1"/>
  <c r="O192" i="23" s="1"/>
  <c r="Q303" i="10" l="1"/>
  <c r="P304" i="10"/>
  <c r="Q304" i="10" s="1"/>
  <c r="O287" i="23"/>
  <c r="O304" i="23"/>
  <c r="O302" i="23" s="1"/>
  <c r="L9" i="13" s="1"/>
  <c r="L14" i="13" s="1"/>
  <c r="L16" i="13" s="1"/>
  <c r="O117" i="23"/>
  <c r="O285" i="23" s="1"/>
  <c r="O286" i="23"/>
  <c r="L35" i="13" l="1"/>
  <c r="L32" i="13" s="1"/>
  <c r="L46" i="13" s="1"/>
  <c r="O332" i="23"/>
  <c r="O315" i="23"/>
  <c r="O246" i="23" l="1"/>
  <c r="O265" i="23"/>
  <c r="O325" i="23" l="1"/>
  <c r="L51" i="13" s="1"/>
  <c r="O268" i="23"/>
  <c r="S271" i="23"/>
  <c r="S263" i="23"/>
  <c r="S268" i="23" s="1"/>
  <c r="O323" i="23"/>
  <c r="L58" i="13" s="1"/>
  <c r="O271" i="23"/>
  <c r="O334" i="23" s="1"/>
  <c r="O335" i="23" s="1"/>
  <c r="L57" i="13" l="1"/>
  <c r="L55" i="13" s="1"/>
  <c r="L60" i="13" s="1"/>
  <c r="O321" i="23"/>
  <c r="O328" i="23" s="1"/>
  <c r="L50" i="13"/>
  <c r="L48" i="13" s="1"/>
  <c r="L53" i="13" s="1"/>
  <c r="Q312" i="23"/>
  <c r="N12" i="13" l="1"/>
  <c r="N43" i="13"/>
  <c r="N42" i="13" s="1"/>
  <c r="Q87" i="23"/>
  <c r="N20" i="13"/>
  <c r="Q153" i="23"/>
  <c r="Q290" i="23"/>
  <c r="Q57" i="23"/>
  <c r="Q277" i="23" s="1"/>
  <c r="Q275" i="23"/>
  <c r="Q276" i="23"/>
  <c r="Q308" i="23"/>
  <c r="Q298" i="23" l="1"/>
  <c r="N39" i="13"/>
  <c r="Q296" i="23"/>
  <c r="Q297" i="23" s="1"/>
  <c r="Q303" i="23"/>
  <c r="N34" i="13" s="1"/>
  <c r="Q279" i="23"/>
  <c r="Q280" i="23" s="1"/>
  <c r="Q278" i="23"/>
  <c r="Q291" i="23"/>
  <c r="Q299" i="23" s="1"/>
  <c r="N29" i="13" s="1"/>
  <c r="Q61" i="23"/>
  <c r="Q171" i="23" s="1"/>
  <c r="N22" i="13"/>
  <c r="Q138" i="23" l="1"/>
  <c r="Q157" i="23"/>
  <c r="Q56" i="10"/>
  <c r="P258" i="10"/>
  <c r="Q295" i="23"/>
  <c r="N28" i="13"/>
  <c r="N26" i="13" s="1"/>
  <c r="Q190" i="23"/>
  <c r="Q305" i="23" s="1"/>
  <c r="N36" i="13" s="1"/>
  <c r="Q111" i="23"/>
  <c r="Q189" i="23"/>
  <c r="Q112" i="23"/>
  <c r="Q42" i="10" s="1"/>
  <c r="Q206" i="23"/>
  <c r="Q309" i="23" s="1"/>
  <c r="Q169" i="23"/>
  <c r="Q170" i="23"/>
  <c r="Q41" i="10" l="1"/>
  <c r="P255" i="10"/>
  <c r="Q50" i="10"/>
  <c r="Q48" i="10"/>
  <c r="Q258" i="10"/>
  <c r="P259" i="10"/>
  <c r="Q182" i="23"/>
  <c r="Q172" i="23"/>
  <c r="Q173" i="23"/>
  <c r="Q58" i="10" s="1"/>
  <c r="Q178" i="23"/>
  <c r="P171" i="23"/>
  <c r="Q306" i="23"/>
  <c r="N37" i="13" s="1"/>
  <c r="Q329" i="23"/>
  <c r="N4" i="13"/>
  <c r="Q188" i="23"/>
  <c r="P256" i="10" l="1"/>
  <c r="Q256" i="10" s="1"/>
  <c r="Q255" i="10"/>
  <c r="Q40" i="10"/>
  <c r="Q45" i="10"/>
  <c r="P173" i="23"/>
  <c r="Q73" i="10"/>
  <c r="P306" i="10"/>
  <c r="Q63" i="10"/>
  <c r="P276" i="10"/>
  <c r="Q67" i="10"/>
  <c r="P288" i="10"/>
  <c r="P182" i="23" s="1"/>
  <c r="Q57" i="10"/>
  <c r="P261" i="10"/>
  <c r="Q259" i="10"/>
  <c r="P262" i="10" l="1"/>
  <c r="Q261" i="10"/>
  <c r="Q313" i="10"/>
  <c r="Q288" i="10"/>
  <c r="P289" i="10"/>
  <c r="Q289" i="10" s="1"/>
  <c r="Q276" i="10"/>
  <c r="P277" i="10"/>
  <c r="Q277" i="10" s="1"/>
  <c r="Q306" i="10"/>
  <c r="P307" i="10"/>
  <c r="Q307" i="10" s="1"/>
  <c r="N77" i="13"/>
  <c r="P172" i="23"/>
  <c r="N78" i="13"/>
  <c r="P178" i="23"/>
  <c r="P188" i="23"/>
  <c r="Q312" i="10" l="1"/>
  <c r="Q262" i="10"/>
  <c r="Q310" i="10" s="1"/>
  <c r="Q410" i="10" s="1"/>
  <c r="Q311" i="10"/>
  <c r="N73" i="13" s="1"/>
  <c r="Q284" i="23"/>
  <c r="Q84" i="23"/>
  <c r="Q307" i="23" l="1"/>
  <c r="N38" i="13" s="1"/>
  <c r="Q36" i="10"/>
  <c r="Q38" i="10" s="1"/>
  <c r="Q29" i="10" s="1"/>
  <c r="N74" i="13"/>
  <c r="Q315" i="10"/>
  <c r="Q88" i="23"/>
  <c r="Q411" i="10" l="1"/>
  <c r="Q413" i="10" s="1"/>
  <c r="Q401" i="10"/>
  <c r="Q404" i="10" s="1"/>
  <c r="Q318" i="10"/>
  <c r="Q319" i="10" s="1"/>
  <c r="N68" i="13"/>
  <c r="N24" i="13"/>
  <c r="Q119" i="23"/>
  <c r="Q118" i="23" s="1"/>
  <c r="Q288" i="23" s="1"/>
  <c r="Q151" i="23"/>
  <c r="Q191" i="23" s="1"/>
  <c r="Q192" i="23" s="1"/>
  <c r="Q154" i="23"/>
  <c r="N5" i="13" l="1"/>
  <c r="N6" i="13" s="1"/>
  <c r="N70" i="13"/>
  <c r="N71" i="13" s="1"/>
  <c r="Q287" i="23"/>
  <c r="Q304" i="23"/>
  <c r="Q117" i="23"/>
  <c r="Q285" i="23" s="1"/>
  <c r="Q286" i="23"/>
  <c r="N35" i="13" l="1"/>
  <c r="N32" i="13" s="1"/>
  <c r="N46" i="13" s="1"/>
  <c r="Q302" i="23"/>
  <c r="Q315" i="23" l="1"/>
  <c r="N9" i="13"/>
  <c r="N14" i="13" s="1"/>
  <c r="N16" i="13" s="1"/>
  <c r="Q332" i="23"/>
  <c r="Q246" i="23"/>
  <c r="Q265" i="23"/>
  <c r="Q325" i="23" l="1"/>
  <c r="N51" i="13" s="1"/>
  <c r="Q268" i="23"/>
  <c r="Q271" i="23" s="1"/>
  <c r="Q334" i="23" s="1"/>
  <c r="Q335" i="23" s="1"/>
  <c r="Q323" i="23" l="1"/>
  <c r="N50" i="13" s="1"/>
  <c r="N48" i="13" s="1"/>
  <c r="N53" i="13" s="1"/>
  <c r="F90" i="13"/>
  <c r="F112" i="13"/>
  <c r="N58" i="13" l="1"/>
  <c r="N57" i="13" s="1"/>
  <c r="N55" i="13" s="1"/>
  <c r="N60" i="13" s="1"/>
  <c r="Q321" i="23"/>
  <c r="Q328" i="23" s="1"/>
  <c r="I439" i="10"/>
  <c r="F107" i="13" l="1"/>
  <c r="F129" i="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Geoffroy Ménard</author>
  </authors>
  <commentList>
    <comment ref="O3" authorId="0" shapeId="0" xr:uid="{00000000-0006-0000-0200-000001000000}">
      <text>
        <r>
          <rPr>
            <b/>
            <sz val="9"/>
            <color indexed="81"/>
            <rFont val="Tahoma"/>
            <family val="2"/>
          </rPr>
          <t>Geoffroy Ménard:</t>
        </r>
        <r>
          <rPr>
            <sz val="9"/>
            <color indexed="81"/>
            <rFont val="Tahoma"/>
            <family val="2"/>
          </rPr>
          <t xml:space="preserve">
stocké dans lignes fusionnées pour que ça change pas la hauteur de ligne quand on utilise des sauts de ligne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Geoffroy Ménard</author>
  </authors>
  <commentList>
    <comment ref="S2" authorId="0" shapeId="0" xr:uid="{00000000-0006-0000-0500-000001000000}">
      <text>
        <r>
          <rPr>
            <sz val="9"/>
            <color indexed="81"/>
            <rFont val="Tahoma"/>
            <family val="2"/>
          </rPr>
          <t>est-ce qu'on prend le temps de faire ça?</t>
        </r>
      </text>
    </comment>
    <comment ref="C37" authorId="0" shapeId="0" xr:uid="{00000000-0006-0000-0500-000002000000}">
      <text>
        <r>
          <rPr>
            <sz val="9"/>
            <color indexed="81"/>
            <rFont val="Tahoma"/>
            <family val="2"/>
          </rPr>
          <t>Moyenne de production issue du contrôle laitier.  Nécessaire pour établir les livraisons de lait annuelles,.</t>
        </r>
      </text>
    </comment>
    <comment ref="T37" authorId="0" shapeId="0" xr:uid="{00000000-0006-0000-0500-000003000000}">
      <text>
        <r>
          <rPr>
            <sz val="9"/>
            <color indexed="81"/>
            <rFont val="Tahoma"/>
            <family val="2"/>
          </rPr>
          <t>Est-ce que ceci est pertinent?</t>
        </r>
      </text>
    </comment>
    <comment ref="C38" authorId="0" shapeId="0" xr:uid="{00000000-0006-0000-0500-000004000000}">
      <text>
        <r>
          <rPr>
            <sz val="9"/>
            <color indexed="81"/>
            <rFont val="Tahoma"/>
            <family val="2"/>
          </rPr>
          <t xml:space="preserve">Information issue du contrôle laitier permettant d'établir le niveau de production permis par le quota et de là le nombre de vaches nécessaires.                 Si vous utilisez la composition indiquée sur les paies de lait en kg/hl, il vous faudra diviser par 1,034 </t>
        </r>
      </text>
    </comment>
    <comment ref="C39" authorId="0" shapeId="0" xr:uid="{00000000-0006-0000-0500-000005000000}">
      <text>
        <r>
          <rPr>
            <sz val="9"/>
            <color indexed="81"/>
            <rFont val="Tahoma"/>
            <family val="2"/>
          </rPr>
          <t>Information issue du contrôle laitier permettant d'établir le prix reçu.  Corriger si vous utilisez plutôt le taux en kg/hl des paies de lait (facteur 1,034)</t>
        </r>
      </text>
    </comment>
    <comment ref="C40" authorId="0" shapeId="0" xr:uid="{00000000-0006-0000-0500-000006000000}">
      <text>
        <r>
          <rPr>
            <sz val="9"/>
            <color indexed="81"/>
            <rFont val="Tahoma"/>
            <family val="2"/>
          </rPr>
          <t>Information du contrôle laitier permettant le calcul des primes à la qualité obtenues.</t>
        </r>
      </text>
    </comment>
    <comment ref="C41" authorId="0" shapeId="0" xr:uid="{00000000-0006-0000-0500-000007000000}">
      <text>
        <r>
          <rPr>
            <sz val="9"/>
            <color indexed="81"/>
            <rFont val="Tahoma"/>
            <family val="2"/>
          </rPr>
          <t>Une fraction du lait produit par le troupeau n'est pas commercialisée:  lait issu de vaches traitées ou premiers jours de lactation, lait servi aux veaux et prélèvements famille.  Environ 1% pour un troupeau utilisant le lactoremplaceur jusqu'à 5% pour un troupeau servant du lait frais aux génisses jusqu'à 90 jours.</t>
        </r>
      </text>
    </comment>
    <comment ref="C42" authorId="0" shapeId="0" xr:uid="{00000000-0006-0000-0500-000008000000}">
      <text>
        <r>
          <rPr>
            <sz val="9"/>
            <color indexed="81"/>
            <rFont val="Tahoma"/>
            <family val="2"/>
          </rPr>
          <t>Taille du troupeau calculée en fonction des informations précédentes, du quota et des journées supplémentaires disponibles</t>
        </r>
      </text>
    </comment>
    <comment ref="C43" authorId="0" shapeId="0" xr:uid="{00000000-0006-0000-0500-000009000000}">
      <text>
        <r>
          <rPr>
            <sz val="9"/>
            <color indexed="81"/>
            <rFont val="Tahoma"/>
            <family val="2"/>
          </rPr>
          <t>Taille du troupeau retenue selon la première limite atteinte:  quota ou capacité étable</t>
        </r>
      </text>
    </comment>
    <comment ref="C45" authorId="0" shapeId="0" xr:uid="{00000000-0006-0000-0500-00000A000000}">
      <text>
        <r>
          <rPr>
            <sz val="9"/>
            <color indexed="81"/>
            <rFont val="Tahoma"/>
            <family val="2"/>
          </rPr>
          <t>Sert à établir la consommation volontaire de M.S. fourrage.</t>
        </r>
      </text>
    </comment>
    <comment ref="C51" authorId="0" shapeId="0" xr:uid="{00000000-0006-0000-0500-00000B000000}">
      <text>
        <r>
          <rPr>
            <sz val="9"/>
            <color indexed="81"/>
            <rFont val="Tahoma"/>
            <family val="2"/>
          </rPr>
          <t>nombre de vaches sorties du troupeau au cours des 12 derniers mois ÷ par le nombre moyen de vaches (contrôle laitier).</t>
        </r>
      </text>
    </comment>
    <comment ref="C52" authorId="0" shapeId="0" xr:uid="{00000000-0006-0000-0500-00000C000000}">
      <text>
        <r>
          <rPr>
            <sz val="9"/>
            <color indexed="81"/>
            <rFont val="Tahoma"/>
            <family val="2"/>
          </rPr>
          <t>Il meurt en moyenne 3 % des vaches par année dans les troupeaux québécois.  Ce chiffre nous permet de calculer les ventes nettes de vaches de réforme.</t>
        </r>
      </text>
    </comment>
    <comment ref="C53" authorId="0" shapeId="0" xr:uid="{00000000-0006-0000-0500-00000D000000}">
      <text>
        <r>
          <rPr>
            <sz val="9"/>
            <color indexed="81"/>
            <rFont val="Tahoma"/>
            <family val="2"/>
          </rPr>
          <t>indiquez ici le % de génésses à élever au-delà du nombre nécessaire pour assurer le remplacement des vaches sorties du troupeau.</t>
        </r>
      </text>
    </comment>
    <comment ref="C54" authorId="0" shapeId="0" xr:uid="{00000000-0006-0000-0500-00000E000000}">
      <text>
        <r>
          <rPr>
            <sz val="9"/>
            <color indexed="81"/>
            <rFont val="Tahoma"/>
            <family val="2"/>
          </rPr>
          <t xml:space="preserve">Valeur qui sera attibué aux animaux qui seront vendus pour la production </t>
        </r>
      </text>
    </comment>
    <comment ref="C55" authorId="0" shapeId="0" xr:uid="{00000000-0006-0000-0500-00000F000000}">
      <text>
        <r>
          <rPr>
            <sz val="9"/>
            <color indexed="81"/>
            <rFont val="Tahoma"/>
            <family val="2"/>
          </rPr>
          <t xml:space="preserve">Valeur nette moyenne observée en 2016 dans l'échantillon des ferme d'Agritel </t>
        </r>
      </text>
    </comment>
    <comment ref="C56" authorId="0" shapeId="0" xr:uid="{00000000-0006-0000-0500-000010000000}">
      <text>
        <r>
          <rPr>
            <sz val="9"/>
            <color indexed="81"/>
            <rFont val="Tahoma"/>
            <family val="2"/>
          </rPr>
          <t>Valeur moyenne des troupeaux au contrôle laitier.  Permet d'établir le nb de génisses nées au cours d'une année.</t>
        </r>
      </text>
    </comment>
    <comment ref="C57" authorId="0" shapeId="0" xr:uid="{00000000-0006-0000-0500-000011000000}">
      <text>
        <r>
          <rPr>
            <sz val="9"/>
            <color indexed="81"/>
            <rFont val="Tahoma"/>
            <family val="2"/>
          </rPr>
          <t>Nb de génisses nécessaires pour combler les besoins de remplacement de croissance ou la marge de sécurité. Influencé par le taux de mortalité/élimination des génisses.</t>
        </r>
      </text>
    </comment>
    <comment ref="C58" authorId="0" shapeId="0" xr:uid="{00000000-0006-0000-0500-000012000000}">
      <text>
        <r>
          <rPr>
            <sz val="9"/>
            <color indexed="81"/>
            <rFont val="Tahoma"/>
            <family val="2"/>
          </rPr>
          <t>% des génisses gardées à la naissance qui mouront ou seront éliminées avant le vêlage.</t>
        </r>
      </text>
    </comment>
    <comment ref="C59" authorId="0" shapeId="0" xr:uid="{00000000-0006-0000-0500-000013000000}">
      <text>
        <r>
          <rPr>
            <sz val="9"/>
            <color indexed="81"/>
            <rFont val="Tahoma"/>
            <family val="2"/>
          </rPr>
          <t>Information du contrôle laitier.  Permete d'établir le nombre de génisses en inventaire.</t>
        </r>
      </text>
    </comment>
    <comment ref="C61" authorId="0" shapeId="0" xr:uid="{00000000-0006-0000-0500-000014000000}">
      <text>
        <r>
          <rPr>
            <sz val="9"/>
            <color indexed="81"/>
            <rFont val="Tahoma"/>
            <family val="2"/>
          </rPr>
          <t>Résultat obtenu en fonction du nombre de vaches retenu et des informations entrées précédemment</t>
        </r>
      </text>
    </comment>
    <comment ref="D65" authorId="0" shapeId="0" xr:uid="{00000000-0006-0000-0500-000015000000}">
      <text>
        <r>
          <rPr>
            <sz val="9"/>
            <color indexed="81"/>
            <rFont val="Tahoma"/>
            <family val="2"/>
          </rPr>
          <t>L'espèce utilisée influence le rendement et le taux de consommation.</t>
        </r>
      </text>
    </comment>
    <comment ref="D69" authorId="0" shapeId="0" xr:uid="{00000000-0006-0000-0500-000016000000}">
      <text>
        <r>
          <rPr>
            <sz val="9"/>
            <color indexed="81"/>
            <rFont val="Tahoma"/>
            <family val="2"/>
          </rPr>
          <t>Le type de régie influence la maturité des plantes (consommation volontaire) et le rendement observé</t>
        </r>
      </text>
    </comment>
    <comment ref="D70" authorId="0" shapeId="0" xr:uid="{00000000-0006-0000-0500-000017000000}">
      <text>
        <r>
          <rPr>
            <sz val="9"/>
            <color indexed="81"/>
            <rFont val="Tahoma"/>
            <family val="2"/>
          </rPr>
          <t>Résultat obtenu en fonction de l'espèce et de la régie.  Basé sur le principe que la consommation des fourrages au pâturage a priorité sur la consommation des concentrés.</t>
        </r>
      </text>
    </comment>
    <comment ref="D71" authorId="0" shapeId="0" xr:uid="{00000000-0006-0000-0500-000018000000}">
      <text>
        <r>
          <rPr>
            <sz val="9"/>
            <color indexed="81"/>
            <rFont val="Tahoma"/>
            <family val="2"/>
          </rPr>
          <t xml:space="preserve">Quantité moyenne servie durant la période.  Le taux standard de M.S. utilisé est 88%
</t>
        </r>
      </text>
    </comment>
    <comment ref="D72" authorId="0" shapeId="0" xr:uid="{00000000-0006-0000-0500-000019000000}">
      <text>
        <r>
          <rPr>
            <sz val="9"/>
            <color indexed="81"/>
            <rFont val="Tahoma"/>
            <family val="2"/>
          </rPr>
          <t xml:space="preserve">Ensilage de foin servi par jour en moyenne durant la période.  Taux de MS standard 50 % (grosses balles)
</t>
        </r>
      </text>
    </comment>
    <comment ref="D73" authorId="0" shapeId="0" xr:uid="{00000000-0006-0000-0500-00001A000000}">
      <text>
        <r>
          <rPr>
            <sz val="9"/>
            <color indexed="81"/>
            <rFont val="Tahoma"/>
            <family val="2"/>
          </rPr>
          <t>Maïs-ensilage de foin servi par jour en moyenne durant la période.  Taux de MS standard 35 % (grosses balles)</t>
        </r>
      </text>
    </comment>
    <comment ref="B83" authorId="0" shapeId="0" xr:uid="{00000000-0006-0000-0500-00001B000000}">
      <text>
        <r>
          <rPr>
            <sz val="9"/>
            <color indexed="81"/>
            <rFont val="Tahoma"/>
            <family val="2"/>
          </rPr>
          <t>Cette marge s'applique autant aux vaches qu'aux génisses.  Elle couvrira les pertes au champ ou d'éventuelles baisses de rendement.</t>
        </r>
      </text>
    </comment>
    <comment ref="C92" authorId="0" shapeId="0" xr:uid="{00000000-0006-0000-0500-00001C000000}">
      <text>
        <r>
          <rPr>
            <sz val="9"/>
            <color indexed="81"/>
            <rFont val="Tahoma"/>
            <family val="2"/>
          </rPr>
          <t>Reste des jours de l'année une fois la période de paissance soustraite.</t>
        </r>
      </text>
    </comment>
    <comment ref="C93" authorId="0" shapeId="0" xr:uid="{00000000-0006-0000-0500-00001D000000}">
      <text>
        <r>
          <rPr>
            <sz val="9"/>
            <color indexed="81"/>
            <rFont val="Tahoma"/>
            <family val="2"/>
          </rPr>
          <t>Indicateur de la maturité du fourrage.  Impact sur la capacité d'ingestion volontaire de la vache</t>
        </r>
      </text>
    </comment>
    <comment ref="C94" authorId="0" shapeId="0" xr:uid="{00000000-0006-0000-0500-00001E000000}">
      <text>
        <r>
          <rPr>
            <sz val="9"/>
            <color indexed="81"/>
            <rFont val="Tahoma"/>
            <family val="2"/>
          </rPr>
          <t xml:space="preserve">évaluation du travail réalisé pour maximiser la consommation de matière sèche:  mageoire jamais vide, aliments repoussés fréquemment et refus enlevés régulièrement   </t>
        </r>
      </text>
    </comment>
    <comment ref="C95" authorId="0" shapeId="0" xr:uid="{00000000-0006-0000-0500-00001F000000}">
      <text>
        <r>
          <rPr>
            <sz val="9"/>
            <color indexed="81"/>
            <rFont val="Tahoma"/>
            <family val="2"/>
          </rPr>
          <t>résultats combiné de la qualité des fourrages servis et de la gestion de la mangeoire</t>
        </r>
      </text>
    </comment>
    <comment ref="C98" authorId="0" shapeId="0" xr:uid="{00000000-0006-0000-0500-000020000000}">
      <text>
        <r>
          <rPr>
            <sz val="9"/>
            <color indexed="81"/>
            <rFont val="Tahoma"/>
            <family val="2"/>
          </rPr>
          <t>Le grain contenu dans les épis du maïs ensilage est considéré comme un concentré en production biologique et on doit donc en estimer la quantité afin de valider si la consommation maximale de concentrés par vache respecte la norme.</t>
        </r>
      </text>
    </comment>
    <comment ref="C99" authorId="0" shapeId="0" xr:uid="{00000000-0006-0000-0500-000021000000}">
      <text>
        <r>
          <rPr>
            <sz val="9"/>
            <color indexed="81"/>
            <rFont val="Tahoma"/>
            <family val="2"/>
          </rPr>
          <t>Cette quantité est obtenue par défaut en soustrayant la consommation de matière sèche provenant du foin sec et du maïs ensilage de la consommation estimée de fourrages.  C'est pour ça que le résultat est exprimé directement en matière sèche.</t>
        </r>
      </text>
    </comment>
    <comment ref="C101" authorId="0" shapeId="0" xr:uid="{00000000-0006-0000-0500-000022000000}">
      <text>
        <r>
          <rPr>
            <sz val="9"/>
            <color indexed="81"/>
            <rFont val="Tahoma"/>
            <family val="2"/>
          </rPr>
          <t>Ce chiffre représente lla portion des grains présents dans le maïs ensilage.  Ce chiffre est exprimé en équivalent grain sec (85% de M.S.)</t>
        </r>
      </text>
    </comment>
    <comment ref="C102" authorId="0" shapeId="0" xr:uid="{00000000-0006-0000-0500-000023000000}">
      <text>
        <r>
          <rPr>
            <sz val="9"/>
            <color indexed="81"/>
            <rFont val="Tahoma"/>
            <family val="2"/>
          </rPr>
          <t xml:space="preserve">365 jours moins le nombre de jour au pâturage
</t>
        </r>
      </text>
    </comment>
    <comment ref="C103" authorId="0" shapeId="0" xr:uid="{00000000-0006-0000-0500-000024000000}">
      <text>
        <r>
          <rPr>
            <sz val="9"/>
            <color indexed="81"/>
            <rFont val="Tahoma"/>
            <family val="2"/>
          </rPr>
          <t>Taux de consommation théorique basé sur la qualité des fourrages servis.</t>
        </r>
      </text>
    </comment>
    <comment ref="C106" authorId="0" shapeId="0" xr:uid="{00000000-0006-0000-0500-000025000000}">
      <text>
        <r>
          <rPr>
            <sz val="9"/>
            <color indexed="81"/>
            <rFont val="Tahoma"/>
            <family val="2"/>
          </rPr>
          <t xml:space="preserve">Même remarque que pour les vaches
</t>
        </r>
      </text>
    </comment>
    <comment ref="D109" authorId="0" shapeId="0" xr:uid="{00000000-0006-0000-0500-000026000000}">
      <text>
        <r>
          <rPr>
            <sz val="9"/>
            <color indexed="81"/>
            <rFont val="Tahoma"/>
            <family val="2"/>
          </rPr>
          <t>marge pour compenser des pertes exceptionnelles ou des besoins supérieurs</t>
        </r>
      </text>
    </comment>
    <comment ref="D111" authorId="0" shapeId="0" xr:uid="{00000000-0006-0000-0500-000027000000}">
      <text>
        <r>
          <rPr>
            <sz val="9"/>
            <color indexed="81"/>
            <rFont val="Tahoma"/>
            <family val="2"/>
          </rPr>
          <t>Volume de matière sèche devant provenir des récoltes de foin sec et d'ensilage.  Le programme prévoit l'achat si la récolte est insuffisante.</t>
        </r>
      </text>
    </comment>
    <comment ref="D112" authorId="0" shapeId="0" xr:uid="{00000000-0006-0000-0500-000028000000}">
      <text>
        <r>
          <rPr>
            <sz val="9"/>
            <color indexed="81"/>
            <rFont val="Tahoma"/>
            <family val="2"/>
          </rPr>
          <t>quantité de matière sèche devant provenir du maïs ensilage selon les indications de consommations précédentes.</t>
        </r>
      </text>
    </comment>
    <comment ref="D117" authorId="0" shapeId="0" xr:uid="{00000000-0006-0000-0500-000029000000}">
      <text>
        <r>
          <rPr>
            <sz val="9"/>
            <color indexed="81"/>
            <rFont val="Tahoma"/>
            <family val="2"/>
          </rPr>
          <t>ratio calculé en fonction des quantités que vous avez saisies.  Si vous n'inscrivez pas de quantités vous-même, alors ce ration correspond au ratio moyen observé chez les clients Valacta et la quantité de concentré correspondante est inscrite à la ligne Autres concentrésé</t>
        </r>
      </text>
    </comment>
    <comment ref="D120" authorId="0" shapeId="0" xr:uid="{00000000-0006-0000-0500-00002A000000}">
      <text>
        <r>
          <rPr>
            <sz val="9"/>
            <color indexed="81"/>
            <rFont val="Tahoma"/>
            <family val="2"/>
          </rPr>
          <t>On indique ici seulement les quantités de grains qui proviennent des cultures de la ferme.  On utilise la case Autres concentrés pour les grains ou moulées achetées.</t>
        </r>
      </text>
    </comment>
    <comment ref="D138" authorId="0" shapeId="0" xr:uid="{00000000-0006-0000-0500-00002B000000}">
      <text>
        <r>
          <rPr>
            <sz val="9"/>
            <color indexed="81"/>
            <rFont val="Tahoma"/>
            <family val="2"/>
          </rPr>
          <t>le programme  calcule la quantité de concentrés correspondant au ratio lait / concentrés moyen et place ici ce qui n'est pas détaillé dans les autres cases.  On peut aussi se servir de cette case pour indiquer une quantité définie de concentrés, alors le ratio lait  /concentrés se calculera à nouveau en fonction de cette valeur fixe.</t>
        </r>
      </text>
    </comment>
    <comment ref="D139" authorId="0" shapeId="0" xr:uid="{00000000-0006-0000-0500-00002C000000}">
      <text>
        <r>
          <rPr>
            <sz val="9"/>
            <color indexed="81"/>
            <rFont val="Tahoma"/>
            <family val="2"/>
          </rPr>
          <t>prix suggéré par les tables.  Vous pouvez indiquer un prix différent si celui-ci convient mieux à la situation que vous voulez illustrer.</t>
        </r>
      </text>
    </comment>
    <comment ref="D151" authorId="0" shapeId="0" xr:uid="{00000000-0006-0000-0500-00002D000000}">
      <text>
        <r>
          <rPr>
            <sz val="9"/>
            <color indexed="81"/>
            <rFont val="Tahoma"/>
            <family val="2"/>
          </rPr>
          <t>la portion des grains venant du maïs ensilage n'est pas inclus dans ce total</t>
        </r>
      </text>
    </comment>
    <comment ref="D152" authorId="0" shapeId="0" xr:uid="{00000000-0006-0000-0500-00002E000000}">
      <text>
        <r>
          <rPr>
            <sz val="9"/>
            <color indexed="81"/>
            <rFont val="Tahoma"/>
            <family val="2"/>
          </rPr>
          <t>Ce pourcentage de la consommation moyenne quotidienne incluant la portion des grains venant du maïs-ensilage</t>
        </r>
      </text>
    </comment>
    <comment ref="E169" authorId="0" shapeId="0" xr:uid="{00000000-0006-0000-0500-00002F000000}">
      <text>
        <r>
          <rPr>
            <sz val="9"/>
            <color indexed="81"/>
            <rFont val="Tahoma"/>
            <family val="2"/>
          </rPr>
          <t>Geoffroy Ménard:
t ?</t>
        </r>
      </text>
    </comment>
    <comment ref="D190" authorId="0" shapeId="0" xr:uid="{00000000-0006-0000-0500-000030000000}">
      <text>
        <r>
          <rPr>
            <sz val="9"/>
            <color indexed="81"/>
            <rFont val="Tahoma"/>
            <family val="2"/>
          </rPr>
          <t>Geoffroy Ménard:
Est-ce qu'on utilise le prix des grains pour leur valeur?</t>
        </r>
      </text>
    </comment>
    <comment ref="G244" authorId="0" shapeId="0" xr:uid="{00000000-0006-0000-0500-000031000000}">
      <text>
        <r>
          <rPr>
            <sz val="9"/>
            <color indexed="81"/>
            <rFont val="Tahoma"/>
            <family val="2"/>
          </rPr>
          <t>Geoffroy Ménard:
Revoir la formule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Murielle Bournival</author>
    <author>Geoffroy Ménard</author>
  </authors>
  <commentList>
    <comment ref="D28" authorId="0" shapeId="0" xr:uid="{00000000-0006-0000-0700-000001000000}">
      <text>
        <r>
          <rPr>
            <sz val="9"/>
            <color indexed="81"/>
            <rFont val="Tahoma"/>
            <family val="2"/>
          </rPr>
          <t>Déterminée par la feuille "Lait". Les superficies assignées au pâturage doivent se conformer à la norme bio et aux besoin du troupeau laitier.</t>
        </r>
      </text>
    </comment>
    <comment ref="D31" authorId="1" shapeId="0" xr:uid="{00000000-0006-0000-0700-000002000000}">
      <text>
        <r>
          <rPr>
            <sz val="9"/>
            <color indexed="81"/>
            <rFont val="Tahoma"/>
            <family val="2"/>
          </rPr>
          <t>Après affetation, à la section Rotation ci-dessous, superficies totales assignées aux prairies</t>
        </r>
      </text>
    </comment>
    <comment ref="D32" authorId="1" shapeId="0" xr:uid="{00000000-0006-0000-0700-000003000000}">
      <text>
        <r>
          <rPr>
            <sz val="9"/>
            <color indexed="81"/>
            <rFont val="Tahoma"/>
            <family val="2"/>
          </rPr>
          <t>Après affectation (section Rotation), superficies de toutes les cultures annuelles (dans les champs de cultures et dans les champs de pâturage), pour calculer les besoins en machinerie dans la section Investissements</t>
        </r>
      </text>
    </comment>
    <comment ref="D103" authorId="0" shapeId="0" xr:uid="{00000000-0006-0000-0700-000004000000}">
      <text>
        <r>
          <rPr>
            <sz val="9"/>
            <color indexed="81"/>
            <rFont val="Tahoma"/>
            <family val="2"/>
          </rPr>
          <t>Détails des produits et des charges à l'hectare pour chacune des cultures cultures sélectionnées dans la feuille "Config" et la section "Rotation des cultures et des prairies". Les données proviennent da la feuille "RefChamps".</t>
        </r>
      </text>
    </comment>
    <comment ref="D250" authorId="0" shapeId="0" xr:uid="{00000000-0006-0000-0700-000005000000}">
      <text>
        <r>
          <rPr>
            <sz val="9"/>
            <color indexed="81"/>
            <rFont val="Tahoma"/>
            <family val="2"/>
          </rPr>
          <t>Détails des produits par culture autoconsommés par le troupeau laitier ou vendu à l'extérieur de la ferme pour chacune des cultures cultures sélectionnées dans la feuille "Config" et la section "Rotation des cultures et des prairies". Les données proviennent da la feuille "RefChamps".</t>
        </r>
      </text>
    </comment>
    <comment ref="D344" authorId="0" shapeId="0" xr:uid="{00000000-0006-0000-0700-000006000000}">
      <text>
        <r>
          <rPr>
            <sz val="9"/>
            <color indexed="81"/>
            <rFont val="Tahoma"/>
            <family val="2"/>
          </rPr>
          <t>Les charges variables correspondent aux dépenses supportées par l'entreprises et varient en fonction de l'activité. En général, plus il y a de produits vendus, plus il y a de charges variables associées. Ex. achat de semences, engrais organiques, frais d'épandage, opérations de sarglages et d'entretien des terres, etc.
Les références des charges variables par cultures proviennent des Références économiques du CRAAQ et sont identifiées dans la feuille "RefChamps".</t>
        </r>
      </text>
    </comment>
    <comment ref="D367" authorId="1" shapeId="0" xr:uid="{00000000-0006-0000-0700-000007000000}">
      <text>
        <r>
          <rPr>
            <sz val="9"/>
            <color indexed="81"/>
            <rFont val="Tahoma"/>
            <family val="2"/>
          </rPr>
          <t>Les charges fixes sont des charges récurrentes que les entreprises payent. Ex. les amortissements, le loyer, les frais administratifs, les différents honoraires, les salaires, l'électricité, le téléphone, etc.
Les charges fixes sont généralement financées avec la marge sur charges variables. Il faut donc que la marge sur les charges variables soit assez importante pour couvrir les coûts fixes de l'entreprises.
Pour une évaluation économique d'une transition bioloigique, les charges fixes sont importantes à identifier et à prendre en compte, car elles peuvent influencer le seuil de rentabilité de l'entreprise.
Les données de charges fixes proviennent des Références économiques du CRAAQ (AGDEX 111.19/821 2017)</t>
        </r>
      </text>
    </comment>
    <comment ref="D376" authorId="1" shapeId="0" xr:uid="{00000000-0006-0000-0700-000008000000}">
      <text>
        <r>
          <rPr>
            <sz val="9"/>
            <color indexed="81"/>
            <rFont val="Tahoma"/>
            <family val="2"/>
          </rPr>
          <t xml:space="preserve">Taux horaire, incluant bénéfices sociaux
</t>
        </r>
      </text>
    </comment>
    <comment ref="G379" authorId="1" shapeId="0" xr:uid="{00000000-0006-0000-0700-000009000000}">
      <text>
        <r>
          <rPr>
            <b/>
            <sz val="9"/>
            <color indexed="81"/>
            <rFont val="Tahoma"/>
            <family val="2"/>
          </rPr>
          <t>C'est le montant des intérets CT dans AGEDEX, les intérêts MLT sont 0</t>
        </r>
      </text>
    </comment>
    <comment ref="G383" authorId="1" shapeId="0" xr:uid="{00000000-0006-0000-0700-00000A000000}">
      <text>
        <r>
          <rPr>
            <sz val="9"/>
            <color indexed="81"/>
            <rFont val="Tahoma"/>
            <family val="2"/>
          </rPr>
          <t>formule matricielle</t>
        </r>
      </text>
    </comment>
    <comment ref="D385" authorId="0" shapeId="0" xr:uid="{00000000-0006-0000-0700-00000B000000}">
      <text>
        <r>
          <rPr>
            <sz val="9"/>
            <color indexed="81"/>
            <rFont val="Tahoma"/>
            <family val="2"/>
          </rPr>
          <t>Les investissements à faire proviennent de la feuille "Investissements". Ils sont ajustés en fonction de la superficie cultivée de l'entreprise.</t>
        </r>
      </text>
    </comment>
    <comment ref="G388" authorId="1" shapeId="0" xr:uid="{00000000-0006-0000-0700-00000C000000}">
      <text>
        <r>
          <rPr>
            <sz val="9"/>
            <color indexed="81"/>
            <rFont val="Tahoma"/>
            <family val="2"/>
          </rPr>
          <t>=SOMME.SI(Batiments[Colonne9];Champs!F$2;Batiments[Colonne5])</t>
        </r>
      </text>
    </comment>
    <comment ref="G389" authorId="1" shapeId="0" xr:uid="{00000000-0006-0000-0700-00000D000000}">
      <text>
        <r>
          <rPr>
            <sz val="9"/>
            <color indexed="81"/>
            <rFont val="Tahoma"/>
            <family val="2"/>
          </rPr>
          <t>=SOMME.SI(Tracteurs[Colonne9];Champs!F$2;Tracteurs[Colonne5])</t>
        </r>
      </text>
    </comment>
    <comment ref="G390" authorId="1" shapeId="0" xr:uid="{00000000-0006-0000-0700-00000E000000}">
      <text>
        <r>
          <rPr>
            <sz val="9"/>
            <color indexed="81"/>
            <rFont val="Tahoma"/>
            <family val="2"/>
          </rPr>
          <t>=SOMME.SI(Machineries[Colonne9];Champs!F$2;Machineries[Colonne5])</t>
        </r>
      </text>
    </comment>
    <comment ref="D394" authorId="1" shapeId="0" xr:uid="{00000000-0006-0000-0700-00000F000000}">
      <text>
        <r>
          <rPr>
            <sz val="9"/>
            <color indexed="81"/>
            <rFont val="Tahoma"/>
            <family val="2"/>
          </rPr>
          <t>Les nouveaux emprunts contractés à une année donnée</t>
        </r>
      </text>
    </comment>
    <comment ref="D395" authorId="1" shapeId="0" xr:uid="{00000000-0006-0000-0700-000010000000}">
      <text>
        <r>
          <rPr>
            <sz val="9"/>
            <color indexed="81"/>
            <rFont val="Tahoma"/>
            <family val="2"/>
          </rPr>
          <t>Montant du cumulatif des nouveaux emprunts qu'il reste à rembourser (Solde de l'année précédente + Nouveaux emprunts année en cours - Remboursement année précédente)</t>
        </r>
      </text>
    </comment>
    <comment ref="D398" authorId="1" shapeId="0" xr:uid="{00000000-0006-0000-0700-000011000000}">
      <text>
        <r>
          <rPr>
            <sz val="9"/>
            <color indexed="81"/>
            <rFont val="Tahoma"/>
            <family val="2"/>
          </rPr>
          <t>Le capital à rembourser sur le cumulatif des nouveaux emprunts. S'additionne aux intérêts sur les nouveaux emprunts (section précédente) comme nouvelles sorties liquidités à considérer.</t>
        </r>
      </text>
    </comment>
    <comment ref="D401" authorId="1" shapeId="0" xr:uid="{00000000-0006-0000-0700-000012000000}">
      <text>
        <r>
          <rPr>
            <sz val="9"/>
            <color indexed="81"/>
            <rFont val="Tahoma"/>
            <family val="2"/>
          </rPr>
          <t>Le montant d’argent qu’une entreprise peut consacrer chaque année pour le remboursement de ses emprunts à moyen et long terme (capital + intérêts). La CDR calculée ici est les Produits - Charges (incluant main-d'oeuvre et retraits)</t>
        </r>
      </text>
    </comment>
    <comment ref="D404" authorId="1" shapeId="0" xr:uid="{00000000-0006-0000-0700-000013000000}">
      <text>
        <r>
          <rPr>
            <sz val="9"/>
            <color indexed="81"/>
            <rFont val="Tahoma"/>
            <family val="2"/>
          </rPr>
          <t>Le solde résiduel est un indicateur des liquidités pour de nouveaux emprunts, donc la capacité de remboursement, après s’être acquitté des obligations financières.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Murielle Bournival</author>
    <author>Anne Le Mat</author>
    <author>Geoffroy Ménard</author>
  </authors>
  <commentList>
    <comment ref="BE5" authorId="0" shapeId="0" xr:uid="{00000000-0006-0000-0800-000001000000}">
      <text>
        <r>
          <rPr>
            <sz val="9"/>
            <color indexed="81"/>
            <rFont val="Tahoma"/>
            <family val="2"/>
          </rPr>
          <t>Rendement de l'orge utilisé en plante abri. Ce rendement est répartie sur les 5 années de la prairie.</t>
        </r>
      </text>
    </comment>
    <comment ref="BH5" authorId="0" shapeId="0" xr:uid="{00000000-0006-0000-0800-000002000000}">
      <text>
        <r>
          <rPr>
            <sz val="9"/>
            <color indexed="81"/>
            <rFont val="Tahoma"/>
            <family val="2"/>
          </rPr>
          <t>Rendement de l'orge utilisé en plante abri. Ce rendement est répartie sur les 5 années de la prairie.</t>
        </r>
      </text>
    </comment>
    <comment ref="CV5" authorId="0" shapeId="0" xr:uid="{00000000-0006-0000-0800-000003000000}">
      <text>
        <r>
          <rPr>
            <b/>
            <sz val="9"/>
            <color indexed="81"/>
            <rFont val="Tahoma"/>
            <family val="2"/>
          </rPr>
          <t>Murielle Bournival:</t>
        </r>
        <r>
          <rPr>
            <sz val="9"/>
            <color indexed="81"/>
            <rFont val="Tahoma"/>
            <family val="2"/>
          </rPr>
          <t xml:space="preserve">
Prix tirée d'OMAFRA 0,50$/lb
</t>
        </r>
      </text>
    </comment>
    <comment ref="CY5" authorId="0" shapeId="0" xr:uid="{00000000-0006-0000-0800-000004000000}">
      <text>
        <r>
          <rPr>
            <b/>
            <sz val="9"/>
            <color indexed="81"/>
            <rFont val="Tahoma"/>
            <family val="2"/>
          </rPr>
          <t>Murielle Bournival:</t>
        </r>
        <r>
          <rPr>
            <sz val="9"/>
            <color indexed="81"/>
            <rFont val="Tahoma"/>
            <family val="2"/>
          </rPr>
          <t xml:space="preserve">
Prix tirée d'OMAFRA 0,50$/lb
</t>
        </r>
      </text>
    </comment>
    <comment ref="DB5" authorId="0" shapeId="0" xr:uid="{00000000-0006-0000-0800-000005000000}">
      <text>
        <r>
          <rPr>
            <b/>
            <sz val="9"/>
            <color indexed="81"/>
            <rFont val="Tahoma"/>
            <family val="2"/>
          </rPr>
          <t>Murielle Bournival:</t>
        </r>
        <r>
          <rPr>
            <sz val="9"/>
            <color indexed="81"/>
            <rFont val="Tahoma"/>
            <family val="2"/>
          </rPr>
          <t xml:space="preserve">
Prix tirée d'OMAFRA 0,50$/lb
</t>
        </r>
      </text>
    </comment>
    <comment ref="AY6" authorId="0" shapeId="0" xr:uid="{00000000-0006-0000-0800-000006000000}">
      <text>
        <r>
          <rPr>
            <sz val="9"/>
            <color indexed="81"/>
            <rFont val="Tahoma"/>
            <family val="2"/>
          </rPr>
          <t>Le rendement du pâtuage est sur une base 100 % matière sèche. (Rendement CRAAQ est de 4,3 tonnes à 89 % m.s.)</t>
        </r>
      </text>
    </comment>
    <comment ref="BB6" authorId="0" shapeId="0" xr:uid="{00000000-0006-0000-0800-000007000000}">
      <text>
        <r>
          <rPr>
            <sz val="9"/>
            <color indexed="81"/>
            <rFont val="Tahoma"/>
            <family val="2"/>
          </rPr>
          <t>Le rendement du pâtuage est sur une base 100 % matière sèche. (Rendement CRAAQ est de 4,3 tonnes à 89 % m.s.)</t>
        </r>
      </text>
    </comment>
    <comment ref="BE6" authorId="0" shapeId="0" xr:uid="{00000000-0006-0000-0800-000008000000}">
      <text>
        <r>
          <rPr>
            <sz val="9"/>
            <color indexed="81"/>
            <rFont val="Tahoma"/>
            <family val="2"/>
          </rPr>
          <t>Rendement moyen Agritel à 100 m.s.</t>
        </r>
      </text>
    </comment>
    <comment ref="BH6" authorId="0" shapeId="0" xr:uid="{00000000-0006-0000-0800-000009000000}">
      <text>
        <r>
          <rPr>
            <sz val="9"/>
            <color indexed="81"/>
            <rFont val="Tahoma"/>
            <family val="2"/>
          </rPr>
          <t>Rendement moyen Agritel à 100 m.s.</t>
        </r>
      </text>
    </comment>
    <comment ref="BK6" authorId="0" shapeId="0" xr:uid="{00000000-0006-0000-0800-00000A000000}">
      <text>
        <r>
          <rPr>
            <sz val="9"/>
            <color indexed="81"/>
            <rFont val="Tahoma"/>
            <family val="2"/>
          </rPr>
          <t>Le maïs est sur une base 100 % matière sèche. (Rendement CRAAQ est de 35 tonnes à 35 % m.s.)</t>
        </r>
        <r>
          <rPr>
            <b/>
            <sz val="9"/>
            <color indexed="81"/>
            <rFont val="Tahoma"/>
            <family val="2"/>
          </rPr>
          <t xml:space="preserve">
</t>
        </r>
      </text>
    </comment>
    <comment ref="BL6" authorId="0" shapeId="0" xr:uid="{00000000-0006-0000-0800-00000B000000}">
      <text>
        <r>
          <rPr>
            <sz val="9"/>
            <color indexed="81"/>
            <rFont val="Tahoma"/>
            <family val="2"/>
          </rPr>
          <t>Prix du CRAAQ de 55$/tonne humide ramené à 100 % m.s.</t>
        </r>
      </text>
    </comment>
    <comment ref="BN6" authorId="0" shapeId="0" xr:uid="{00000000-0006-0000-0800-00000C000000}">
      <text>
        <r>
          <rPr>
            <sz val="9"/>
            <color indexed="81"/>
            <rFont val="Tahoma"/>
            <family val="2"/>
          </rPr>
          <t>Le maïs est sur une base 100 % matière sèche. (Rendement CRAAQ est de 35 tonnes à 35 % m.s.)</t>
        </r>
        <r>
          <rPr>
            <b/>
            <sz val="9"/>
            <color indexed="81"/>
            <rFont val="Tahoma"/>
            <family val="2"/>
          </rPr>
          <t xml:space="preserve">
</t>
        </r>
      </text>
    </comment>
    <comment ref="BO6" authorId="0" shapeId="0" xr:uid="{00000000-0006-0000-0800-00000D000000}">
      <text>
        <r>
          <rPr>
            <sz val="9"/>
            <color indexed="81"/>
            <rFont val="Tahoma"/>
            <family val="2"/>
          </rPr>
          <t>Prix du CRAAQ de 55$/tonne humide ramené à 100 % m.s.</t>
        </r>
      </text>
    </comment>
    <comment ref="R7" authorId="0" shapeId="0" xr:uid="{00000000-0006-0000-0800-00000E000000}">
      <text>
        <r>
          <rPr>
            <sz val="9"/>
            <color indexed="81"/>
            <rFont val="Tahoma"/>
            <family val="2"/>
          </rPr>
          <t>Rendement de la paille (150 balles de 30 lbs/balle) ramené en tonne/ha)</t>
        </r>
      </text>
    </comment>
    <comment ref="S7" authorId="0" shapeId="0" xr:uid="{00000000-0006-0000-0800-00000F000000}">
      <text>
        <r>
          <rPr>
            <sz val="9"/>
            <color indexed="81"/>
            <rFont val="Tahoma"/>
            <family val="2"/>
          </rPr>
          <t xml:space="preserve">Coût de la paille (1,50$/balle de 30 lbs) ramené à la tonne. </t>
        </r>
      </text>
    </comment>
    <comment ref="X7" authorId="0" shapeId="0" xr:uid="{00000000-0006-0000-0800-000010000000}">
      <text>
        <r>
          <rPr>
            <sz val="9"/>
            <color indexed="81"/>
            <rFont val="Tahoma"/>
            <family val="2"/>
          </rPr>
          <t>Rendement de la paille (125 balles de 30 lbs/balle) ramené en tonne/ha)</t>
        </r>
      </text>
    </comment>
    <comment ref="Y7" authorId="0" shapeId="0" xr:uid="{00000000-0006-0000-0800-000011000000}">
      <text>
        <r>
          <rPr>
            <sz val="9"/>
            <color indexed="81"/>
            <rFont val="Tahoma"/>
            <family val="2"/>
          </rPr>
          <t xml:space="preserve">Coût de la paille (1,50$/balle de 30 lbs) ramené à la tonne. </t>
        </r>
      </text>
    </comment>
    <comment ref="AD7" authorId="0" shapeId="0" xr:uid="{00000000-0006-0000-0800-000012000000}">
      <text>
        <r>
          <rPr>
            <sz val="9"/>
            <color indexed="81"/>
            <rFont val="Tahoma"/>
            <family val="2"/>
          </rPr>
          <t>Rendement de la paille (125 balles de 30 lbs/balle) ramené en tonne/ha)</t>
        </r>
      </text>
    </comment>
    <comment ref="AE7" authorId="0" shapeId="0" xr:uid="{00000000-0006-0000-0800-000013000000}">
      <text>
        <r>
          <rPr>
            <sz val="9"/>
            <color indexed="81"/>
            <rFont val="Tahoma"/>
            <family val="2"/>
          </rPr>
          <t xml:space="preserve">Coût de la paille (1,50$/balle de 30 lbs) ramené à la tonne. </t>
        </r>
      </text>
    </comment>
    <comment ref="AJ7" authorId="0" shapeId="0" xr:uid="{00000000-0006-0000-0800-000014000000}">
      <text>
        <r>
          <rPr>
            <sz val="9"/>
            <color indexed="81"/>
            <rFont val="Tahoma"/>
            <family val="2"/>
          </rPr>
          <t>Rendement de la paille (125 balles de 30 lbs/balle) ramené en tonne/ha)</t>
        </r>
      </text>
    </comment>
    <comment ref="AK7" authorId="0" shapeId="0" xr:uid="{00000000-0006-0000-0800-000015000000}">
      <text>
        <r>
          <rPr>
            <sz val="9"/>
            <color indexed="81"/>
            <rFont val="Tahoma"/>
            <family val="2"/>
          </rPr>
          <t xml:space="preserve">Coût de la paille (1,50$/balle de 30 lbs) ramené à la tonne. </t>
        </r>
      </text>
    </comment>
    <comment ref="AV7" authorId="0" shapeId="0" xr:uid="{00000000-0006-0000-0800-000016000000}">
      <text>
        <r>
          <rPr>
            <sz val="9"/>
            <color indexed="81"/>
            <rFont val="Tahoma"/>
            <family val="2"/>
          </rPr>
          <t>Rendement de la paille (125 balles de 30 lbs/balle) ramené en tonne/ha)</t>
        </r>
      </text>
    </comment>
    <comment ref="AW7" authorId="0" shapeId="0" xr:uid="{00000000-0006-0000-0800-000017000000}">
      <text>
        <r>
          <rPr>
            <sz val="9"/>
            <color indexed="81"/>
            <rFont val="Tahoma"/>
            <family val="2"/>
          </rPr>
          <t xml:space="preserve">Coût de la paille (1,50$/balle de 30 lbs) ramené à la tonne. </t>
        </r>
      </text>
    </comment>
    <comment ref="AZ12" authorId="0" shapeId="0" xr:uid="{00000000-0006-0000-0800-000018000000}">
      <text>
        <r>
          <rPr>
            <b/>
            <sz val="9"/>
            <color indexed="81"/>
            <rFont val="Tahoma"/>
            <family val="2"/>
          </rPr>
          <t>Murielle Bournival:</t>
        </r>
        <r>
          <rPr>
            <sz val="9"/>
            <color indexed="81"/>
            <rFont val="Tahoma"/>
            <family val="2"/>
          </rPr>
          <t xml:space="preserve">
Avoine 80 kg, fléole 7 kg, trèfle ladino 2 kg
</t>
        </r>
      </text>
    </comment>
    <comment ref="BC12" authorId="0" shapeId="0" xr:uid="{00000000-0006-0000-0800-000019000000}">
      <text>
        <r>
          <rPr>
            <b/>
            <sz val="9"/>
            <color indexed="81"/>
            <rFont val="Tahoma"/>
            <family val="2"/>
          </rPr>
          <t>Murielle Bournival:</t>
        </r>
        <r>
          <rPr>
            <sz val="9"/>
            <color indexed="81"/>
            <rFont val="Tahoma"/>
            <family val="2"/>
          </rPr>
          <t xml:space="preserve">
Avoine 80 kg, fléole 7 kg, trèfle ladino 2 kg
</t>
        </r>
      </text>
    </comment>
    <comment ref="BF12" authorId="0" shapeId="0" xr:uid="{00000000-0006-0000-0800-00001A000000}">
      <text>
        <r>
          <rPr>
            <b/>
            <sz val="9"/>
            <color indexed="81"/>
            <rFont val="Tahoma"/>
            <family val="2"/>
          </rPr>
          <t>Murielle Bournival:</t>
        </r>
        <r>
          <rPr>
            <sz val="9"/>
            <color indexed="81"/>
            <rFont val="Tahoma"/>
            <family val="2"/>
          </rPr>
          <t xml:space="preserve">
Orge 100 kg/ha à 0,87$/kg
Luzerne 9kg/ha à 364$/25kg
Fléole 7kg/ha à 159$/25 kg
</t>
        </r>
      </text>
    </comment>
    <comment ref="BI12" authorId="0" shapeId="0" xr:uid="{00000000-0006-0000-0800-00001B000000}">
      <text>
        <r>
          <rPr>
            <b/>
            <sz val="9"/>
            <color indexed="81"/>
            <rFont val="Tahoma"/>
            <family val="2"/>
          </rPr>
          <t>Murielle Bournival:</t>
        </r>
        <r>
          <rPr>
            <sz val="9"/>
            <color indexed="81"/>
            <rFont val="Tahoma"/>
            <family val="2"/>
          </rPr>
          <t xml:space="preserve">
Orge 100 kg/ha à 0,87$/kg
Luzerne 9kg/ha à 364$/25kg
Fléole 7kg/ha à 159$/25 kg
</t>
        </r>
      </text>
    </comment>
    <comment ref="CV13" authorId="0" shapeId="0" xr:uid="{00000000-0006-0000-0800-00001C000000}">
      <text>
        <r>
          <rPr>
            <b/>
            <sz val="9"/>
            <color indexed="81"/>
            <rFont val="Tahoma"/>
            <family val="2"/>
          </rPr>
          <t>Murielle Bournival:</t>
        </r>
        <r>
          <rPr>
            <sz val="9"/>
            <color indexed="81"/>
            <rFont val="Tahoma"/>
            <family val="2"/>
          </rPr>
          <t xml:space="preserve">
Référence blé de printemps</t>
        </r>
      </text>
    </comment>
    <comment ref="CY13" authorId="0" shapeId="0" xr:uid="{00000000-0006-0000-0800-00001D000000}">
      <text>
        <r>
          <rPr>
            <b/>
            <sz val="9"/>
            <color indexed="81"/>
            <rFont val="Tahoma"/>
            <family val="2"/>
          </rPr>
          <t>Murielle Bournival:</t>
        </r>
        <r>
          <rPr>
            <sz val="9"/>
            <color indexed="81"/>
            <rFont val="Tahoma"/>
            <family val="2"/>
          </rPr>
          <t xml:space="preserve">
Référence blé de printemps</t>
        </r>
      </text>
    </comment>
    <comment ref="DB13" authorId="0" shapeId="0" xr:uid="{00000000-0006-0000-0800-00001E000000}">
      <text>
        <r>
          <rPr>
            <b/>
            <sz val="9"/>
            <color indexed="81"/>
            <rFont val="Tahoma"/>
            <family val="2"/>
          </rPr>
          <t>Murielle Bournival:</t>
        </r>
        <r>
          <rPr>
            <sz val="9"/>
            <color indexed="81"/>
            <rFont val="Tahoma"/>
            <family val="2"/>
          </rPr>
          <t xml:space="preserve">
Référence orge CONV</t>
        </r>
      </text>
    </comment>
    <comment ref="S14" authorId="0" shapeId="0" xr:uid="{00000000-0006-0000-0800-00001F000000}">
      <text>
        <r>
          <rPr>
            <b/>
            <sz val="9"/>
            <color indexed="81"/>
            <rFont val="Tahoma"/>
            <family val="2"/>
          </rPr>
          <t>Murielle Bournival:</t>
        </r>
        <r>
          <rPr>
            <sz val="9"/>
            <color indexed="81"/>
            <rFont val="Tahoma"/>
            <family val="2"/>
          </rPr>
          <t xml:space="preserve">
Herbicide 27,31$ et fongicide 32,73$</t>
        </r>
      </text>
    </comment>
    <comment ref="Y14" authorId="0" shapeId="0" xr:uid="{00000000-0006-0000-0800-000020000000}">
      <text>
        <r>
          <rPr>
            <b/>
            <sz val="9"/>
            <color indexed="81"/>
            <rFont val="Tahoma"/>
            <family val="2"/>
          </rPr>
          <t>Murielle Bournival:</t>
        </r>
        <r>
          <rPr>
            <sz val="9"/>
            <color indexed="81"/>
            <rFont val="Tahoma"/>
            <family val="2"/>
          </rPr>
          <t xml:space="preserve">
Herbicide 23,03$ et fongicide 32,73$</t>
        </r>
      </text>
    </comment>
    <comment ref="DB14" authorId="0" shapeId="0" xr:uid="{00000000-0006-0000-0800-000021000000}">
      <text>
        <r>
          <rPr>
            <b/>
            <sz val="9"/>
            <color indexed="81"/>
            <rFont val="Tahoma"/>
            <family val="2"/>
          </rPr>
          <t>Murielle Bournival:</t>
        </r>
        <r>
          <rPr>
            <sz val="9"/>
            <color indexed="81"/>
            <rFont val="Tahoma"/>
            <family val="2"/>
          </rPr>
          <t xml:space="preserve">
Herbicide présemis 59,59$ et Herbicide post-levée 48,02$ et Fongicide 122,32$</t>
        </r>
      </text>
    </comment>
    <comment ref="CY15" authorId="0" shapeId="0" xr:uid="{00000000-0006-0000-0800-000022000000}">
      <text>
        <r>
          <rPr>
            <b/>
            <sz val="9"/>
            <color indexed="81"/>
            <rFont val="Tahoma"/>
            <family val="2"/>
          </rPr>
          <t>Murielle Bournival:</t>
        </r>
        <r>
          <rPr>
            <sz val="9"/>
            <color indexed="81"/>
            <rFont val="Tahoma"/>
            <family val="2"/>
          </rPr>
          <t xml:space="preserve">
Référence Orge bio</t>
        </r>
      </text>
    </comment>
    <comment ref="BF16" authorId="0" shapeId="0" xr:uid="{00000000-0006-0000-0800-000023000000}">
      <text>
        <r>
          <rPr>
            <b/>
            <sz val="9"/>
            <color indexed="81"/>
            <rFont val="Tahoma"/>
            <family val="2"/>
          </rPr>
          <t>Murielle Bournival:</t>
        </r>
        <r>
          <rPr>
            <sz val="9"/>
            <color indexed="81"/>
            <rFont val="Tahoma"/>
            <family val="2"/>
          </rPr>
          <t xml:space="preserve">
Ficelle (balles)</t>
        </r>
      </text>
    </comment>
    <comment ref="BI16" authorId="0" shapeId="0" xr:uid="{00000000-0006-0000-0800-000024000000}">
      <text>
        <r>
          <rPr>
            <b/>
            <sz val="9"/>
            <color indexed="81"/>
            <rFont val="Tahoma"/>
            <family val="2"/>
          </rPr>
          <t>Murielle Bournival:</t>
        </r>
        <r>
          <rPr>
            <sz val="9"/>
            <color indexed="81"/>
            <rFont val="Tahoma"/>
            <family val="2"/>
          </rPr>
          <t xml:space="preserve">
Ficelle (balles)</t>
        </r>
      </text>
    </comment>
    <comment ref="O17" authorId="1" shapeId="0" xr:uid="{00000000-0006-0000-0800-000025000000}">
      <text>
        <r>
          <rPr>
            <b/>
            <sz val="9"/>
            <color indexed="81"/>
            <rFont val="Tahoma"/>
            <family val="2"/>
          </rPr>
          <t>Anne Le Mat:</t>
        </r>
        <r>
          <rPr>
            <sz val="9"/>
            <color indexed="81"/>
            <rFont val="Tahoma"/>
            <family val="2"/>
          </rPr>
          <t xml:space="preserve">
12 kg, 1 année sur 3</t>
        </r>
      </text>
    </comment>
    <comment ref="U17" authorId="1" shapeId="0" xr:uid="{00000000-0006-0000-0800-000026000000}">
      <text>
        <r>
          <rPr>
            <b/>
            <sz val="9"/>
            <color indexed="81"/>
            <rFont val="Tahoma"/>
            <family val="2"/>
          </rPr>
          <t>Anne Le Mat:</t>
        </r>
        <r>
          <rPr>
            <sz val="9"/>
            <color indexed="81"/>
            <rFont val="Tahoma"/>
            <family val="2"/>
          </rPr>
          <t xml:space="preserve">
12 kg, 1 année sur 3</t>
        </r>
      </text>
    </comment>
    <comment ref="O18" authorId="1" shapeId="0" xr:uid="{00000000-0006-0000-0800-000027000000}">
      <text>
        <r>
          <rPr>
            <b/>
            <sz val="9"/>
            <color indexed="81"/>
            <rFont val="Tahoma"/>
            <family val="2"/>
          </rPr>
          <t>Anne Le Mat:</t>
        </r>
        <r>
          <rPr>
            <sz val="9"/>
            <color indexed="81"/>
            <rFont val="Tahoma"/>
            <family val="2"/>
          </rPr>
          <t xml:space="preserve">
1 t  , UNE ANNée sur 3</t>
        </r>
      </text>
    </comment>
    <comment ref="U18" authorId="1" shapeId="0" xr:uid="{00000000-0006-0000-0800-000028000000}">
      <text>
        <r>
          <rPr>
            <b/>
            <sz val="9"/>
            <color indexed="81"/>
            <rFont val="Tahoma"/>
            <family val="2"/>
          </rPr>
          <t>Anne Le Mat:</t>
        </r>
        <r>
          <rPr>
            <sz val="9"/>
            <color indexed="81"/>
            <rFont val="Tahoma"/>
            <family val="2"/>
          </rPr>
          <t xml:space="preserve">
1 t  , UNE ANNée sur 3</t>
        </r>
      </text>
    </comment>
    <comment ref="G22" authorId="0" shapeId="0" xr:uid="{00000000-0006-0000-0800-000029000000}">
      <text>
        <r>
          <rPr>
            <b/>
            <sz val="9"/>
            <color indexed="81"/>
            <rFont val="Tahoma"/>
            <family val="2"/>
          </rPr>
          <t>Murielle Bournival:</t>
        </r>
        <r>
          <rPr>
            <sz val="9"/>
            <color indexed="81"/>
            <rFont val="Tahoma"/>
            <family val="2"/>
          </rPr>
          <t xml:space="preserve">
1 epandage d'engrais a 2.56$ et azote 11,59$ </t>
        </r>
      </text>
    </comment>
    <comment ref="O22" authorId="1" shapeId="0" xr:uid="{00000000-0006-0000-0800-00002A000000}">
      <text>
        <r>
          <rPr>
            <b/>
            <sz val="9"/>
            <color indexed="81"/>
            <rFont val="Tahoma"/>
            <family val="2"/>
          </rPr>
          <t>Anne Le Mat:</t>
        </r>
        <r>
          <rPr>
            <sz val="9"/>
            <color indexed="81"/>
            <rFont val="Tahoma"/>
            <family val="2"/>
          </rPr>
          <t xml:space="preserve">
13 m³
</t>
        </r>
      </text>
    </comment>
    <comment ref="U22" authorId="1" shapeId="0" xr:uid="{00000000-0006-0000-0800-00002B000000}">
      <text>
        <r>
          <rPr>
            <b/>
            <sz val="9"/>
            <color indexed="81"/>
            <rFont val="Tahoma"/>
            <family val="2"/>
          </rPr>
          <t>Anne Le Mat:</t>
        </r>
        <r>
          <rPr>
            <sz val="9"/>
            <color indexed="81"/>
            <rFont val="Tahoma"/>
            <family val="2"/>
          </rPr>
          <t xml:space="preserve">
13 m³
</t>
        </r>
      </text>
    </comment>
    <comment ref="AQ22" authorId="0" shapeId="0" xr:uid="{00000000-0006-0000-0800-00002C000000}">
      <text>
        <r>
          <rPr>
            <b/>
            <sz val="9"/>
            <color indexed="81"/>
            <rFont val="Tahoma"/>
            <family val="2"/>
          </rPr>
          <t>Murielle Bournival:</t>
        </r>
        <r>
          <rPr>
            <sz val="9"/>
            <color indexed="81"/>
            <rFont val="Tahoma"/>
            <family val="2"/>
          </rPr>
          <t xml:space="preserve">
Référence blé d'automne</t>
        </r>
      </text>
    </comment>
    <comment ref="AZ22" authorId="1" shapeId="0" xr:uid="{00000000-0006-0000-0800-00002D000000}">
      <text>
        <r>
          <rPr>
            <b/>
            <sz val="9"/>
            <color indexed="81"/>
            <rFont val="Tahoma"/>
            <family val="2"/>
          </rPr>
          <t>Anne Le Mat:</t>
        </r>
        <r>
          <rPr>
            <sz val="9"/>
            <color indexed="81"/>
            <rFont val="Tahoma"/>
            <family val="2"/>
          </rPr>
          <t xml:space="preserve">
Brassage lisier 16,24$ et Épandage lisier 51,45$ 
</t>
        </r>
      </text>
    </comment>
    <comment ref="BF22" authorId="1" shapeId="0" xr:uid="{00000000-0006-0000-0800-00002E000000}">
      <text>
        <r>
          <rPr>
            <b/>
            <sz val="9"/>
            <color indexed="81"/>
            <rFont val="Tahoma"/>
            <family val="2"/>
          </rPr>
          <t>Anne Le Mat:</t>
        </r>
        <r>
          <rPr>
            <sz val="9"/>
            <color indexed="81"/>
            <rFont val="Tahoma"/>
            <family val="2"/>
          </rPr>
          <t xml:space="preserve">
Brassage lisier 16,24$ et Épandage lisier 51,45$ 
</t>
        </r>
      </text>
    </comment>
    <comment ref="BL22" authorId="1" shapeId="0" xr:uid="{00000000-0006-0000-0800-00002F000000}">
      <text>
        <r>
          <rPr>
            <b/>
            <sz val="9"/>
            <color indexed="81"/>
            <rFont val="Tahoma"/>
            <family val="2"/>
          </rPr>
          <t>Anne Le Mat:</t>
        </r>
        <r>
          <rPr>
            <sz val="9"/>
            <color indexed="81"/>
            <rFont val="Tahoma"/>
            <family val="2"/>
          </rPr>
          <t xml:space="preserve">
Brassage lisier 16,24$ et Épandage lisier 51,45$ 
</t>
        </r>
      </text>
    </comment>
    <comment ref="BO22" authorId="1" shapeId="0" xr:uid="{00000000-0006-0000-0800-000030000000}">
      <text>
        <r>
          <rPr>
            <b/>
            <sz val="9"/>
            <color indexed="81"/>
            <rFont val="Tahoma"/>
            <family val="2"/>
          </rPr>
          <t>Anne Le Mat:</t>
        </r>
        <r>
          <rPr>
            <sz val="9"/>
            <color indexed="81"/>
            <rFont val="Tahoma"/>
            <family val="2"/>
          </rPr>
          <t xml:space="preserve">
Brassage lisier 16,24$,
Épandage lisier 51,45$ et
Épandage engrais 2,56$
</t>
        </r>
      </text>
    </comment>
    <comment ref="CV22" authorId="0" shapeId="0" xr:uid="{00000000-0006-0000-0800-000031000000}">
      <text>
        <r>
          <rPr>
            <b/>
            <sz val="9"/>
            <color indexed="81"/>
            <rFont val="Tahoma"/>
            <family val="2"/>
          </rPr>
          <t>Murielle Bournival:</t>
        </r>
        <r>
          <rPr>
            <sz val="9"/>
            <color indexed="81"/>
            <rFont val="Tahoma"/>
            <family val="2"/>
          </rPr>
          <t xml:space="preserve">
Référence Blé de printemps</t>
        </r>
      </text>
    </comment>
    <comment ref="CY22" authorId="0" shapeId="0" xr:uid="{00000000-0006-0000-0800-000032000000}">
      <text>
        <r>
          <rPr>
            <b/>
            <sz val="9"/>
            <color indexed="81"/>
            <rFont val="Tahoma"/>
            <family val="2"/>
          </rPr>
          <t>Murielle Bournival:</t>
        </r>
        <r>
          <rPr>
            <sz val="9"/>
            <color indexed="81"/>
            <rFont val="Tahoma"/>
            <family val="2"/>
          </rPr>
          <t xml:space="preserve">
Référence Orge bio
</t>
        </r>
      </text>
    </comment>
    <comment ref="AQ23" authorId="0" shapeId="0" xr:uid="{00000000-0006-0000-0800-000033000000}">
      <text>
        <r>
          <rPr>
            <b/>
            <sz val="9"/>
            <color indexed="81"/>
            <rFont val="Tahoma"/>
            <family val="2"/>
          </rPr>
          <t>Murielle Bournival:</t>
        </r>
        <r>
          <rPr>
            <sz val="9"/>
            <color indexed="81"/>
            <rFont val="Tahoma"/>
            <family val="2"/>
          </rPr>
          <t xml:space="preserve">
Référence Blé d'automne</t>
        </r>
      </text>
    </comment>
    <comment ref="AQ24" authorId="0" shapeId="0" xr:uid="{00000000-0006-0000-0800-000034000000}">
      <text>
        <r>
          <rPr>
            <b/>
            <sz val="9"/>
            <color indexed="81"/>
            <rFont val="Tahoma"/>
            <family val="2"/>
          </rPr>
          <t>Murielle Bournival:</t>
        </r>
        <r>
          <rPr>
            <sz val="9"/>
            <color indexed="81"/>
            <rFont val="Tahoma"/>
            <family val="2"/>
          </rPr>
          <t xml:space="preserve">
Herse lourde avec autoguidage</t>
        </r>
      </text>
    </comment>
    <comment ref="CS24" authorId="0" shapeId="0" xr:uid="{00000000-0006-0000-0800-000035000000}">
      <text>
        <r>
          <rPr>
            <b/>
            <sz val="9"/>
            <color indexed="81"/>
            <rFont val="Tahoma"/>
            <family val="2"/>
          </rPr>
          <t>Murielle Bournival:</t>
        </r>
        <r>
          <rPr>
            <sz val="9"/>
            <color indexed="81"/>
            <rFont val="Tahoma"/>
            <family val="2"/>
          </rPr>
          <t xml:space="preserve">
Herse rotative</t>
        </r>
      </text>
    </comment>
    <comment ref="CV24" authorId="0" shapeId="0" xr:uid="{00000000-0006-0000-0800-000036000000}">
      <text>
        <r>
          <rPr>
            <b/>
            <sz val="9"/>
            <color indexed="81"/>
            <rFont val="Tahoma"/>
            <family val="2"/>
          </rPr>
          <t>Murielle Bournival:</t>
        </r>
        <r>
          <rPr>
            <sz val="9"/>
            <color indexed="81"/>
            <rFont val="Tahoma"/>
            <family val="2"/>
          </rPr>
          <t xml:space="preserve">
Herse rotative</t>
        </r>
      </text>
    </comment>
    <comment ref="F26" authorId="1" shapeId="0" xr:uid="{00000000-0006-0000-0800-000037000000}">
      <text>
        <r>
          <rPr>
            <b/>
            <sz val="9"/>
            <color indexed="81"/>
            <rFont val="Tahoma"/>
            <family val="2"/>
          </rPr>
          <t>Anne Le Mat:</t>
        </r>
        <r>
          <rPr>
            <sz val="9"/>
            <color indexed="81"/>
            <rFont val="Tahoma"/>
            <family val="2"/>
          </rPr>
          <t xml:space="preserve">
2e passage de cultivateur</t>
        </r>
      </text>
    </comment>
    <comment ref="L26" authorId="1" shapeId="0" xr:uid="{00000000-0006-0000-0800-000038000000}">
      <text>
        <r>
          <rPr>
            <b/>
            <sz val="9"/>
            <color indexed="81"/>
            <rFont val="Tahoma"/>
            <family val="2"/>
          </rPr>
          <t>Anne Le Mat:</t>
        </r>
        <r>
          <rPr>
            <sz val="9"/>
            <color indexed="81"/>
            <rFont val="Tahoma"/>
            <family val="2"/>
          </rPr>
          <t xml:space="preserve">
2e passage de cultivateur</t>
        </r>
      </text>
    </comment>
    <comment ref="R26" authorId="1" shapeId="0" xr:uid="{00000000-0006-0000-0800-000039000000}">
      <text>
        <r>
          <rPr>
            <b/>
            <sz val="9"/>
            <color indexed="81"/>
            <rFont val="Tahoma"/>
            <family val="2"/>
          </rPr>
          <t>Anne Le Mat:</t>
        </r>
        <r>
          <rPr>
            <sz val="9"/>
            <color indexed="81"/>
            <rFont val="Tahoma"/>
            <family val="2"/>
          </rPr>
          <t xml:space="preserve">
2e passage de cultivateur</t>
        </r>
      </text>
    </comment>
    <comment ref="U26" authorId="1" shapeId="0" xr:uid="{00000000-0006-0000-0800-00003A000000}">
      <text>
        <r>
          <rPr>
            <b/>
            <sz val="9"/>
            <color indexed="81"/>
            <rFont val="Tahoma"/>
            <family val="2"/>
          </rPr>
          <t>Anne Le Mat:</t>
        </r>
        <r>
          <rPr>
            <sz val="9"/>
            <color indexed="81"/>
            <rFont val="Tahoma"/>
            <family val="2"/>
          </rPr>
          <t xml:space="preserve">
2e passage de cultivateur</t>
        </r>
      </text>
    </comment>
    <comment ref="X26" authorId="1" shapeId="0" xr:uid="{00000000-0006-0000-0800-00003B000000}">
      <text>
        <r>
          <rPr>
            <b/>
            <sz val="9"/>
            <color indexed="81"/>
            <rFont val="Tahoma"/>
            <family val="2"/>
          </rPr>
          <t>Anne Le Mat:</t>
        </r>
        <r>
          <rPr>
            <sz val="9"/>
            <color indexed="81"/>
            <rFont val="Tahoma"/>
            <family val="2"/>
          </rPr>
          <t xml:space="preserve">
2e passage de cultivateur</t>
        </r>
      </text>
    </comment>
    <comment ref="AD26" authorId="1" shapeId="0" xr:uid="{00000000-0006-0000-0800-00003C000000}">
      <text>
        <r>
          <rPr>
            <b/>
            <sz val="9"/>
            <color indexed="81"/>
            <rFont val="Tahoma"/>
            <family val="2"/>
          </rPr>
          <t>Anne Le Mat:</t>
        </r>
        <r>
          <rPr>
            <sz val="9"/>
            <color indexed="81"/>
            <rFont val="Tahoma"/>
            <family val="2"/>
          </rPr>
          <t xml:space="preserve">
2e passage de cultivateur</t>
        </r>
      </text>
    </comment>
    <comment ref="AJ26" authorId="1" shapeId="0" xr:uid="{00000000-0006-0000-0800-00003D000000}">
      <text>
        <r>
          <rPr>
            <b/>
            <sz val="9"/>
            <color indexed="81"/>
            <rFont val="Tahoma"/>
            <family val="2"/>
          </rPr>
          <t>Anne Le Mat:</t>
        </r>
        <r>
          <rPr>
            <sz val="9"/>
            <color indexed="81"/>
            <rFont val="Tahoma"/>
            <family val="2"/>
          </rPr>
          <t xml:space="preserve">
2e passage de cultivateur</t>
        </r>
      </text>
    </comment>
    <comment ref="AN26" authorId="0" shapeId="0" xr:uid="{00000000-0006-0000-0800-00003E000000}">
      <text>
        <r>
          <rPr>
            <b/>
            <sz val="9"/>
            <color indexed="81"/>
            <rFont val="Tahoma"/>
            <family val="2"/>
          </rPr>
          <t>Murielle Bournival:</t>
        </r>
        <r>
          <rPr>
            <sz val="9"/>
            <color indexed="81"/>
            <rFont val="Tahoma"/>
            <family val="2"/>
          </rPr>
          <t xml:space="preserve">
Herse lourde avec autoguidage</t>
        </r>
      </text>
    </comment>
    <comment ref="AV26" authorId="1" shapeId="0" xr:uid="{00000000-0006-0000-0800-00003F000000}">
      <text>
        <r>
          <rPr>
            <b/>
            <sz val="9"/>
            <color indexed="81"/>
            <rFont val="Tahoma"/>
            <family val="2"/>
          </rPr>
          <t>Anne Le Mat:</t>
        </r>
        <r>
          <rPr>
            <sz val="9"/>
            <color indexed="81"/>
            <rFont val="Tahoma"/>
            <family val="2"/>
          </rPr>
          <t xml:space="preserve">
2e passage de cultivateur</t>
        </r>
      </text>
    </comment>
    <comment ref="CI26" authorId="1" shapeId="0" xr:uid="{00000000-0006-0000-0800-000040000000}">
      <text>
        <r>
          <rPr>
            <b/>
            <sz val="9"/>
            <color indexed="81"/>
            <rFont val="Tahoma"/>
            <family val="2"/>
          </rPr>
          <t>Anne Le Mat:</t>
        </r>
        <r>
          <rPr>
            <sz val="9"/>
            <color indexed="81"/>
            <rFont val="Tahoma"/>
            <family val="2"/>
          </rPr>
          <t xml:space="preserve">
2e passage de cultivateur</t>
        </r>
      </text>
    </comment>
    <comment ref="CS26" authorId="0" shapeId="0" xr:uid="{00000000-0006-0000-0800-000041000000}">
      <text>
        <r>
          <rPr>
            <b/>
            <sz val="9"/>
            <color indexed="81"/>
            <rFont val="Tahoma"/>
            <family val="2"/>
          </rPr>
          <t>Murielle Bournival:</t>
        </r>
        <r>
          <rPr>
            <sz val="9"/>
            <color indexed="81"/>
            <rFont val="Tahoma"/>
            <family val="2"/>
          </rPr>
          <t xml:space="preserve">
Herse légère pour faux semis
</t>
        </r>
      </text>
    </comment>
    <comment ref="CV26" authorId="0" shapeId="0" xr:uid="{00000000-0006-0000-0800-000042000000}">
      <text>
        <r>
          <rPr>
            <b/>
            <sz val="9"/>
            <color indexed="81"/>
            <rFont val="Tahoma"/>
            <family val="2"/>
          </rPr>
          <t>Murielle Bournival:</t>
        </r>
        <r>
          <rPr>
            <sz val="9"/>
            <color indexed="81"/>
            <rFont val="Tahoma"/>
            <family val="2"/>
          </rPr>
          <t xml:space="preserve">
Herse légère pour faux semis
</t>
        </r>
      </text>
    </comment>
    <comment ref="CY27" authorId="0" shapeId="0" xr:uid="{00000000-0006-0000-0800-000043000000}">
      <text>
        <r>
          <rPr>
            <b/>
            <sz val="9"/>
            <color indexed="81"/>
            <rFont val="Tahoma"/>
            <family val="2"/>
          </rPr>
          <t>Murielle Bournival:</t>
        </r>
        <r>
          <rPr>
            <sz val="9"/>
            <color indexed="81"/>
            <rFont val="Tahoma"/>
            <family val="2"/>
          </rPr>
          <t xml:space="preserve">
Référence Soya bio</t>
        </r>
      </text>
    </comment>
    <comment ref="CY28" authorId="0" shapeId="0" xr:uid="{00000000-0006-0000-0800-000044000000}">
      <text>
        <r>
          <rPr>
            <b/>
            <sz val="9"/>
            <color indexed="81"/>
            <rFont val="Tahoma"/>
            <family val="2"/>
          </rPr>
          <t>Murielle Bournival:</t>
        </r>
        <r>
          <rPr>
            <sz val="9"/>
            <color indexed="81"/>
            <rFont val="Tahoma"/>
            <family val="2"/>
          </rPr>
          <t xml:space="preserve">
Référence Soya bio</t>
        </r>
      </text>
    </comment>
    <comment ref="BE32" authorId="0" shapeId="0" xr:uid="{00000000-0006-0000-0800-000045000000}">
      <text>
        <r>
          <rPr>
            <b/>
            <sz val="9"/>
            <color indexed="81"/>
            <rFont val="Tahoma"/>
            <family val="2"/>
          </rPr>
          <t>Murielle Bournival:</t>
        </r>
        <r>
          <rPr>
            <sz val="9"/>
            <color indexed="81"/>
            <rFont val="Tahoma"/>
            <family val="2"/>
          </rPr>
          <t xml:space="preserve">
Moyenne de coupes/années 
Première année 1 coupe
2-3-4e année 3 coupes
5 année 1 coupe</t>
        </r>
      </text>
    </comment>
    <comment ref="BF32" authorId="0" shapeId="0" xr:uid="{00000000-0006-0000-0800-000046000000}">
      <text>
        <r>
          <rPr>
            <b/>
            <sz val="9"/>
            <color indexed="81"/>
            <rFont val="Tahoma"/>
            <family val="2"/>
          </rPr>
          <t>Murielle Bournival:</t>
        </r>
        <r>
          <rPr>
            <sz val="9"/>
            <color indexed="81"/>
            <rFont val="Tahoma"/>
            <family val="2"/>
          </rPr>
          <t xml:space="preserve">
Fauche 16,09$/ha
Fanage 2,90$/ha
Râtelage 5,28$ha
Pressage 0,10$/230 balles
Transport 0,09$/230 balles</t>
        </r>
      </text>
    </comment>
    <comment ref="BH32" authorId="0" shapeId="0" xr:uid="{00000000-0006-0000-0800-000047000000}">
      <text>
        <r>
          <rPr>
            <b/>
            <sz val="9"/>
            <color indexed="81"/>
            <rFont val="Tahoma"/>
            <family val="2"/>
          </rPr>
          <t>Murielle Bournival:</t>
        </r>
        <r>
          <rPr>
            <sz val="9"/>
            <color indexed="81"/>
            <rFont val="Tahoma"/>
            <family val="2"/>
          </rPr>
          <t xml:space="preserve">
Moyenne de coupes/années 
Première année 1 coupe
2-3-4e année 3 coupes
5 année 1 coupe</t>
        </r>
      </text>
    </comment>
    <comment ref="BI32" authorId="0" shapeId="0" xr:uid="{00000000-0006-0000-0800-000048000000}">
      <text>
        <r>
          <rPr>
            <b/>
            <sz val="9"/>
            <color indexed="81"/>
            <rFont val="Tahoma"/>
            <family val="2"/>
          </rPr>
          <t>Murielle Bournival:</t>
        </r>
        <r>
          <rPr>
            <sz val="9"/>
            <color indexed="81"/>
            <rFont val="Tahoma"/>
            <family val="2"/>
          </rPr>
          <t xml:space="preserve">
Fauche 16,09$/ha
Fanage 2,90$/ha
Râtelage 5,28$ha
Pressage 0,10$/230 balles
Transport 0,09$/230 balles</t>
        </r>
      </text>
    </comment>
    <comment ref="CY32" authorId="0" shapeId="0" xr:uid="{00000000-0006-0000-0800-000049000000}">
      <text>
        <r>
          <rPr>
            <b/>
            <sz val="9"/>
            <color indexed="81"/>
            <rFont val="Tahoma"/>
            <family val="2"/>
          </rPr>
          <t>Murielle Bournival:</t>
        </r>
        <r>
          <rPr>
            <sz val="9"/>
            <color indexed="81"/>
            <rFont val="Tahoma"/>
            <family val="2"/>
          </rPr>
          <t xml:space="preserve">
Coupe 11,39$ et Andainage 9,18$</t>
        </r>
      </text>
    </comment>
    <comment ref="DB32" authorId="0" shapeId="0" xr:uid="{00000000-0006-0000-0800-00004A000000}">
      <text>
        <r>
          <rPr>
            <b/>
            <sz val="9"/>
            <color indexed="81"/>
            <rFont val="Tahoma"/>
            <family val="2"/>
          </rPr>
          <t>Murielle Bournival:</t>
        </r>
        <r>
          <rPr>
            <sz val="9"/>
            <color indexed="81"/>
            <rFont val="Tahoma"/>
            <family val="2"/>
          </rPr>
          <t xml:space="preserve">
Coupe 11,39$ et Andainage 9,18$</t>
        </r>
      </text>
    </comment>
    <comment ref="BL33" authorId="0" shapeId="0" xr:uid="{00000000-0006-0000-0800-00004B000000}">
      <text>
        <r>
          <rPr>
            <b/>
            <sz val="9"/>
            <color indexed="81"/>
            <rFont val="Tahoma"/>
            <family val="2"/>
          </rPr>
          <t>Murielle Bournival:</t>
        </r>
        <r>
          <rPr>
            <sz val="9"/>
            <color indexed="81"/>
            <rFont val="Tahoma"/>
            <family val="2"/>
          </rPr>
          <t xml:space="preserve">
Fourragère 2 rangs</t>
        </r>
      </text>
    </comment>
    <comment ref="BO33" authorId="0" shapeId="0" xr:uid="{00000000-0006-0000-0800-00004C000000}">
      <text>
        <r>
          <rPr>
            <b/>
            <sz val="9"/>
            <color indexed="81"/>
            <rFont val="Tahoma"/>
            <family val="2"/>
          </rPr>
          <t>Murielle Bournival:</t>
        </r>
        <r>
          <rPr>
            <sz val="9"/>
            <color indexed="81"/>
            <rFont val="Tahoma"/>
            <family val="2"/>
          </rPr>
          <t xml:space="preserve">
Fourragère 2 rangs</t>
        </r>
      </text>
    </comment>
    <comment ref="BL35" authorId="0" shapeId="0" xr:uid="{00000000-0006-0000-0800-00004D000000}">
      <text>
        <r>
          <rPr>
            <b/>
            <sz val="9"/>
            <color indexed="81"/>
            <rFont val="Tahoma"/>
            <family val="2"/>
          </rPr>
          <t>Murielle Bournival:</t>
        </r>
        <r>
          <rPr>
            <sz val="9"/>
            <color indexed="81"/>
            <rFont val="Tahoma"/>
            <family val="2"/>
          </rPr>
          <t xml:space="preserve">
Souffleur</t>
        </r>
      </text>
    </comment>
    <comment ref="BO35" authorId="0" shapeId="0" xr:uid="{00000000-0006-0000-0800-00004E000000}">
      <text>
        <r>
          <rPr>
            <b/>
            <sz val="9"/>
            <color indexed="81"/>
            <rFont val="Tahoma"/>
            <family val="2"/>
          </rPr>
          <t>Murielle Bournival:</t>
        </r>
        <r>
          <rPr>
            <sz val="9"/>
            <color indexed="81"/>
            <rFont val="Tahoma"/>
            <family val="2"/>
          </rPr>
          <t xml:space="preserve">
Souffleur</t>
        </r>
      </text>
    </comment>
    <comment ref="AZ36" authorId="0" shapeId="0" xr:uid="{00000000-0006-0000-0800-00004F000000}">
      <text>
        <r>
          <rPr>
            <b/>
            <sz val="9"/>
            <color indexed="81"/>
            <rFont val="Tahoma"/>
            <family val="2"/>
          </rPr>
          <t>Murielle Bournival:</t>
        </r>
        <r>
          <rPr>
            <sz val="9"/>
            <color indexed="81"/>
            <rFont val="Tahoma"/>
            <family val="2"/>
          </rPr>
          <t xml:space="preserve">
Fauchage refus 16,09$,
Hersage des bouses 11,25$</t>
        </r>
      </text>
    </comment>
    <comment ref="BC36" authorId="0" shapeId="0" xr:uid="{00000000-0006-0000-0800-000050000000}">
      <text>
        <r>
          <rPr>
            <b/>
            <sz val="9"/>
            <color indexed="81"/>
            <rFont val="Tahoma"/>
            <family val="2"/>
          </rPr>
          <t>Murielle Bournival:</t>
        </r>
        <r>
          <rPr>
            <sz val="9"/>
            <color indexed="81"/>
            <rFont val="Tahoma"/>
            <family val="2"/>
          </rPr>
          <t xml:space="preserve">
Fauchage refus 16,09$,
Hersage des bouses 11,25$</t>
        </r>
      </text>
    </comment>
    <comment ref="BG38" authorId="2" shapeId="0" xr:uid="{00000000-0006-0000-0800-000051000000}">
      <text>
        <r>
          <rPr>
            <b/>
            <sz val="9"/>
            <color indexed="81"/>
            <rFont val="Tahoma"/>
            <family val="2"/>
          </rPr>
          <t>Expliquer SVP</t>
        </r>
      </text>
    </comment>
    <comment ref="BJ38" authorId="2" shapeId="0" xr:uid="{00000000-0006-0000-0800-000052000000}">
      <text>
        <r>
          <rPr>
            <b/>
            <sz val="9"/>
            <color indexed="81"/>
            <rFont val="Tahoma"/>
            <family val="2"/>
          </rPr>
          <t>Expliquer SVP</t>
        </r>
      </text>
    </comment>
    <comment ref="BU41" authorId="0" shapeId="0" xr:uid="{00000000-0006-0000-0800-000053000000}">
      <text>
        <r>
          <rPr>
            <b/>
            <sz val="9"/>
            <color indexed="81"/>
            <rFont val="Tahoma"/>
            <family val="2"/>
          </rPr>
          <t>Murielle Bournival:</t>
        </r>
        <r>
          <rPr>
            <sz val="9"/>
            <color indexed="81"/>
            <rFont val="Tahoma"/>
            <family val="2"/>
          </rPr>
          <t xml:space="preserve">
Entrée et sortie centre de décorticage</t>
        </r>
      </text>
    </comment>
    <comment ref="BX41" authorId="0" shapeId="0" xr:uid="{00000000-0006-0000-0800-000054000000}">
      <text>
        <r>
          <rPr>
            <b/>
            <sz val="9"/>
            <color indexed="81"/>
            <rFont val="Tahoma"/>
            <family val="2"/>
          </rPr>
          <t>Murielle Bournival:</t>
        </r>
        <r>
          <rPr>
            <sz val="9"/>
            <color indexed="81"/>
            <rFont val="Tahoma"/>
            <family val="2"/>
          </rPr>
          <t xml:space="preserve">
Entrée et sortie centre de décorticage</t>
        </r>
      </text>
    </comment>
    <comment ref="CM41" authorId="0" shapeId="0" xr:uid="{00000000-0006-0000-0800-000055000000}">
      <text>
        <r>
          <rPr>
            <b/>
            <sz val="9"/>
            <color indexed="81"/>
            <rFont val="Tahoma"/>
            <family val="2"/>
          </rPr>
          <t>Murielle Bournival:</t>
        </r>
        <r>
          <rPr>
            <sz val="9"/>
            <color indexed="81"/>
            <rFont val="Tahoma"/>
            <family val="2"/>
          </rPr>
          <t xml:space="preserve">
Séchage à la ferme 2,44$ et séchage additionnel à forfait 25,74$</t>
        </r>
      </text>
    </comment>
    <comment ref="CP41" authorId="0" shapeId="0" xr:uid="{00000000-0006-0000-0800-000056000000}">
      <text>
        <r>
          <rPr>
            <b/>
            <sz val="9"/>
            <color indexed="81"/>
            <rFont val="Tahoma"/>
            <family val="2"/>
          </rPr>
          <t>Murielle Bournival:</t>
        </r>
        <r>
          <rPr>
            <sz val="9"/>
            <color indexed="81"/>
            <rFont val="Tahoma"/>
            <family val="2"/>
          </rPr>
          <t xml:space="preserve">
Séchage à la ferme 2,44$ et séchage additionnel à forfait 25,74$</t>
        </r>
      </text>
    </comment>
    <comment ref="CA42" authorId="0" shapeId="0" xr:uid="{00000000-0006-0000-0800-000057000000}">
      <text>
        <r>
          <rPr>
            <b/>
            <sz val="9"/>
            <color indexed="81"/>
            <rFont val="Tahoma"/>
            <family val="2"/>
          </rPr>
          <t>Murielle Bournival:</t>
        </r>
        <r>
          <rPr>
            <sz val="9"/>
            <color indexed="81"/>
            <rFont val="Tahoma"/>
            <family val="2"/>
          </rPr>
          <t xml:space="preserve">
Séchage 4,94 $ + Entrée et sortie du centre de décorticage 5,10 $
</t>
        </r>
      </text>
    </comment>
    <comment ref="CD42" authorId="0" shapeId="0" xr:uid="{00000000-0006-0000-0800-000058000000}">
      <text>
        <r>
          <rPr>
            <b/>
            <sz val="9"/>
            <color indexed="81"/>
            <rFont val="Tahoma"/>
            <family val="2"/>
          </rPr>
          <t>Murielle Bournival:</t>
        </r>
        <r>
          <rPr>
            <sz val="9"/>
            <color indexed="81"/>
            <rFont val="Tahoma"/>
            <family val="2"/>
          </rPr>
          <t xml:space="preserve">
Séchage 4,94 $ + Entrée et sortie du centre de décorticage 5,10 $
</t>
        </r>
      </text>
    </comment>
    <comment ref="CG42" authorId="0" shapeId="0" xr:uid="{00000000-0006-0000-0800-000059000000}">
      <text>
        <r>
          <rPr>
            <b/>
            <sz val="9"/>
            <color indexed="81"/>
            <rFont val="Tahoma"/>
            <family val="2"/>
          </rPr>
          <t>Murielle Bournival:</t>
        </r>
        <r>
          <rPr>
            <sz val="9"/>
            <color indexed="81"/>
            <rFont val="Tahoma"/>
            <family val="2"/>
          </rPr>
          <t xml:space="preserve">
Prix à forfait</t>
        </r>
      </text>
    </comment>
    <comment ref="CM42" authorId="0" shapeId="0" xr:uid="{00000000-0006-0000-0800-00005A000000}">
      <text>
        <r>
          <rPr>
            <b/>
            <sz val="9"/>
            <color indexed="81"/>
            <rFont val="Tahoma"/>
            <family val="2"/>
          </rPr>
          <t>Murielle Bournival:</t>
        </r>
        <r>
          <rPr>
            <sz val="9"/>
            <color indexed="81"/>
            <rFont val="Tahoma"/>
            <family val="2"/>
          </rPr>
          <t xml:space="preserve">
Criblage à forfait</t>
        </r>
      </text>
    </comment>
    <comment ref="CP42" authorId="0" shapeId="0" xr:uid="{00000000-0006-0000-0800-00005B000000}">
      <text>
        <r>
          <rPr>
            <b/>
            <sz val="9"/>
            <color indexed="81"/>
            <rFont val="Tahoma"/>
            <family val="2"/>
          </rPr>
          <t>Murielle Bournival:</t>
        </r>
        <r>
          <rPr>
            <sz val="9"/>
            <color indexed="81"/>
            <rFont val="Tahoma"/>
            <family val="2"/>
          </rPr>
          <t xml:space="preserve">
Criblage à forfait</t>
        </r>
      </text>
    </comment>
    <comment ref="BF48" authorId="0" shapeId="0" xr:uid="{00000000-0006-0000-0800-00005C000000}">
      <text>
        <r>
          <rPr>
            <b/>
            <sz val="9"/>
            <color indexed="81"/>
            <rFont val="Tahoma"/>
            <family val="2"/>
          </rPr>
          <t>Murielle Bournival:</t>
        </r>
        <r>
          <rPr>
            <sz val="9"/>
            <color indexed="81"/>
            <rFont val="Tahoma"/>
            <family val="2"/>
          </rPr>
          <t xml:space="preserve">
Assurance récolte Orge bio</t>
        </r>
      </text>
    </comment>
    <comment ref="BI48" authorId="0" shapeId="0" xr:uid="{00000000-0006-0000-0800-00005D000000}">
      <text>
        <r>
          <rPr>
            <b/>
            <sz val="9"/>
            <color indexed="81"/>
            <rFont val="Tahoma"/>
            <family val="2"/>
          </rPr>
          <t>Murielle Bournival:</t>
        </r>
        <r>
          <rPr>
            <sz val="9"/>
            <color indexed="81"/>
            <rFont val="Tahoma"/>
            <family val="2"/>
          </rPr>
          <t xml:space="preserve">
Assurance récolte Orge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Murielle Bournival</author>
    <author>Anne Le Mat</author>
    <author>Geoffroy Ménard</author>
  </authors>
  <commentList>
    <comment ref="BE5" authorId="0" shapeId="0" xr:uid="{00000000-0006-0000-0900-000001000000}">
      <text>
        <r>
          <rPr>
            <sz val="9"/>
            <color indexed="81"/>
            <rFont val="Tahoma"/>
            <family val="2"/>
          </rPr>
          <t>Rendement de l'orge utilisé en plante abri. Ce rendement est répartie sur les 5 années de la prairie.</t>
        </r>
      </text>
    </comment>
    <comment ref="BH5" authorId="0" shapeId="0" xr:uid="{00000000-0006-0000-0900-000002000000}">
      <text>
        <r>
          <rPr>
            <sz val="9"/>
            <color indexed="81"/>
            <rFont val="Tahoma"/>
            <family val="2"/>
          </rPr>
          <t>Rendement de l'orge utilisé en plante abri. Ce rendement est répartie sur les 5 années de la prairie.</t>
        </r>
      </text>
    </comment>
    <comment ref="CV5" authorId="0" shapeId="0" xr:uid="{00000000-0006-0000-0900-000003000000}">
      <text>
        <r>
          <rPr>
            <b/>
            <sz val="9"/>
            <color indexed="81"/>
            <rFont val="Tahoma"/>
            <family val="2"/>
          </rPr>
          <t>Murielle Bournival:</t>
        </r>
        <r>
          <rPr>
            <sz val="9"/>
            <color indexed="81"/>
            <rFont val="Tahoma"/>
            <family val="2"/>
          </rPr>
          <t xml:space="preserve">
Prix tirée d'OMAFRA 0,50$/lb
</t>
        </r>
      </text>
    </comment>
    <comment ref="CY5" authorId="0" shapeId="0" xr:uid="{00000000-0006-0000-0900-000004000000}">
      <text>
        <r>
          <rPr>
            <b/>
            <sz val="9"/>
            <color indexed="81"/>
            <rFont val="Tahoma"/>
            <family val="2"/>
          </rPr>
          <t>Murielle Bournival:</t>
        </r>
        <r>
          <rPr>
            <sz val="9"/>
            <color indexed="81"/>
            <rFont val="Tahoma"/>
            <family val="2"/>
          </rPr>
          <t xml:space="preserve">
Prix tirée d'OMAFRA 0,50$/lb
</t>
        </r>
      </text>
    </comment>
    <comment ref="DB5" authorId="0" shapeId="0" xr:uid="{00000000-0006-0000-0900-000005000000}">
      <text>
        <r>
          <rPr>
            <b/>
            <sz val="9"/>
            <color indexed="81"/>
            <rFont val="Tahoma"/>
            <family val="2"/>
          </rPr>
          <t>Murielle Bournival:</t>
        </r>
        <r>
          <rPr>
            <sz val="9"/>
            <color indexed="81"/>
            <rFont val="Tahoma"/>
            <family val="2"/>
          </rPr>
          <t xml:space="preserve">
Prix tirée d'OMAFRA 0,50$/lb
</t>
        </r>
      </text>
    </comment>
    <comment ref="AY6" authorId="0" shapeId="0" xr:uid="{00000000-0006-0000-0900-000006000000}">
      <text>
        <r>
          <rPr>
            <sz val="9"/>
            <color indexed="81"/>
            <rFont val="Tahoma"/>
            <family val="2"/>
          </rPr>
          <t>Le rendement du pâtuage est sur une base 100 % matière sèche. (Rendement CRAAQ est de 4,3 tonnes à 89 % m.s.)</t>
        </r>
      </text>
    </comment>
    <comment ref="BB6" authorId="0" shapeId="0" xr:uid="{00000000-0006-0000-0900-000007000000}">
      <text>
        <r>
          <rPr>
            <sz val="9"/>
            <color indexed="81"/>
            <rFont val="Tahoma"/>
            <family val="2"/>
          </rPr>
          <t>Le rendement du pâtuage est sur une base 100 % matière sèche. (Rendement CRAAQ est de 4,3 tonnes à 89 % m.s.)</t>
        </r>
      </text>
    </comment>
    <comment ref="BE6" authorId="0" shapeId="0" xr:uid="{00000000-0006-0000-0900-000008000000}">
      <text>
        <r>
          <rPr>
            <sz val="9"/>
            <color indexed="81"/>
            <rFont val="Tahoma"/>
            <family val="2"/>
          </rPr>
          <t>Rendement moyen Agritel à 100 m.s.</t>
        </r>
      </text>
    </comment>
    <comment ref="BH6" authorId="0" shapeId="0" xr:uid="{00000000-0006-0000-0900-000009000000}">
      <text>
        <r>
          <rPr>
            <sz val="9"/>
            <color indexed="81"/>
            <rFont val="Tahoma"/>
            <family val="2"/>
          </rPr>
          <t>Rendement moyen Agritel à 100 m.s.</t>
        </r>
      </text>
    </comment>
    <comment ref="BK6" authorId="0" shapeId="0" xr:uid="{00000000-0006-0000-0900-00000A000000}">
      <text>
        <r>
          <rPr>
            <sz val="9"/>
            <color indexed="81"/>
            <rFont val="Tahoma"/>
            <family val="2"/>
          </rPr>
          <t>Le maïs est sur une base 100 % matière sèche. (Rendement CRAAQ est de 35 tonnes à 35 % m.s.)</t>
        </r>
        <r>
          <rPr>
            <b/>
            <sz val="9"/>
            <color indexed="81"/>
            <rFont val="Tahoma"/>
            <family val="2"/>
          </rPr>
          <t xml:space="preserve">
</t>
        </r>
      </text>
    </comment>
    <comment ref="BL6" authorId="0" shapeId="0" xr:uid="{00000000-0006-0000-0900-00000B000000}">
      <text>
        <r>
          <rPr>
            <sz val="9"/>
            <color indexed="81"/>
            <rFont val="Tahoma"/>
            <family val="2"/>
          </rPr>
          <t>Prix du CRAAQ de 55$/tonne humide ramené à 100 % m.s.</t>
        </r>
      </text>
    </comment>
    <comment ref="BN6" authorId="0" shapeId="0" xr:uid="{00000000-0006-0000-0900-00000C000000}">
      <text>
        <r>
          <rPr>
            <sz val="9"/>
            <color indexed="81"/>
            <rFont val="Tahoma"/>
            <family val="2"/>
          </rPr>
          <t>Le maïs est sur une base 100 % matière sèche. (Rendement CRAAQ est de 35 tonnes à 35 % m.s.)</t>
        </r>
        <r>
          <rPr>
            <b/>
            <sz val="9"/>
            <color indexed="81"/>
            <rFont val="Tahoma"/>
            <family val="2"/>
          </rPr>
          <t xml:space="preserve">
</t>
        </r>
      </text>
    </comment>
    <comment ref="BO6" authorId="0" shapeId="0" xr:uid="{00000000-0006-0000-0900-00000D000000}">
      <text>
        <r>
          <rPr>
            <sz val="9"/>
            <color indexed="81"/>
            <rFont val="Tahoma"/>
            <family val="2"/>
          </rPr>
          <t>Prix du CRAAQ de 55$/tonne humide ramené à 100 % m.s.</t>
        </r>
      </text>
    </comment>
    <comment ref="R7" authorId="0" shapeId="0" xr:uid="{00000000-0006-0000-0900-00000E000000}">
      <text>
        <r>
          <rPr>
            <sz val="9"/>
            <color indexed="81"/>
            <rFont val="Tahoma"/>
            <family val="2"/>
          </rPr>
          <t>Rendement de la paille (150 balles de 30 lbs/balle) ramené en tonne/ha)</t>
        </r>
      </text>
    </comment>
    <comment ref="S7" authorId="0" shapeId="0" xr:uid="{00000000-0006-0000-0900-00000F000000}">
      <text>
        <r>
          <rPr>
            <sz val="9"/>
            <color indexed="81"/>
            <rFont val="Tahoma"/>
            <family val="2"/>
          </rPr>
          <t xml:space="preserve">Coût de la paille (1,50$/balle de 30 lbs) ramené à la tonne. </t>
        </r>
      </text>
    </comment>
    <comment ref="X7" authorId="0" shapeId="0" xr:uid="{00000000-0006-0000-0900-000010000000}">
      <text>
        <r>
          <rPr>
            <sz val="9"/>
            <color indexed="81"/>
            <rFont val="Tahoma"/>
            <family val="2"/>
          </rPr>
          <t>Rendement de la paille (125 balles de 30 lbs/balle) ramené en tonne/ha)</t>
        </r>
      </text>
    </comment>
    <comment ref="Y7" authorId="0" shapeId="0" xr:uid="{00000000-0006-0000-0900-000011000000}">
      <text>
        <r>
          <rPr>
            <sz val="9"/>
            <color indexed="81"/>
            <rFont val="Tahoma"/>
            <family val="2"/>
          </rPr>
          <t xml:space="preserve">Coût de la paille (1,50$/balle de 30 lbs) ramené à la tonne. </t>
        </r>
      </text>
    </comment>
    <comment ref="AD7" authorId="0" shapeId="0" xr:uid="{00000000-0006-0000-0900-000012000000}">
      <text>
        <r>
          <rPr>
            <sz val="9"/>
            <color indexed="81"/>
            <rFont val="Tahoma"/>
            <family val="2"/>
          </rPr>
          <t>Rendement de la paille (125 balles de 30 lbs/balle) ramené en tonne/ha)</t>
        </r>
      </text>
    </comment>
    <comment ref="AE7" authorId="0" shapeId="0" xr:uid="{00000000-0006-0000-0900-000013000000}">
      <text>
        <r>
          <rPr>
            <sz val="9"/>
            <color indexed="81"/>
            <rFont val="Tahoma"/>
            <family val="2"/>
          </rPr>
          <t xml:space="preserve">Coût de la paille (1,50$/balle de 30 lbs) ramené à la tonne. </t>
        </r>
      </text>
    </comment>
    <comment ref="AJ7" authorId="0" shapeId="0" xr:uid="{00000000-0006-0000-0900-000014000000}">
      <text>
        <r>
          <rPr>
            <sz val="9"/>
            <color indexed="81"/>
            <rFont val="Tahoma"/>
            <family val="2"/>
          </rPr>
          <t>Rendement de la paille (125 balles de 30 lbs/balle) ramené en tonne/ha)</t>
        </r>
      </text>
    </comment>
    <comment ref="AK7" authorId="0" shapeId="0" xr:uid="{00000000-0006-0000-0900-000015000000}">
      <text>
        <r>
          <rPr>
            <sz val="9"/>
            <color indexed="81"/>
            <rFont val="Tahoma"/>
            <family val="2"/>
          </rPr>
          <t xml:space="preserve">Coût de la paille (1,50$/balle de 30 lbs) ramené à la tonne. </t>
        </r>
      </text>
    </comment>
    <comment ref="AV7" authorId="0" shapeId="0" xr:uid="{00000000-0006-0000-0900-000016000000}">
      <text>
        <r>
          <rPr>
            <sz val="9"/>
            <color indexed="81"/>
            <rFont val="Tahoma"/>
            <family val="2"/>
          </rPr>
          <t>Rendement de la paille (125 balles de 30 lbs/balle) ramené en tonne/ha)</t>
        </r>
      </text>
    </comment>
    <comment ref="AW7" authorId="0" shapeId="0" xr:uid="{00000000-0006-0000-0900-000017000000}">
      <text>
        <r>
          <rPr>
            <sz val="9"/>
            <color indexed="81"/>
            <rFont val="Tahoma"/>
            <family val="2"/>
          </rPr>
          <t xml:space="preserve">Coût de la paille (1,50$/balle de 30 lbs) ramené à la tonne. </t>
        </r>
      </text>
    </comment>
    <comment ref="AZ12" authorId="0" shapeId="0" xr:uid="{00000000-0006-0000-0900-000018000000}">
      <text>
        <r>
          <rPr>
            <b/>
            <sz val="9"/>
            <color indexed="81"/>
            <rFont val="Tahoma"/>
            <family val="2"/>
          </rPr>
          <t>Murielle Bournival:</t>
        </r>
        <r>
          <rPr>
            <sz val="9"/>
            <color indexed="81"/>
            <rFont val="Tahoma"/>
            <family val="2"/>
          </rPr>
          <t xml:space="preserve">
Avoine 80 kg, fléole 7 kg, trèfle ladino 2 kg
</t>
        </r>
      </text>
    </comment>
    <comment ref="BC12" authorId="0" shapeId="0" xr:uid="{00000000-0006-0000-0900-000019000000}">
      <text>
        <r>
          <rPr>
            <b/>
            <sz val="9"/>
            <color indexed="81"/>
            <rFont val="Tahoma"/>
            <family val="2"/>
          </rPr>
          <t>Murielle Bournival:</t>
        </r>
        <r>
          <rPr>
            <sz val="9"/>
            <color indexed="81"/>
            <rFont val="Tahoma"/>
            <family val="2"/>
          </rPr>
          <t xml:space="preserve">
Avoine 80 kg, fléole 7 kg, trèfle ladino 2 kg
</t>
        </r>
      </text>
    </comment>
    <comment ref="BF12" authorId="0" shapeId="0" xr:uid="{00000000-0006-0000-0900-00001A000000}">
      <text>
        <r>
          <rPr>
            <b/>
            <sz val="9"/>
            <color indexed="81"/>
            <rFont val="Tahoma"/>
            <family val="2"/>
          </rPr>
          <t>Murielle Bournival:</t>
        </r>
        <r>
          <rPr>
            <sz val="9"/>
            <color indexed="81"/>
            <rFont val="Tahoma"/>
            <family val="2"/>
          </rPr>
          <t xml:space="preserve">
Orge 100 kg/ha à 0,87$/kg
Luzerne 9kg/ha à 364$/25kg
Fléole 7kg/ha à 159$/25 kg
</t>
        </r>
      </text>
    </comment>
    <comment ref="BI12" authorId="0" shapeId="0" xr:uid="{00000000-0006-0000-0900-00001B000000}">
      <text>
        <r>
          <rPr>
            <b/>
            <sz val="9"/>
            <color indexed="81"/>
            <rFont val="Tahoma"/>
            <family val="2"/>
          </rPr>
          <t>Murielle Bournival:</t>
        </r>
        <r>
          <rPr>
            <sz val="9"/>
            <color indexed="81"/>
            <rFont val="Tahoma"/>
            <family val="2"/>
          </rPr>
          <t xml:space="preserve">
Orge 100 kg/ha à 0,87$/kg
Luzerne 9kg/ha à 364$/25kg
Fléole 7kg/ha à 159$/25 kg
</t>
        </r>
      </text>
    </comment>
    <comment ref="CV13" authorId="0" shapeId="0" xr:uid="{00000000-0006-0000-0900-00001C000000}">
      <text>
        <r>
          <rPr>
            <b/>
            <sz val="9"/>
            <color indexed="81"/>
            <rFont val="Tahoma"/>
            <family val="2"/>
          </rPr>
          <t>Murielle Bournival:</t>
        </r>
        <r>
          <rPr>
            <sz val="9"/>
            <color indexed="81"/>
            <rFont val="Tahoma"/>
            <family val="2"/>
          </rPr>
          <t xml:space="preserve">
Référence blé de printemps</t>
        </r>
      </text>
    </comment>
    <comment ref="CY13" authorId="0" shapeId="0" xr:uid="{00000000-0006-0000-0900-00001D000000}">
      <text>
        <r>
          <rPr>
            <b/>
            <sz val="9"/>
            <color indexed="81"/>
            <rFont val="Tahoma"/>
            <family val="2"/>
          </rPr>
          <t>Murielle Bournival:</t>
        </r>
        <r>
          <rPr>
            <sz val="9"/>
            <color indexed="81"/>
            <rFont val="Tahoma"/>
            <family val="2"/>
          </rPr>
          <t xml:space="preserve">
Référence blé de printemps</t>
        </r>
      </text>
    </comment>
    <comment ref="DB13" authorId="0" shapeId="0" xr:uid="{00000000-0006-0000-0900-00001E000000}">
      <text>
        <r>
          <rPr>
            <b/>
            <sz val="9"/>
            <color indexed="81"/>
            <rFont val="Tahoma"/>
            <family val="2"/>
          </rPr>
          <t>Murielle Bournival:</t>
        </r>
        <r>
          <rPr>
            <sz val="9"/>
            <color indexed="81"/>
            <rFont val="Tahoma"/>
            <family val="2"/>
          </rPr>
          <t xml:space="preserve">
Référence orge CONV</t>
        </r>
      </text>
    </comment>
    <comment ref="S14" authorId="0" shapeId="0" xr:uid="{00000000-0006-0000-0900-00001F000000}">
      <text>
        <r>
          <rPr>
            <b/>
            <sz val="9"/>
            <color indexed="81"/>
            <rFont val="Tahoma"/>
            <family val="2"/>
          </rPr>
          <t>Murielle Bournival:</t>
        </r>
        <r>
          <rPr>
            <sz val="9"/>
            <color indexed="81"/>
            <rFont val="Tahoma"/>
            <family val="2"/>
          </rPr>
          <t xml:space="preserve">
Herbicide 27,31$ et fongicide 32,73$</t>
        </r>
      </text>
    </comment>
    <comment ref="Y14" authorId="0" shapeId="0" xr:uid="{00000000-0006-0000-0900-000020000000}">
      <text>
        <r>
          <rPr>
            <b/>
            <sz val="9"/>
            <color indexed="81"/>
            <rFont val="Tahoma"/>
            <family val="2"/>
          </rPr>
          <t>Murielle Bournival:</t>
        </r>
        <r>
          <rPr>
            <sz val="9"/>
            <color indexed="81"/>
            <rFont val="Tahoma"/>
            <family val="2"/>
          </rPr>
          <t xml:space="preserve">
Herbicide 23,03$ et fongicide 32,73$</t>
        </r>
      </text>
    </comment>
    <comment ref="DB14" authorId="0" shapeId="0" xr:uid="{00000000-0006-0000-0900-000021000000}">
      <text>
        <r>
          <rPr>
            <b/>
            <sz val="9"/>
            <color indexed="81"/>
            <rFont val="Tahoma"/>
            <family val="2"/>
          </rPr>
          <t>Murielle Bournival:</t>
        </r>
        <r>
          <rPr>
            <sz val="9"/>
            <color indexed="81"/>
            <rFont val="Tahoma"/>
            <family val="2"/>
          </rPr>
          <t xml:space="preserve">
Herbicide présemis 59,59$ et Herbicide post-levée 48,02$ et Fongicide 122,32$</t>
        </r>
      </text>
    </comment>
    <comment ref="CY15" authorId="0" shapeId="0" xr:uid="{00000000-0006-0000-0900-000022000000}">
      <text>
        <r>
          <rPr>
            <b/>
            <sz val="9"/>
            <color indexed="81"/>
            <rFont val="Tahoma"/>
            <family val="2"/>
          </rPr>
          <t>Murielle Bournival:</t>
        </r>
        <r>
          <rPr>
            <sz val="9"/>
            <color indexed="81"/>
            <rFont val="Tahoma"/>
            <family val="2"/>
          </rPr>
          <t xml:space="preserve">
Référence Orge bio</t>
        </r>
      </text>
    </comment>
    <comment ref="BF16" authorId="0" shapeId="0" xr:uid="{00000000-0006-0000-0900-000023000000}">
      <text>
        <r>
          <rPr>
            <b/>
            <sz val="9"/>
            <color indexed="81"/>
            <rFont val="Tahoma"/>
            <family val="2"/>
          </rPr>
          <t>Murielle Bournival:</t>
        </r>
        <r>
          <rPr>
            <sz val="9"/>
            <color indexed="81"/>
            <rFont val="Tahoma"/>
            <family val="2"/>
          </rPr>
          <t xml:space="preserve">
Ficelle (balles)</t>
        </r>
      </text>
    </comment>
    <comment ref="BI16" authorId="0" shapeId="0" xr:uid="{00000000-0006-0000-0900-000024000000}">
      <text>
        <r>
          <rPr>
            <b/>
            <sz val="9"/>
            <color indexed="81"/>
            <rFont val="Tahoma"/>
            <family val="2"/>
          </rPr>
          <t>Murielle Bournival:</t>
        </r>
        <r>
          <rPr>
            <sz val="9"/>
            <color indexed="81"/>
            <rFont val="Tahoma"/>
            <family val="2"/>
          </rPr>
          <t xml:space="preserve">
Ficelle (balles)</t>
        </r>
      </text>
    </comment>
    <comment ref="O17" authorId="1" shapeId="0" xr:uid="{00000000-0006-0000-0900-000025000000}">
      <text>
        <r>
          <rPr>
            <b/>
            <sz val="9"/>
            <color indexed="81"/>
            <rFont val="Tahoma"/>
            <family val="2"/>
          </rPr>
          <t>Anne Le Mat:</t>
        </r>
        <r>
          <rPr>
            <sz val="9"/>
            <color indexed="81"/>
            <rFont val="Tahoma"/>
            <family val="2"/>
          </rPr>
          <t xml:space="preserve">
12 kg, 1 année sur 3</t>
        </r>
      </text>
    </comment>
    <comment ref="U17" authorId="1" shapeId="0" xr:uid="{00000000-0006-0000-0900-000026000000}">
      <text>
        <r>
          <rPr>
            <b/>
            <sz val="9"/>
            <color indexed="81"/>
            <rFont val="Tahoma"/>
            <family val="2"/>
          </rPr>
          <t>Anne Le Mat:</t>
        </r>
        <r>
          <rPr>
            <sz val="9"/>
            <color indexed="81"/>
            <rFont val="Tahoma"/>
            <family val="2"/>
          </rPr>
          <t xml:space="preserve">
12 kg, 1 année sur 3</t>
        </r>
      </text>
    </comment>
    <comment ref="O18" authorId="1" shapeId="0" xr:uid="{00000000-0006-0000-0900-000027000000}">
      <text>
        <r>
          <rPr>
            <b/>
            <sz val="9"/>
            <color indexed="81"/>
            <rFont val="Tahoma"/>
            <family val="2"/>
          </rPr>
          <t>Anne Le Mat:</t>
        </r>
        <r>
          <rPr>
            <sz val="9"/>
            <color indexed="81"/>
            <rFont val="Tahoma"/>
            <family val="2"/>
          </rPr>
          <t xml:space="preserve">
1 t  , UNE ANNée sur 3</t>
        </r>
      </text>
    </comment>
    <comment ref="U18" authorId="1" shapeId="0" xr:uid="{00000000-0006-0000-0900-000028000000}">
      <text>
        <r>
          <rPr>
            <b/>
            <sz val="9"/>
            <color indexed="81"/>
            <rFont val="Tahoma"/>
            <family val="2"/>
          </rPr>
          <t>Anne Le Mat:</t>
        </r>
        <r>
          <rPr>
            <sz val="9"/>
            <color indexed="81"/>
            <rFont val="Tahoma"/>
            <family val="2"/>
          </rPr>
          <t xml:space="preserve">
1 t  , UNE ANNée sur 3</t>
        </r>
      </text>
    </comment>
    <comment ref="G22" authorId="0" shapeId="0" xr:uid="{00000000-0006-0000-0900-000029000000}">
      <text>
        <r>
          <rPr>
            <b/>
            <sz val="9"/>
            <color indexed="81"/>
            <rFont val="Tahoma"/>
            <family val="2"/>
          </rPr>
          <t>Murielle Bournival:</t>
        </r>
        <r>
          <rPr>
            <sz val="9"/>
            <color indexed="81"/>
            <rFont val="Tahoma"/>
            <family val="2"/>
          </rPr>
          <t xml:space="preserve">
1 epandage d'engrais a 2.56$ et azote 11,59$ </t>
        </r>
      </text>
    </comment>
    <comment ref="O22" authorId="1" shapeId="0" xr:uid="{00000000-0006-0000-0900-00002A000000}">
      <text>
        <r>
          <rPr>
            <b/>
            <sz val="9"/>
            <color indexed="81"/>
            <rFont val="Tahoma"/>
            <family val="2"/>
          </rPr>
          <t>Anne Le Mat:</t>
        </r>
        <r>
          <rPr>
            <sz val="9"/>
            <color indexed="81"/>
            <rFont val="Tahoma"/>
            <family val="2"/>
          </rPr>
          <t xml:space="preserve">
13 m³
</t>
        </r>
      </text>
    </comment>
    <comment ref="U22" authorId="1" shapeId="0" xr:uid="{00000000-0006-0000-0900-00002B000000}">
      <text>
        <r>
          <rPr>
            <b/>
            <sz val="9"/>
            <color indexed="81"/>
            <rFont val="Tahoma"/>
            <family val="2"/>
          </rPr>
          <t>Anne Le Mat:</t>
        </r>
        <r>
          <rPr>
            <sz val="9"/>
            <color indexed="81"/>
            <rFont val="Tahoma"/>
            <family val="2"/>
          </rPr>
          <t xml:space="preserve">
13 m³
</t>
        </r>
      </text>
    </comment>
    <comment ref="AQ22" authorId="0" shapeId="0" xr:uid="{00000000-0006-0000-0900-00002C000000}">
      <text>
        <r>
          <rPr>
            <b/>
            <sz val="9"/>
            <color indexed="81"/>
            <rFont val="Tahoma"/>
            <family val="2"/>
          </rPr>
          <t>Murielle Bournival:</t>
        </r>
        <r>
          <rPr>
            <sz val="9"/>
            <color indexed="81"/>
            <rFont val="Tahoma"/>
            <family val="2"/>
          </rPr>
          <t xml:space="preserve">
Référence blé d'automne</t>
        </r>
      </text>
    </comment>
    <comment ref="AZ22" authorId="1" shapeId="0" xr:uid="{00000000-0006-0000-0900-00002D000000}">
      <text>
        <r>
          <rPr>
            <b/>
            <sz val="9"/>
            <color indexed="81"/>
            <rFont val="Tahoma"/>
            <family val="2"/>
          </rPr>
          <t>Anne Le Mat:</t>
        </r>
        <r>
          <rPr>
            <sz val="9"/>
            <color indexed="81"/>
            <rFont val="Tahoma"/>
            <family val="2"/>
          </rPr>
          <t xml:space="preserve">
Brassage lisier 16,24$ et Épandage lisier 51,45$ 
</t>
        </r>
      </text>
    </comment>
    <comment ref="BF22" authorId="1" shapeId="0" xr:uid="{00000000-0006-0000-0900-00002E000000}">
      <text>
        <r>
          <rPr>
            <b/>
            <sz val="9"/>
            <color indexed="81"/>
            <rFont val="Tahoma"/>
            <family val="2"/>
          </rPr>
          <t>Anne Le Mat:</t>
        </r>
        <r>
          <rPr>
            <sz val="9"/>
            <color indexed="81"/>
            <rFont val="Tahoma"/>
            <family val="2"/>
          </rPr>
          <t xml:space="preserve">
Brassage lisier 16,24$ et Épandage lisier 51,45$ 
</t>
        </r>
      </text>
    </comment>
    <comment ref="BL22" authorId="1" shapeId="0" xr:uid="{00000000-0006-0000-0900-00002F000000}">
      <text>
        <r>
          <rPr>
            <b/>
            <sz val="9"/>
            <color indexed="81"/>
            <rFont val="Tahoma"/>
            <family val="2"/>
          </rPr>
          <t>Anne Le Mat:</t>
        </r>
        <r>
          <rPr>
            <sz val="9"/>
            <color indexed="81"/>
            <rFont val="Tahoma"/>
            <family val="2"/>
          </rPr>
          <t xml:space="preserve">
Brassage lisier 16,24$ et Épandage lisier 51,45$ 
</t>
        </r>
      </text>
    </comment>
    <comment ref="BO22" authorId="1" shapeId="0" xr:uid="{00000000-0006-0000-0900-000030000000}">
      <text>
        <r>
          <rPr>
            <b/>
            <sz val="9"/>
            <color indexed="81"/>
            <rFont val="Tahoma"/>
            <family val="2"/>
          </rPr>
          <t>Anne Le Mat:</t>
        </r>
        <r>
          <rPr>
            <sz val="9"/>
            <color indexed="81"/>
            <rFont val="Tahoma"/>
            <family val="2"/>
          </rPr>
          <t xml:space="preserve">
Brassage lisier 16,24$,
Épandage lisier 51,45$ et
Épandage engrais 2,56$
</t>
        </r>
      </text>
    </comment>
    <comment ref="CV22" authorId="0" shapeId="0" xr:uid="{00000000-0006-0000-0900-000031000000}">
      <text>
        <r>
          <rPr>
            <b/>
            <sz val="9"/>
            <color indexed="81"/>
            <rFont val="Tahoma"/>
            <family val="2"/>
          </rPr>
          <t>Murielle Bournival:</t>
        </r>
        <r>
          <rPr>
            <sz val="9"/>
            <color indexed="81"/>
            <rFont val="Tahoma"/>
            <family val="2"/>
          </rPr>
          <t xml:space="preserve">
Référence Blé de printemps</t>
        </r>
      </text>
    </comment>
    <comment ref="CY22" authorId="0" shapeId="0" xr:uid="{00000000-0006-0000-0900-000032000000}">
      <text>
        <r>
          <rPr>
            <b/>
            <sz val="9"/>
            <color indexed="81"/>
            <rFont val="Tahoma"/>
            <family val="2"/>
          </rPr>
          <t>Murielle Bournival:</t>
        </r>
        <r>
          <rPr>
            <sz val="9"/>
            <color indexed="81"/>
            <rFont val="Tahoma"/>
            <family val="2"/>
          </rPr>
          <t xml:space="preserve">
Référence Orge bio
</t>
        </r>
      </text>
    </comment>
    <comment ref="AQ23" authorId="0" shapeId="0" xr:uid="{00000000-0006-0000-0900-000033000000}">
      <text>
        <r>
          <rPr>
            <b/>
            <sz val="9"/>
            <color indexed="81"/>
            <rFont val="Tahoma"/>
            <family val="2"/>
          </rPr>
          <t>Murielle Bournival:</t>
        </r>
        <r>
          <rPr>
            <sz val="9"/>
            <color indexed="81"/>
            <rFont val="Tahoma"/>
            <family val="2"/>
          </rPr>
          <t xml:space="preserve">
Référence Blé d'automne</t>
        </r>
      </text>
    </comment>
    <comment ref="AQ24" authorId="0" shapeId="0" xr:uid="{00000000-0006-0000-0900-000034000000}">
      <text>
        <r>
          <rPr>
            <b/>
            <sz val="9"/>
            <color indexed="81"/>
            <rFont val="Tahoma"/>
            <family val="2"/>
          </rPr>
          <t>Murielle Bournival:</t>
        </r>
        <r>
          <rPr>
            <sz val="9"/>
            <color indexed="81"/>
            <rFont val="Tahoma"/>
            <family val="2"/>
          </rPr>
          <t xml:space="preserve">
Herse lourde avec autoguidage</t>
        </r>
      </text>
    </comment>
    <comment ref="CS24" authorId="0" shapeId="0" xr:uid="{00000000-0006-0000-0900-000035000000}">
      <text>
        <r>
          <rPr>
            <b/>
            <sz val="9"/>
            <color indexed="81"/>
            <rFont val="Tahoma"/>
            <family val="2"/>
          </rPr>
          <t>Murielle Bournival:</t>
        </r>
        <r>
          <rPr>
            <sz val="9"/>
            <color indexed="81"/>
            <rFont val="Tahoma"/>
            <family val="2"/>
          </rPr>
          <t xml:space="preserve">
Herse rotative</t>
        </r>
      </text>
    </comment>
    <comment ref="CV24" authorId="0" shapeId="0" xr:uid="{00000000-0006-0000-0900-000036000000}">
      <text>
        <r>
          <rPr>
            <b/>
            <sz val="9"/>
            <color indexed="81"/>
            <rFont val="Tahoma"/>
            <family val="2"/>
          </rPr>
          <t>Murielle Bournival:</t>
        </r>
        <r>
          <rPr>
            <sz val="9"/>
            <color indexed="81"/>
            <rFont val="Tahoma"/>
            <family val="2"/>
          </rPr>
          <t xml:space="preserve">
Herse rotative</t>
        </r>
      </text>
    </comment>
    <comment ref="F26" authorId="1" shapeId="0" xr:uid="{00000000-0006-0000-0900-000037000000}">
      <text>
        <r>
          <rPr>
            <b/>
            <sz val="9"/>
            <color indexed="81"/>
            <rFont val="Tahoma"/>
            <family val="2"/>
          </rPr>
          <t>Anne Le Mat:</t>
        </r>
        <r>
          <rPr>
            <sz val="9"/>
            <color indexed="81"/>
            <rFont val="Tahoma"/>
            <family val="2"/>
          </rPr>
          <t xml:space="preserve">
2e passage de cultivateur</t>
        </r>
      </text>
    </comment>
    <comment ref="L26" authorId="1" shapeId="0" xr:uid="{00000000-0006-0000-0900-000038000000}">
      <text>
        <r>
          <rPr>
            <b/>
            <sz val="9"/>
            <color indexed="81"/>
            <rFont val="Tahoma"/>
            <family val="2"/>
          </rPr>
          <t>Anne Le Mat:</t>
        </r>
        <r>
          <rPr>
            <sz val="9"/>
            <color indexed="81"/>
            <rFont val="Tahoma"/>
            <family val="2"/>
          </rPr>
          <t xml:space="preserve">
2e passage de cultivateur</t>
        </r>
      </text>
    </comment>
    <comment ref="R26" authorId="1" shapeId="0" xr:uid="{00000000-0006-0000-0900-000039000000}">
      <text>
        <r>
          <rPr>
            <b/>
            <sz val="9"/>
            <color indexed="81"/>
            <rFont val="Tahoma"/>
            <family val="2"/>
          </rPr>
          <t>Anne Le Mat:</t>
        </r>
        <r>
          <rPr>
            <sz val="9"/>
            <color indexed="81"/>
            <rFont val="Tahoma"/>
            <family val="2"/>
          </rPr>
          <t xml:space="preserve">
2e passage de cultivateur</t>
        </r>
      </text>
    </comment>
    <comment ref="U26" authorId="1" shapeId="0" xr:uid="{00000000-0006-0000-0900-00003A000000}">
      <text>
        <r>
          <rPr>
            <b/>
            <sz val="9"/>
            <color indexed="81"/>
            <rFont val="Tahoma"/>
            <family val="2"/>
          </rPr>
          <t>Anne Le Mat:</t>
        </r>
        <r>
          <rPr>
            <sz val="9"/>
            <color indexed="81"/>
            <rFont val="Tahoma"/>
            <family val="2"/>
          </rPr>
          <t xml:space="preserve">
2e passage de cultivateur</t>
        </r>
      </text>
    </comment>
    <comment ref="X26" authorId="1" shapeId="0" xr:uid="{00000000-0006-0000-0900-00003B000000}">
      <text>
        <r>
          <rPr>
            <b/>
            <sz val="9"/>
            <color indexed="81"/>
            <rFont val="Tahoma"/>
            <family val="2"/>
          </rPr>
          <t>Anne Le Mat:</t>
        </r>
        <r>
          <rPr>
            <sz val="9"/>
            <color indexed="81"/>
            <rFont val="Tahoma"/>
            <family val="2"/>
          </rPr>
          <t xml:space="preserve">
2e passage de cultivateur</t>
        </r>
      </text>
    </comment>
    <comment ref="AD26" authorId="1" shapeId="0" xr:uid="{00000000-0006-0000-0900-00003C000000}">
      <text>
        <r>
          <rPr>
            <b/>
            <sz val="9"/>
            <color indexed="81"/>
            <rFont val="Tahoma"/>
            <family val="2"/>
          </rPr>
          <t>Anne Le Mat:</t>
        </r>
        <r>
          <rPr>
            <sz val="9"/>
            <color indexed="81"/>
            <rFont val="Tahoma"/>
            <family val="2"/>
          </rPr>
          <t xml:space="preserve">
2e passage de cultivateur</t>
        </r>
      </text>
    </comment>
    <comment ref="AJ26" authorId="1" shapeId="0" xr:uid="{00000000-0006-0000-0900-00003D000000}">
      <text>
        <r>
          <rPr>
            <b/>
            <sz val="9"/>
            <color indexed="81"/>
            <rFont val="Tahoma"/>
            <family val="2"/>
          </rPr>
          <t>Anne Le Mat:</t>
        </r>
        <r>
          <rPr>
            <sz val="9"/>
            <color indexed="81"/>
            <rFont val="Tahoma"/>
            <family val="2"/>
          </rPr>
          <t xml:space="preserve">
2e passage de cultivateur</t>
        </r>
      </text>
    </comment>
    <comment ref="AN26" authorId="0" shapeId="0" xr:uid="{00000000-0006-0000-0900-00003E000000}">
      <text>
        <r>
          <rPr>
            <b/>
            <sz val="9"/>
            <color indexed="81"/>
            <rFont val="Tahoma"/>
            <family val="2"/>
          </rPr>
          <t>Murielle Bournival:</t>
        </r>
        <r>
          <rPr>
            <sz val="9"/>
            <color indexed="81"/>
            <rFont val="Tahoma"/>
            <family val="2"/>
          </rPr>
          <t xml:space="preserve">
Herse lourde avec autoguidage</t>
        </r>
      </text>
    </comment>
    <comment ref="AV26" authorId="1" shapeId="0" xr:uid="{00000000-0006-0000-0900-00003F000000}">
      <text>
        <r>
          <rPr>
            <b/>
            <sz val="9"/>
            <color indexed="81"/>
            <rFont val="Tahoma"/>
            <family val="2"/>
          </rPr>
          <t>Anne Le Mat:</t>
        </r>
        <r>
          <rPr>
            <sz val="9"/>
            <color indexed="81"/>
            <rFont val="Tahoma"/>
            <family val="2"/>
          </rPr>
          <t xml:space="preserve">
2e passage de cultivateur</t>
        </r>
      </text>
    </comment>
    <comment ref="CI26" authorId="1" shapeId="0" xr:uid="{00000000-0006-0000-0900-000040000000}">
      <text>
        <r>
          <rPr>
            <b/>
            <sz val="9"/>
            <color indexed="81"/>
            <rFont val="Tahoma"/>
            <family val="2"/>
          </rPr>
          <t>Anne Le Mat:</t>
        </r>
        <r>
          <rPr>
            <sz val="9"/>
            <color indexed="81"/>
            <rFont val="Tahoma"/>
            <family val="2"/>
          </rPr>
          <t xml:space="preserve">
2e passage de cultivateur</t>
        </r>
      </text>
    </comment>
    <comment ref="CS26" authorId="0" shapeId="0" xr:uid="{00000000-0006-0000-0900-000041000000}">
      <text>
        <r>
          <rPr>
            <b/>
            <sz val="9"/>
            <color indexed="81"/>
            <rFont val="Tahoma"/>
            <family val="2"/>
          </rPr>
          <t>Murielle Bournival:</t>
        </r>
        <r>
          <rPr>
            <sz val="9"/>
            <color indexed="81"/>
            <rFont val="Tahoma"/>
            <family val="2"/>
          </rPr>
          <t xml:space="preserve">
Herse légère pour faux semis
</t>
        </r>
      </text>
    </comment>
    <comment ref="CV26" authorId="0" shapeId="0" xr:uid="{00000000-0006-0000-0900-000042000000}">
      <text>
        <r>
          <rPr>
            <b/>
            <sz val="9"/>
            <color indexed="81"/>
            <rFont val="Tahoma"/>
            <family val="2"/>
          </rPr>
          <t>Murielle Bournival:</t>
        </r>
        <r>
          <rPr>
            <sz val="9"/>
            <color indexed="81"/>
            <rFont val="Tahoma"/>
            <family val="2"/>
          </rPr>
          <t xml:space="preserve">
Herse légère pour faux semis
</t>
        </r>
      </text>
    </comment>
    <comment ref="CY27" authorId="0" shapeId="0" xr:uid="{00000000-0006-0000-0900-000043000000}">
      <text>
        <r>
          <rPr>
            <b/>
            <sz val="9"/>
            <color indexed="81"/>
            <rFont val="Tahoma"/>
            <family val="2"/>
          </rPr>
          <t>Murielle Bournival:</t>
        </r>
        <r>
          <rPr>
            <sz val="9"/>
            <color indexed="81"/>
            <rFont val="Tahoma"/>
            <family val="2"/>
          </rPr>
          <t xml:space="preserve">
Référence Soya bio</t>
        </r>
      </text>
    </comment>
    <comment ref="CY28" authorId="0" shapeId="0" xr:uid="{00000000-0006-0000-0900-000044000000}">
      <text>
        <r>
          <rPr>
            <b/>
            <sz val="9"/>
            <color indexed="81"/>
            <rFont val="Tahoma"/>
            <family val="2"/>
          </rPr>
          <t>Murielle Bournival:</t>
        </r>
        <r>
          <rPr>
            <sz val="9"/>
            <color indexed="81"/>
            <rFont val="Tahoma"/>
            <family val="2"/>
          </rPr>
          <t xml:space="preserve">
Référence Soya bio</t>
        </r>
      </text>
    </comment>
    <comment ref="BE32" authorId="0" shapeId="0" xr:uid="{00000000-0006-0000-0900-000045000000}">
      <text>
        <r>
          <rPr>
            <b/>
            <sz val="9"/>
            <color indexed="81"/>
            <rFont val="Tahoma"/>
            <family val="2"/>
          </rPr>
          <t>Murielle Bournival:</t>
        </r>
        <r>
          <rPr>
            <sz val="9"/>
            <color indexed="81"/>
            <rFont val="Tahoma"/>
            <family val="2"/>
          </rPr>
          <t xml:space="preserve">
Moyenne de coupes/années 
Première année 1 coupe
2-3-4e année 3 coupes
5 année 1 coupe</t>
        </r>
      </text>
    </comment>
    <comment ref="BF32" authorId="0" shapeId="0" xr:uid="{00000000-0006-0000-0900-000046000000}">
      <text>
        <r>
          <rPr>
            <b/>
            <sz val="9"/>
            <color indexed="81"/>
            <rFont val="Tahoma"/>
            <family val="2"/>
          </rPr>
          <t>Murielle Bournival:</t>
        </r>
        <r>
          <rPr>
            <sz val="9"/>
            <color indexed="81"/>
            <rFont val="Tahoma"/>
            <family val="2"/>
          </rPr>
          <t xml:space="preserve">
Fauche 16,09$/ha
Fanage 2,90$/ha
Râtelage 5,28$ha
Pressage 0,10$/230 balles
Transport 0,09$/230 balles</t>
        </r>
      </text>
    </comment>
    <comment ref="BH32" authorId="0" shapeId="0" xr:uid="{00000000-0006-0000-0900-000047000000}">
      <text>
        <r>
          <rPr>
            <b/>
            <sz val="9"/>
            <color indexed="81"/>
            <rFont val="Tahoma"/>
            <family val="2"/>
          </rPr>
          <t>Murielle Bournival:</t>
        </r>
        <r>
          <rPr>
            <sz val="9"/>
            <color indexed="81"/>
            <rFont val="Tahoma"/>
            <family val="2"/>
          </rPr>
          <t xml:space="preserve">
Moyenne de coupes/années 
Première année 1 coupe
2-3-4e année 3 coupes
5 année 1 coupe</t>
        </r>
      </text>
    </comment>
    <comment ref="BI32" authorId="0" shapeId="0" xr:uid="{00000000-0006-0000-0900-000048000000}">
      <text>
        <r>
          <rPr>
            <b/>
            <sz val="9"/>
            <color indexed="81"/>
            <rFont val="Tahoma"/>
            <family val="2"/>
          </rPr>
          <t>Murielle Bournival:</t>
        </r>
        <r>
          <rPr>
            <sz val="9"/>
            <color indexed="81"/>
            <rFont val="Tahoma"/>
            <family val="2"/>
          </rPr>
          <t xml:space="preserve">
Fauche 16,09$/ha
Fanage 2,90$/ha
Râtelage 5,28$ha
Pressage 0,10$/230 balles
Transport 0,09$/230 balles</t>
        </r>
      </text>
    </comment>
    <comment ref="CY32" authorId="0" shapeId="0" xr:uid="{00000000-0006-0000-0900-000049000000}">
      <text>
        <r>
          <rPr>
            <b/>
            <sz val="9"/>
            <color indexed="81"/>
            <rFont val="Tahoma"/>
            <family val="2"/>
          </rPr>
          <t>Murielle Bournival:</t>
        </r>
        <r>
          <rPr>
            <sz val="9"/>
            <color indexed="81"/>
            <rFont val="Tahoma"/>
            <family val="2"/>
          </rPr>
          <t xml:space="preserve">
Coupe 11,39$ et Andainage 9,18$</t>
        </r>
      </text>
    </comment>
    <comment ref="DB32" authorId="0" shapeId="0" xr:uid="{00000000-0006-0000-0900-00004A000000}">
      <text>
        <r>
          <rPr>
            <b/>
            <sz val="9"/>
            <color indexed="81"/>
            <rFont val="Tahoma"/>
            <family val="2"/>
          </rPr>
          <t>Murielle Bournival:</t>
        </r>
        <r>
          <rPr>
            <sz val="9"/>
            <color indexed="81"/>
            <rFont val="Tahoma"/>
            <family val="2"/>
          </rPr>
          <t xml:space="preserve">
Coupe 11,39$ et Andainage 9,18$</t>
        </r>
      </text>
    </comment>
    <comment ref="BL33" authorId="0" shapeId="0" xr:uid="{00000000-0006-0000-0900-00004B000000}">
      <text>
        <r>
          <rPr>
            <b/>
            <sz val="9"/>
            <color indexed="81"/>
            <rFont val="Tahoma"/>
            <family val="2"/>
          </rPr>
          <t>Murielle Bournival:</t>
        </r>
        <r>
          <rPr>
            <sz val="9"/>
            <color indexed="81"/>
            <rFont val="Tahoma"/>
            <family val="2"/>
          </rPr>
          <t xml:space="preserve">
Fourragère 2 rangs</t>
        </r>
      </text>
    </comment>
    <comment ref="BO33" authorId="0" shapeId="0" xr:uid="{00000000-0006-0000-0900-00004C000000}">
      <text>
        <r>
          <rPr>
            <b/>
            <sz val="9"/>
            <color indexed="81"/>
            <rFont val="Tahoma"/>
            <family val="2"/>
          </rPr>
          <t>Murielle Bournival:</t>
        </r>
        <r>
          <rPr>
            <sz val="9"/>
            <color indexed="81"/>
            <rFont val="Tahoma"/>
            <family val="2"/>
          </rPr>
          <t xml:space="preserve">
Fourragère 2 rangs</t>
        </r>
      </text>
    </comment>
    <comment ref="BL35" authorId="0" shapeId="0" xr:uid="{00000000-0006-0000-0900-00004D000000}">
      <text>
        <r>
          <rPr>
            <b/>
            <sz val="9"/>
            <color indexed="81"/>
            <rFont val="Tahoma"/>
            <family val="2"/>
          </rPr>
          <t>Murielle Bournival:</t>
        </r>
        <r>
          <rPr>
            <sz val="9"/>
            <color indexed="81"/>
            <rFont val="Tahoma"/>
            <family val="2"/>
          </rPr>
          <t xml:space="preserve">
Souffleur</t>
        </r>
      </text>
    </comment>
    <comment ref="BO35" authorId="0" shapeId="0" xr:uid="{00000000-0006-0000-0900-00004E000000}">
      <text>
        <r>
          <rPr>
            <b/>
            <sz val="9"/>
            <color indexed="81"/>
            <rFont val="Tahoma"/>
            <family val="2"/>
          </rPr>
          <t>Murielle Bournival:</t>
        </r>
        <r>
          <rPr>
            <sz val="9"/>
            <color indexed="81"/>
            <rFont val="Tahoma"/>
            <family val="2"/>
          </rPr>
          <t xml:space="preserve">
Souffleur</t>
        </r>
      </text>
    </comment>
    <comment ref="AZ36" authorId="0" shapeId="0" xr:uid="{00000000-0006-0000-0900-00004F000000}">
      <text>
        <r>
          <rPr>
            <b/>
            <sz val="9"/>
            <color indexed="81"/>
            <rFont val="Tahoma"/>
            <family val="2"/>
          </rPr>
          <t>Murielle Bournival:</t>
        </r>
        <r>
          <rPr>
            <sz val="9"/>
            <color indexed="81"/>
            <rFont val="Tahoma"/>
            <family val="2"/>
          </rPr>
          <t xml:space="preserve">
Fauchage refus 16,09$,
Hersage des bouses 11,25$</t>
        </r>
      </text>
    </comment>
    <comment ref="BC36" authorId="0" shapeId="0" xr:uid="{00000000-0006-0000-0900-000050000000}">
      <text>
        <r>
          <rPr>
            <b/>
            <sz val="9"/>
            <color indexed="81"/>
            <rFont val="Tahoma"/>
            <family val="2"/>
          </rPr>
          <t>Murielle Bournival:</t>
        </r>
        <r>
          <rPr>
            <sz val="9"/>
            <color indexed="81"/>
            <rFont val="Tahoma"/>
            <family val="2"/>
          </rPr>
          <t xml:space="preserve">
Fauchage refus 16,09$,
Hersage des bouses 11,25$</t>
        </r>
      </text>
    </comment>
    <comment ref="BG38" authorId="2" shapeId="0" xr:uid="{00000000-0006-0000-0900-000051000000}">
      <text>
        <r>
          <rPr>
            <b/>
            <sz val="9"/>
            <color indexed="81"/>
            <rFont val="Tahoma"/>
            <family val="2"/>
          </rPr>
          <t>Expliquer SVP</t>
        </r>
      </text>
    </comment>
    <comment ref="BJ38" authorId="2" shapeId="0" xr:uid="{00000000-0006-0000-0900-000052000000}">
      <text>
        <r>
          <rPr>
            <b/>
            <sz val="9"/>
            <color indexed="81"/>
            <rFont val="Tahoma"/>
            <family val="2"/>
          </rPr>
          <t>Expliquer SVP</t>
        </r>
      </text>
    </comment>
    <comment ref="BU41" authorId="0" shapeId="0" xr:uid="{00000000-0006-0000-0900-000053000000}">
      <text>
        <r>
          <rPr>
            <b/>
            <sz val="9"/>
            <color indexed="81"/>
            <rFont val="Tahoma"/>
            <family val="2"/>
          </rPr>
          <t>Murielle Bournival:</t>
        </r>
        <r>
          <rPr>
            <sz val="9"/>
            <color indexed="81"/>
            <rFont val="Tahoma"/>
            <family val="2"/>
          </rPr>
          <t xml:space="preserve">
Entrée et sortie centre de décorticage</t>
        </r>
      </text>
    </comment>
    <comment ref="BX41" authorId="0" shapeId="0" xr:uid="{00000000-0006-0000-0900-000054000000}">
      <text>
        <r>
          <rPr>
            <b/>
            <sz val="9"/>
            <color indexed="81"/>
            <rFont val="Tahoma"/>
            <family val="2"/>
          </rPr>
          <t>Murielle Bournival:</t>
        </r>
        <r>
          <rPr>
            <sz val="9"/>
            <color indexed="81"/>
            <rFont val="Tahoma"/>
            <family val="2"/>
          </rPr>
          <t xml:space="preserve">
Entrée et sortie centre de décorticage</t>
        </r>
      </text>
    </comment>
    <comment ref="CM41" authorId="0" shapeId="0" xr:uid="{00000000-0006-0000-0900-000055000000}">
      <text>
        <r>
          <rPr>
            <b/>
            <sz val="9"/>
            <color indexed="81"/>
            <rFont val="Tahoma"/>
            <family val="2"/>
          </rPr>
          <t>Murielle Bournival:</t>
        </r>
        <r>
          <rPr>
            <sz val="9"/>
            <color indexed="81"/>
            <rFont val="Tahoma"/>
            <family val="2"/>
          </rPr>
          <t xml:space="preserve">
Séchage à la ferme 2,44$ et séchage additionnel à forfait 25,74$</t>
        </r>
      </text>
    </comment>
    <comment ref="CP41" authorId="0" shapeId="0" xr:uid="{00000000-0006-0000-0900-000056000000}">
      <text>
        <r>
          <rPr>
            <b/>
            <sz val="9"/>
            <color indexed="81"/>
            <rFont val="Tahoma"/>
            <family val="2"/>
          </rPr>
          <t>Murielle Bournival:</t>
        </r>
        <r>
          <rPr>
            <sz val="9"/>
            <color indexed="81"/>
            <rFont val="Tahoma"/>
            <family val="2"/>
          </rPr>
          <t xml:space="preserve">
Séchage à la ferme 2,44$ et séchage additionnel à forfait 25,74$</t>
        </r>
      </text>
    </comment>
    <comment ref="CA42" authorId="0" shapeId="0" xr:uid="{00000000-0006-0000-0900-000057000000}">
      <text>
        <r>
          <rPr>
            <b/>
            <sz val="9"/>
            <color indexed="81"/>
            <rFont val="Tahoma"/>
            <family val="2"/>
          </rPr>
          <t>Murielle Bournival:</t>
        </r>
        <r>
          <rPr>
            <sz val="9"/>
            <color indexed="81"/>
            <rFont val="Tahoma"/>
            <family val="2"/>
          </rPr>
          <t xml:space="preserve">
Séchage 4,94 $ + Entrée et sortie du centre de décorticage 5,10 $
</t>
        </r>
      </text>
    </comment>
    <comment ref="CD42" authorId="0" shapeId="0" xr:uid="{00000000-0006-0000-0900-000058000000}">
      <text>
        <r>
          <rPr>
            <b/>
            <sz val="9"/>
            <color indexed="81"/>
            <rFont val="Tahoma"/>
            <family val="2"/>
          </rPr>
          <t>Murielle Bournival:</t>
        </r>
        <r>
          <rPr>
            <sz val="9"/>
            <color indexed="81"/>
            <rFont val="Tahoma"/>
            <family val="2"/>
          </rPr>
          <t xml:space="preserve">
Séchage 4,94 $ + Entrée et sortie du centre de décorticage 5,10 $
</t>
        </r>
      </text>
    </comment>
    <comment ref="CG42" authorId="0" shapeId="0" xr:uid="{00000000-0006-0000-0900-000059000000}">
      <text>
        <r>
          <rPr>
            <b/>
            <sz val="9"/>
            <color indexed="81"/>
            <rFont val="Tahoma"/>
            <family val="2"/>
          </rPr>
          <t>Murielle Bournival:</t>
        </r>
        <r>
          <rPr>
            <sz val="9"/>
            <color indexed="81"/>
            <rFont val="Tahoma"/>
            <family val="2"/>
          </rPr>
          <t xml:space="preserve">
Prix à forfait</t>
        </r>
      </text>
    </comment>
    <comment ref="CM42" authorId="0" shapeId="0" xr:uid="{00000000-0006-0000-0900-00005A000000}">
      <text>
        <r>
          <rPr>
            <b/>
            <sz val="9"/>
            <color indexed="81"/>
            <rFont val="Tahoma"/>
            <family val="2"/>
          </rPr>
          <t>Murielle Bournival:</t>
        </r>
        <r>
          <rPr>
            <sz val="9"/>
            <color indexed="81"/>
            <rFont val="Tahoma"/>
            <family val="2"/>
          </rPr>
          <t xml:space="preserve">
Criblage à forfait</t>
        </r>
      </text>
    </comment>
    <comment ref="CP42" authorId="0" shapeId="0" xr:uid="{00000000-0006-0000-0900-00005B000000}">
      <text>
        <r>
          <rPr>
            <b/>
            <sz val="9"/>
            <color indexed="81"/>
            <rFont val="Tahoma"/>
            <family val="2"/>
          </rPr>
          <t>Murielle Bournival:</t>
        </r>
        <r>
          <rPr>
            <sz val="9"/>
            <color indexed="81"/>
            <rFont val="Tahoma"/>
            <family val="2"/>
          </rPr>
          <t xml:space="preserve">
Criblage à forfait</t>
        </r>
      </text>
    </comment>
    <comment ref="BF48" authorId="0" shapeId="0" xr:uid="{00000000-0006-0000-0900-00005C000000}">
      <text>
        <r>
          <rPr>
            <b/>
            <sz val="9"/>
            <color indexed="81"/>
            <rFont val="Tahoma"/>
            <family val="2"/>
          </rPr>
          <t>Murielle Bournival:</t>
        </r>
        <r>
          <rPr>
            <sz val="9"/>
            <color indexed="81"/>
            <rFont val="Tahoma"/>
            <family val="2"/>
          </rPr>
          <t xml:space="preserve">
Assurance récolte Orge bio</t>
        </r>
      </text>
    </comment>
    <comment ref="BI48" authorId="0" shapeId="0" xr:uid="{00000000-0006-0000-0900-00005D000000}">
      <text>
        <r>
          <rPr>
            <b/>
            <sz val="9"/>
            <color indexed="81"/>
            <rFont val="Tahoma"/>
            <family val="2"/>
          </rPr>
          <t>Murielle Bournival:</t>
        </r>
        <r>
          <rPr>
            <sz val="9"/>
            <color indexed="81"/>
            <rFont val="Tahoma"/>
            <family val="2"/>
          </rPr>
          <t xml:space="preserve">
Assurance récolte Orge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Murielle Bournival</author>
    <author>Geoffroy Ménard</author>
  </authors>
  <commentList>
    <comment ref="P7" authorId="0" shapeId="0" xr:uid="{00000000-0006-0000-0C00-000001000000}">
      <text>
        <r>
          <rPr>
            <b/>
            <sz val="9"/>
            <color indexed="81"/>
            <rFont val="Tahoma"/>
            <family val="2"/>
          </rPr>
          <t xml:space="preserve">Attention: </t>
        </r>
        <r>
          <rPr>
            <sz val="9"/>
            <color indexed="81"/>
            <rFont val="Tahoma"/>
            <family val="2"/>
          </rPr>
          <t>il y a une formule pour calculer le pourcentage de la valeur résiduelle (VR)pour les équipements autres que charrue</t>
        </r>
      </text>
    </comment>
    <comment ref="B14" authorId="1" shapeId="0" xr:uid="{00000000-0006-0000-0C00-000002000000}">
      <text>
        <r>
          <rPr>
            <b/>
            <sz val="9"/>
            <color indexed="81"/>
            <rFont val="Tahoma"/>
            <family val="2"/>
          </rPr>
          <t>Ça fait référence à quoi ça?</t>
        </r>
      </text>
    </comment>
  </commentList>
</comments>
</file>

<file path=xl/sharedStrings.xml><?xml version="1.0" encoding="utf-8"?>
<sst xmlns="http://schemas.openxmlformats.org/spreadsheetml/2006/main" count="4647" uniqueCount="1502">
  <si>
    <t>Maïs-grain</t>
  </si>
  <si>
    <t>Soya</t>
  </si>
  <si>
    <t>Pâturage</t>
  </si>
  <si>
    <t>Blé de printemps</t>
  </si>
  <si>
    <t>Orge</t>
  </si>
  <si>
    <t>Avoine</t>
  </si>
  <si>
    <t>Blé d'automne</t>
  </si>
  <si>
    <t>Seigle d'automne</t>
  </si>
  <si>
    <t>Assolement</t>
  </si>
  <si>
    <t>Semences</t>
  </si>
  <si>
    <t>Investissements</t>
  </si>
  <si>
    <t>Grains mélangés</t>
  </si>
  <si>
    <t>Certification</t>
  </si>
  <si>
    <t>CCS (en 000)</t>
  </si>
  <si>
    <t>Poids moyen des vaches (kg)</t>
  </si>
  <si>
    <t>Régime de production</t>
  </si>
  <si>
    <t>Ajuster autres charges des vaches selon le nb de vaches ?</t>
  </si>
  <si>
    <t>Système de traite</t>
  </si>
  <si>
    <t>Race</t>
  </si>
  <si>
    <t>Gestion de la mangeoire</t>
  </si>
  <si>
    <t>Ratio SNG/G</t>
  </si>
  <si>
    <t>Charges totales</t>
  </si>
  <si>
    <t>ADF moyen - foin et ensilage d'herbe</t>
  </si>
  <si>
    <t>Ratio lait concentrés</t>
  </si>
  <si>
    <t>Taux de réforme</t>
  </si>
  <si>
    <t>oui</t>
  </si>
  <si>
    <t>Engrais verts</t>
  </si>
  <si>
    <t>récupération vente de quota?</t>
  </si>
  <si>
    <t xml:space="preserve"> </t>
  </si>
  <si>
    <t>Tenue de registre</t>
  </si>
  <si>
    <t xml:space="preserve">1.1 Plan de production biologique </t>
  </si>
  <si>
    <t>Sans objet</t>
  </si>
  <si>
    <t>Intrants</t>
  </si>
  <si>
    <t>2.2 Transition éventuelle de tous les champs</t>
  </si>
  <si>
    <t>Une exception est prévue dans le cas de production de vivaces (ex. arbres frutiers), de semences, de matériel de multiplication végétative ou de transplants . Dans ces cas, la tenue de registres doit être très serrée.</t>
  </si>
  <si>
    <t xml:space="preserve"> (5.1.3)</t>
  </si>
  <si>
    <t>Un droit acquis pour le bois déjà présent. S'il vient à être changé, le bois sélectionné devra être conforme.</t>
  </si>
  <si>
    <t>3.1 Utilisation de semences (ou de plants) biologiques</t>
  </si>
  <si>
    <t>(5.3.1)(5.3.2.1)</t>
  </si>
  <si>
    <t>Fertilisation</t>
  </si>
  <si>
    <t xml:space="preserve">4.1 Présence d'engrais verts, de légumineuses et de plantes à racines profondes dans la rotation </t>
  </si>
  <si>
    <t xml:space="preserve">4.2 Non utilisation d'engrais de synthèse </t>
  </si>
  <si>
    <t>(1.4.1)</t>
  </si>
  <si>
    <t>S'assurer que la substance est permise. Les techniques de traitement des déjections animales doivent minimiser les pertes d'éléments nutritifs et les déjections doivent être exemptes de substances interdites.</t>
  </si>
  <si>
    <t>Gestion de la matière organique</t>
  </si>
  <si>
    <t>5.1 Maintien fertilité des sols tout en préservant la qualité de l'eau, de l'air, du sol et des cultures</t>
  </si>
  <si>
    <t>Préserve ou augmente la teneur en humus des sols, l'équilibre des nutriments et l'activité biologique. La gestion de la fertilité des sols ne favorise pas la contamination des cultures, du sol et de l'eau par des pathogènes et des métaux lourds. Les épandages sont faits quand le sol est suffisamment réchauffé (5.5.2.3) et ne contribuent pas à la contamination bactérienne des cultures ou à la pollution des eaux de surface et souterraines (5.5.2.4).</t>
  </si>
  <si>
    <t xml:space="preserve">5.2 Importation possible de déjections animales </t>
  </si>
  <si>
    <t>(5.5.1)</t>
  </si>
  <si>
    <t xml:space="preserve">5.3 Valorisation de la matière organique produite à la ferme </t>
  </si>
  <si>
    <t>(5.4.5)</t>
  </si>
  <si>
    <t xml:space="preserve">5.4 Incorporation au sol des déjections animales non composté </t>
  </si>
  <si>
    <t>(5.5.2.5)</t>
  </si>
  <si>
    <t xml:space="preserve">Le délai à respecter est de 90 jours avant la récolte pour des cultures qui ne sont pas en contact avec le sol ou 120 jours avant la récolte pour les cultures en contact avec le sol. Ne s'applique pas lorsque la culture est destinée aux animaux. </t>
  </si>
  <si>
    <t xml:space="preserve">5.5 Présence d'un PAEF, le cas échéant </t>
  </si>
  <si>
    <t>(5.5.2.2)</t>
  </si>
  <si>
    <t xml:space="preserve">5.6 Maintien de bonnes pratiques culturales  </t>
  </si>
  <si>
    <t>(5.4.3)</t>
  </si>
  <si>
    <t>Le travail du sol doit préserver ou améliorer l'état du sol et minimiser l'érosion.</t>
  </si>
  <si>
    <t xml:space="preserve">5.7 Non brûlage des résidus de récolte </t>
  </si>
  <si>
    <t>(5.4.6)</t>
  </si>
  <si>
    <t>Protection des cultures</t>
  </si>
  <si>
    <t>(5.6.1)(5.6.2)</t>
  </si>
  <si>
    <t>Alternativement, seulement des substances autorisées en régie biologique sont utilisées (5.6.2). Voir tableau 4.3 de la Liste des substances permises.</t>
  </si>
  <si>
    <t>(5.6.1)</t>
  </si>
  <si>
    <t xml:space="preserve">6.3 Non utilisation de pesticides de synthèse </t>
  </si>
  <si>
    <t>(1.4.1) (5.6.2)</t>
  </si>
  <si>
    <t xml:space="preserve">6.4 Nettoyage du pulvérisateur entre les applications </t>
  </si>
  <si>
    <t>(5.6.3)</t>
  </si>
  <si>
    <t xml:space="preserve">Si le pulvérisateur a servi pour des substances interdites, les pièces qui ne peuvent être nettoyés doivent être remplacées. </t>
  </si>
  <si>
    <t>Récolte - Stockage des productions - Mixité</t>
  </si>
  <si>
    <t xml:space="preserve">7.1 Distinction des cultures, des animaux et des produits non biologiques et biologiques sur l'entreprise </t>
  </si>
  <si>
    <t>(4.4.3)</t>
  </si>
  <si>
    <t>7.2 Aire de stockage des productions biologiques isolée et indépendante physiquement des zones de stockage conventionnelles</t>
  </si>
  <si>
    <t>Origine de l'élevage</t>
  </si>
  <si>
    <t>(6.2.1)</t>
  </si>
  <si>
    <t xml:space="preserve">8.2 Les sujets d'élevage proviennent de mères sous régie biologique </t>
  </si>
  <si>
    <t xml:space="preserve">(6.2.2) </t>
  </si>
  <si>
    <t>Reproduction</t>
  </si>
  <si>
    <t xml:space="preserve">9.1 Pas de transplantation d'embryons ni d'utilisation d'hormones pour synchroniser les chaleurs des animaux </t>
  </si>
  <si>
    <t>(6.5)</t>
  </si>
  <si>
    <t>Alimentation</t>
  </si>
  <si>
    <t>10.1 Alimentation à 100 % biologique</t>
  </si>
  <si>
    <t>(6.3.1) (6.3.3)
(6.4.4)</t>
  </si>
  <si>
    <t>Pendant la transition du troupeau laitier, l'alimentation est bio à 80 % dans les 9 premiers mois et à 100 % dans les trois derniers mois. Les cultures de 3e année de transition de l'entreprise sont considérées comme bios pour l'alimentation du troupeau (6.3.3). L'alimentation ne comprend pas d'aliments ou de médicaments interdits en bio : additifs, acides aminés synthétiques, agents de conservation synthétiques, déjections animales, colorants synthétiques, etc. (6.4.4)</t>
  </si>
  <si>
    <t xml:space="preserve">10.2 Plan alimentaire équilibré qui répond aux besoins physiologiques et comportementaux des animaux </t>
  </si>
  <si>
    <t>(6.4.2)</t>
  </si>
  <si>
    <t>(6.4.3)</t>
  </si>
  <si>
    <t>Le colostrum est donné aux jeunes pour leur premier jour de vie.</t>
  </si>
  <si>
    <t xml:space="preserve">10.4 De l'eau propre et fraîche est disponible à volonté </t>
  </si>
  <si>
    <t>(6.4.5)</t>
  </si>
  <si>
    <t>Soins de santé</t>
  </si>
  <si>
    <t xml:space="preserve">11.1 Les méthodes d'élevage minimisant le stress aux animaux </t>
  </si>
  <si>
    <t>(6.1.5)</t>
  </si>
  <si>
    <t>Les méthodes d'élevage aident à prévenir les maladies, réduisent les recours aux médicaments vétérinaires et visent le bien-être des animaux.</t>
  </si>
  <si>
    <t>11.2 La prévention est mise de l'avant dans les soins de santé aux animaux</t>
  </si>
  <si>
    <t>(6.7.1)(6.7.3)</t>
  </si>
  <si>
    <t>Choix des races, ration équilibrée, logement adéquat, densité adéquate, possibilité d'exercices, soin des blessures, vaccination lorsque pertinent. Quand les pratiques préventives ne suffisent pas, les substances autorisées en régie biologique sont employées en priorité (6.7.3). Voir Tableau 5.3 de la Liste des substances permises.</t>
  </si>
  <si>
    <t>(6.7.6)</t>
  </si>
  <si>
    <t>Les médicaments vétérinaires qui ne sont pas présents dans la Liste des substances permises sont parfois employés mais une période de retrait du double de l'étiquette, ou de 14 jours minimum, est respectée .</t>
  </si>
  <si>
    <t>(6.7.6 e)</t>
  </si>
  <si>
    <t>Les substances autorisées en régie biologique sont employées en priorité (6.7.3). Voir Tableau 5.3 de la Liste des substances permises.</t>
  </si>
  <si>
    <t xml:space="preserve">11.5 Les hormones sont employées à des fins thérapeutiques uniquement </t>
  </si>
  <si>
    <t>(6.7.7)</t>
  </si>
  <si>
    <t xml:space="preserve">Les animaux à viande qui en reçoivent perdent leur statut biologique. </t>
  </si>
  <si>
    <t xml:space="preserve">11.6 Un plan de prévention visant à éliminer les problèmes de parasites est mis en place </t>
  </si>
  <si>
    <t>(6.7.9)</t>
  </si>
  <si>
    <t>Gestion des pâturages, analyses fécales, mesures d'urgence. Au plus, deux traitements avec des vermifuges synthétiques sont permis chaque année pour les adultes et un seul pour les sujets de moins d'un an. La période de retrait est de 14 jours minimum.</t>
  </si>
  <si>
    <t>(6.7.2.)</t>
  </si>
  <si>
    <t>Faites que si elles sont absolument nécessaires. Anesthésiques ou sédatifs sont utilisés lors de la taille des cornes chez les veaux.</t>
  </si>
  <si>
    <t>Conditions d'élevage</t>
  </si>
  <si>
    <t>(6.1.3) (6.8.7) (6.8.6)</t>
  </si>
  <si>
    <t xml:space="preserve">12.2 Densité animale équilibrée en fonction de la productivité des sols et du climat </t>
  </si>
  <si>
    <t>(6.1.4)</t>
  </si>
  <si>
    <t xml:space="preserve">12.3 Conditions de logement (espace m², propreté) </t>
  </si>
  <si>
    <t>(6.8.8) (6.8.7 c)
(6.8.10.1)(6.8.1)
(6.8.4)</t>
  </si>
  <si>
    <t>(6.8.3)</t>
  </si>
  <si>
    <t xml:space="preserve">12.5 Les veaux laitiers de plus de neuf mois doivent aller au pâturage en saison </t>
  </si>
  <si>
    <t>(6.8.10.3)</t>
  </si>
  <si>
    <t>12.6 La litière est issue de cultures biologiques</t>
  </si>
  <si>
    <t xml:space="preserve">(6.8.1) </t>
  </si>
  <si>
    <t>Si la paille venant de cultures conventionnelles (non-OGM) est utilisée, elle doit être exemptes de substances interdites au moins 60 jours avant sa récolte.</t>
  </si>
  <si>
    <t>Gestion des déjections</t>
  </si>
  <si>
    <t>(6.9.1) (6.9.2) (6.8.1)</t>
  </si>
  <si>
    <t>(6.10)</t>
  </si>
  <si>
    <t>Transport et abattage</t>
  </si>
  <si>
    <t xml:space="preserve">14.1 La manipulation des animaux est adéquate (6.6.1, 6.6.2 et 6.6.3) </t>
  </si>
  <si>
    <t>Le transport et l'abattage des animaux sont gérés de façon à minimiser le stress et la souffrance. Les bâtons électriques et les tranquillisants ne sont pas utilisés. Les animaux disposent d'un abri pendant le transport et avant l'abattage.</t>
  </si>
  <si>
    <t xml:space="preserve">2.1 Non utilisation de substances interdites (OGM, pesticides de synthèse, boues...) </t>
  </si>
  <si>
    <t xml:space="preserve">4.3 Apport de matière organique dans le sol (déjections animales fraîches ou compostées) </t>
  </si>
  <si>
    <t xml:space="preserve">6.1 Protection des cultures basée d'abord sur les pratiques culturales (ex. rotation, choix des variétés) et ensuite sur la lutte physique (ex. sarclage, paillis) </t>
  </si>
  <si>
    <t xml:space="preserve">6.2 Désherbage non chimique (ex. sarclage, paillis) </t>
  </si>
  <si>
    <t xml:space="preserve">8.1 Race adaptée à la production biologique (résistance aux maladies, vigueur et adaptation aux conditions locales) </t>
  </si>
  <si>
    <t xml:space="preserve">10.3 Ration des ruminants constituée de 60 % fourrages ms. 
(Si les animaux reçoivent de l'ensilage, au moins 15 % de la ms de la ration quotidienne est constituée de fibres de plus de 10 cm) </t>
  </si>
  <si>
    <t xml:space="preserve">11.3 La médecine naturelle est privilégiée (phytothérapie) </t>
  </si>
  <si>
    <t xml:space="preserve">11.4 En cas d'administration d'antibiotiques (avec prescription vétérinaire), une période de retrait de 30 jours minimum est respectée </t>
  </si>
  <si>
    <t xml:space="preserve">11.7 Les mutilations (ex. : coupe de la queue, écornage) </t>
  </si>
  <si>
    <t xml:space="preserve">13.1 La gestion des déjections animales dans les zones d'élevage (bâtiments, cour d'exercice, pâturage, fosse) minimise la dégradation des sols et de l'eau </t>
  </si>
  <si>
    <t xml:space="preserve">13.2 La lutte aux organismes nuisibles des animaux d'élevage (ex. : mouches, rongeurs, prédateurs) (1- méthodes préventives, 2- moyens mécaniques, physiques ou biologiques, 3- substances permises selon LSP)   </t>
  </si>
  <si>
    <t>(Ce document résume les normes. Vous devez vous référer aux textes officiels pour obtenir une information complète.)</t>
  </si>
  <si>
    <t>Maïs ensilage</t>
  </si>
  <si>
    <t>Superficie totale</t>
  </si>
  <si>
    <t>Prairies</t>
  </si>
  <si>
    <t xml:space="preserve">Qté/ha </t>
  </si>
  <si>
    <t>Prix unitaire</t>
  </si>
  <si>
    <t xml:space="preserve">Total </t>
  </si>
  <si>
    <t xml:space="preserve">Approvisionnements </t>
  </si>
  <si>
    <t xml:space="preserve">Semences </t>
  </si>
  <si>
    <t>Engrais organique</t>
  </si>
  <si>
    <t xml:space="preserve">Semences d'engrais verts </t>
  </si>
  <si>
    <t xml:space="preserve">Chaux </t>
  </si>
  <si>
    <t xml:space="preserve">Opérations culturales </t>
  </si>
  <si>
    <t>Labour</t>
  </si>
  <si>
    <t xml:space="preserve">Cultivateur </t>
  </si>
  <si>
    <t xml:space="preserve">Peigne </t>
  </si>
  <si>
    <t xml:space="preserve">Houe rotative </t>
  </si>
  <si>
    <t xml:space="preserve">Semis </t>
  </si>
  <si>
    <t>Sarcleur</t>
  </si>
  <si>
    <t xml:space="preserve">Séchage </t>
  </si>
  <si>
    <t xml:space="preserve">Criblage </t>
  </si>
  <si>
    <t xml:space="preserve">Plan conjoint </t>
  </si>
  <si>
    <t xml:space="preserve">Coût de la mise en marché </t>
  </si>
  <si>
    <t xml:space="preserve">ASRA </t>
  </si>
  <si>
    <t>Location de la terre</t>
  </si>
  <si>
    <t>Téléphone</t>
  </si>
  <si>
    <t>Électricité , chauffage</t>
  </si>
  <si>
    <t xml:space="preserve">Gaz </t>
  </si>
  <si>
    <t>Assurances générales</t>
  </si>
  <si>
    <t>Assurance vie</t>
  </si>
  <si>
    <t>Taxes foncières et scolaires</t>
  </si>
  <si>
    <t xml:space="preserve">Honoraires professionnels et formation </t>
  </si>
  <si>
    <t>Fournitures de bureau et divers</t>
  </si>
  <si>
    <t>Représentation, promotion</t>
  </si>
  <si>
    <t>Cotisations, permis, immatriculations, taxes</t>
  </si>
  <si>
    <t xml:space="preserve">Divers </t>
  </si>
  <si>
    <t>Table des matières</t>
  </si>
  <si>
    <t>Conventionnel</t>
  </si>
  <si>
    <t>Biologique</t>
  </si>
  <si>
    <t>Alourdir l’administration de la ferme</t>
  </si>
  <si>
    <t>Augmenter ma charge de travail</t>
  </si>
  <si>
    <t>Détériorer la situation financière pendant la transition</t>
  </si>
  <si>
    <t>Diminuer la rentabilité de la ferme</t>
  </si>
  <si>
    <t>Manquer de connaissances en agriculture biologique</t>
  </si>
  <si>
    <t>Me sentir impuissant devant une infestation (de ravageurs ou de mauvaises herbes) non contrôlée</t>
  </si>
  <si>
    <t>Ne supporte que les champs qui se salissent de mauvaises herbes</t>
  </si>
  <si>
    <t>Subir la volatilité des prix des produits bio</t>
  </si>
  <si>
    <t>Perdre de la crédibilité auprès des autres agriculteurs</t>
  </si>
  <si>
    <t>Perdre une partie de mon réseau de contacts (conseillers, voisins)</t>
  </si>
  <si>
    <t>Refuser une baisse de rendement dans les champs</t>
  </si>
  <si>
    <t>Refuser une baisse de rendement du troupeau</t>
  </si>
  <si>
    <t xml:space="preserve">Trouver difficilement des conseillers compétents  en bio </t>
  </si>
  <si>
    <t>Avoir de la difficulté à faire la mise en marché difficile de mes produits bios</t>
  </si>
  <si>
    <t>Trouver difficilement la main-d’œuvre pour les travaux supplémentaires</t>
  </si>
  <si>
    <t>Vivre un échec</t>
  </si>
  <si>
    <t xml:space="preserve">Devoir être plus rigoureux, attentif dans la conduite des cultures et le soin aux animaux </t>
  </si>
  <si>
    <t>Faire face au regard et aux commentaires désapprobateurs des voisins et intervenants</t>
  </si>
  <si>
    <t>Trouver difficilement des intrants efficaces en bio (fertilisants et produits phytosanitaires)</t>
  </si>
  <si>
    <t>Vivre plus de stress (relié au peu de temps et de moyens pour réaliser certains travaux et soins)</t>
  </si>
  <si>
    <t>Améliorer les revenus de l’entreprise</t>
  </si>
  <si>
    <t>Améliorer ma qualité de vie</t>
  </si>
  <si>
    <t>Développer de nouveaux marchés</t>
  </si>
  <si>
    <t>Être davantage en lien avec mes valeurs</t>
  </si>
  <si>
    <t>Être plus autonome dans mes décisions</t>
  </si>
  <si>
    <t>Favoriser l’établissement de la relève</t>
  </si>
  <si>
    <t>Faire davantage ce que j’aime</t>
  </si>
  <si>
    <t>Favoriser la santé des gens qui consomment les aliments de la ferme</t>
  </si>
  <si>
    <t>Favoriser ma santé et de celle de mon entourage</t>
  </si>
  <si>
    <t>Protéger l’environnement (biodiversité, qualité de l’eau, etc.)</t>
  </si>
  <si>
    <t>Réaliser davantage des tâches que j’aime</t>
  </si>
  <si>
    <t>Régler un problème de difficulté financière</t>
  </si>
  <si>
    <t>Relever les défis techniques de cultiver sans fertilisants chimiques</t>
  </si>
  <si>
    <t>Relever les défis techniques de cultiver sans pesticides de synthèse</t>
  </si>
  <si>
    <t>Me rapprocher de la nature</t>
  </si>
  <si>
    <t>Préserver la santé du sol et des animaux</t>
  </si>
  <si>
    <t>Relever les défis techniques de produire des animaux sans hormones ou autres facteurs de croissance</t>
  </si>
  <si>
    <t>Besoins calculés pour le troupeau</t>
  </si>
  <si>
    <t>Norme bio impliquée</t>
  </si>
  <si>
    <t>Entrée manuelle</t>
  </si>
  <si>
    <t>Canola</t>
  </si>
  <si>
    <t>Chanvre</t>
  </si>
  <si>
    <t>12.1 30% de l'alimentation fourragère (base ms) des animaux adultes provient des pâturages en saison</t>
  </si>
  <si>
    <t xml:space="preserve">10.3 Ration des ruminants constituée de 60 % fourrages ms. </t>
  </si>
  <si>
    <t>10.3 Si les animaux reçoivent de l'ensilage, au moins 15 % de la ms de la ration quotidienne est constituée de fibres de plus de 10 cm</t>
  </si>
  <si>
    <t>t ms/ha</t>
  </si>
  <si>
    <t>ha</t>
  </si>
  <si>
    <t>$/t</t>
  </si>
  <si>
    <t>Barre de couple flexible à toile</t>
  </si>
  <si>
    <t>Chargeur frontal</t>
  </si>
  <si>
    <t>Chisel (3,25 m)</t>
  </si>
  <si>
    <t>Crible rotatif (prénettoyeur, capacité 30 t/h)</t>
  </si>
  <si>
    <t>Épandeur à fumier (4 t) (2x)</t>
  </si>
  <si>
    <t>Faucheuse conditionneuse à disque (3,04 m)</t>
  </si>
  <si>
    <t>Gratte-panier (niveleuse)</t>
  </si>
  <si>
    <t>Herse à disque (5,5 m)</t>
  </si>
  <si>
    <t>Herse rotative (3,5 m)</t>
  </si>
  <si>
    <t>Houe rotative (6,4 m)</t>
  </si>
  <si>
    <t>Outillage</t>
  </si>
  <si>
    <t>Rouleau (4,88 m)</t>
  </si>
  <si>
    <t>Sarcloir lourd (6,10 m)</t>
  </si>
  <si>
    <t>Semoir à céréales (3,96 m)</t>
  </si>
  <si>
    <t>Semoir à maïs (8 rangs sans boîte d'engrais)</t>
  </si>
  <si>
    <t>Vibroculteur (cultivateur 7,9 m)</t>
  </si>
  <si>
    <t>Remettre en question le système de l’agriculture conventionnelle</t>
  </si>
  <si>
    <t>Répondre aux demandes de la société</t>
  </si>
  <si>
    <t>t</t>
  </si>
  <si>
    <t>Besoin alimentaire</t>
  </si>
  <si>
    <t>Rendement attendu</t>
  </si>
  <si>
    <t>Superficie requise</t>
  </si>
  <si>
    <t>t ms</t>
  </si>
  <si>
    <t>ms venant du maïs ensilage</t>
  </si>
  <si>
    <t>ms venant de la prairie</t>
  </si>
  <si>
    <t>Superficie requise (cible)</t>
  </si>
  <si>
    <t>Rendement grain</t>
  </si>
  <si>
    <t>Prix du grain</t>
  </si>
  <si>
    <t>$/ha</t>
  </si>
  <si>
    <t>En transition</t>
  </si>
  <si>
    <t>Références de production</t>
  </si>
  <si>
    <t>Rotation des surfaces en pâturage</t>
  </si>
  <si>
    <t>Produits totaux</t>
  </si>
  <si>
    <t>Marge moyenne</t>
  </si>
  <si>
    <t>$</t>
  </si>
  <si>
    <t>SYNTHÈSE DES RÉSULTATS</t>
  </si>
  <si>
    <t>Vente</t>
  </si>
  <si>
    <t>Autoconsommation</t>
  </si>
  <si>
    <t>Grains mélangés produits</t>
  </si>
  <si>
    <t>Maïs-grain produit</t>
  </si>
  <si>
    <t>Soya produit</t>
  </si>
  <si>
    <t>Production</t>
  </si>
  <si>
    <t>Revenus de la vente de grains</t>
  </si>
  <si>
    <t>Investissements à faire</t>
  </si>
  <si>
    <t>Autre #1</t>
  </si>
  <si>
    <t>Autre #2</t>
  </si>
  <si>
    <t>Autre #3</t>
  </si>
  <si>
    <t>Marge</t>
  </si>
  <si>
    <t>Revenus de ventes</t>
  </si>
  <si>
    <t xml:space="preserve"> [+]</t>
  </si>
  <si>
    <t xml:space="preserve"> [-]</t>
  </si>
  <si>
    <t>Céréales produites à la ferme</t>
  </si>
  <si>
    <t>Besoins total</t>
  </si>
  <si>
    <t>%</t>
  </si>
  <si>
    <t>Synthèse globale</t>
  </si>
  <si>
    <t>Charges</t>
  </si>
  <si>
    <t>Produits</t>
  </si>
  <si>
    <t>Marge totale</t>
  </si>
  <si>
    <t>Grains vendus</t>
  </si>
  <si>
    <t>Rendement fourrage</t>
  </si>
  <si>
    <t>$/t ms</t>
  </si>
  <si>
    <t>Détails par culture (/ha)</t>
  </si>
  <si>
    <t>Rendement</t>
  </si>
  <si>
    <t>DescrS1</t>
  </si>
  <si>
    <t>DescrS2</t>
  </si>
  <si>
    <t>DescrS3</t>
  </si>
  <si>
    <t>DescrS4</t>
  </si>
  <si>
    <t>DescrS5</t>
  </si>
  <si>
    <t xml:space="preserve">
</t>
  </si>
  <si>
    <t>Valeurs par défaut</t>
  </si>
  <si>
    <t>Références de prix de vente</t>
  </si>
  <si>
    <t>Lait</t>
  </si>
  <si>
    <t>Seigle d'automne produit</t>
  </si>
  <si>
    <t>Blé d'automne produit</t>
  </si>
  <si>
    <t>Avoine produit</t>
  </si>
  <si>
    <t>Orge produit</t>
  </si>
  <si>
    <t>Canola produit</t>
  </si>
  <si>
    <t>Chanvre produit</t>
  </si>
  <si>
    <t>Cultures utilisées</t>
  </si>
  <si>
    <t>Disponibles</t>
  </si>
  <si>
    <t>Coût de production</t>
  </si>
  <si>
    <t>Grains à acheter</t>
  </si>
  <si>
    <t>Ventes de grains</t>
  </si>
  <si>
    <t>Bâtiment</t>
  </si>
  <si>
    <t>Tracteurs</t>
  </si>
  <si>
    <t>Tracteur 4X4 roues doubles</t>
  </si>
  <si>
    <t xml:space="preserve">Machineries et équipements selon les cultures </t>
  </si>
  <si>
    <t>nb</t>
  </si>
  <si>
    <t>valeur par défaut</t>
  </si>
  <si>
    <t>valeur retenue</t>
  </si>
  <si>
    <t>multipl.</t>
  </si>
  <si>
    <t>Conforme</t>
  </si>
  <si>
    <t>Besoins alimentaires</t>
  </si>
  <si>
    <r>
      <t>superficie exploitée (</t>
    </r>
    <r>
      <rPr>
        <b/>
        <sz val="10"/>
        <color theme="1"/>
        <rFont val="Segoe UI"/>
        <family val="2"/>
        <scheme val="minor"/>
      </rPr>
      <t>ha</t>
    </r>
    <r>
      <rPr>
        <sz val="10"/>
        <color theme="1"/>
        <rFont val="Segoe UI"/>
        <family val="2"/>
        <scheme val="minor"/>
      </rPr>
      <t>)</t>
    </r>
  </si>
  <si>
    <t>coût</t>
  </si>
  <si>
    <t xml:space="preserve">nb </t>
  </si>
  <si>
    <t xml:space="preserve">coût </t>
  </si>
  <si>
    <t>-</t>
  </si>
  <si>
    <t>Céréales</t>
  </si>
  <si>
    <t>Soya BIO</t>
  </si>
  <si>
    <t xml:space="preserve">Agri-investissement et Agri-Québec </t>
  </si>
  <si>
    <t xml:space="preserve">Coût des approvisionnements </t>
  </si>
  <si>
    <t xml:space="preserve">Récolte et battage </t>
  </si>
  <si>
    <t xml:space="preserve">Opérations culturales sur les engrais verts </t>
  </si>
  <si>
    <t xml:space="preserve">Coût des opérations culturales </t>
  </si>
  <si>
    <t xml:space="preserve">Mise en marché </t>
  </si>
  <si>
    <t xml:space="preserve">Entreposage et aération </t>
  </si>
  <si>
    <t xml:space="preserve">Analyse Qualité </t>
  </si>
  <si>
    <t xml:space="preserve">Transport hors ferme </t>
  </si>
  <si>
    <t xml:space="preserve">Autres coûts </t>
  </si>
  <si>
    <t>Main d'œuvre salariée</t>
  </si>
  <si>
    <t xml:space="preserve">Assurance récolte </t>
  </si>
  <si>
    <t>Coûts fixes</t>
  </si>
  <si>
    <t>Peigne (12,2 m)</t>
  </si>
  <si>
    <t>Soya CONV</t>
  </si>
  <si>
    <t>Grains mélangés BIO</t>
  </si>
  <si>
    <t>Grains mélangés CONV</t>
  </si>
  <si>
    <t>Blé d'automne BIO</t>
  </si>
  <si>
    <t>Blé d'automne CONV</t>
  </si>
  <si>
    <t>Blé de printemps BIO</t>
  </si>
  <si>
    <t>Blé de printemps CONV</t>
  </si>
  <si>
    <t>Orge BIO</t>
  </si>
  <si>
    <t>Orge CONV</t>
  </si>
  <si>
    <t>Avoine BIO</t>
  </si>
  <si>
    <t>Avoine CONV</t>
  </si>
  <si>
    <t>Solde résiduel</t>
  </si>
  <si>
    <t>Remboursements nouveaux emprunts</t>
  </si>
  <si>
    <t>Remboursements actuels</t>
  </si>
  <si>
    <t>Capacité de remboursement maximale</t>
  </si>
  <si>
    <t>Rémunération de l'avoir net</t>
  </si>
  <si>
    <t>Amortissements calculés sur les nouveaux investissements</t>
  </si>
  <si>
    <t>Amortissements calculés sur la valeur avant les nouveaux investissements</t>
  </si>
  <si>
    <t>Intérêts à long terme moyens sur les nouveaux emprunts</t>
  </si>
  <si>
    <t>Intérêts à long terme payés</t>
  </si>
  <si>
    <t>Amortissements et intérêts long terme</t>
  </si>
  <si>
    <t>Entretien, élect, taxes, assurances, et autres frais généraux</t>
  </si>
  <si>
    <t>Fourrages récoltés pour le troupeau au coût de production</t>
  </si>
  <si>
    <t>Grains auto-consommés au coût de production</t>
  </si>
  <si>
    <t>Concentrés achetés</t>
  </si>
  <si>
    <t>Coûts en espèces - étable</t>
  </si>
  <si>
    <t>Vente de lait</t>
  </si>
  <si>
    <t>Sommaire du compte d'exploitation - étable</t>
  </si>
  <si>
    <t>Résultats techniques</t>
  </si>
  <si>
    <t>Remboursement annuel</t>
  </si>
  <si>
    <t>Montant emprunté</t>
  </si>
  <si>
    <t>Financement des nouveaux investissements:</t>
  </si>
  <si>
    <t>Montant auto-financé</t>
  </si>
  <si>
    <t>Nouveaux équipements alimentation, nettoyage, etc.</t>
  </si>
  <si>
    <t>Main-d'œuvre</t>
  </si>
  <si>
    <t>ou d'une table de références si pas de valeurs dans champs?</t>
  </si>
  <si>
    <t>Coûts des fourrages, des grains de la ferme et de paille récoltée</t>
  </si>
  <si>
    <t>Litière</t>
  </si>
  <si>
    <t>Santé et reproduction</t>
  </si>
  <si>
    <t>Alimentation - Concentrés</t>
  </si>
  <si>
    <t>BesoinMES</t>
  </si>
  <si>
    <t>BesoinFoinS</t>
  </si>
  <si>
    <t>Moyenne</t>
  </si>
  <si>
    <t>Alimentation - Foin, ensilage de foin et maïs ensilage</t>
  </si>
  <si>
    <t>mélange</t>
  </si>
  <si>
    <t xml:space="preserve">en_bande </t>
  </si>
  <si>
    <t>Prix des veaux vendus</t>
  </si>
  <si>
    <t>% taux de mortalité/élimination des génisses</t>
  </si>
  <si>
    <t>Prix des vaches réformées</t>
  </si>
  <si>
    <t>Marge de sécurité ou de croissance</t>
  </si>
  <si>
    <t>Taux de mortalité des vaches</t>
  </si>
  <si>
    <t>Remplacement</t>
  </si>
  <si>
    <t>intervalle de vêlage</t>
  </si>
  <si>
    <t>% des vaches en lactation</t>
  </si>
  <si>
    <t>% du lait produit qui est livré</t>
  </si>
  <si>
    <t>Capacité de l'étable (places vache)</t>
  </si>
  <si>
    <t>Journées supplémentaires disponibles</t>
  </si>
  <si>
    <t>Quota détenu (kg/jour)</t>
  </si>
  <si>
    <t>lactoduc</t>
  </si>
  <si>
    <t>Statut</t>
  </si>
  <si>
    <t>moyenne</t>
  </si>
  <si>
    <t>Niveau d'efficacité (disponible seulement pour Holstein ou Bio)</t>
  </si>
  <si>
    <t>Holstein</t>
  </si>
  <si>
    <t>Système de production</t>
  </si>
  <si>
    <t>Transition an 3</t>
  </si>
  <si>
    <t>Entreposage des fourrages       $/t MS</t>
  </si>
  <si>
    <t>fosse à fumier                             $/UA</t>
  </si>
  <si>
    <t>étable stabulation libre chaude  $/gén</t>
  </si>
  <si>
    <t>sallle de traite, espace robot, laiterie $/va</t>
  </si>
  <si>
    <t>étable stabulation libre chaude    $/va</t>
  </si>
  <si>
    <t>Table 9:  coût d'investissement dans les bâtiments</t>
  </si>
  <si>
    <t>salle de traite</t>
  </si>
  <si>
    <t>robot</t>
  </si>
  <si>
    <t>temps marginal</t>
  </si>
  <si>
    <t>Table 8:  temps de travail</t>
  </si>
  <si>
    <t>en_continue</t>
  </si>
  <si>
    <t>génisses</t>
  </si>
  <si>
    <t>en_rotation</t>
  </si>
  <si>
    <t>graminées</t>
  </si>
  <si>
    <t>vaches</t>
  </si>
  <si>
    <t>Table 7: pâturages</t>
  </si>
  <si>
    <t>Déficiente</t>
  </si>
  <si>
    <t>Passable</t>
  </si>
  <si>
    <t>Très bonne</t>
  </si>
  <si>
    <t>Excellente</t>
  </si>
  <si>
    <t>ADF</t>
  </si>
  <si>
    <t>Régie mangeoire</t>
  </si>
  <si>
    <t>fibre</t>
  </si>
  <si>
    <t>Consommation matière sèche fourrage</t>
  </si>
  <si>
    <t>Table 6:</t>
  </si>
  <si>
    <t>bénéfice avant ristourne par vache</t>
  </si>
  <si>
    <t>Prix brut avant ristourne/kg vendu</t>
  </si>
  <si>
    <t xml:space="preserve"> Prix brut moyen total reçu/hl vendu</t>
  </si>
  <si>
    <t xml:space="preserve"> Écart par kg mg produit</t>
  </si>
  <si>
    <t xml:space="preserve"> Prix reçu par kg mg produit</t>
  </si>
  <si>
    <t xml:space="preserve"> Prix cible par kg mg produit</t>
  </si>
  <si>
    <t xml:space="preserve"> Écart prix reçu - prix cible</t>
  </si>
  <si>
    <t xml:space="preserve"> (incluant la ristourne laitière)</t>
  </si>
  <si>
    <t xml:space="preserve"> Prix reçu en moyenne / hl produit</t>
  </si>
  <si>
    <t xml:space="preserve"> PRIX CIBLE POUR LE LAIT ($ STD)</t>
  </si>
  <si>
    <t xml:space="preserve"> =Sous-total à déduire</t>
  </si>
  <si>
    <t xml:space="preserve"> -Revenus divers directs &amp; répartis</t>
  </si>
  <si>
    <t xml:space="preserve"> -CSRA standardisé</t>
  </si>
  <si>
    <t xml:space="preserve"> -Var. inv. animaux reproducteurs</t>
  </si>
  <si>
    <t xml:space="preserve"> +Achats bovins laitiers</t>
  </si>
  <si>
    <t xml:space="preserve"> -Ventes bovins laitiers</t>
  </si>
  <si>
    <t xml:space="preserve"> CHARGES TOTALES</t>
  </si>
  <si>
    <t xml:space="preserve"> Rémunération std avoir net lait</t>
  </si>
  <si>
    <t xml:space="preserve"> Retraits pers, impôt et prélèvements</t>
  </si>
  <si>
    <t xml:space="preserve"> Charges fixes</t>
  </si>
  <si>
    <t xml:space="preserve"> Amortissements bâtiments</t>
  </si>
  <si>
    <t xml:space="preserve"> Amortissements équipements</t>
  </si>
  <si>
    <t xml:space="preserve"> Frais généraux</t>
  </si>
  <si>
    <t xml:space="preserve"> Salaires payés</t>
  </si>
  <si>
    <t xml:space="preserve"> Intérêts sur emprunts MLT</t>
  </si>
  <si>
    <t xml:space="preserve">autres charges </t>
  </si>
  <si>
    <t xml:space="preserve"> Forfait fumier &amp; autres</t>
  </si>
  <si>
    <t xml:space="preserve"> Entretien location terre &amp; bâtiments</t>
  </si>
  <si>
    <t xml:space="preserve"> Entretien et carburant camion</t>
  </si>
  <si>
    <t xml:space="preserve"> Entretien et location équipements</t>
  </si>
  <si>
    <t xml:space="preserve"> Charges variables</t>
  </si>
  <si>
    <t xml:space="preserve"> Intérêts sur court terme</t>
  </si>
  <si>
    <t xml:space="preserve"> Autres charges directes</t>
  </si>
  <si>
    <t xml:space="preserve"> Pension d animaux</t>
  </si>
  <si>
    <t xml:space="preserve"> Litière achetée et produite</t>
  </si>
  <si>
    <t xml:space="preserve"> Contrôle laitier</t>
  </si>
  <si>
    <t xml:space="preserve"> Approvisionnements laiterie</t>
  </si>
  <si>
    <t xml:space="preserve"> Reproduction</t>
  </si>
  <si>
    <t xml:space="preserve"> Médicaments et vétérinaire</t>
  </si>
  <si>
    <t xml:space="preserve"> Fourrages achetés</t>
  </si>
  <si>
    <t xml:space="preserve"> Fourrages de la ferme $ std</t>
  </si>
  <si>
    <t xml:space="preserve"> Céréales de la ferme $ std</t>
  </si>
  <si>
    <t xml:space="preserve"> Aliments concentrés achetés</t>
  </si>
  <si>
    <t xml:space="preserve"> Location de quota</t>
  </si>
  <si>
    <t xml:space="preserve"> Mise en marché du lait</t>
  </si>
  <si>
    <t>$/hl</t>
  </si>
  <si>
    <t>$/va</t>
  </si>
  <si>
    <t>% du lait produit non vendu</t>
  </si>
  <si>
    <t>âge au premier vêlage</t>
  </si>
  <si>
    <t>intervalle entre les vêlages</t>
  </si>
  <si>
    <t>coüt des fourrages gen    $/gen</t>
  </si>
  <si>
    <t>coüt concentrés gén     $/gén</t>
  </si>
  <si>
    <t>coüt des fourrages va     $/hl</t>
  </si>
  <si>
    <t>coüt concentrés va     $/hl</t>
  </si>
  <si>
    <t>coüt concentrés va     $/t</t>
  </si>
  <si>
    <t xml:space="preserve">rario lait- concentrés </t>
  </si>
  <si>
    <t>taux de réforme  %</t>
  </si>
  <si>
    <t>taux de protéine   kg/hl</t>
  </si>
  <si>
    <t>taux de m.g.     kg/hl</t>
  </si>
  <si>
    <t>lait par vache                  kg</t>
  </si>
  <si>
    <t>volume produit                hl</t>
  </si>
  <si>
    <t>taille du troupeau   génisses</t>
  </si>
  <si>
    <t>taille du troupeau      vache</t>
  </si>
  <si>
    <t>nb de fermes</t>
  </si>
  <si>
    <t>tête</t>
  </si>
  <si>
    <t>biologique</t>
  </si>
  <si>
    <t>conventionnel</t>
  </si>
  <si>
    <t>source Agritel 2016</t>
  </si>
  <si>
    <t>détail des charges par vache et par hl  (moyenne et tête)</t>
  </si>
  <si>
    <t>Table 5:</t>
  </si>
  <si>
    <t>âge au sevrage jours</t>
  </si>
  <si>
    <t>pourdre de lait donné aux veaux</t>
  </si>
  <si>
    <t>lait donné aux veaux</t>
  </si>
  <si>
    <t>% des jours en laction sur 1 an</t>
  </si>
  <si>
    <t>ratio lait réel/kg concentrés</t>
  </si>
  <si>
    <t>coût moyen des concentrés ($/tonne)</t>
  </si>
  <si>
    <t>coût moyen des concentrés ($/hl)</t>
  </si>
  <si>
    <t>ratio lait std/kg concentrés</t>
  </si>
  <si>
    <t>Suppl protéique kg MS/va/an)</t>
  </si>
  <si>
    <t>Suppl énergétique (kg MS/va/an)</t>
  </si>
  <si>
    <t>MS concentrés (kg/va/an)</t>
  </si>
  <si>
    <t>MS fourrage (kg/va/an)</t>
  </si>
  <si>
    <t>coût des aliments ($/hl)</t>
  </si>
  <si>
    <t>jours de tarissement</t>
  </si>
  <si>
    <t>poids du troupeau</t>
  </si>
  <si>
    <t>% vaches en lactation</t>
  </si>
  <si>
    <t>CCS</t>
  </si>
  <si>
    <t>Protéine en %</t>
  </si>
  <si>
    <t>Gras en %</t>
  </si>
  <si>
    <t>lait (kg/va)</t>
  </si>
  <si>
    <t>Suisse Brune</t>
  </si>
  <si>
    <t>Jersey</t>
  </si>
  <si>
    <t>Ayrshire</t>
  </si>
  <si>
    <t>Valacta, Évolution de la production laitière québécoise 2016, tableaux 3.1, 3.2, 3.3 et 3.4</t>
  </si>
  <si>
    <t>Source:</t>
  </si>
  <si>
    <t>Performances par race / quintile</t>
  </si>
  <si>
    <t>Table 4:</t>
  </si>
  <si>
    <t>maïs-ensilage ($/t MS)</t>
  </si>
  <si>
    <t>maïs-ensilage</t>
  </si>
  <si>
    <t>foin et ensilage d'herbe  ($/t MS)</t>
  </si>
  <si>
    <t xml:space="preserve">foin et ensilage d'herbe  </t>
  </si>
  <si>
    <t>grain/supplément génisses - $/t</t>
  </si>
  <si>
    <t>Supplément génisses (kg/têt/jour)</t>
  </si>
  <si>
    <t>moulée à veaux - $/t</t>
  </si>
  <si>
    <t>moulée à veaux (kg/têt/jour)</t>
  </si>
  <si>
    <t>lait de remplacement - $/kg</t>
  </si>
  <si>
    <t>lait de remplacement (kg/têt/jour)</t>
  </si>
  <si>
    <t>minéraux - $/t</t>
  </si>
  <si>
    <t>minéraux (g/têt/jour)</t>
  </si>
  <si>
    <t>supplément de couverture - $/t</t>
  </si>
  <si>
    <t>supplément de couverture (kg/têt/jour)</t>
  </si>
  <si>
    <t>supplémente protéique - $/t</t>
  </si>
  <si>
    <t>supplémente protéique (kg/têt/jour)</t>
  </si>
  <si>
    <t>tourteau de soya - $/t</t>
  </si>
  <si>
    <t>tourteau de soya (kg/têt/jour)</t>
  </si>
  <si>
    <t>moulée pré-vêlage -$/t</t>
  </si>
  <si>
    <t>moulée transition (kg/têt/jour)</t>
  </si>
  <si>
    <t>moulée robot -  $/t</t>
  </si>
  <si>
    <t>moulée commerciale - $/t</t>
  </si>
  <si>
    <t>maïs-grain - $/t</t>
  </si>
  <si>
    <t>grain mélanté $/t</t>
  </si>
  <si>
    <t>http://www.pgq.ca/</t>
  </si>
  <si>
    <t>prix des aliments</t>
  </si>
  <si>
    <t>Table 3:</t>
  </si>
  <si>
    <t>mise en marché veau</t>
  </si>
  <si>
    <t>mise en marché vache réforme</t>
  </si>
  <si>
    <t>veaux naissant ($/lb vif)</t>
  </si>
  <si>
    <t>vache de réforme  ($/lb vif)</t>
  </si>
  <si>
    <t>vache ou taure de production ($/tête)</t>
  </si>
  <si>
    <t>http://bovin.qc.ca/info-prix/bovin-de-reforme-et-veau-laitier/graphiques/</t>
  </si>
  <si>
    <t xml:space="preserve">prix des animaux  vendus </t>
  </si>
  <si>
    <t>Table 2:</t>
  </si>
  <si>
    <t>Transport $/hl</t>
  </si>
  <si>
    <t>Fonds de développement $/kg</t>
  </si>
  <si>
    <t>Publicité $/kg</t>
  </si>
  <si>
    <t>Administration $/kg</t>
  </si>
  <si>
    <t>Prime qualité bio</t>
  </si>
  <si>
    <t>Prime Bio</t>
  </si>
  <si>
    <t>Prime CMML</t>
  </si>
  <si>
    <t>Prime qualité</t>
  </si>
  <si>
    <t>Prime SNG</t>
  </si>
  <si>
    <t>$/kg LAS</t>
  </si>
  <si>
    <t>$/kg prot</t>
  </si>
  <si>
    <t>$/kg gras</t>
  </si>
  <si>
    <t>moyenne 12 mois</t>
  </si>
  <si>
    <t>http://lait.org/leconomie-du-lait/statistiques/</t>
  </si>
  <si>
    <t>prix des composants du lait, primes et frais de mise en marché</t>
  </si>
  <si>
    <t>Table 1:</t>
  </si>
  <si>
    <t>tables de valeurs</t>
  </si>
  <si>
    <t>Journées additionnelles conventionnels</t>
  </si>
  <si>
    <t>Qualité (&lt;200 CCS)</t>
  </si>
  <si>
    <t>Journées additionnelles bio</t>
  </si>
  <si>
    <t>CMML (&lt;150 CCS)</t>
  </si>
  <si>
    <t>données équation primes qualité</t>
  </si>
  <si>
    <t>F2</t>
  </si>
  <si>
    <t>F1</t>
  </si>
  <si>
    <t>K</t>
  </si>
  <si>
    <t>à préciser</t>
  </si>
  <si>
    <t>certifié</t>
  </si>
  <si>
    <t>max</t>
  </si>
  <si>
    <t>en transition</t>
  </si>
  <si>
    <t>min</t>
  </si>
  <si>
    <t>ne s'applique pas</t>
  </si>
  <si>
    <t>Seuils de consommation volantaire</t>
  </si>
  <si>
    <t>gestion mangeoire:</t>
  </si>
  <si>
    <t>Système de traite:</t>
  </si>
  <si>
    <t>race:</t>
  </si>
  <si>
    <t>statut:</t>
  </si>
  <si>
    <t>régime:</t>
  </si>
  <si>
    <t>listes déroulantes</t>
  </si>
  <si>
    <t>Section 1:</t>
  </si>
  <si>
    <t>Noms des cultures personnalisées</t>
  </si>
  <si>
    <t>Nom</t>
  </si>
  <si>
    <t>Scénarios à afficher</t>
  </si>
  <si>
    <t>Descriptions des scénarios</t>
  </si>
  <si>
    <t>Copies de sauvegarde</t>
  </si>
  <si>
    <t>Alimentation - Pâturages</t>
  </si>
  <si>
    <t>Maïs-grain BIO</t>
  </si>
  <si>
    <t>Maïs-grain CONV</t>
  </si>
  <si>
    <t>Total des Produits</t>
  </si>
  <si>
    <t>Marge sur coûts variables</t>
  </si>
  <si>
    <t>Autres coûts</t>
  </si>
  <si>
    <t>Certification biologique</t>
  </si>
  <si>
    <t>Intérêts à court terme</t>
  </si>
  <si>
    <t>Seigle d'automne BIO</t>
  </si>
  <si>
    <t>Seigle d'automne CONV</t>
  </si>
  <si>
    <t>Consommation de fourrges en % du poids vif</t>
  </si>
  <si>
    <t>Coût de production du foin</t>
  </si>
  <si>
    <t>Coût de production du pâturage</t>
  </si>
  <si>
    <t>Paille (tonnes)</t>
  </si>
  <si>
    <t>Production de paille</t>
  </si>
  <si>
    <t>Nouvelle étable ou agrandissement:</t>
  </si>
  <si>
    <t>nb va</t>
  </si>
  <si>
    <t>l</t>
  </si>
  <si>
    <t>t m.s /an</t>
  </si>
  <si>
    <t>Consommation de fourrages en % du poids vif</t>
  </si>
  <si>
    <t>kg/têt/jour</t>
  </si>
  <si>
    <t>Date d'entrée au pâturage</t>
  </si>
  <si>
    <t>Date de sortie du pâturage</t>
  </si>
  <si>
    <t>Jours de paissance</t>
  </si>
  <si>
    <t>Régie des pâturages</t>
  </si>
  <si>
    <t>Foin sec servis à l'étable durant la période</t>
  </si>
  <si>
    <t>Ensilage de foin servis à l'étable durant la période</t>
  </si>
  <si>
    <t>Maïs ensilage servi à l'étable durant la période</t>
  </si>
  <si>
    <t>Jours de paissance génisses</t>
  </si>
  <si>
    <t>Marge de sécurité pour s'assurer de couvrir les besoins</t>
  </si>
  <si>
    <t>Date d'entrée au pâturage (génisses)</t>
  </si>
  <si>
    <t>Date de sortie du pâturage (génisses)</t>
  </si>
  <si>
    <t>Jours de stabulation vaches</t>
  </si>
  <si>
    <t>Portion du maïs ensilage considéré comme un grain</t>
  </si>
  <si>
    <t>Jours de stabulation génisses</t>
  </si>
  <si>
    <t>Marge de sécurité</t>
  </si>
  <si>
    <t>Foin sec servi</t>
  </si>
  <si>
    <t>Ensilage de foin consommée</t>
  </si>
  <si>
    <t>kg m.s./têt/jour</t>
  </si>
  <si>
    <t>Ensilage de foin consommé</t>
  </si>
  <si>
    <t>Fourrages consommés net de l'apport grains du maïs ensilage</t>
  </si>
  <si>
    <t>kg m.s/têt/jour</t>
  </si>
  <si>
    <t>kg équiv.grain</t>
  </si>
  <si>
    <t>Durée de la période transition</t>
  </si>
  <si>
    <t>jours</t>
  </si>
  <si>
    <t>l/veau/jour</t>
  </si>
  <si>
    <t>l/jour</t>
  </si>
  <si>
    <t>Age au sevrage</t>
  </si>
  <si>
    <t>Prix du lait de remplacement</t>
  </si>
  <si>
    <t>$/kg</t>
  </si>
  <si>
    <t>Durée de la période d'alimentation avec moulée début</t>
  </si>
  <si>
    <t>mois</t>
  </si>
  <si>
    <t>Durée de la période d'alimentation avec des concentrés</t>
  </si>
  <si>
    <t xml:space="preserve"> $/t</t>
  </si>
  <si>
    <t>Prix supplément protéique de couverture</t>
  </si>
  <si>
    <t>t/an</t>
  </si>
  <si>
    <t>Prix tourteau soya</t>
  </si>
  <si>
    <t>Prix supplément protéique</t>
  </si>
  <si>
    <t>Prix minéral</t>
  </si>
  <si>
    <t>Coût total des concentrés achetés - vaches</t>
  </si>
  <si>
    <t>Grain de la ferme servi aux génisses</t>
  </si>
  <si>
    <t>Qté de lait par génisse</t>
  </si>
  <si>
    <t>Coût total des concentrés achetés - génisses</t>
  </si>
  <si>
    <t>Paille utilisée vaches en lactation</t>
  </si>
  <si>
    <t>Utilisation totale</t>
  </si>
  <si>
    <t>t sur 12 mois</t>
  </si>
  <si>
    <t>kg/têt/jour) été</t>
  </si>
  <si>
    <t>kg/têt/jour) hiver</t>
  </si>
  <si>
    <t>Coût étable des vaches</t>
  </si>
  <si>
    <t>Coût salle de traite, section robot, laiterie,. …</t>
  </si>
  <si>
    <t>Coût étable des génisses</t>
  </si>
  <si>
    <t>Coût fosse à fumier</t>
  </si>
  <si>
    <t>Coût silo ou entrepôt à fourrage</t>
  </si>
  <si>
    <t>Nouveaux équipements de traite</t>
  </si>
  <si>
    <t>Taux d'intérêt</t>
  </si>
  <si>
    <t>Durée du remboursement</t>
  </si>
  <si>
    <t>années</t>
  </si>
  <si>
    <t>Lait livré</t>
  </si>
  <si>
    <t>Lait donné aux veaux</t>
  </si>
  <si>
    <t>Lait utilisé à la ferme</t>
  </si>
  <si>
    <t>% pds vif/jour</t>
  </si>
  <si>
    <t>Vaches vendues pour la production</t>
  </si>
  <si>
    <t>têt</t>
  </si>
  <si>
    <t>Nombre de vaches vendues à la réforme</t>
  </si>
  <si>
    <t>Veaux vendus</t>
  </si>
  <si>
    <t>Équivalent kg m.g. livrés par jour</t>
  </si>
  <si>
    <t>Jours suppplémentaires produits</t>
  </si>
  <si>
    <t>Lait livré admissible à la prime qualité</t>
  </si>
  <si>
    <t>Lait livré admissible à la prime CMML</t>
  </si>
  <si>
    <t>Prime bio</t>
  </si>
  <si>
    <t>Vente réforme et veaux</t>
  </si>
  <si>
    <t>Subvention à la transition</t>
  </si>
  <si>
    <t>Frais de mise en marché lait</t>
  </si>
  <si>
    <t>Vétérinaire, insémination,</t>
  </si>
  <si>
    <t>Bâtiments</t>
  </si>
  <si>
    <t>Nouvelle étable ou agrandissement</t>
  </si>
  <si>
    <t>Nouvelle structure d'entreposage de fumier</t>
  </si>
  <si>
    <t>Nouvelle structure d'entreposage des fourrages</t>
  </si>
  <si>
    <t>t M.S.</t>
  </si>
  <si>
    <t>(4.1) (4.2) (4.3)</t>
  </si>
  <si>
    <t xml:space="preserve">Il s'agit d'un plan détaillé qui décrit les processus, les pratiques et la gestion de la ferme. </t>
  </si>
  <si>
    <t xml:space="preserve">1.2 Maintien de registres  (champs, troupeau, épandage, achats d'intrants, ventes, bandes tampons, etc.)  </t>
  </si>
  <si>
    <t xml:space="preserve">(4.4) </t>
  </si>
  <si>
    <t>Permet la tracabilité et le maintien de l'intégrité biologique. Par exemple, le registre des bandes tampon doit contenir : les champs visés, l'orientation de la bande tampon, la mesure utilisé, les distances (5.5.2) Exemples de registres proposés par les organismes de certfication : http://www.quebecvrai.org/documentation#docs4.
http://www.ecocertcanada.com/fr/content/documents-et-formulaires</t>
  </si>
  <si>
    <t>(1.4)(5.1.1)</t>
  </si>
  <si>
    <t>Quelques expemples: produits issus du génie génétique et de nanotechnologie, l'irradiation, engrais ou compost contenant des substances interdites, boues d’épuration et les matériaux synthétiques, régulateurs de croissance synthétiques, fongicides, agents de conservation, etc.
Attention aux inoculants. Il faut s'assurer que le produit soit accepter en bio.</t>
  </si>
  <si>
    <t>2.3 Gestion production parallèle pour préserver l'identité des cultures</t>
  </si>
  <si>
    <t>(5.1.5)</t>
  </si>
  <si>
    <t>Il doit y avoir une distinction claire et visuelle des cultures parallèles (ex. soya hile clair et soya hile brun).</t>
  </si>
  <si>
    <t>2.4 Délimitations claires des champs et des terres</t>
  </si>
  <si>
    <t>Idendification claire des champs bio sur les plans de ferme, dans les registres et sur les unités d'entreprises pendant la période de transition.</t>
  </si>
  <si>
    <t>2.5 Présence de zones tampons de 8 mètres, brise-vent ou haie séparatrice</t>
  </si>
  <si>
    <t>(5.2.1) (5.2.2)</t>
  </si>
  <si>
    <t>Là où il y a des risques de contamination des fermes voisines (ex. dérive de pesticide, contamination par les OGM). Note : Les cultures dans les zones tampons ne sont pas certifiables.</t>
  </si>
  <si>
    <t>2.6 Établir un plan pour la prévention de la contamination par les OGM</t>
  </si>
  <si>
    <t>(5.2.2.4)</t>
  </si>
  <si>
    <t>Le plan doit prévoir au moins une mesure pour prévenir la contamination (barrières physiques, semis différé, rangées prériphériques, tests stratégiques, etc.)</t>
  </si>
  <si>
    <t>2.7 Absence bois traité avec des substances interdites (poteaux de clôtures)</t>
  </si>
  <si>
    <t>(5.2.3)</t>
  </si>
  <si>
    <t xml:space="preserve">L'utilisation de semences non traitées est autorisée selon deux conditions: pas de disponibilité sur le marché et non produite sur la ferme. Les certificateurs demandent à l'entreprises de fournir deux lettres de vendeurs qui mentionnent que les semences désirées ne sont pas disponible en bio. </t>
  </si>
  <si>
    <t>(5.4.1) (5.4.2)</t>
  </si>
  <si>
    <t>L'obectif est de maintenir la fertilité du sol</t>
  </si>
  <si>
    <t>(5.5.3)</t>
  </si>
  <si>
    <t>Si les déjections proviennent d'entreprises conventionnelles, celles-ci ne doivent pas provenir d'élevages où les animaux sont en cage et ne peuvent pas faire un 360 devrés sur eux-mêmes ou sont dans l'obscurité constamment. Les déjections non acceptés sont principalement les lisiers de maternité où les truies sont confinées en cage. Un affidavit doit être signé par l'exportateur.</t>
  </si>
  <si>
    <t>Seules des substances autorisées en régie biologique pour la fertilisation sont utilisées. Voir tableau 4.2 de la Liste des substances permises.</t>
  </si>
  <si>
    <t>Mise à part pour le contrôle de déshordres phytosanitaires ou la stimulation de la germination.</t>
  </si>
  <si>
    <t>(4.4.4)</t>
  </si>
  <si>
    <t xml:space="preserve">
</t>
  </si>
  <si>
    <t>Ajouter une ligne</t>
  </si>
  <si>
    <t>Tracteur</t>
  </si>
  <si>
    <t>Machinerie</t>
  </si>
  <si>
    <t>l x L</t>
  </si>
  <si>
    <t>m²</t>
  </si>
  <si>
    <t>coût $/m²</t>
  </si>
  <si>
    <t>18x20</t>
  </si>
  <si>
    <t>18x30</t>
  </si>
  <si>
    <t>18x40</t>
  </si>
  <si>
    <t>18x50</t>
  </si>
  <si>
    <t>nb pi x nb sections</t>
  </si>
  <si>
    <t>Silo séchoir</t>
  </si>
  <si>
    <t>18x6</t>
  </si>
  <si>
    <t>24x7</t>
  </si>
  <si>
    <t>15x3</t>
  </si>
  <si>
    <t>15x5</t>
  </si>
  <si>
    <t>21x8</t>
  </si>
  <si>
    <t>24x4</t>
  </si>
  <si>
    <t>24x8</t>
  </si>
  <si>
    <t>30x8</t>
  </si>
  <si>
    <t>36x13</t>
  </si>
  <si>
    <t>total</t>
  </si>
  <si>
    <t xml:space="preserve">puissance </t>
  </si>
  <si>
    <t>75 hp</t>
  </si>
  <si>
    <t>93 hp</t>
  </si>
  <si>
    <t>100 hp</t>
  </si>
  <si>
    <t>125 hp</t>
  </si>
  <si>
    <t>160hp</t>
  </si>
  <si>
    <t>210 hp</t>
  </si>
  <si>
    <t xml:space="preserve">sous total </t>
  </si>
  <si>
    <t>Prix moulée début génisses</t>
  </si>
  <si>
    <t>supplément de couverture</t>
  </si>
  <si>
    <t>g/têt/jour</t>
  </si>
  <si>
    <t>Supplément génisses</t>
  </si>
  <si>
    <t>Supplémente protéique</t>
  </si>
  <si>
    <t>Prix moyen grains/suppl. achetés génisses</t>
  </si>
  <si>
    <t>Moulée à veaux</t>
  </si>
  <si>
    <t>Lait de remplacement</t>
  </si>
  <si>
    <t>$ /an</t>
  </si>
  <si>
    <t>Moulée transition</t>
  </si>
  <si>
    <t>Prix moulée transition</t>
  </si>
  <si>
    <t>Tourteau de soya</t>
  </si>
  <si>
    <t>Maïs-grain autoconsommé</t>
  </si>
  <si>
    <t>Maïs ensilage autoconsommé</t>
  </si>
  <si>
    <t>Soya autoconsommé</t>
  </si>
  <si>
    <t>Blé de printemps autoconsommé</t>
  </si>
  <si>
    <t>Orge autoconsommé</t>
  </si>
  <si>
    <t>Avoine autoconsommé</t>
  </si>
  <si>
    <t>Blé d'automne autoconsommé</t>
  </si>
  <si>
    <t>Seigle d'automne autoconsommé</t>
  </si>
  <si>
    <t>Canola autoconsommé</t>
  </si>
  <si>
    <t>Chanvre autoconsommé</t>
  </si>
  <si>
    <t>Autre #1 autoconsommé</t>
  </si>
  <si>
    <t>Autre #2 autoconsommé</t>
  </si>
  <si>
    <t>Autre #3 autoconsommé</t>
  </si>
  <si>
    <t>Grains mélangés autoconsommés</t>
  </si>
  <si>
    <t>Paille autoproduite</t>
  </si>
  <si>
    <t>Frais vétérinaire</t>
  </si>
  <si>
    <t>Frais de reporduction</t>
  </si>
  <si>
    <t>Coût de production du maïs-grain</t>
  </si>
  <si>
    <t>Coût de production du maïs ensilage</t>
  </si>
  <si>
    <t>Coût de production du soya</t>
  </si>
  <si>
    <t>Coût de production du blé de printemps</t>
  </si>
  <si>
    <t>Coût de production du blé d'automne</t>
  </si>
  <si>
    <t>Coût de production du seigle d'automne</t>
  </si>
  <si>
    <t>Coût de production du canola</t>
  </si>
  <si>
    <t>Coût de production du sarrazin</t>
  </si>
  <si>
    <t>Coût de production du chanvre</t>
  </si>
  <si>
    <t>Coût de production des grains mélangés</t>
  </si>
  <si>
    <t xml:space="preserve">% du poids vif </t>
  </si>
  <si>
    <t>kg M.S./va/jour</t>
  </si>
  <si>
    <t>Valeur de la production autoconsommée</t>
  </si>
  <si>
    <t>Tonnage des ventes</t>
  </si>
  <si>
    <t>Tonnage de l'autoconsommation</t>
  </si>
  <si>
    <t>Machineries et équipements</t>
  </si>
  <si>
    <t>Culture 1</t>
  </si>
  <si>
    <t>Culture 2</t>
  </si>
  <si>
    <t>Culture 3</t>
  </si>
  <si>
    <t>Culture 4</t>
  </si>
  <si>
    <t>Culture 5</t>
  </si>
  <si>
    <t>Culture 6</t>
  </si>
  <si>
    <t>Culture 7</t>
  </si>
  <si>
    <t>Culture 8</t>
  </si>
  <si>
    <t>Culture 9</t>
  </si>
  <si>
    <t>Culture 10</t>
  </si>
  <si>
    <t xml:space="preserve">12.1 Accès à l'extérieur </t>
  </si>
  <si>
    <t>Numéro de norme</t>
  </si>
  <si>
    <t>Non-conforme</t>
  </si>
  <si>
    <t>Historique</t>
  </si>
  <si>
    <t xml:space="preserve">Superficie des cultures annuelles : </t>
  </si>
  <si>
    <t>Tailles</t>
  </si>
  <si>
    <r>
      <t xml:space="preserve">Fourrage à récolter </t>
    </r>
    <r>
      <rPr>
        <sz val="10"/>
        <color theme="1"/>
        <rFont val="Segoe UI"/>
        <family val="2"/>
        <scheme val="minor"/>
      </rPr>
      <t>(cibles déterminées par la section Lait)</t>
    </r>
  </si>
  <si>
    <t>Type</t>
  </si>
  <si>
    <t>Autres</t>
  </si>
  <si>
    <t>Charrue 5 vers</t>
  </si>
  <si>
    <t>Charrue 6 vers</t>
  </si>
  <si>
    <t>Charrue 7 vers</t>
  </si>
  <si>
    <t>Chisel</t>
  </si>
  <si>
    <t>Sarcleur lourd</t>
  </si>
  <si>
    <t>Peigne</t>
  </si>
  <si>
    <t>Houe rotative</t>
  </si>
  <si>
    <t>Rouleau</t>
  </si>
  <si>
    <t>Épandeur a fumier</t>
  </si>
  <si>
    <t>Wagon à grain 11 m³</t>
  </si>
  <si>
    <t>Barre de coupe flexible à toile</t>
  </si>
  <si>
    <t>Gratte panier niveleuse</t>
  </si>
  <si>
    <t>Système autoguidage</t>
  </si>
  <si>
    <t>Camionette usagée</t>
  </si>
  <si>
    <t>Machineries et équipements selon les cultures</t>
  </si>
  <si>
    <t>Maïs</t>
  </si>
  <si>
    <t>Semoir à maïs 6 rangs</t>
  </si>
  <si>
    <t>Semoir à maïs 8 rangs</t>
  </si>
  <si>
    <t>Semoir à maïs 12 rangs</t>
  </si>
  <si>
    <t xml:space="preserve">Bâtiments et équipements à prévoir pour une entreprise céréalière biologique </t>
  </si>
  <si>
    <t xml:space="preserve">Évaluation selon la taille de l'entreprise (superficie en hectares cultivés) </t>
  </si>
  <si>
    <t>Remise à machinerie (voûte d'acier ronde autoportante)</t>
  </si>
  <si>
    <t>Silo à grains</t>
  </si>
  <si>
    <t>170 hp</t>
  </si>
  <si>
    <t>Souffleur a neige usagé</t>
  </si>
  <si>
    <t>Semoir à céréales 3,96 m</t>
  </si>
  <si>
    <t>Semoir à céréales 7,92 m</t>
  </si>
  <si>
    <t>Source Budget CRAAQ - AGDEX 110.19/821</t>
  </si>
  <si>
    <t>Moissonneuse batteuse (sans équipement)</t>
  </si>
  <si>
    <t>Superficie assignée</t>
  </si>
  <si>
    <t>Références de rendements:</t>
  </si>
  <si>
    <t>Nombre de vaches retenues</t>
  </si>
  <si>
    <t>Rotation des surfaces en cultures et prairies</t>
  </si>
  <si>
    <t>Rotations</t>
  </si>
  <si>
    <t>Superficies assignées</t>
  </si>
  <si>
    <t>Superficie assignée aux prairies</t>
  </si>
  <si>
    <t>Superficie assignée aux pâturages</t>
  </si>
  <si>
    <t>Marges / culture / ha</t>
  </si>
  <si>
    <t>Marges /culture /ha</t>
  </si>
  <si>
    <t>Marges totales /culture</t>
  </si>
  <si>
    <t>Marge moyenne /ha</t>
  </si>
  <si>
    <t>Marge totale moyenne</t>
  </si>
  <si>
    <t>Marge /ha moyenne</t>
  </si>
  <si>
    <t>non</t>
  </si>
  <si>
    <t>Ajuster temps de travail selon le nb de vaches ?</t>
  </si>
  <si>
    <t>lait permis par le quota et journées</t>
  </si>
  <si>
    <t>jrs tarissement</t>
  </si>
  <si>
    <t>prix de la vache de production ou de la taure prête à vêler</t>
  </si>
  <si>
    <t>Juste mettre en rouge si les quantités produites ne sont pas suffisantes</t>
  </si>
  <si>
    <t>minéraux</t>
  </si>
  <si>
    <t xml:space="preserve">Variation du temps affectant les employés </t>
  </si>
  <si>
    <t>temps total</t>
  </si>
  <si>
    <t>kg/jour</t>
  </si>
  <si>
    <t>Nombre de vaches moyen</t>
  </si>
  <si>
    <t>Coût des concentrés vaches</t>
  </si>
  <si>
    <t xml:space="preserve">% MS </t>
  </si>
  <si>
    <t>Fourrages achetés pour le troupeau</t>
  </si>
  <si>
    <t>Étape:</t>
  </si>
  <si>
    <t xml:space="preserve">Section2:   </t>
  </si>
  <si>
    <t>valeurs pour équations de calcul</t>
  </si>
  <si>
    <t xml:space="preserve">taux d'amortissement </t>
  </si>
  <si>
    <t>Coût entretien suppl par robot</t>
  </si>
  <si>
    <t>bat et équip</t>
  </si>
  <si>
    <t>$/robot</t>
  </si>
  <si>
    <t>emprunts</t>
  </si>
  <si>
    <t>va/robot</t>
  </si>
  <si>
    <t>Section 3:</t>
  </si>
  <si>
    <t>Pour liste:</t>
  </si>
  <si>
    <t>grain mélangé - achat</t>
  </si>
  <si>
    <t>orge - achat</t>
  </si>
  <si>
    <t>orge - $/t</t>
  </si>
  <si>
    <t>maïs-grain - achat</t>
  </si>
  <si>
    <t>moulée commerciale</t>
  </si>
  <si>
    <t>moulée robot</t>
  </si>
  <si>
    <t>Part dans la ration en %</t>
  </si>
  <si>
    <t>Table 6b:</t>
  </si>
  <si>
    <t>facteur à appliquer au ratio lait/concentrés</t>
  </si>
  <si>
    <t>Table_10:  valeur du quota</t>
  </si>
  <si>
    <t>prix du quota</t>
  </si>
  <si>
    <t>Les scénarios sont des années liées</t>
  </si>
  <si>
    <t xml:space="preserve">Scénarios → </t>
  </si>
  <si>
    <t xml:space="preserve">Descriptions des scénarios → </t>
  </si>
  <si>
    <t>À implanter</t>
  </si>
  <si>
    <t>Foin et ensilage de foin à récolter pour le troupeau</t>
  </si>
  <si>
    <t>Maïs ensilage à récolter pour le troupeau</t>
  </si>
  <si>
    <t>$/an</t>
  </si>
  <si>
    <t>Qté totale de concentrés achetés</t>
  </si>
  <si>
    <t>Qté totale de concentrés servis</t>
  </si>
  <si>
    <t>Qté totale de grains auto-consommés</t>
  </si>
  <si>
    <t>Temps de travail à l'étable</t>
  </si>
  <si>
    <t>min/va/jour</t>
  </si>
  <si>
    <t>Taux de rémunération des employés incluant ben.sociaux</t>
  </si>
  <si>
    <t>$/h</t>
  </si>
  <si>
    <t>Temps sauvé suite à l'achat équipment</t>
  </si>
  <si>
    <t>Variation marginale temps étable</t>
  </si>
  <si>
    <t>min/jour</t>
  </si>
  <si>
    <t>h/jour</t>
  </si>
  <si>
    <t>Voir feuille Lait</t>
  </si>
  <si>
    <t>t m.s.</t>
  </si>
  <si>
    <t>Fourrages devant provenir du pâturage</t>
  </si>
  <si>
    <t>Valeur des grains de ferme auto-consommés</t>
  </si>
  <si>
    <t>Nez à maïs 8 rangs</t>
  </si>
  <si>
    <t>Nez à maïs 12 rangs</t>
  </si>
  <si>
    <t>Billonneur pour maïs</t>
  </si>
  <si>
    <t>Rateau à roche pour le soya</t>
  </si>
  <si>
    <t>Qté totale de concentrés servis - vaches</t>
  </si>
  <si>
    <t>Lait donné aux veaux ou jeté</t>
  </si>
  <si>
    <r>
      <t xml:space="preserve">RÉFÉRENCES </t>
    </r>
    <r>
      <rPr>
        <b/>
        <sz val="15"/>
        <color theme="4"/>
        <rFont val="Segoe UI"/>
        <family val="2"/>
        <scheme val="minor"/>
      </rPr>
      <t>LAITIÈRES</t>
    </r>
  </si>
  <si>
    <t>CONFIGURATION</t>
  </si>
  <si>
    <t>t/ha</t>
  </si>
  <si>
    <t>Blé de printemps produit</t>
  </si>
  <si>
    <t>Prairies (fourrage produit)</t>
  </si>
  <si>
    <t>Maïs ensilage produit</t>
  </si>
  <si>
    <t>(autoconsommé)</t>
  </si>
  <si>
    <t>Pâturage (fourrage produit)</t>
  </si>
  <si>
    <t>Taux de protéine (%)</t>
  </si>
  <si>
    <t>Autres concentrés</t>
  </si>
  <si>
    <t xml:space="preserve">Prix autres concrentrés </t>
  </si>
  <si>
    <t xml:space="preserve">Prix grain mélangé </t>
  </si>
  <si>
    <t>Prix orge</t>
  </si>
  <si>
    <t xml:space="preserve">Prix maïs-grain </t>
  </si>
  <si>
    <t>Prix moulée commerciale</t>
  </si>
  <si>
    <t>Prix moulée robot</t>
  </si>
  <si>
    <t>base de transfert céréales autoconsommées</t>
  </si>
  <si>
    <t>coût de production</t>
  </si>
  <si>
    <t>prix du marché</t>
  </si>
  <si>
    <t>Prairies BIO</t>
  </si>
  <si>
    <t>Maïs ensilage Bio</t>
  </si>
  <si>
    <t>Maïs ensilage CONV</t>
  </si>
  <si>
    <t>Fourrage produit  (MS)</t>
  </si>
  <si>
    <t>Prairies CONV</t>
  </si>
  <si>
    <t xml:space="preserve">Coût production   $/t </t>
  </si>
  <si>
    <t>Indice rendement</t>
  </si>
  <si>
    <t>Valeur marchande de la paille</t>
  </si>
  <si>
    <t>Table_11:  base de prix utilisée dans valeur grains autoconsommés</t>
  </si>
  <si>
    <t>Coût de production de la paille</t>
  </si>
  <si>
    <t>Amortissement machinerie et bâtiments</t>
  </si>
  <si>
    <t>Retraits et salaires des exploitants</t>
  </si>
  <si>
    <t xml:space="preserve">Compensation ASRA/ass récolte (ha) </t>
  </si>
  <si>
    <t>Intérêts sur emprunts</t>
  </si>
  <si>
    <t>Coûts nets totaux</t>
  </si>
  <si>
    <t>Autres approvisionnements: clôture, corde, plastique, etc.</t>
  </si>
  <si>
    <t>CRAAQ - Agcex 130/821</t>
  </si>
  <si>
    <t>Ébousage et fauche des refus</t>
  </si>
  <si>
    <t xml:space="preserve">Entretien et location de terre </t>
  </si>
  <si>
    <t>Entretien et location des bâtiments, entretien clôture</t>
  </si>
  <si>
    <t>indice rendement pâturage</t>
  </si>
  <si>
    <t>Taux consommation des fourrages</t>
  </si>
  <si>
    <t>Nombre de vaches du troupeau</t>
  </si>
  <si>
    <t>Lait vendu et primes reçues</t>
  </si>
  <si>
    <t xml:space="preserve">Autres revenus </t>
  </si>
  <si>
    <t>Frais de mise en marché du lait</t>
  </si>
  <si>
    <t>Salaires des employés</t>
  </si>
  <si>
    <t xml:space="preserve">Salaires et retraits des exploitants </t>
  </si>
  <si>
    <t>Vétérinaire, insémination, app. laiterie, divers</t>
  </si>
  <si>
    <t xml:space="preserve">Fourrages et litière achetés </t>
  </si>
  <si>
    <t>Électricité, taxes, assurances et autres frais généraux</t>
  </si>
  <si>
    <t>Coûts avant salaires, retraits, intérêts et amortissements</t>
  </si>
  <si>
    <t>Intérêts et amortissements</t>
  </si>
  <si>
    <t>Intérêts MLT payés</t>
  </si>
  <si>
    <t>Amortissements</t>
  </si>
  <si>
    <t>Marge avant intérêts et amortissements (Capacité de remboursement maximale)</t>
  </si>
  <si>
    <t>Bénéfice net</t>
  </si>
  <si>
    <t>Remboursement des emprunts</t>
  </si>
  <si>
    <t>Capital remboursé</t>
  </si>
  <si>
    <t>Surplus financier (solde résiduel</t>
  </si>
  <si>
    <t xml:space="preserve">Superficies en culture                             </t>
  </si>
  <si>
    <t xml:space="preserve">Superficies en fourrages          </t>
  </si>
  <si>
    <t xml:space="preserve">Quota détenu                  </t>
  </si>
  <si>
    <t>kg m.g./jour</t>
  </si>
  <si>
    <t xml:space="preserve">Lait livré  </t>
  </si>
  <si>
    <t>hl</t>
  </si>
  <si>
    <t>!</t>
  </si>
  <si>
    <t>Produits bruts totaux</t>
  </si>
  <si>
    <t>www.fadq.qc.ca/statistiques/assurance-recolte/rendements-de-reference</t>
  </si>
  <si>
    <t>Réparer les contrôles</t>
  </si>
  <si>
    <t>Cultiver sans OGM</t>
  </si>
  <si>
    <t xml:space="preserve">Pic de besoin estimé de main d'œuvre pour le sarclage </t>
  </si>
  <si>
    <t>h en 2 jours</t>
  </si>
  <si>
    <t>www.tpsgc-pwgsc.gc.ca/ongc-cgsb/programme-program/normes-standards/internet/bio-org/pgng-gpms-fra.html</t>
  </si>
  <si>
    <t>www.tpsgc-pwgsc.gc.ca/ongc-cgsb/programme-program/normes-standards/internet/bio-org/pgng-gpms-fra.html#a6</t>
  </si>
  <si>
    <t>www.tpsgc-pwgsc.gc.ca/ongc-cgsb/programme-program/normes-standards/internet/bio-org/pgng-gpms-fra.html#a7</t>
  </si>
  <si>
    <t>Les ruminants ont accès à des pâturages en saison (0,13 ha/u.a.) et à l'extérieur quand les conditions le permettent. 30 % de l'alimentation fourragère (base ms) des animaux adultes provient des pâturages en saison. 
Si les animaux ont accès à des pâturages communautaires ou des terres de la Couronne, il n'y a pas usage de substances interdites sur ces terres, les animaux biologiques sont clairement identifiés et leur soin respecte les normes (6.8.6).</t>
  </si>
  <si>
    <t>12.4 Les vaches laitières en stabulation entravée sortent au moins deux fois par semaine
en hiver. Les autres animaux ne sont pas en stabulation entravée de façon continue</t>
  </si>
  <si>
    <t>NORMES GÉNÉRALES</t>
  </si>
  <si>
    <t xml:space="preserve">NORMES VÉGÉTALES  </t>
  </si>
  <si>
    <t xml:space="preserve">NORMES ANIMALES </t>
  </si>
  <si>
    <r>
      <t xml:space="preserve">NORMES </t>
    </r>
    <r>
      <rPr>
        <b/>
        <sz val="15"/>
        <color theme="5"/>
        <rFont val="Segoe UI"/>
        <family val="2"/>
        <scheme val="minor"/>
      </rPr>
      <t>VÉGÉTALES</t>
    </r>
    <r>
      <rPr>
        <b/>
        <sz val="15"/>
        <color theme="1" tint="0.34998626667073579"/>
        <rFont val="Segoe UI"/>
        <family val="2"/>
        <scheme val="minor"/>
      </rPr>
      <t xml:space="preserve">  </t>
    </r>
  </si>
  <si>
    <r>
      <t xml:space="preserve">NORMES </t>
    </r>
    <r>
      <rPr>
        <b/>
        <sz val="15"/>
        <color theme="4"/>
        <rFont val="Segoe UI"/>
        <family val="2"/>
        <scheme val="minor"/>
      </rPr>
      <t>ANIMALES</t>
    </r>
    <r>
      <rPr>
        <b/>
        <sz val="15"/>
        <color theme="1" tint="0.34998626667073579"/>
        <rFont val="Segoe UI"/>
        <family val="2"/>
        <scheme val="minor"/>
      </rPr>
      <t xml:space="preserve"> </t>
    </r>
  </si>
  <si>
    <t>CRITÈRES DE CONFORMITÉ RÉGLEMENTAIRE</t>
  </si>
  <si>
    <t>(5.1.3) (5.1.6)</t>
  </si>
  <si>
    <t>Ratio lait/concentrés calculé</t>
  </si>
  <si>
    <t>SECTION</t>
  </si>
  <si>
    <t>LAIT</t>
  </si>
  <si>
    <t>CHAMP</t>
  </si>
  <si>
    <t>TEXTE À AFFICHER (Faire Alt+Enter pour faire un saut de ligne à l'intérieur d'une cellule)</t>
  </si>
  <si>
    <t xml:space="preserve">
</t>
  </si>
  <si>
    <r>
      <t xml:space="preserve">Ceci me </t>
    </r>
    <r>
      <rPr>
        <b/>
        <sz val="13"/>
        <color theme="5"/>
        <rFont val="Segoe UI"/>
        <family val="2"/>
        <scheme val="minor"/>
      </rPr>
      <t>motive</t>
    </r>
    <r>
      <rPr>
        <sz val="13"/>
        <color theme="3"/>
        <rFont val="Segoe UI Semibold"/>
        <family val="2"/>
        <scheme val="major"/>
      </rPr>
      <t>… (0 = pas du tout, 10 = totalement)</t>
    </r>
  </si>
  <si>
    <r>
      <t xml:space="preserve">Ceci me </t>
    </r>
    <r>
      <rPr>
        <b/>
        <sz val="13"/>
        <color rgb="FFC00000"/>
        <rFont val="Segoe UI"/>
        <family val="2"/>
        <scheme val="minor"/>
      </rPr>
      <t>freine</t>
    </r>
    <r>
      <rPr>
        <sz val="13"/>
        <color theme="3"/>
        <rFont val="Segoe UI Semibold"/>
        <family val="2"/>
        <scheme val="major"/>
      </rPr>
      <t>… (0 = pas du tout, 10 = totalement)</t>
    </r>
  </si>
  <si>
    <t xml:space="preserve">Votre score de freins : </t>
  </si>
  <si>
    <t xml:space="preserve">Votre score de motivations : </t>
  </si>
  <si>
    <t>Coûts des salaires employés et retraits des exploitants</t>
  </si>
  <si>
    <t>App. laiterie, entretien équipement étable, contrôle, etc.</t>
  </si>
  <si>
    <t>Main-d'œuvre : employés</t>
  </si>
  <si>
    <t>Ventes d'animaux</t>
  </si>
  <si>
    <t>Bordure bleue, arrière-plan jaune: cellule modifiable par l'utilisateur</t>
  </si>
  <si>
    <t>Formule</t>
  </si>
  <si>
    <t>Donnée externe</t>
  </si>
  <si>
    <t xml:space="preserve">OUTIL DIAGNOSTIC DE TRANSITION 
</t>
  </si>
  <si>
    <t>POUR FERMES LAITIÈRES ET DE GRANDES CULTURES</t>
  </si>
  <si>
    <t>version</t>
  </si>
  <si>
    <t>Projet réalisé grâce à une contribution</t>
  </si>
  <si>
    <t>Conception:</t>
  </si>
  <si>
    <t>Geoffroy Ménard, agroéconomiste, CETAB+</t>
  </si>
  <si>
    <t>Anne Le Mat, agr., M.Sc, CETAB+</t>
  </si>
  <si>
    <t>Murielle Bournival, agr., M.Sc., CETAB+</t>
  </si>
  <si>
    <t>René Roy, agroéconomiste, Valacta</t>
  </si>
  <si>
    <t>François Labelle, agr., Valacta</t>
  </si>
  <si>
    <t>Une réalisation du CETAB+, en collaboration avec Valacta</t>
  </si>
  <si>
    <t>Police bleue dans cellule de saisie: donnée qui a été saisie manuellement. Peut être modifiée.</t>
  </si>
  <si>
    <t>Police noire:  donnée qui est une formule</t>
  </si>
  <si>
    <t>Police verte: donnée venant d'une autre feuille</t>
  </si>
  <si>
    <t xml:space="preserve">mise en ligne le </t>
  </si>
  <si>
    <t xml:space="preserve">Mises à jour : </t>
  </si>
  <si>
    <t>La version finale a été testée mais pas mise à l'essai de façon prolongée en situation réelle. Il n'est pas garanti que le classeur soit complètement exempt de bogues. Dans l'éventualité où des bogues sont trouvés dans le fonctionnement du classeur, le CETAB+ les corrigera et rendra une mise à jour accessible. Il n'offrira cependant aucun support gratuit pour l'utilisation du classeur, ni pour le transfert des données dans un classeur mis à jour.</t>
  </si>
  <si>
    <t>Si vous pensez avoir trouvé des bogues dans le classeur, veuillez le signaler à Geoffroy Ménard (adresse en haut) en identifiant le comportement impliquant le bogue, la version d'Excel et du système d'exploitation utilisée et en y joignant votre fichier.</t>
  </si>
  <si>
    <t xml:space="preserve">
</t>
  </si>
  <si>
    <t xml:space="preserve">
</t>
  </si>
  <si>
    <t>INTRODUCTION</t>
  </si>
  <si>
    <t>CRÉDITS</t>
  </si>
  <si>
    <t>LÉGENDE DES FORMATS DE CELLULES</t>
  </si>
  <si>
    <t>DESCRIPTION DES FEUILLES DE CE CLASSEUR</t>
  </si>
  <si>
    <t>Portrait actuel</t>
  </si>
  <si>
    <t>Config</t>
  </si>
  <si>
    <t>Synthèse</t>
  </si>
  <si>
    <t>RéfLait</t>
  </si>
  <si>
    <t>Champs</t>
  </si>
  <si>
    <t>RéfChamps</t>
  </si>
  <si>
    <t>Normes</t>
  </si>
  <si>
    <t>Motivations &amp; Freins</t>
  </si>
  <si>
    <t>Synthèse des résultats quantitatifs</t>
  </si>
  <si>
    <t>Modélisation de la production laitière</t>
  </si>
  <si>
    <t>Données de référence sur la production laitière</t>
  </si>
  <si>
    <t>Modélisation de la production de grandes cultures</t>
  </si>
  <si>
    <t>Données de référence sur les grandes cultures</t>
  </si>
  <si>
    <t>Planification des investissements pour les grandes cultures</t>
  </si>
  <si>
    <t>Critères de conformité règlementaire</t>
  </si>
  <si>
    <t>Paramétrages: type de ferme, nombre de scénarios à inclure, cultures utilisées, sauvegarde automatique</t>
  </si>
  <si>
    <t>MOTIVATIONS ET FREINS</t>
  </si>
  <si>
    <t>Personnel et main-d’œuvre</t>
  </si>
  <si>
    <t>Infrastructure</t>
  </si>
  <si>
    <t>Équipement et matériel</t>
  </si>
  <si>
    <t>Travaux à forfait</t>
  </si>
  <si>
    <t>Économique</t>
  </si>
  <si>
    <t>Changements à envisager</t>
  </si>
  <si>
    <t>Année de création de l'entreprise
Cheminement de l'entreprise en fonction des années (pourquoi les changements)
ex. : production de départ, production actuelle</t>
  </si>
  <si>
    <t>Historique (date de début, personnes impliquées, etc.)
Description sommaire des superficies et des cultures produites
Description du cheptel
Mise en marché actuelle des produits</t>
  </si>
  <si>
    <t>[+]</t>
  </si>
  <si>
    <t xml:space="preserve">
</t>
  </si>
  <si>
    <t>"Ex. : allergie aux pesticides
Augmenter la rentabilité de l'entreprise
Protection de l'environnement
Crénaux particuliers
Conviction personnelle
Accès à d'autres marchés"</t>
  </si>
  <si>
    <t>Bâtiments et leur grandeur (grange, étable, entrepôt, etc.) 
Silos et leur capacité pour connaitre s'il va y avoir assez d'entreposage pour les futures productions
Installations équipées en modalité de tri (crible) de la récolte (ou entraide possible)
Installations équipées en modalité de conservation du grain (ventilation, séchage)</t>
  </si>
  <si>
    <t>Tracteurs et leur force ainsi que largeur de l'empattement entre les roues pour envisager le sarclage dans les cultures au 30''
Outils aratoires (charrue, vibro, cultivateur, herse à disque, rouleau, etc.)
Semoir (préciser l'écartement des rangs)
Batteuse
Épandeur à fumier
Équipement de sarclage
Équipement pour les fourrages</t>
  </si>
  <si>
    <t xml:space="preserve">
</t>
  </si>
  <si>
    <t>Demander si le producteur a une connaissance des différents marchés biologiques. Il faut identifier, pour chaque produit,  les modes de mise en marché en fonction des opportunités et contraintes (plan conjoint, quota, intérêt et aptitudes pour la vente directe, situation géographique de la ferme, concurrence, etc.).     
Évaluer les risques de marchés (variation de prix en circuit long, saturation des marchés locaux, possibilités d’arrivée de « grands joueurs » dans la production).     
Pour chacune des productions qui passeront en bio, demander si le producteur a une idée de sa future mise en marché.     
Discuter de la valeur ajoutée qui peut être apportée par la transformation à la ferme (parler des normes).     
S'assurer que l'entreprise est capable d'entreposer les récoltes, de les traiter (ex. : criblage dans les grains). Informer l'entreprise qu'il est possible de livrer des grains à la récolte.     
Pour la mise en marché des animaux, s'assurer que l’agriculteur est prêt à mettre l'effort pour faire sa propre mise en marché si on veut indiquer une plus-value dans les budgets.     
Référence : Analyse de 5 filières Fruits et légumes, Produits laitiers, Viandes, Produits acéricoles, Céréales www.agrireseau.qc.ca/agriculturebiologique/documents/%C3%89coRessources%20Fili%C3%A8re%20bio%202012%20Analyse%20des%20march%C3%A9s_2012-03-06_VF.pdf</t>
  </si>
  <si>
    <t xml:space="preserve">L’analyse de la rentabilité se fait à long terme. Les années de transition peuvent être difficiles financièrement et la rotation s’établit sur quelques années.     
Il faut prévoir deux années de transition, ce qui veut dire qu’il faut produire bio sans en avoir la certification, ce qui veut souvent dire vendre son produit sans valeur ajoutée. On retrouve parfois une valeur ajoutée des cultures en transition dans les céréales sans intrants et dans les légumes en vente directe.     
Les entreprises en situation financière précaire voient l’agriculture bio comme une solution de survie qui peut influencer leur choix du passage en bio. Bien que certaines entreprises en difficulté réussissent leur passage en bio, si les problèmes de santé financière sont dus aux performances techniques, il est peu probable que le passage en bio règle la situation financière. Il importe de bien documenter les performances techniques dans l’analyse de la situation actuelle.     
Le conseiller en productions végétales de l’entreprise effectuera une planification de l’assolement pour les 5 années à venir qui servira de base pour la planification technique. Il devrait normalement tenir compte de la bande tampon de 8 mètres avec les cultures voisines non bio dans les superficies indiquées.     
Les productions biologiques assurables à l’ASRA sont les mêmes que les productions conventionnelles. Elles sont assurables selon le même modèle de référence que les productions conventionnelles.     
Même si certaines cultures sont moins rentables, elles sont importantes dans une  rotation. L’analyse de la rentabilité ne se fait pas culture par culture mais globalement sur une rotation.     
Dans les prévisions, attention de ne pas prendre le rendement trop élevé d'une année exceptionnelle. Il y a des années où cela va moins bien, on perd parfois des superficies; il faut prendre des données moyennes. L’agriculture bio est très technique et les agriculteurs raffinent leurs connaissances et leurs techniques avec le temps.     
En ce qui concerne l’attitude vis-à-vis du risque, une étude  démontre que la probabilité de conversion à l’AB diminue en fonction du degré d’aversion au risque de l’exploitant. Il faut connaitre l’attitude de l’agriculteur face aux risques. Des scénarios de variation de prix sous forme de point mort ou de tableau de sensibilité seront un outil d’aide à la décision.     </t>
  </si>
  <si>
    <t xml:space="preserve">Nom, statut, responsabilité, emloi extérieur, nombre d'UTP de chaque travailleur
Indiquer si la sitation va changer dans l'avenir
Indiquer les avantages ou les inconvénients à la situation de main-d'oeuvre présente
Main-d’oeuvre disponible en nombre suffisant pour la conduite bio
Le temps de travail en bio est en général supérieur au conventionnel. Il faut envisager de dégager du temps aux personnes en place si elles sont déjà occupées à pleine capacité. Même si une partie du travail supplémentaire est effectué par les propriétaires sans sortie monétaire additionnel, il faut soulever ce point dans l’analyse.     </t>
  </si>
  <si>
    <t>Commercialisation</t>
  </si>
  <si>
    <t xml:space="preserve">
</t>
  </si>
  <si>
    <t>IMPRESSION DE RAPPORT</t>
  </si>
  <si>
    <t>Page titre</t>
  </si>
  <si>
    <t>Description de l'entreprise</t>
  </si>
  <si>
    <t>Synthèse des critères de conformité règlementaire</t>
  </si>
  <si>
    <t>Synthèse des freins et motivations</t>
  </si>
  <si>
    <t>DESCRIPTION DE L'ENTREPRISE</t>
  </si>
  <si>
    <t>Détails des investissements</t>
  </si>
  <si>
    <t>√</t>
  </si>
  <si>
    <t>Analyse des freins et motivations de l'agriculteur</t>
  </si>
  <si>
    <t>Description</t>
  </si>
  <si>
    <t>Documentation de plusieurs aspects de la transition bio</t>
  </si>
  <si>
    <t>Le présent diagnostic est un document décisionnel permettant d'alimenter la décision d'une entreprise qui envisage de faire une transition vers l'agriculture biologique. Par son approche multidisciplinaire, le diagnostic de conversion permet de faire l'état de la situation de l'entreprise, de cerner ses atouts, ses contraintes face à la transition biologique. Il permet d'analyser la faisabilité économique de la transition biologique par un bilan économique du projet à court et à moyen terme. Du côté technique, le diagnostic permet d'établir les écarts du système de production en regard des normes de certification biologique en vigueur. Au terme du diagnostic, l'objectif est de planifier les démarches et les pistes d'adaptation (ex.: techniques de production, achat ou remplacement d'équipement, organisation du travail, etc.) pour que la transition biologique soit une réussite.</t>
  </si>
  <si>
    <t>Impression</t>
  </si>
  <si>
    <t>Choisir les sections à imprimer</t>
  </si>
  <si>
    <t>Entreprise</t>
  </si>
  <si>
    <t>Ferme Bio_Excel Enr.</t>
  </si>
  <si>
    <t>Nim</t>
  </si>
  <si>
    <t>Adresse</t>
  </si>
  <si>
    <t>321 rue de la Campagne</t>
  </si>
  <si>
    <t>Ville</t>
  </si>
  <si>
    <t>St-Foinfoin</t>
  </si>
  <si>
    <t>Code postal</t>
  </si>
  <si>
    <t>H0H 0H0</t>
  </si>
  <si>
    <t>Bureau Conseil</t>
  </si>
  <si>
    <t>Services Gestion CETAB+</t>
  </si>
  <si>
    <t>Conseiller</t>
  </si>
  <si>
    <t>Mon conseiller</t>
  </si>
  <si>
    <t># dossier</t>
  </si>
  <si>
    <t>Année</t>
  </si>
  <si>
    <t>Mois</t>
  </si>
  <si>
    <t>Titre</t>
  </si>
  <si>
    <t>Date</t>
  </si>
  <si>
    <t>Texte personnalisé</t>
  </si>
  <si>
    <t>GRANDES CULTURES</t>
  </si>
  <si>
    <r>
      <t xml:space="preserve">INVESTISSEMENTS POUR LES </t>
    </r>
    <r>
      <rPr>
        <b/>
        <sz val="15"/>
        <color theme="5"/>
        <rFont val="Segoe UI"/>
        <family val="2"/>
        <scheme val="minor"/>
      </rPr>
      <t>GRANDES CULTURES</t>
    </r>
  </si>
  <si>
    <t>Nom de la feuille</t>
  </si>
  <si>
    <t>PageTitre</t>
  </si>
  <si>
    <t>Accueil</t>
  </si>
  <si>
    <t>SYNTHÈSE DES MOTIVATIONS ET FREINS</t>
  </si>
  <si>
    <t>Plus importantes motivations</t>
  </si>
  <si>
    <t>Score</t>
  </si>
  <si>
    <t>Plus importants freins</t>
  </si>
  <si>
    <t>SYNTHÈSE DE LA CONFORMITÉ RÉGLEMENTAIRE</t>
  </si>
  <si>
    <t>Nom de la norme</t>
  </si>
  <si>
    <t>Numéro</t>
  </si>
  <si>
    <t>sans objet</t>
  </si>
  <si>
    <t>Valeur seuil pour afficher dans synthèse</t>
  </si>
  <si>
    <t>Synthèse des résultats des productions</t>
  </si>
  <si>
    <t>Scénarios</t>
  </si>
  <si>
    <r>
      <t xml:space="preserve">SYNTHÈSE DES RÉSULTATS
</t>
    </r>
    <r>
      <rPr>
        <b/>
        <sz val="15"/>
        <color theme="4"/>
        <rFont val="Segoe UI"/>
        <family val="2"/>
        <scheme val="minor"/>
      </rPr>
      <t>PRODUCTION LAITIÈRE</t>
    </r>
  </si>
  <si>
    <r>
      <t xml:space="preserve">SYNTHÈSE DES RÉSULTATS
</t>
    </r>
    <r>
      <rPr>
        <b/>
        <sz val="15"/>
        <color theme="5"/>
        <rFont val="Segoe UI"/>
        <family val="2"/>
        <scheme val="minor"/>
      </rPr>
      <t>GRANDES CULTURES</t>
    </r>
  </si>
  <si>
    <t>Réinitialiser le classeur au complet</t>
  </si>
  <si>
    <t>Paille</t>
  </si>
  <si>
    <t>Chanvre bio</t>
  </si>
  <si>
    <t>Chanvre conv</t>
  </si>
  <si>
    <t>Détails pour le pâturage</t>
  </si>
  <si>
    <t>Total des coûts variables</t>
  </si>
  <si>
    <t>Conformité</t>
  </si>
  <si>
    <t>(vide)</t>
  </si>
  <si>
    <t>Le présent outil a pour but de fournir à un conseiller un outil permettant d’estimer des impacts de la transition biologique d’une entreprise laitière, en grandes cultures, ou mixte (lait + grandes cultures) qu’il accompagne. L’utilisateur peut documenter ou modifier les données fournies, issues des références économiques disponibles, avec ses propres données. Le but visé est d’obtenir rapidement les résultats globaux des aspects techniques, économiques, règlementaires et humains qu’implique une transition à l’agriculture biologique, mais aussi aller peaufiner plusieurs calculs dans les détails et comparer plusieurs scénarios, au besoin.</t>
  </si>
  <si>
    <t>OBJECTIF ET MISE EN GARDE</t>
  </si>
  <si>
    <t>NOTE SUR L'UTILISATION DU CLASSEUR</t>
  </si>
  <si>
    <t>L’utilisation des contenus demeure sous l’entière responsabilité des usagers. Ces contenus ne constituent pas des conseils agronomiques, financiers, d’investissement ou autre, ou encore une opinion juridique. Les usagers sont invités à obtenir des conseils appropriés auprès de leurs conseils avant prendre des décisions d’entreprise, suite à l’évaluation diagnostic fournie à l’aide du présent outil.</t>
  </si>
  <si>
    <t>Les contenus sont jugés représentatifs des connaissances du secteur ou du sujet traité au moment de la rédaction. Ces connaissances peuvent évoluer dans le temps et les usagers sont invités à faire leurs propres vérifications relatives aux données utilisées.</t>
  </si>
  <si>
    <t xml:space="preserve">
</t>
  </si>
  <si>
    <t>Objectifs et mise en garde</t>
  </si>
  <si>
    <t>Sections à inclure</t>
  </si>
  <si>
    <t>PRODUCTION LAITIÈRE</t>
  </si>
  <si>
    <t>Cachée</t>
  </si>
  <si>
    <t>Listes déroulantes</t>
  </si>
  <si>
    <t>Français</t>
  </si>
  <si>
    <t>Anglais</t>
  </si>
  <si>
    <t>En précertification</t>
  </si>
  <si>
    <t>Grain acheté servi aux génisses</t>
  </si>
  <si>
    <t>pâturage</t>
  </si>
  <si>
    <t>Charges variables</t>
  </si>
  <si>
    <t>Charges fixes</t>
  </si>
  <si>
    <t>Intérêts</t>
  </si>
  <si>
    <t>Amortissements des nouveaux investissements</t>
  </si>
  <si>
    <t>Intérêts sur les nouveaux emprunts</t>
  </si>
  <si>
    <t>Main d'œuvre</t>
  </si>
  <si>
    <t>Taxes foncières nettes</t>
  </si>
  <si>
    <t>Assurances</t>
  </si>
  <si>
    <t>Entretien et réparation des bâtiments</t>
  </si>
  <si>
    <t>Entretien de la terre</t>
  </si>
  <si>
    <t>Frais généraux</t>
  </si>
  <si>
    <t>Coût quota</t>
  </si>
  <si>
    <t>Coût total des nouveaux investissements</t>
  </si>
  <si>
    <t xml:space="preserve">Achat/vente (-) de quota </t>
  </si>
  <si>
    <t>Marge avant amortissement, intérêts et retraits</t>
  </si>
  <si>
    <t>Utiliser moyennes Agritel pour amortissement, intérêts et retraits?</t>
  </si>
  <si>
    <t xml:space="preserve">Élements de productivité du troupeau effectant sa capacité à générer des revenus. </t>
  </si>
  <si>
    <t>Permet d'établir les besoins d'élevage du troupeau et les coûts associés.</t>
  </si>
  <si>
    <t xml:space="preserve">Ici on détermine les concentrés qui seront servis au troupeau.  On différencie les concentrés produits à la ferme de ceux achetés.  </t>
  </si>
  <si>
    <t>Cette section permet d'indiquer les charges liées à la santé et à la reproduction du troupeau.  Très important à considérer quand on compare la régie conventionnelle à la régie bio.</t>
  </si>
  <si>
    <t>Ici on détermine la part des fourrages consommés par le troupeau qui proviendra des fourrages récoltés. La maturité de la plante à la récolte et la régie de la mangeoire auront une influence sur la consommation volontaire des vaches et leur besoin en complémentation. Le résultat sera comparé à la production prévue des prairies et des superficies de maïs ensilage.</t>
  </si>
  <si>
    <t xml:space="preserve">Ici on peut ajuster les besoins de litière du troupeau en fonction du système de logement utilisé et du confort visé dans la stalle.  </t>
  </si>
  <si>
    <t>Permet de constater la valeur des produits de ferme utilisés pour la production du lait.  De là on pourra déterminer le prix cible ou coût de production du lait sur la ferme.</t>
  </si>
  <si>
    <t>Permet d'établir les besoins en main-d'œuvre et de partager entre les salariés et propriétaires.  Ajusterment automatique en fontion du nombre de vaches.</t>
  </si>
  <si>
    <t>Permet d'intégrer les coûts pour les nouveaux investissements à réaliser dans le cadre de la transition.  C'est une estimation rapide établie en utilisant des coûts moyens provinciaux par vache.  Les coûts réels seront différents selon les plans retenus et le prix régional pour les matériaux.</t>
  </si>
  <si>
    <t>?</t>
  </si>
  <si>
    <t>Ici on détermine la part des fourrages consommés par le troupeau qui proviendra des pâturages. Le type de plante et la régie utilisée aura une influence sur la consommation volontaire des vaches et leur besoin en complémentation.  Le résultat servira aussi à établir la superficie de la ferme qui sera réservée aux pâturages.</t>
  </si>
  <si>
    <t>Nombre maximal d'éléments à inclure</t>
  </si>
  <si>
    <t>Bien que l’on puisse toujours faire marche arrière, le passage en bio est quelque chose de particulier dans la vie de l’entreprise et dans le processus de prise de décision. Lorsqu’une personne envisage un projet de transition vers l’agriculture biologique, il est important de comprendre pourquoi, fondamentalement, ce projet. Qu’est-ce qui est essentiel, qui a généré l’idée d’envisager ce changement? L’identification des facteurs favorables et des facteurs contraignants aide à prendre une décision éclairée.
Les facteurs favorables sont des motivations ressenties par les agriculteurs pour entreprendre le passage vers l’agriculture biologique. Les facteurs contraignants sont des freins exprimés par les agriculteurs qui représentent soit des défis importants ou même une situation permettant de considérer la transition comme étant inappropriée dans le contexte de l’entreprise. 
Le questionnaire suivant est un diagnostic (autoévaluation) présentant 20 facteurs qui peuvent être des sources de motivation de passer en bio, de même que 20 autres motifs susceptibles de freiner la démarche ou l’intérêt du passage en bio. 
Plus il y a de motivations identifiées par le répondant, plus le passage en bio est souhaitable et vice- versa pour les contraintes. Toutefois, il ne s’agit pas de comparer le nombre de facteurs favorables au nombre de facteurs défavorables. Certains facteurs ont plus de poids que d’autres. Une seule contrainte pourrait avoir plus d’impact dans la décision qu’une série de facteurs favorables; il en est de même pour un facteur favorable vs les contraintes.</t>
  </si>
  <si>
    <t>Motivation et freins - synthèse</t>
  </si>
  <si>
    <t>Dernière copie :</t>
  </si>
  <si>
    <t>Il arrive que la liste de cultures ou d'autres contrôles apparaissent vide. Si certains boutons ou listes semblent absents ou mal dimensionnés, cliquez ce bouton pour tenter de les réajuster.</t>
  </si>
  <si>
    <t xml:space="preserve">Contrôles : </t>
  </si>
  <si>
    <t>Pâturage BIO</t>
  </si>
  <si>
    <t>Pâturage CONV</t>
  </si>
  <si>
    <t>Épeautre d'automne BIO</t>
  </si>
  <si>
    <t>Épeautre d'automne CONV</t>
  </si>
  <si>
    <t>Épeautre de printemps BIO</t>
  </si>
  <si>
    <t>Épeautre de printemps CONV</t>
  </si>
  <si>
    <t xml:space="preserve">Canola BIO </t>
  </si>
  <si>
    <t xml:space="preserve">Canola CONV </t>
  </si>
  <si>
    <t>Sarrasin BIO</t>
  </si>
  <si>
    <t>Sarrasin CONV</t>
  </si>
  <si>
    <t>Haricots secs BIO</t>
  </si>
  <si>
    <t>Haricots secs CONV</t>
  </si>
  <si>
    <t>Maïs-grain biologique  AGDEX 111.19/821a 2018</t>
  </si>
  <si>
    <t>Maïs-grain conventionnel AGDEX 111/821b 2016</t>
  </si>
  <si>
    <t xml:space="preserve">Soya conventionnel AGDEX 141/821 2016 </t>
  </si>
  <si>
    <t>Soya biologique AGDEX 141.19/821 2018</t>
  </si>
  <si>
    <t xml:space="preserve"> Blé panifiable bio AGDEX 112.19/821 2018 </t>
  </si>
  <si>
    <t xml:space="preserve"> Blé panifiable conv. AGDEX 112/821c 2016 </t>
  </si>
  <si>
    <t xml:space="preserve">Adapté de AGDEX 112.19/821 2018  et 112/821a 2016 </t>
  </si>
  <si>
    <t xml:space="preserve"> Blé aut. panifiable conv. AGDEX 112/821a 2016 </t>
  </si>
  <si>
    <t xml:space="preserve">Orge biologique AGDEX 114.19/821b 2016  </t>
  </si>
  <si>
    <t xml:space="preserve">Orge conventionnel AGDEX 114/821a 2017  </t>
  </si>
  <si>
    <t xml:space="preserve">Avoine biologique AGDEX 113.19/821b 2016 </t>
  </si>
  <si>
    <t>Avoine conventionnel AGDEX 113/821a 2017</t>
  </si>
  <si>
    <t xml:space="preserve">Seigle aut. biologique AGDEX 113.19/821a 2016  </t>
  </si>
  <si>
    <t xml:space="preserve">Seigle aut. biologique AGDEX 113.19/821a 2016  et  Blé aut. panifiable conv. AGDEX 112/821a 2016 </t>
  </si>
  <si>
    <t>Grains mélangés BIO AGDEX 118.19/821c 2016</t>
  </si>
  <si>
    <t>Orge conventionnel AGDEX 114/821a 2017 et Grains mélangés BIO AGDEX 118.19/821c 2016</t>
  </si>
  <si>
    <t>Pâturage conv. CRAAQ - Agcex 130/821, Maïs-grain biologique  AGDEX 111.19/821a 2018 et Foin 120/891 2017</t>
  </si>
  <si>
    <t>CRAAQ - Agcex 130/822</t>
  </si>
  <si>
    <t>Pâturage conv. CRAAQ - Agcex 130/821 et Foin 120/891 2017</t>
  </si>
  <si>
    <t>Foin AGDEX 120/821 206, 121/821 2016 et 120/891 2017 et Maïs-grain biologique  AGDEX 111.19/821a 2018</t>
  </si>
  <si>
    <t>Foin AGDEX 120/821 206, 121/821 2016 et 120/891 2017</t>
  </si>
  <si>
    <t>Maïs fourrager AGDEX 111/821a 2014 et Maïs-grain biologique  AGDEX 111.19/821a 2018</t>
  </si>
  <si>
    <t>Maïs fourrager AGDEX 111/821a 2014</t>
  </si>
  <si>
    <t xml:space="preserve">Épeautre aut. biologique AGDEX 118.19/821a 2016  </t>
  </si>
  <si>
    <t>Épeautre aut. Conv. PAS DE RÉFÉRENCE</t>
  </si>
  <si>
    <t xml:space="preserve">Épeautre print. biologique AGDEX 118.19/821p 2016  </t>
  </si>
  <si>
    <t>Épeautre print. Conv. PAS DE RÉFÉRENCE</t>
  </si>
  <si>
    <t>Canola biologique AGDEX 149.19/821 2014</t>
  </si>
  <si>
    <t>Canola conv. AGDEX 149/821 2016</t>
  </si>
  <si>
    <t>Sarrasin conv. et bio AGDEX 118/821 2016</t>
  </si>
  <si>
    <t>Chanvre biologique AGDEX 153.19/821 2016</t>
  </si>
  <si>
    <t>Chanvre biologique AGDEX 153.19/821 2016 et ref blé de print. AGDEX 112/821c 2016, OMAFRA</t>
  </si>
  <si>
    <t>Haricots secs AGDEX 142/821a 2011</t>
  </si>
  <si>
    <t>Engrais minéraux</t>
  </si>
  <si>
    <t>Pesticide</t>
  </si>
  <si>
    <t xml:space="preserve">Épandage engrais ou fumier (coût par tonne) </t>
  </si>
  <si>
    <t>Pulvérisateur</t>
  </si>
  <si>
    <t xml:space="preserve">Herse lourde </t>
  </si>
  <si>
    <t>Vibroculteur</t>
  </si>
  <si>
    <t>Andainage</t>
  </si>
  <si>
    <t xml:space="preserve">Wagon à grains (Transport à la ferme) </t>
  </si>
  <si>
    <t>Épierrage (râteau, rammasseur et remorque)</t>
  </si>
  <si>
    <t>Contrôles</t>
  </si>
  <si>
    <t>Il peut arriver qu'un fichier Excel devienne corrompu et irrécupérable, ou que l'on fasse une manipulation fortuite dont on se rend compte trop tard et que l'on doive retourner un certains temps en arrière. 
Une fonctionnalité vous est offerte pour créer une COPIE du classeur dans un sous-dossier, en un clic ou automatiquement à l'ouverture du fichier, si la copie de sauvegarde automatique est activée. Si cette fonction est activée, le classeur vérifiera à son ouverture si la date de la dernière copie de sauvegarde est plus vieille que l'intervalle désiré pour les nouvelles copies. Le cas échéant, une nouvelle copie de sauvegarde sera crée.
Les copies de sauvegarde ainsi créées sont enregistrées dans un sous dossier appelé 'Backups' à l'intérieur du dossier du classeur; le fichier porte le même nom que ce classeur, suivi de la date d'enregistrement.</t>
  </si>
  <si>
    <t>Seigle</t>
  </si>
  <si>
    <t>Sarrasin</t>
  </si>
  <si>
    <t>Haricots secs</t>
  </si>
  <si>
    <t>Contrôles :</t>
  </si>
  <si>
    <t>Données</t>
  </si>
  <si>
    <t>sarrasin autoconsommé</t>
  </si>
  <si>
    <t>Alimentation des vaches</t>
  </si>
  <si>
    <t>Produites</t>
  </si>
  <si>
    <t>Durée de vie</t>
  </si>
  <si>
    <t>Valeur</t>
  </si>
  <si>
    <t>vie utile
restante</t>
  </si>
  <si>
    <t>Montant autofinancé</t>
  </si>
  <si>
    <t xml:space="preserve"> % du poids vif</t>
  </si>
  <si>
    <t>(sur charges variables)</t>
  </si>
  <si>
    <t>(Ensemble de la ferme)</t>
  </si>
  <si>
    <t xml:space="preserve">Haricots secs AGDEX 142/821a 2011, Soya biologique AGDEX 141.19/821 2018 et Orge biologique AGDEX 114.19/821b 2016  </t>
  </si>
  <si>
    <t xml:space="preserve">Cette section réfère à la rotation ainsi que les superficies assignées par cultures pour les périodes actuelles et projetées pendant la période de transition et de certification de l'entreprise. </t>
  </si>
  <si>
    <t xml:space="preserve">Selon les superficies nécessaires à production laitière, cette section permet d'établir une rotation pour planifier le renouvellement des prairies ou l'ajout de surface selon la situation de l'entreprise. </t>
  </si>
  <si>
    <t xml:space="preserve">Cette section réfère à la feuille "RefChamps". Il faut compéter la feuille "Refchamps" selon la réalité de l'entreprise: rendements, équipements disponible, région. Les informations de bases fournies dans la feuille "RefChamps" proviennent des Références économiques du CRAAQ. </t>
  </si>
  <si>
    <t>Les produits indiqués réfèrent aux données indiquées dans la feuille "RefChamps". Les produits sont directement influencés par le rendement de la culture. Cette section comprend les produits vendus à l'extérieur de la ferme (ex. Soya humain) et les produits autoconsommés nécessaire aux besoins du troupeau laitier (ex. grains mélangés, maïs ensilage ou grain).</t>
  </si>
  <si>
    <t>Les charges indiquées réfèrent aux données indiquées dans la feuille "RefChamps" pour les cultures sélectinonées dans la section "Rotation des surfaces en cultures et prairies" et "Rotation des surfaces en pâturage" (Approvisionnement, opérations culturales, mise en marché, etc.).</t>
  </si>
  <si>
    <t>La feuille "Synthèse" réfère à la synthèse des résultats technico-économique générés à partir des feuilles "Lait" et "Champs"</t>
  </si>
  <si>
    <t>Fait référence à la section "Lait". Selon la grosseur du troupeau laitier et le besoin en alimentation, il y aura une superficie minimale assignée aux prairies et aux pâturages. Les superficies en pâturages requises sont également en fonction de la norme biologique.
"Rendement attendu" fait référence au rendement prévu dans le pâturage. La donnée doit être écrite dans l'onglet "RefChamps" sous la culture "Pâturage BIO" pour l'ensemble des données technico-économiques soient considérées dans la feuille "Champs".</t>
  </si>
  <si>
    <t>"Superficie totale", il faut indiquer la superficie exploitée par l'ensemble de l'entreprise.</t>
  </si>
  <si>
    <t>Indiquer si la référence de production (charges, rendements etc) est en mode conventionnel ou biologique. Il faut également indiquer si le prix de vente devrait être basé sur le marché biologique. En période de transition, la production doit respecter les normes biologiques (ex. pas de pesticides de synthèse et de traitements des semences), mais la récolte est vendue sur le marché conventionnel. Lors de l'année de pré-certification, il arrive très fréquemment que le prix de vente correspond au marché biologique, puisque le 36 mois de délai s'est écoulé entre la dernière application de produits interdits et le moment de la récolte.</t>
  </si>
  <si>
    <t xml:space="preserve">Total coûts fixes </t>
  </si>
  <si>
    <t>** Source : Coûts fixes entreprise en grandes cultures biologiques AGDEX 110.19/821 (2014)</t>
  </si>
  <si>
    <t>Source: budget d'Exploitation entreprise céréalière bio</t>
  </si>
  <si>
    <t>valeur résiduelle</t>
  </si>
  <si>
    <t>Semoir à maïs (soya)</t>
  </si>
  <si>
    <t>Listes des cultures utilisées</t>
  </si>
  <si>
    <t>Épeautre d'automne</t>
  </si>
  <si>
    <t>Épeautre d'automne autoconsommé</t>
  </si>
  <si>
    <t>Épeautre d'automne produit</t>
  </si>
  <si>
    <t>Épeautre de printemps</t>
  </si>
  <si>
    <t>Vous devez d'abord, dans la première liste, identifier toutes les cultures qui sont produites à la ferme - qu'elles soient destinées à l'autoconsommation ou à la vente. 
Ensuite les cultures sélectionnées s'afficheront dans la deuxième liste et vous devez sélectionner les cultures qui seront utilisées pour l'alimentation des vaches.
Après avoir modifié votre sélection, cliquez le bouton Appliquer la sélection aux feuilles de travail afin que la sélection de culture s'applique correctement.</t>
  </si>
  <si>
    <t>Caractéristiques générales du système:  race, régime, niveau d'efficacité, taille, capacité, marché.  Utilisé par le logiciel pour aller chercher les valeurs dans les tables de référence et pour déterminer le volume de production maximum.</t>
  </si>
  <si>
    <t>Sommaire des quantités produites et vendues, des performance en alimentation et du coût des concentrés/hl.  Les résultats économiques sont calculés à partir de ces informations.</t>
  </si>
  <si>
    <t>Affiche le détail des produits bruts réalisés et des coûts assumés.  Permet de valider le résultat en comparant à la situation actuelle de l'entreprise ou aux benchmarks.</t>
  </si>
  <si>
    <t>kg/têt/jour (TQS)</t>
  </si>
  <si>
    <t>Foin sec servi à l'étable durant la période</t>
  </si>
  <si>
    <t xml:space="preserve">Fourrages des vaches provenant des pâturages </t>
  </si>
  <si>
    <t>superficie consacrée aux pâturages</t>
  </si>
  <si>
    <t>équivalent M.S. consommée en concentrés</t>
  </si>
  <si>
    <t>MS concentrés vaches incluant part maïs ensilage</t>
  </si>
  <si>
    <t>alerte</t>
  </si>
  <si>
    <t>Noms de zones</t>
  </si>
  <si>
    <t>Vie 
économique (An)</t>
  </si>
  <si>
    <t>VR (%)</t>
  </si>
  <si>
    <t>Nb d'heures annuellles</t>
  </si>
  <si>
    <t>Coûts fixes, entretien et réparation
($/h)</t>
  </si>
  <si>
    <t>Sarclage leger (cultivateur)</t>
  </si>
  <si>
    <t>Ramasseur chargeur de roche</t>
  </si>
  <si>
    <t>Superficie cultures annuelles et prairies</t>
  </si>
  <si>
    <t>Superficie en cultures annuelles</t>
  </si>
  <si>
    <t xml:space="preserve">Descriptions des scénarios
</t>
  </si>
  <si>
    <t>Épeautre de printemps autoconsommé</t>
  </si>
  <si>
    <t>Haricots secs autoconsommés</t>
  </si>
  <si>
    <t>Lait / vache (kg)</t>
  </si>
  <si>
    <t>Taux de matière grasse (%)</t>
  </si>
  <si>
    <t>Vaches nécessaires pour quota et journées additionnelles</t>
  </si>
  <si>
    <t>Génisses nées dans l'année gardées pour élevage</t>
  </si>
  <si>
    <t>Age au premier vêlage (mois)</t>
  </si>
  <si>
    <t>Vaches: consommation de fourrages</t>
  </si>
  <si>
    <t>Génisses: consommation de fourrages</t>
  </si>
  <si>
    <t>Valeur des grains de ferme auto-consommés vaches</t>
  </si>
  <si>
    <t>Lait famille et lait jeté</t>
  </si>
  <si>
    <t>Qté totale de concentrés - génisses</t>
  </si>
  <si>
    <t>Paille utilisée génisses + vaches taries</t>
  </si>
  <si>
    <t xml:space="preserve">Prix de la litière achetée </t>
  </si>
  <si>
    <t>Base de transfert de la valeur des céréales autoconsommées</t>
  </si>
  <si>
    <t>Temps de travail à l'étable des employés</t>
  </si>
  <si>
    <t>Nouvelle section robot ou salle de traite, laiterie, bureau,...</t>
  </si>
  <si>
    <t>nb génisses</t>
  </si>
  <si>
    <t>Coût moyen des concentrés vaches</t>
  </si>
  <si>
    <t>Produits bruts - étable</t>
  </si>
  <si>
    <t>Main-d'œuvre : exploitants et famille</t>
  </si>
  <si>
    <t xml:space="preserve">Vêlages / nb de vaches moyen    </t>
  </si>
  <si>
    <t xml:space="preserve">Pâturages des vaches                </t>
  </si>
  <si>
    <t xml:space="preserve">Espèces utilisée        </t>
  </si>
  <si>
    <t xml:space="preserve">Pâturage des génisses                </t>
  </si>
  <si>
    <t xml:space="preserve">Concentrés incluant part maïs ensilage </t>
  </si>
  <si>
    <t>Prix cible                          $/hl livré</t>
  </si>
  <si>
    <t>Prix reçu                          $/hl livré</t>
  </si>
  <si>
    <t>Sarrasin autoconsommé</t>
  </si>
  <si>
    <t>Prix net des grains mélangés</t>
  </si>
  <si>
    <t>Prix net du maïs-grain</t>
  </si>
  <si>
    <t>Prix net du maïs ensilage</t>
  </si>
  <si>
    <t>Prix net du soya</t>
  </si>
  <si>
    <t>Prix net du blé de printemps</t>
  </si>
  <si>
    <t>Prix net du blé d'automne</t>
  </si>
  <si>
    <t>Prix net du seigle d'automne</t>
  </si>
  <si>
    <t>Prix net du canola</t>
  </si>
  <si>
    <t>Prix net du sarrazin</t>
  </si>
  <si>
    <t>Prix net du chanvre</t>
  </si>
  <si>
    <t>Coût de production de l'orge</t>
  </si>
  <si>
    <t>Coût de production des haricots secs</t>
  </si>
  <si>
    <t>Prix net des haricots secs</t>
  </si>
  <si>
    <t>Prix net de l'orge</t>
  </si>
  <si>
    <t>Coût de production de l'avoine</t>
  </si>
  <si>
    <t>Prix net de l'avoine</t>
  </si>
  <si>
    <t>Coût de production de l'épeautre d'automne</t>
  </si>
  <si>
    <t>Prix net de l'épeautre d'automne</t>
  </si>
  <si>
    <t>Coût de production de l'épeautre de printemps</t>
  </si>
  <si>
    <t>Prix net de l'épeautre de printemps</t>
  </si>
  <si>
    <t>MODÉLISATION DES COÛTS DES GRANDES CULTURES</t>
  </si>
  <si>
    <t>Épeautre de printemps produit</t>
  </si>
  <si>
    <t>Sarrasin produit</t>
  </si>
  <si>
    <t>Haricots secs produits</t>
  </si>
  <si>
    <t>Total des investissements</t>
  </si>
  <si>
    <t>Amortissement</t>
  </si>
  <si>
    <t>Année d'acquisition</t>
  </si>
  <si>
    <t>Nouveaux emprunts</t>
  </si>
  <si>
    <t>Taux rémunération main-d'oeuvre</t>
  </si>
  <si>
    <t>Retraits (rémunération propriétaires)</t>
  </si>
  <si>
    <t>$ tot</t>
  </si>
  <si>
    <t>SYNTHÈSE DES RÉSULTATS
GLOBAUX</t>
  </si>
  <si>
    <t>Ventes de grandes cultures</t>
  </si>
  <si>
    <t>Vente de lait et animaux</t>
  </si>
  <si>
    <t>PRODUITS</t>
  </si>
  <si>
    <t>CHARGES</t>
  </si>
  <si>
    <t>Charges d'opération production laitière</t>
  </si>
  <si>
    <t>Charges d'opération grandes cultures</t>
  </si>
  <si>
    <t>Total des charges</t>
  </si>
  <si>
    <t>Salaires et charges sociales payés</t>
  </si>
  <si>
    <t>Rémunération des exploitants</t>
  </si>
  <si>
    <t>Charges fixes avant int. amort et m-o</t>
  </si>
  <si>
    <t>Type de ferme</t>
  </si>
  <si>
    <t>Nb de jours entre les copies :</t>
  </si>
  <si>
    <t>superficie pâturage / va</t>
  </si>
  <si>
    <t>Notez aussi qu'il est de votre responsabilité de vous faire régulièrement des copies de sauvegarde, et il est recommandé d'avoir un système de backups qui permet de récupérer plusieurs versions antérieures de vos fichiers. Afin de faciliter cette pratique, une fonction de copie de sauvegarde automatique a été programmée dans ce classeur. Vous pouvez le paramétrer dans la feuille 'config'. Vous pouvez aussi à tout moment faire une copie de sauvegarde en un clic en cliquant l'icone de coffre-fort.</t>
  </si>
  <si>
    <t xml:space="preserve">Espèces utilisée   </t>
  </si>
  <si>
    <t>Grain provenant du maïs ensilage</t>
  </si>
  <si>
    <t>jour</t>
  </si>
  <si>
    <t>Pourcentage de pertes estimé à l'entreposage et à la reprise</t>
  </si>
  <si>
    <t xml:space="preserve">Consommation totale M.S.  </t>
  </si>
  <si>
    <t>ratio lait/concentrés table - LIGNE CACHÉE en permanence</t>
  </si>
  <si>
    <t>Investissements (Lait)</t>
  </si>
  <si>
    <t>Investissements (Champs)</t>
  </si>
  <si>
    <t>(5.4.1) (5.4.4)
(5.5.2.3) (5.5.2.4)</t>
  </si>
  <si>
    <t>zonePaturage</t>
  </si>
  <si>
    <t>zonePrairies</t>
  </si>
  <si>
    <t>zoneGrainsmelanges</t>
  </si>
  <si>
    <t>zoneMaisgrain</t>
  </si>
  <si>
    <t>zoneMaisensilage</t>
  </si>
  <si>
    <t>zoneSoya</t>
  </si>
  <si>
    <t>zoneBledeprintemps</t>
  </si>
  <si>
    <t>zoneOrge</t>
  </si>
  <si>
    <t>zoneAvoine</t>
  </si>
  <si>
    <t>zoneBledautomne</t>
  </si>
  <si>
    <t>zoneSeigledautomne</t>
  </si>
  <si>
    <t>zoneEpeautredautomne</t>
  </si>
  <si>
    <t>zoneEpeautredeprintemps</t>
  </si>
  <si>
    <t>zoneCanola</t>
  </si>
  <si>
    <t>zoneSarrasin</t>
  </si>
  <si>
    <t>zoneChanvre</t>
  </si>
  <si>
    <t>zoneHaricotssecs</t>
  </si>
  <si>
    <t>zoneAutre1</t>
  </si>
  <si>
    <t>zoneAutre3</t>
  </si>
  <si>
    <t>zoneEngraisverts</t>
  </si>
  <si>
    <t>zoneAutre2</t>
  </si>
  <si>
    <t xml:space="preserve">Rotation et gestion des culture </t>
  </si>
  <si>
    <t>Situation actuelle</t>
  </si>
  <si>
    <t>Situation projetée</t>
  </si>
  <si>
    <t>Liste des investissements (1/2)</t>
  </si>
  <si>
    <t>Cette section sert à générer la liste des investissements nécessaires à la production des cultures biologiques. La liste des bâtiments et des équipements est déteminée en fonction des superficies de l'entreprise. Choisissez parmi une des dimensions de référence pour générer une liste avec des valeurs de base. Vous pourrez ensuite modifier les chiffres manuellement ou appliquer un multiplicateur, par exemple pour simuler des prix dans l'usagé.
 Le coûts des équipements indiqués est basé sur une valeur à neuf et provient des Références économiques du CRAAQ. Généralement, plusieurs équipements en régie biologique sont achetés usagés. Il est important de valider le coût de revient des équipements le plus réaliste possible et selon la situation de l'entreprise, car le montant total en investissement pourrait influencer la prise de décision de l'entreprise à faire un conversion biologique ou non.</t>
  </si>
  <si>
    <t>Bâtiments: en régie biologique, la capacité d'entreposage doit être supérieur qu'en régie conventionnelle. Il faut que l'entreprise soit capable d'entreposer l'ensemble des productions réalisées en cours d'année. En règle généale, l'acheteur exige souvent que le producteur puisse entreposer les grains sur une période moyenne de six mois. Il est rare que l'entreprise puisse vende le grain à la récolte. Comme les critères de qualité son important en biologique, il faut également que l'entreprise puisse sécher le grain et le cribler. 
Équipements: L'autonomie dans les équipements de sarclage est très importante pour la réussite des productions biologiques. Lorsqu'il y a des productions à grandes interlignes, certains équipements sont presque obligatoires comme le peigne et sarcleur (léger ou mi-lourd avec doigts Kress et/ou lourd). Dans le choix des équipements proposés, la largeur des des équipements de sarclage en rang doit être la même que la largeur du planteur (ex. si le planteur à 8 rangs, le sarcleur doit avoir 8 rangs). Certains équipements ne sont pas proposées dans les Référence du CRAAQ, mais il est possible de les ajouter en cliquant sur le bouton "Ajouter une ligne"  ex. système RTK, système de caméra, etc.</t>
  </si>
  <si>
    <t>Liste des investissements (2/2)</t>
  </si>
  <si>
    <t>Critères de conformité réglementaire</t>
  </si>
  <si>
    <t>Motivations</t>
  </si>
  <si>
    <t>Freins</t>
  </si>
  <si>
    <t>3</t>
  </si>
  <si>
    <t>4</t>
  </si>
  <si>
    <t>5</t>
  </si>
  <si>
    <t>6</t>
  </si>
  <si>
    <t>7</t>
  </si>
  <si>
    <t>8</t>
  </si>
  <si>
    <t>9</t>
  </si>
  <si>
    <t>La liste des équipements à acquérir est dans une feuille à part.</t>
  </si>
  <si>
    <t>Solde des emprunts</t>
  </si>
  <si>
    <t>Analyse de la capacité de remboursement</t>
  </si>
  <si>
    <t>Marge totale sur coûts variables</t>
  </si>
  <si>
    <t>Charges variables totales</t>
  </si>
  <si>
    <t>Cliquez sur une norme pour afficher sa description.
Pour chaque norme, cliquez sur les cellules vis à vis les colonnes Conforme, Non-conforme ou Sans objet correspondant à votre situation.</t>
  </si>
  <si>
    <t>Subventions transition et machinerie</t>
  </si>
  <si>
    <t>p</t>
  </si>
  <si>
    <t>Solde résiduel grandes cultures</t>
  </si>
  <si>
    <t>Grains de la ferme auto-consommés</t>
  </si>
  <si>
    <t>Paille auto-consommée</t>
  </si>
  <si>
    <t>Litière achetée</t>
  </si>
  <si>
    <t>Fourrages et litière de la ferme</t>
  </si>
  <si>
    <t>Fourrages et Grains autoconsommés</t>
  </si>
  <si>
    <t>Les quatre icônes sont pour :
• Réinitialiser la feuille: Remettre à zéro ou aux valeurs par défaut toutes les données de la feuille
• Réintialiser une ou des cellules: Remettre à zéro ou aux valeurs par défaut les données de la sélection.
• Copie de sauvegarde: Faire une copie du classeur actuel dans le sous-dossier .\Backups
• Nouvelle fenêtre: Créer une feuxième fenêtre affichant ce classeur</t>
  </si>
  <si>
    <t>Les vaches adultes disposent d'au moins 6 m² par tête à l'intérieur et de 9 m² par tête à l'extérieur. Les jeunes bovins disposent de  2,5 à 5 m² par tête à l'intérieur et de 5 à 9 m² par tête à l'extérieur, selon leur taille. Les bovins confinés pour la finition disposent d'au moins 23 m² par animal (6.8.7 c).Les veaux laitiers de plus de trois mois ne sont pas en enclos individuels et sont logés en groupe après le sevrage. Ceux de moins de trois mois en enclos individuels (minimum 2,5 m²) doivent pouvoir être libres de leurs mouvements à l'intérieur de leur enclos et voir, sentir et entendre les autres veaux (6.8.10.1). Le bâtiment d'élevage offre une bonne qualité de l'air, suffisamment d'espace pour que les animaux se couchent et se reposent, suffisamment de litière pour absorber les excréments et des planchers anti-dérapants, ou seulement partiellement en caillebotis (6.8.1). Logement, enclos et équipement sont nettoyés et désinfectés adéquatement (6.8.4).</t>
  </si>
  <si>
    <t>Garage isolé 4.8 x 9.1 x 18.3 (m)</t>
  </si>
  <si>
    <t>Wagon à grain 20 m³</t>
  </si>
  <si>
    <t>Wagon à grain 27 m³</t>
  </si>
  <si>
    <t>Marge sur charges variables</t>
  </si>
  <si>
    <t>zoneAlimentPaturage</t>
  </si>
  <si>
    <t>zoneAlimentPrairies</t>
  </si>
  <si>
    <t>zoneAlimentGrainsmelanges</t>
  </si>
  <si>
    <t>zoneAlimentMaisgrain</t>
  </si>
  <si>
    <t>zoneAlimentMaisensilage</t>
  </si>
  <si>
    <t>zoneAlimentSoya</t>
  </si>
  <si>
    <t>zoneAlimentBledeprintemps</t>
  </si>
  <si>
    <t>zoneAlimentOrge</t>
  </si>
  <si>
    <t>zoneAlimentAvoine</t>
  </si>
  <si>
    <t>zoneAlimentSeigledautomne</t>
  </si>
  <si>
    <t>zoneAlimentEpeautredautomne</t>
  </si>
  <si>
    <t>zoneAlimentEpeautredeprintemps</t>
  </si>
  <si>
    <t>zoneAlimentCanola</t>
  </si>
  <si>
    <t>zoneAlimentSarrasin</t>
  </si>
  <si>
    <t>zoneAlimentChanvre</t>
  </si>
  <si>
    <t>zoneAlimentHaricotssecs</t>
  </si>
  <si>
    <t>zoneAlimentAutre1</t>
  </si>
  <si>
    <t>zoneAlimentAutre3</t>
  </si>
  <si>
    <t>zoneAlimentEngraisverts</t>
  </si>
  <si>
    <t>zoneAlimentAutre2</t>
  </si>
  <si>
    <t xml:space="preserve">Modèle de référence pour générer la liste : </t>
  </si>
  <si>
    <t>TOTAL</t>
  </si>
  <si>
    <t>Avant de travailler dans cette section, il faut compléter la liste d'investissements (hyperlien à gauche). Une liste sera générée en fonction de la dimension de la ferme et vous pourrez la modifier. 
Nouveaux emprunts: Les emprunts ajoutés à une année donnée.
Solde des emprunts: Montant du cumulatif des nouveaux emprunts qu'il reste à rembourser (Solde de l'année précédente + Nouveaux emprunts année en cours - Remboursement année précédente)
Remboursement annuel : Le capital à rembourser sur le cumulatif des nouveaux emprunts. S'additionne aux intérêts sur les nouveaux emprunts (section précédente) comme nouvelles sorties liquidités à considérer.
Capacité de remboursement maximale : Le montant d’argent qu’une entreprise peut consacrer chaque année pour le remboursement de ses emprunts à moyen et long terme (capital + intérêts). La CDR calculée ici est les Produits - Charges (incluant main-d'oeuvre et retraits)</t>
  </si>
  <si>
    <t>zoneAlimentBledautomne</t>
  </si>
  <si>
    <t>Achat de vaches pour grossir le troupeau</t>
  </si>
  <si>
    <t>Coût des nouvelles vaches</t>
  </si>
  <si>
    <t>Importer les données d'une version précédente</t>
  </si>
  <si>
    <t>Inventaire des génisses</t>
  </si>
  <si>
    <t>Afin de pouvoir passer un dossier à une version à jour de Transition Bio Express, vous pouvez utiliser cette fonctionnalité qui vous évitera de devoir tout copier-coller manuellement.
L'importation se lance à partir de la version la plus à jour.
À partir de la version la plus à jour, utilisez le bouton 'Ouvrir un classeur...' afin d'ouvrir le classeur de la version précédente qui contient les données à importer dans le classeur actuel. Une fois le deuxième classeur ouvert, son nom devrait être inscrit dans le bas de la zone.
Utilisez ensuite le bouton Importer pour lancer l'importation des données.
Les deux classeurs seront placés côte à côte et le classeur récent tentera d'extraire toutes les données de l'ancienne version. En cas de conflit, il pourra vous être demandé d'intervenir afin d'identifier les données correspondantes.</t>
  </si>
  <si>
    <t>Fichier à importer:</t>
  </si>
  <si>
    <t>Ouvrez un classeur avant de lancer l'importation</t>
  </si>
  <si>
    <t>ha | nb cultures</t>
  </si>
  <si>
    <t>ha | culture</t>
  </si>
  <si>
    <t>t | $</t>
  </si>
  <si>
    <t>h/ha | $ tot</t>
  </si>
  <si>
    <t>taux | $</t>
  </si>
  <si>
    <t>ha | $</t>
  </si>
  <si>
    <t>[+ Afficher tous les détails]</t>
  </si>
  <si>
    <t>(Ajustez le contenu des cellules pour modifier la page)</t>
  </si>
  <si>
    <t>Transition 1</t>
  </si>
  <si>
    <t>Transition 2</t>
  </si>
  <si>
    <t>Pré-certification</t>
  </si>
  <si>
    <t>Marie-Élaine Smith, agr., Valacta</t>
  </si>
  <si>
    <t>cetab.bio/outils/transition-bio-express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</si>
</sst>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4">
    <numFmt numFmtId="164" formatCode="&quot;$&quot;#,##0.00_);\(&quot;$&quot;#,##0.00\)"/>
    <numFmt numFmtId="165" formatCode="_(&quot;$&quot;* #,##0.00_);_(&quot;$&quot;* \(#,##0.00\);_(&quot;$&quot;* &quot;-&quot;??_);_(@_)"/>
    <numFmt numFmtId="166" formatCode="_(* #,##0.00_);_(* \(#,##0.00\);_(* &quot;-&quot;??_);_(@_)"/>
    <numFmt numFmtId="167" formatCode="#,##0;\-#,##0;\-;@"/>
    <numFmt numFmtId="168" formatCode="0.0"/>
    <numFmt numFmtId="169" formatCode="_ * #,##0_)\ &quot;$&quot;_ ;_ * \(#,##0\)\ &quot;$&quot;_ ;_ * &quot;-&quot;??_)\ &quot;$&quot;_ ;_ @_ "/>
    <numFmt numFmtId="170" formatCode="0.0%"/>
    <numFmt numFmtId="171" formatCode="_ * #,##0_)\ _$_ ;_ * \(#,##0\)\ _$_ ;_ * &quot;-&quot;??_)\ _$_ ;_ @_ "/>
    <numFmt numFmtId="172" formatCode="[$-F800]dddd\,\ mmmm\ dd\,\ yyyy"/>
    <numFmt numFmtId="173" formatCode="#,###;\-#,###;\-;@"/>
    <numFmt numFmtId="174" formatCode="#,##0.0"/>
    <numFmt numFmtId="175" formatCode="_ * #,##0_)\ [$$-C0C]_ ;_ * \(#,##0\)\ [$$-C0C]_ ;_ * &quot;-&quot;??_)\ [$$-C0C]_ ;_ @_ "/>
    <numFmt numFmtId="176" formatCode="_ * #,##0_)\ [$$-C0C]_ ;_ * \(#,##0\)\ [$$-C0C]_ ;_ * &quot;-&quot;_)\ [$$-C0C]_ ;_ @_ "/>
    <numFmt numFmtId="177" formatCode="#,###&quot; t ms&quot;"/>
    <numFmt numFmtId="178" formatCode="#?/?"/>
    <numFmt numFmtId="179" formatCode="0%;\-0%;;@"/>
    <numFmt numFmtId="180" formatCode="#,##0\ &quot;$&quot;"/>
    <numFmt numFmtId="181" formatCode="#,###"/>
    <numFmt numFmtId="182" formatCode="#,##0.0_);\(#,##0.0\)"/>
    <numFmt numFmtId="183" formatCode="0.00000"/>
    <numFmt numFmtId="184" formatCode="0.000%"/>
    <numFmt numFmtId="185" formatCode="_ * #,##0.000_)\ _$_ ;_ * \(#,##0.000\)\ _$_ ;_ * &quot;-&quot;??_)\ _$_ ;_ @_ "/>
    <numFmt numFmtId="186" formatCode="[$-C0C]d\ mmm\ yyyy;@"/>
    <numFmt numFmtId="187" formatCode="&quot;il y a&quot;\ 0,&quot;jours&quot;"/>
    <numFmt numFmtId="188" formatCode="#,##0.00\ &quot;$&quot;"/>
    <numFmt numFmtId="189" formatCode="#"/>
    <numFmt numFmtId="190" formatCode="0&quot; ha&quot;;;;"/>
    <numFmt numFmtId="191" formatCode="[$-C0C]d\ mmm;@"/>
    <numFmt numFmtId="192" formatCode="#,##0.0_0"/>
    <numFmt numFmtId="193" formatCode="#,##0.00_ _$"/>
    <numFmt numFmtId="194" formatCode="#,##0_,_0_0_ _$"/>
    <numFmt numFmtId="195" formatCode="0.0%_0"/>
    <numFmt numFmtId="196" formatCode="[&lt;=9999999]###\-####;###\-###\-####"/>
    <numFmt numFmtId="197" formatCode="#,##0.0\ &quot;$&quot;"/>
    <numFmt numFmtId="198" formatCode="0.000"/>
    <numFmt numFmtId="199" formatCode="#,##0.00\ &quot;$&quot;;\-#,##0.00\ &quot;$&quot;;\-\ &quot;$&quot;;@"/>
    <numFmt numFmtId="200" formatCode="#,##0\ _$"/>
    <numFmt numFmtId="201" formatCode="[$-409]\ 0.0##;@"/>
    <numFmt numFmtId="202" formatCode="0&quot; ha&quot;"/>
    <numFmt numFmtId="203" formatCode="#,##0\ &quot;$&quot;;\-#,##0\ &quot;$&quot;;;@"/>
    <numFmt numFmtId="204" formatCode="#,##0\ &quot;$&quot;;[Red]\-#,##0\ &quot;$&quot;;;@"/>
    <numFmt numFmtId="205" formatCode="#,##0\ &quot;$&quot;;[Red]\(#,##0\ &quot;$&quot;\);;@"/>
    <numFmt numFmtId="206" formatCode="#,##0\ &quot;$&quot;;[Red]\(#,##0\ &quot;$&quot;\);\-;@"/>
    <numFmt numFmtId="207" formatCode="#,##0&quot; t&quot;;[Red]\-#,##0&quot;?&quot;;;@"/>
  </numFmts>
  <fonts count="182">
    <font>
      <sz val="10"/>
      <color theme="1"/>
      <name val="Segoe UI"/>
      <family val="2"/>
      <scheme val="minor"/>
    </font>
    <font>
      <sz val="11"/>
      <color theme="1"/>
      <name val="Segoe UI"/>
      <family val="2"/>
      <scheme val="minor"/>
    </font>
    <font>
      <sz val="11"/>
      <color theme="1"/>
      <name val="Segoe UI"/>
      <family val="2"/>
      <scheme val="minor"/>
    </font>
    <font>
      <sz val="11"/>
      <color theme="1"/>
      <name val="Segoe UI"/>
      <family val="2"/>
      <scheme val="minor"/>
    </font>
    <font>
      <sz val="11"/>
      <color theme="1"/>
      <name val="Segoe UI"/>
      <family val="2"/>
      <scheme val="minor"/>
    </font>
    <font>
      <sz val="11"/>
      <color theme="1"/>
      <name val="Segoe UI"/>
      <family val="2"/>
      <scheme val="minor"/>
    </font>
    <font>
      <sz val="11"/>
      <color theme="1"/>
      <name val="Segoe UI"/>
      <family val="2"/>
      <scheme val="minor"/>
    </font>
    <font>
      <b/>
      <sz val="11"/>
      <color theme="1"/>
      <name val="Segoe UI"/>
      <family val="2"/>
      <scheme val="minor"/>
    </font>
    <font>
      <b/>
      <sz val="9"/>
      <color indexed="81"/>
      <name val="Tahoma"/>
      <family val="2"/>
    </font>
    <font>
      <i/>
      <sz val="11"/>
      <color theme="1"/>
      <name val="Segoe UI"/>
      <family val="2"/>
      <scheme val="minor"/>
    </font>
    <font>
      <strike/>
      <sz val="11"/>
      <color theme="1" tint="0.499984740745262"/>
      <name val="Segoe UI"/>
      <family val="2"/>
      <scheme val="minor"/>
    </font>
    <font>
      <sz val="11"/>
      <name val="Segoe UI"/>
      <family val="2"/>
      <scheme val="minor"/>
    </font>
    <font>
      <u/>
      <sz val="11"/>
      <color rgb="FF006000"/>
      <name val="Segoe UI"/>
      <family val="2"/>
      <scheme val="minor"/>
    </font>
    <font>
      <sz val="10"/>
      <color theme="1"/>
      <name val="Segoe UI"/>
      <family val="2"/>
      <scheme val="minor"/>
    </font>
    <font>
      <sz val="10"/>
      <color rgb="FF0000FF"/>
      <name val="Segoe UI"/>
      <family val="2"/>
      <scheme val="minor"/>
    </font>
    <font>
      <sz val="10"/>
      <color theme="5"/>
      <name val="Segoe UI"/>
      <family val="2"/>
      <scheme val="minor"/>
    </font>
    <font>
      <u/>
      <sz val="10"/>
      <color rgb="FF0000FF"/>
      <name val="Segoe UI"/>
      <family val="2"/>
      <scheme val="minor"/>
    </font>
    <font>
      <b/>
      <sz val="10"/>
      <color theme="1"/>
      <name val="Segoe UI"/>
      <family val="2"/>
      <scheme val="minor"/>
    </font>
    <font>
      <b/>
      <sz val="10"/>
      <color theme="3"/>
      <name val="Segoe UI"/>
      <family val="2"/>
      <scheme val="minor"/>
    </font>
    <font>
      <i/>
      <sz val="10"/>
      <color theme="1"/>
      <name val="Segoe UI"/>
      <family val="2"/>
      <scheme val="minor"/>
    </font>
    <font>
      <sz val="10"/>
      <color theme="1" tint="0.34998626667073579"/>
      <name val="Segoe UI"/>
      <family val="2"/>
      <scheme val="minor"/>
    </font>
    <font>
      <sz val="10"/>
      <color rgb="FF3F3F76"/>
      <name val="Segoe UI"/>
      <family val="2"/>
      <scheme val="minor"/>
    </font>
    <font>
      <sz val="10"/>
      <color rgb="FFC00000"/>
      <name val="Segoe UI"/>
      <family val="2"/>
      <scheme val="minor"/>
    </font>
    <font>
      <sz val="10"/>
      <name val="Segoe UI"/>
      <family val="2"/>
      <scheme val="minor"/>
    </font>
    <font>
      <b/>
      <sz val="10"/>
      <name val="Segoe UI"/>
      <family val="2"/>
      <scheme val="minor"/>
    </font>
    <font>
      <sz val="8"/>
      <color theme="1"/>
      <name val="Segoe UI"/>
      <family val="2"/>
      <scheme val="minor"/>
    </font>
    <font>
      <sz val="13"/>
      <color theme="3"/>
      <name val="Segoe UI Semibold"/>
      <family val="2"/>
      <scheme val="major"/>
    </font>
    <font>
      <sz val="11"/>
      <color theme="1" tint="0.34998626667073579"/>
      <name val="Segoe UI Semibold"/>
      <family val="2"/>
      <scheme val="major"/>
    </font>
    <font>
      <sz val="9"/>
      <color indexed="81"/>
      <name val="Tahoma"/>
      <family val="2"/>
    </font>
    <font>
      <sz val="10"/>
      <color theme="1"/>
      <name val="Segoe UI Semibold"/>
      <family val="2"/>
      <scheme val="major"/>
    </font>
    <font>
      <sz val="10"/>
      <name val="Consolas"/>
      <family val="3"/>
    </font>
    <font>
      <sz val="10"/>
      <color rgb="FFFF0000"/>
      <name val="Segoe UI"/>
      <family val="2"/>
      <scheme val="minor"/>
    </font>
    <font>
      <sz val="9"/>
      <color theme="1"/>
      <name val="Segoe UI"/>
      <family val="2"/>
      <scheme val="minor"/>
    </font>
    <font>
      <b/>
      <sz val="10"/>
      <color theme="0" tint="-0.249977111117893"/>
      <name val="Segoe UI"/>
      <family val="2"/>
      <scheme val="minor"/>
    </font>
    <font>
      <sz val="10"/>
      <color theme="0" tint="-0.249977111117893"/>
      <name val="Segoe UI"/>
      <family val="2"/>
      <scheme val="minor"/>
    </font>
    <font>
      <sz val="10"/>
      <color rgb="FFFFFFCC"/>
      <name val="Segoe UI"/>
      <family val="2"/>
      <scheme val="minor"/>
    </font>
    <font>
      <b/>
      <sz val="11"/>
      <color rgb="FFFA7D00"/>
      <name val="Segoe UI"/>
      <family val="2"/>
      <scheme val="minor"/>
    </font>
    <font>
      <sz val="4"/>
      <color theme="1"/>
      <name val="Segoe UI"/>
      <family val="2"/>
      <scheme val="minor"/>
    </font>
    <font>
      <i/>
      <sz val="10"/>
      <color rgb="FF7F7F7F"/>
      <name val="Segoe UI"/>
      <family val="2"/>
      <scheme val="minor"/>
    </font>
    <font>
      <b/>
      <sz val="10"/>
      <color rgb="FF0000FF"/>
      <name val="Segoe UI"/>
      <family val="2"/>
      <scheme val="minor"/>
    </font>
    <font>
      <sz val="10"/>
      <color indexed="12"/>
      <name val="Segoe UI"/>
      <family val="2"/>
      <scheme val="minor"/>
    </font>
    <font>
      <b/>
      <sz val="11"/>
      <color theme="1"/>
      <name val="Segoe UI Semibold"/>
      <family val="2"/>
      <scheme val="major"/>
    </font>
    <font>
      <sz val="11"/>
      <name val="Segoe UI Semibold"/>
      <family val="2"/>
      <scheme val="major"/>
    </font>
    <font>
      <b/>
      <sz val="11"/>
      <color rgb="FF3F3F3F"/>
      <name val="Segoe UI"/>
      <family val="2"/>
      <scheme val="minor"/>
    </font>
    <font>
      <u val="singleAccounting"/>
      <sz val="10"/>
      <color theme="1"/>
      <name val="Segoe UI"/>
      <family val="2"/>
      <scheme val="minor"/>
    </font>
    <font>
      <u/>
      <sz val="10"/>
      <color theme="1"/>
      <name val="Segoe UI"/>
      <family val="2"/>
      <scheme val="minor"/>
    </font>
    <font>
      <sz val="12"/>
      <name val="Arial"/>
      <family val="2"/>
    </font>
    <font>
      <sz val="10"/>
      <name val="Arial"/>
      <family val="2"/>
    </font>
    <font>
      <i/>
      <sz val="10"/>
      <name val="Arial"/>
      <family val="2"/>
    </font>
    <font>
      <b/>
      <u/>
      <sz val="10"/>
      <color theme="0"/>
      <name val="Arial"/>
      <family val="2"/>
    </font>
    <font>
      <b/>
      <u/>
      <sz val="10"/>
      <color theme="1"/>
      <name val="Arial"/>
      <family val="2"/>
    </font>
    <font>
      <i/>
      <sz val="12"/>
      <name val="Arial"/>
      <family val="2"/>
    </font>
    <font>
      <b/>
      <sz val="12"/>
      <name val="Arial"/>
      <family val="2"/>
    </font>
    <font>
      <b/>
      <i/>
      <sz val="12"/>
      <name val="Arial"/>
      <family val="2"/>
    </font>
    <font>
      <b/>
      <sz val="11"/>
      <color theme="8" tint="-0.249977111117893"/>
      <name val="Segoe UI"/>
      <family val="2"/>
      <scheme val="minor"/>
    </font>
    <font>
      <sz val="12"/>
      <color theme="0"/>
      <name val="Arial"/>
      <family val="2"/>
    </font>
    <font>
      <sz val="10"/>
      <color indexed="8"/>
      <name val="Arial"/>
      <family val="2"/>
    </font>
    <font>
      <u/>
      <sz val="12"/>
      <name val="Arial"/>
      <family val="2"/>
    </font>
    <font>
      <b/>
      <sz val="11"/>
      <color rgb="FF002060"/>
      <name val="Segoe UI"/>
      <family val="2"/>
      <scheme val="minor"/>
    </font>
    <font>
      <i/>
      <sz val="12"/>
      <color theme="0" tint="-0.249977111117893"/>
      <name val="Arial"/>
      <family val="2"/>
    </font>
    <font>
      <sz val="14"/>
      <name val="Arial"/>
      <family val="2"/>
    </font>
    <font>
      <b/>
      <sz val="10"/>
      <color theme="1"/>
      <name val="Segoe UI Semibold"/>
      <family val="2"/>
      <scheme val="major"/>
    </font>
    <font>
      <sz val="10"/>
      <color theme="4"/>
      <name val="Segoe UI Semibold"/>
      <family val="2"/>
      <scheme val="major"/>
    </font>
    <font>
      <b/>
      <sz val="6"/>
      <color theme="3"/>
      <name val="Segoe UI"/>
      <family val="2"/>
      <scheme val="minor"/>
    </font>
    <font>
      <sz val="10"/>
      <color rgb="FFFFFF00"/>
      <name val="Segoe UI"/>
      <family val="2"/>
      <scheme val="minor"/>
    </font>
    <font>
      <sz val="10"/>
      <color rgb="FFBFBFBF"/>
      <name val="Segoe UI"/>
      <family val="2"/>
      <scheme val="minor"/>
    </font>
    <font>
      <sz val="11"/>
      <color theme="1"/>
      <name val="Segoe UI Semibold"/>
      <family val="2"/>
      <scheme val="major"/>
    </font>
    <font>
      <sz val="8"/>
      <color theme="1" tint="0.34998626667073579"/>
      <name val="Segoe UI Semibold"/>
      <family val="2"/>
      <scheme val="major"/>
    </font>
    <font>
      <sz val="8"/>
      <color theme="3"/>
      <name val="Segoe UI Semibold"/>
      <family val="2"/>
      <scheme val="major"/>
    </font>
    <font>
      <b/>
      <sz val="10"/>
      <color theme="0" tint="-4.9989318521683403E-2"/>
      <name val="Segoe UI"/>
      <family val="2"/>
      <scheme val="minor"/>
    </font>
    <font>
      <sz val="10"/>
      <color theme="0" tint="-4.9989318521683403E-2"/>
      <name val="Segoe UI"/>
      <family val="2"/>
      <scheme val="minor"/>
    </font>
    <font>
      <b/>
      <sz val="10"/>
      <color rgb="FFC00000"/>
      <name val="Segoe UI"/>
      <family val="2"/>
      <scheme val="minor"/>
    </font>
    <font>
      <b/>
      <i/>
      <sz val="10"/>
      <name val="Segoe UI"/>
      <family val="2"/>
      <scheme val="minor"/>
    </font>
    <font>
      <u val="singleAccounting"/>
      <sz val="10"/>
      <name val="Segoe UI"/>
      <family val="2"/>
      <scheme val="minor"/>
    </font>
    <font>
      <i/>
      <sz val="10"/>
      <name val="Segoe UI"/>
      <family val="2"/>
      <scheme val="minor"/>
    </font>
    <font>
      <i/>
      <u val="singleAccounting"/>
      <sz val="10"/>
      <name val="Segoe UI"/>
      <family val="2"/>
      <scheme val="minor"/>
    </font>
    <font>
      <sz val="10"/>
      <color theme="0" tint="-0.24994659260841701"/>
      <name val="Segoe UI"/>
      <family val="2"/>
      <scheme val="minor"/>
    </font>
    <font>
      <b/>
      <sz val="4"/>
      <color theme="3"/>
      <name val="Segoe UI"/>
      <family val="2"/>
      <scheme val="minor"/>
    </font>
    <font>
      <sz val="4"/>
      <color theme="3"/>
      <name val="Segoe UI"/>
      <family val="2"/>
      <scheme val="minor"/>
    </font>
    <font>
      <sz val="4"/>
      <name val="Segoe UI Semibold"/>
      <family val="2"/>
      <scheme val="major"/>
    </font>
    <font>
      <sz val="10"/>
      <color theme="0" tint="-0.24994659260841701"/>
      <name val="Segoe UI Semibold"/>
      <family val="2"/>
      <scheme val="major"/>
    </font>
    <font>
      <sz val="4"/>
      <color theme="0" tint="-0.24994659260841701"/>
      <name val="Segoe UI"/>
      <family val="2"/>
      <scheme val="minor"/>
    </font>
    <font>
      <sz val="4"/>
      <color theme="1" tint="0.34998626667073579"/>
      <name val="Segoe UI Semibold"/>
      <family val="2"/>
      <scheme val="major"/>
    </font>
    <font>
      <sz val="10"/>
      <color theme="1" tint="0.34998626667073579"/>
      <name val="Segoe UI Semibold"/>
      <family val="2"/>
      <scheme val="major"/>
    </font>
    <font>
      <sz val="10"/>
      <color theme="5"/>
      <name val="Segoe UI Semibold"/>
      <family val="2"/>
      <scheme val="major"/>
    </font>
    <font>
      <sz val="10"/>
      <name val="Segoe UI Semibold"/>
      <family val="2"/>
      <scheme val="major"/>
    </font>
    <font>
      <sz val="10"/>
      <color rgb="FFC00000"/>
      <name val="Segoe UI Semibold"/>
      <family val="2"/>
      <scheme val="major"/>
    </font>
    <font>
      <sz val="9"/>
      <color rgb="FFC00000"/>
      <name val="Segoe UI"/>
      <family val="2"/>
      <scheme val="minor"/>
    </font>
    <font>
      <u/>
      <sz val="9"/>
      <color rgb="FF0000FF"/>
      <name val="Segoe UI"/>
      <family val="2"/>
      <scheme val="minor"/>
    </font>
    <font>
      <sz val="16"/>
      <color theme="1"/>
      <name val="Segoe UI"/>
      <family val="2"/>
      <scheme val="minor"/>
    </font>
    <font>
      <sz val="8"/>
      <color rgb="FFC00000"/>
      <name val="Segoe UI"/>
      <family val="2"/>
      <scheme val="minor"/>
    </font>
    <font>
      <sz val="4"/>
      <color rgb="FFC00000"/>
      <name val="Segoe UI Semibold"/>
      <family val="2"/>
      <scheme val="major"/>
    </font>
    <font>
      <sz val="4"/>
      <color theme="0"/>
      <name val="Segoe UI Semibold"/>
      <family val="2"/>
      <scheme val="major"/>
    </font>
    <font>
      <sz val="10"/>
      <color theme="0"/>
      <name val="Segoe UI"/>
      <family val="2"/>
      <scheme val="minor"/>
    </font>
    <font>
      <i/>
      <sz val="11"/>
      <color theme="0"/>
      <name val="Segoe UI"/>
      <family val="2"/>
      <scheme val="minor"/>
    </font>
    <font>
      <sz val="11"/>
      <color theme="3"/>
      <name val="Segoe UI"/>
      <family val="2"/>
      <scheme val="minor"/>
    </font>
    <font>
      <sz val="10"/>
      <color theme="3"/>
      <name val="Segoe UI"/>
      <family val="2"/>
      <scheme val="minor"/>
    </font>
    <font>
      <sz val="10"/>
      <color rgb="FF006000"/>
      <name val="Segoe UI"/>
      <family val="2"/>
      <scheme val="minor"/>
    </font>
    <font>
      <sz val="13"/>
      <name val="Segoe UI Semibold"/>
      <family val="2"/>
      <scheme val="major"/>
    </font>
    <font>
      <sz val="8"/>
      <name val="Segoe UI Semibold"/>
      <family val="2"/>
      <scheme val="major"/>
    </font>
    <font>
      <sz val="4"/>
      <name val="Segoe UI"/>
      <family val="2"/>
      <scheme val="minor"/>
    </font>
    <font>
      <b/>
      <sz val="10"/>
      <name val="Segoe UI Semibold"/>
      <family val="2"/>
      <scheme val="major"/>
    </font>
    <font>
      <sz val="8"/>
      <color rgb="FFC00000"/>
      <name val="Segoe UI Semibold"/>
      <family val="2"/>
      <scheme val="major"/>
    </font>
    <font>
      <sz val="10"/>
      <color rgb="FF000000"/>
      <name val="Segoe UI"/>
      <family val="2"/>
      <scheme val="minor"/>
    </font>
    <font>
      <b/>
      <sz val="15"/>
      <color theme="1" tint="0.34998626667073579"/>
      <name val="Segoe UI"/>
      <family val="2"/>
      <scheme val="minor"/>
    </font>
    <font>
      <b/>
      <sz val="15"/>
      <color theme="4"/>
      <name val="Segoe UI"/>
      <family val="2"/>
      <scheme val="minor"/>
    </font>
    <font>
      <b/>
      <sz val="15"/>
      <color theme="5"/>
      <name val="Segoe UI"/>
      <family val="2"/>
      <scheme val="minor"/>
    </font>
    <font>
      <u/>
      <sz val="10"/>
      <name val="Segoe UI"/>
      <family val="2"/>
      <scheme val="minor"/>
    </font>
    <font>
      <b/>
      <sz val="10"/>
      <color rgb="FFC00000"/>
      <name val="Segoe UI Semibold"/>
      <family val="2"/>
      <scheme val="major"/>
    </font>
    <font>
      <b/>
      <sz val="15"/>
      <color rgb="FFC00000"/>
      <name val="Segoe UI Semibold"/>
      <family val="2"/>
      <scheme val="major"/>
    </font>
    <font>
      <sz val="9"/>
      <name val="Segoe UI"/>
      <family val="2"/>
      <scheme val="minor"/>
    </font>
    <font>
      <sz val="13"/>
      <color rgb="FFC00000"/>
      <name val="Segoe UI Semibold"/>
      <family val="2"/>
      <scheme val="major"/>
    </font>
    <font>
      <sz val="4"/>
      <color theme="5"/>
      <name val="Segoe UI Semibold"/>
      <family val="2"/>
      <scheme val="major"/>
    </font>
    <font>
      <b/>
      <sz val="11"/>
      <color theme="1" tint="0.34998626667073579"/>
      <name val="Segoe UI Semibold"/>
      <family val="2"/>
      <scheme val="major"/>
    </font>
    <font>
      <sz val="11"/>
      <color theme="5"/>
      <name val="Segoe UI Semibold"/>
      <family val="2"/>
      <scheme val="major"/>
    </font>
    <font>
      <sz val="11"/>
      <color rgb="FFC00000"/>
      <name val="Segoe UI Semibold"/>
      <family val="2"/>
      <scheme val="major"/>
    </font>
    <font>
      <sz val="13"/>
      <color theme="1" tint="0.34998626667073579"/>
      <name val="Segoe UI Semibold"/>
      <family val="2"/>
      <scheme val="major"/>
    </font>
    <font>
      <b/>
      <sz val="13"/>
      <color theme="5"/>
      <name val="Segoe UI"/>
      <family val="2"/>
      <scheme val="minor"/>
    </font>
    <font>
      <b/>
      <sz val="13"/>
      <color rgb="FFC00000"/>
      <name val="Segoe UI"/>
      <family val="2"/>
      <scheme val="minor"/>
    </font>
    <font>
      <sz val="13"/>
      <color rgb="FF006000"/>
      <name val="Segoe UI Semibold"/>
      <family val="2"/>
      <scheme val="major"/>
    </font>
    <font>
      <sz val="4"/>
      <color rgb="FF006000"/>
      <name val="Segoe UI Semibold"/>
      <family val="2"/>
      <scheme val="major"/>
    </font>
    <font>
      <sz val="11"/>
      <color rgb="FF006000"/>
      <name val="Segoe UI Semibold"/>
      <family val="2"/>
      <scheme val="major"/>
    </font>
    <font>
      <sz val="10"/>
      <color theme="1" tint="0.499984740745262"/>
      <name val="Segoe UI"/>
      <family val="2"/>
      <scheme val="minor"/>
    </font>
    <font>
      <u/>
      <sz val="10.5"/>
      <color rgb="FF0000FF"/>
      <name val="Segoe UI"/>
      <family val="2"/>
      <scheme val="minor"/>
    </font>
    <font>
      <sz val="11"/>
      <color theme="1"/>
      <name val="Segoe UI Semilight"/>
      <family val="2"/>
    </font>
    <font>
      <sz val="10"/>
      <color theme="1"/>
      <name val="Segoe UI"/>
      <family val="2"/>
    </font>
    <font>
      <sz val="26"/>
      <name val="Arial"/>
      <family val="2"/>
    </font>
    <font>
      <sz val="10"/>
      <color theme="0" tint="-0.34998626667073579"/>
      <name val="Arial"/>
      <family val="2"/>
    </font>
    <font>
      <b/>
      <sz val="10"/>
      <color theme="1" tint="0.34998626667073579"/>
      <name val="Segoe UI Semibold"/>
      <family val="2"/>
      <scheme val="major"/>
    </font>
    <font>
      <b/>
      <sz val="18"/>
      <color theme="1" tint="0.34998626667073579"/>
      <name val="Segoe UI"/>
      <family val="2"/>
      <scheme val="minor"/>
    </font>
    <font>
      <b/>
      <sz val="14"/>
      <color theme="1" tint="0.34998626667073579"/>
      <name val="Segoe UI"/>
      <family val="2"/>
      <scheme val="minor"/>
    </font>
    <font>
      <sz val="10"/>
      <color theme="6"/>
      <name val="Segoe UI Semibold"/>
      <family val="2"/>
      <scheme val="major"/>
    </font>
    <font>
      <sz val="10"/>
      <color rgb="FF002060"/>
      <name val="Segoe UI"/>
      <family val="2"/>
      <scheme val="minor"/>
    </font>
    <font>
      <sz val="11"/>
      <color theme="3"/>
      <name val="Segoe UI Semibold"/>
      <family val="2"/>
      <scheme val="major"/>
    </font>
    <font>
      <b/>
      <sz val="10"/>
      <color theme="3"/>
      <name val="Consolas"/>
      <family val="3"/>
    </font>
    <font>
      <b/>
      <sz val="10"/>
      <color theme="3"/>
      <name val="Segoe UI Semibold"/>
      <family val="2"/>
      <scheme val="major"/>
    </font>
    <font>
      <i/>
      <u/>
      <sz val="10"/>
      <color rgb="FF0000FF"/>
      <name val="Segoe UI"/>
      <family val="2"/>
      <scheme val="minor"/>
    </font>
    <font>
      <b/>
      <sz val="4"/>
      <color theme="1"/>
      <name val="Segoe UI Semibold"/>
      <family val="2"/>
      <scheme val="major"/>
    </font>
    <font>
      <sz val="11"/>
      <color theme="0" tint="-0.499984740745262"/>
      <name val="Segoe UI Semibold"/>
      <family val="2"/>
      <scheme val="major"/>
    </font>
    <font>
      <sz val="10"/>
      <color theme="4" tint="-0.499984740745262"/>
      <name val="Segoe UI"/>
      <family val="2"/>
      <scheme val="minor"/>
    </font>
    <font>
      <sz val="9"/>
      <color theme="3"/>
      <name val="Segoe UI Semibold"/>
      <family val="2"/>
      <scheme val="major"/>
    </font>
    <font>
      <sz val="9"/>
      <name val="Segoe UI Semibold"/>
      <family val="2"/>
      <scheme val="major"/>
    </font>
    <font>
      <sz val="9"/>
      <color theme="1"/>
      <name val="Segoe UI Semibold"/>
      <family val="2"/>
      <scheme val="major"/>
    </font>
    <font>
      <b/>
      <sz val="9"/>
      <color theme="1"/>
      <name val="Segoe UI"/>
      <family val="2"/>
      <scheme val="minor"/>
    </font>
    <font>
      <b/>
      <sz val="9"/>
      <color theme="1"/>
      <name val="Segoe UI Semibold"/>
      <family val="2"/>
      <scheme val="major"/>
    </font>
    <font>
      <sz val="9"/>
      <color theme="1" tint="0.34998626667073579"/>
      <name val="Segoe UI Semibold"/>
      <family val="2"/>
      <scheme val="major"/>
    </font>
    <font>
      <b/>
      <sz val="9"/>
      <color theme="1" tint="0.34998626667073579"/>
      <name val="Segoe UI"/>
      <family val="2"/>
      <scheme val="minor"/>
    </font>
    <font>
      <sz val="9"/>
      <color theme="1" tint="0.34998626667073579"/>
      <name val="Segoe UI"/>
      <family val="2"/>
      <scheme val="minor"/>
    </font>
    <font>
      <sz val="9"/>
      <color rgb="FF0000FF"/>
      <name val="Segoe UI"/>
      <family val="2"/>
      <scheme val="minor"/>
    </font>
    <font>
      <sz val="9"/>
      <color theme="0"/>
      <name val="Segoe UI"/>
      <family val="2"/>
      <scheme val="minor"/>
    </font>
    <font>
      <i/>
      <sz val="9"/>
      <color theme="1"/>
      <name val="Segoe UI"/>
      <family val="2"/>
      <scheme val="minor"/>
    </font>
    <font>
      <sz val="9"/>
      <color theme="3"/>
      <name val="Segoe UI"/>
      <family val="2"/>
      <scheme val="minor"/>
    </font>
    <font>
      <b/>
      <sz val="18"/>
      <color theme="0"/>
      <name val="Segoe UI"/>
      <family val="2"/>
      <scheme val="minor"/>
    </font>
    <font>
      <b/>
      <sz val="10"/>
      <color theme="4" tint="-0.249977111117893"/>
      <name val="Segoe UI"/>
      <family val="2"/>
      <scheme val="minor"/>
    </font>
    <font>
      <b/>
      <sz val="10"/>
      <color theme="5" tint="-0.249977111117893"/>
      <name val="Segoe UI"/>
      <family val="2"/>
      <scheme val="minor"/>
    </font>
    <font>
      <b/>
      <sz val="12"/>
      <color theme="1" tint="0.34998626667073579"/>
      <name val="Segoe UI"/>
      <family val="2"/>
      <scheme val="minor"/>
    </font>
    <font>
      <sz val="4"/>
      <color theme="0"/>
      <name val="Segoe UI"/>
      <family val="2"/>
      <scheme val="minor"/>
    </font>
    <font>
      <b/>
      <sz val="11"/>
      <color theme="0"/>
      <name val="Consolas"/>
      <family val="3"/>
    </font>
    <font>
      <b/>
      <sz val="10"/>
      <color theme="0"/>
      <name val="Segoe UI"/>
      <family val="2"/>
      <scheme val="minor"/>
    </font>
    <font>
      <b/>
      <sz val="10"/>
      <color theme="0"/>
      <name val="Consolas"/>
      <family val="3"/>
    </font>
    <font>
      <b/>
      <sz val="11"/>
      <color theme="0"/>
      <name val="Segoe UI Semibold"/>
      <family val="2"/>
      <scheme val="major"/>
    </font>
    <font>
      <sz val="13"/>
      <color theme="3"/>
      <name val="Segoe UI"/>
      <family val="2"/>
      <scheme val="minor"/>
    </font>
    <font>
      <sz val="4"/>
      <color theme="1" tint="0.34998626667073579"/>
      <name val="Segoe UI"/>
      <family val="2"/>
      <scheme val="minor"/>
    </font>
    <font>
      <sz val="12"/>
      <color theme="1"/>
      <name val="Segoe UI"/>
      <family val="2"/>
      <scheme val="minor"/>
    </font>
    <font>
      <sz val="2"/>
      <color theme="0" tint="-0.24994659260841701"/>
      <name val="Segoe UI"/>
      <family val="2"/>
      <scheme val="minor"/>
    </font>
    <font>
      <sz val="2"/>
      <color theme="1"/>
      <name val="Segoe UI"/>
      <family val="2"/>
      <scheme val="minor"/>
    </font>
    <font>
      <sz val="10"/>
      <color theme="4" tint="-0.249977111117893"/>
      <name val="Segoe UI"/>
      <family val="2"/>
      <scheme val="minor"/>
    </font>
    <font>
      <b/>
      <sz val="10"/>
      <color theme="1"/>
      <name val="Segoe UI"/>
      <family val="2"/>
    </font>
    <font>
      <b/>
      <sz val="10"/>
      <color rgb="FFFF0000"/>
      <name val="Segoe UI"/>
      <family val="2"/>
      <scheme val="minor"/>
    </font>
    <font>
      <b/>
      <sz val="10"/>
      <color theme="1"/>
      <name val="Segoe UI "/>
    </font>
    <font>
      <b/>
      <sz val="4"/>
      <name val="Segoe UI"/>
      <family val="2"/>
      <scheme val="minor"/>
    </font>
    <font>
      <b/>
      <sz val="10"/>
      <color theme="0" tint="-0.24994659260841701"/>
      <name val="Segoe UI"/>
      <family val="2"/>
      <scheme val="minor"/>
    </font>
    <font>
      <b/>
      <sz val="10"/>
      <color theme="4" tint="0.79998168889431442"/>
      <name val="Segoe UI"/>
      <family val="2"/>
      <scheme val="minor"/>
    </font>
    <font>
      <b/>
      <sz val="4"/>
      <color theme="1"/>
      <name val="Segoe UI"/>
      <family val="2"/>
    </font>
    <font>
      <sz val="8"/>
      <color rgb="FF000000"/>
      <name val="Segoe UI"/>
      <family val="2"/>
    </font>
    <font>
      <sz val="9"/>
      <color rgb="FF000000"/>
      <name val="Segoe UI"/>
      <family val="2"/>
    </font>
    <font>
      <sz val="10"/>
      <color rgb="FF000000"/>
      <name val="Segoe UI"/>
      <family val="2"/>
    </font>
    <font>
      <b/>
      <sz val="9"/>
      <color rgb="FF000080"/>
      <name val="Segoe UI"/>
      <family val="2"/>
    </font>
    <font>
      <sz val="8"/>
      <name val="Segoe UI"/>
      <family val="2"/>
      <scheme val="minor"/>
    </font>
    <font>
      <b/>
      <sz val="11"/>
      <name val="Segoe UI"/>
      <family val="2"/>
      <scheme val="minor"/>
    </font>
    <font>
      <sz val="2"/>
      <name val="Segoe UI"/>
      <family val="2"/>
      <scheme val="minor"/>
    </font>
    <font>
      <sz val="10"/>
      <color theme="0" tint="-0.14999847407452621"/>
      <name val="Segoe UI"/>
      <family val="2"/>
      <scheme val="minor"/>
    </font>
  </fonts>
  <fills count="34">
    <fill>
      <patternFill patternType="none"/>
    </fill>
    <fill>
      <patternFill patternType="gray125"/>
    </fill>
    <fill>
      <patternFill patternType="solid">
        <fgColor theme="4" tint="0.79998168889431442"/>
        <bgColor indexed="64"/>
      </patternFill>
    </fill>
    <fill>
      <patternFill patternType="solid">
        <fgColor rgb="FFFFCCCC"/>
        <bgColor indexed="64"/>
      </patternFill>
    </fill>
    <fill>
      <patternFill patternType="solid">
        <fgColor rgb="FFFFFFCC"/>
        <bgColor indexed="64"/>
      </patternFill>
    </fill>
    <fill>
      <patternFill patternType="solid">
        <fgColor rgb="FFF2F2F2"/>
      </patternFill>
    </fill>
    <fill>
      <patternFill patternType="mediumGray">
        <fgColor rgb="FFFFFF99"/>
        <bgColor auto="1"/>
      </patternFill>
    </fill>
    <fill>
      <patternFill patternType="solid">
        <fgColor rgb="FFFFFF00"/>
        <bgColor indexed="64"/>
      </patternFill>
    </fill>
    <fill>
      <patternFill patternType="solid">
        <fgColor theme="0"/>
        <bgColor indexed="64"/>
      </patternFill>
    </fill>
    <fill>
      <patternFill patternType="solid">
        <fgColor indexed="9"/>
        <bgColor indexed="64"/>
      </patternFill>
    </fill>
    <fill>
      <patternFill patternType="solid">
        <fgColor rgb="FFFF0000"/>
        <bgColor indexed="64"/>
      </patternFill>
    </fill>
    <fill>
      <patternFill patternType="solid">
        <fgColor theme="6"/>
        <bgColor indexed="64"/>
      </patternFill>
    </fill>
    <fill>
      <patternFill patternType="mediumGray">
        <fgColor theme="8" tint="0.59996337778862885"/>
        <bgColor theme="4" tint="0.79995117038483843"/>
      </patternFill>
    </fill>
    <fill>
      <patternFill patternType="solid">
        <fgColor theme="7"/>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4" tint="0.79998168889431442"/>
        <bgColor indexed="65"/>
      </patternFill>
    </fill>
    <fill>
      <patternFill patternType="solid">
        <fgColor theme="8" tint="0.59999389629810485"/>
        <bgColor indexed="64"/>
      </patternFill>
    </fill>
    <fill>
      <patternFill patternType="solid">
        <fgColor theme="8" tint="0.59999389629810485"/>
        <bgColor auto="1"/>
      </patternFill>
    </fill>
    <fill>
      <patternFill patternType="solid">
        <fgColor theme="8" tint="0.59999389629810485"/>
        <bgColor theme="4" tint="0.79995117038483843"/>
      </patternFill>
    </fill>
    <fill>
      <patternFill patternType="solid">
        <fgColor theme="8" tint="0.59999389629810485"/>
        <bgColor theme="4" tint="0.79998168889431442"/>
      </patternFill>
    </fill>
    <fill>
      <patternFill patternType="mediumGray">
        <fgColor theme="4" tint="0.79998168889431442"/>
        <bgColor theme="4" tint="0.79998168889431442"/>
      </patternFill>
    </fill>
    <fill>
      <patternFill patternType="solid">
        <fgColor theme="2"/>
        <bgColor indexed="64"/>
      </patternFill>
    </fill>
    <fill>
      <patternFill patternType="solid">
        <fgColor rgb="FFFFFFCC"/>
        <bgColor rgb="FFFFFF99"/>
      </patternFill>
    </fill>
    <fill>
      <patternFill patternType="solid">
        <fgColor rgb="FFFFFF99"/>
        <bgColor indexed="64"/>
      </patternFill>
    </fill>
    <fill>
      <patternFill patternType="solid">
        <fgColor theme="5"/>
        <bgColor indexed="64"/>
      </patternFill>
    </fill>
    <fill>
      <patternFill patternType="solid">
        <fgColor theme="4"/>
        <bgColor indexed="64"/>
      </patternFill>
    </fill>
    <fill>
      <patternFill patternType="solid">
        <fgColor theme="1"/>
        <bgColor indexed="64"/>
      </patternFill>
    </fill>
    <fill>
      <patternFill patternType="solid">
        <fgColor theme="1" tint="0.34998626667073579"/>
        <bgColor indexed="64"/>
      </patternFill>
    </fill>
    <fill>
      <patternFill patternType="mediumGray">
        <fgColor rgb="FFFFFF99"/>
        <bgColor theme="0" tint="-4.9989318521683403E-2"/>
      </patternFill>
    </fill>
    <fill>
      <patternFill patternType="solid">
        <fgColor theme="8" tint="0.79998168889431442"/>
        <bgColor indexed="64"/>
      </patternFill>
    </fill>
    <fill>
      <patternFill patternType="solid">
        <fgColor rgb="FFDAECFA"/>
        <bgColor indexed="64"/>
      </patternFill>
    </fill>
    <fill>
      <patternFill patternType="solid">
        <fgColor theme="7" tint="0.79998168889431442"/>
        <bgColor indexed="64"/>
      </patternFill>
    </fill>
    <fill>
      <patternFill patternType="solid">
        <fgColor rgb="FFEDF6FD"/>
        <bgColor indexed="64"/>
      </patternFill>
    </fill>
  </fills>
  <borders count="252">
    <border>
      <left/>
      <right/>
      <top/>
      <bottom/>
      <diagonal/>
    </border>
    <border>
      <left/>
      <right/>
      <top/>
      <bottom style="thick">
        <color theme="4"/>
      </bottom>
      <diagonal/>
    </border>
    <border>
      <left/>
      <right/>
      <top/>
      <bottom style="thick">
        <color theme="4" tint="0.39994506668294322"/>
      </bottom>
      <diagonal/>
    </border>
    <border>
      <left/>
      <right/>
      <top style="thin">
        <color theme="4" tint="0.39997558519241921"/>
      </top>
      <bottom style="thin">
        <color theme="4" tint="0.39997558519241921"/>
      </bottom>
      <diagonal/>
    </border>
    <border>
      <left style="medium">
        <color theme="4" tint="0.39994506668294322"/>
      </left>
      <right/>
      <top style="medium">
        <color theme="4" tint="0.39994506668294322"/>
      </top>
      <bottom style="thin">
        <color theme="4" tint="0.39991454817346722"/>
      </bottom>
      <diagonal/>
    </border>
    <border>
      <left style="thin">
        <color rgb="FF0070C0"/>
      </left>
      <right style="thin">
        <color rgb="FF0070C0"/>
      </right>
      <top style="thin">
        <color rgb="FF0070C0"/>
      </top>
      <bottom style="thin">
        <color rgb="FF0070C0"/>
      </bottom>
      <diagonal/>
    </border>
    <border>
      <left/>
      <right/>
      <top style="thick">
        <color theme="0"/>
      </top>
      <bottom/>
      <diagonal/>
    </border>
    <border>
      <left/>
      <right/>
      <top/>
      <bottom style="thick">
        <color theme="0"/>
      </bottom>
      <diagonal/>
    </border>
    <border>
      <left/>
      <right/>
      <top/>
      <bottom style="medium">
        <color theme="4"/>
      </bottom>
      <diagonal/>
    </border>
    <border>
      <left style="mediumDashed">
        <color theme="4" tint="0.59996337778862885"/>
      </left>
      <right/>
      <top style="thick">
        <color theme="4"/>
      </top>
      <bottom/>
      <diagonal/>
    </border>
    <border>
      <left style="medium">
        <color theme="4" tint="0.39991454817346722"/>
      </left>
      <right/>
      <top/>
      <bottom style="medium">
        <color theme="4" tint="0.39991454817346722"/>
      </bottom>
      <diagonal/>
    </border>
    <border>
      <left/>
      <right style="medium">
        <color theme="4" tint="0.39991454817346722"/>
      </right>
      <top/>
      <bottom style="medium">
        <color theme="4" tint="0.39991454817346722"/>
      </bottom>
      <diagonal/>
    </border>
    <border>
      <left style="medium">
        <color theme="4" tint="0.39988402966399123"/>
      </left>
      <right style="medium">
        <color theme="4" tint="0.39988402966399123"/>
      </right>
      <top style="medium">
        <color theme="4" tint="0.39988402966399123"/>
      </top>
      <bottom/>
      <diagonal/>
    </border>
    <border>
      <left style="medium">
        <color theme="4" tint="0.39994506668294322"/>
      </left>
      <right/>
      <top/>
      <bottom/>
      <diagonal/>
    </border>
    <border>
      <left/>
      <right style="medium">
        <color theme="4" tint="0.39994506668294322"/>
      </right>
      <top/>
      <bottom/>
      <diagonal/>
    </border>
    <border>
      <left style="thin">
        <color rgb="FF7F7F7F"/>
      </left>
      <right style="thin">
        <color rgb="FF7F7F7F"/>
      </right>
      <top style="thin">
        <color rgb="FF7F7F7F"/>
      </top>
      <bottom style="thin">
        <color rgb="FF7F7F7F"/>
      </bottom>
      <diagonal/>
    </border>
    <border>
      <left style="medium">
        <color theme="4" tint="0.39991454817346722"/>
      </left>
      <right style="thin">
        <color rgb="FF0070C0"/>
      </right>
      <top/>
      <bottom/>
      <diagonal/>
    </border>
    <border>
      <left/>
      <right/>
      <top style="thick">
        <color theme="4" tint="0.39994506668294322"/>
      </top>
      <bottom/>
      <diagonal/>
    </border>
    <border>
      <left/>
      <right/>
      <top/>
      <bottom style="dotted">
        <color auto="1"/>
      </bottom>
      <diagonal/>
    </border>
    <border>
      <left style="thin">
        <color rgb="FF0070C0"/>
      </left>
      <right style="thin">
        <color rgb="FF0070C0"/>
      </right>
      <top/>
      <bottom style="thin">
        <color rgb="FF0070C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style="dotted">
        <color indexed="64"/>
      </bottom>
      <diagonal/>
    </border>
    <border>
      <left/>
      <right style="thin">
        <color indexed="64"/>
      </right>
      <top/>
      <bottom style="dotted">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right style="thin">
        <color indexed="64"/>
      </right>
      <top style="dotted">
        <color indexed="64"/>
      </top>
      <bottom/>
      <diagonal/>
    </border>
    <border>
      <left style="thin">
        <color indexed="64"/>
      </left>
      <right/>
      <top style="dotted">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double">
        <color theme="4" tint="0.39991454817346722"/>
      </right>
      <top/>
      <bottom/>
      <diagonal/>
    </border>
    <border>
      <left/>
      <right style="thick">
        <color theme="4"/>
      </right>
      <top/>
      <bottom/>
      <diagonal/>
    </border>
    <border>
      <left style="thin">
        <color rgb="FF3F3F3F"/>
      </left>
      <right style="thin">
        <color rgb="FF3F3F3F"/>
      </right>
      <top style="thin">
        <color rgb="FF3F3F3F"/>
      </top>
      <bottom style="thin">
        <color rgb="FF3F3F3F"/>
      </bottom>
      <diagonal/>
    </border>
    <border>
      <left/>
      <right/>
      <top style="thin">
        <color theme="4" tint="0.39994506668294322"/>
      </top>
      <bottom style="thin">
        <color theme="4" tint="0.39994506668294322"/>
      </bottom>
      <diagonal/>
    </border>
    <border>
      <left/>
      <right/>
      <top/>
      <bottom style="thin">
        <color indexed="64"/>
      </bottom>
      <diagonal/>
    </border>
    <border>
      <left/>
      <right/>
      <top/>
      <bottom style="thin">
        <color rgb="FF0070C0"/>
      </bottom>
      <diagonal/>
    </border>
    <border>
      <left/>
      <right/>
      <top style="thin">
        <color rgb="FF0070C0"/>
      </top>
      <bottom/>
      <diagonal/>
    </border>
    <border>
      <left/>
      <right/>
      <top style="thin">
        <color rgb="FF0070C0"/>
      </top>
      <bottom style="thin">
        <color rgb="FF0070C0"/>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dotted">
        <color indexed="64"/>
      </left>
      <right style="medium">
        <color indexed="64"/>
      </right>
      <top style="thin">
        <color indexed="64"/>
      </top>
      <bottom style="medium">
        <color indexed="64"/>
      </bottom>
      <diagonal/>
    </border>
    <border>
      <left style="dotted">
        <color indexed="64"/>
      </left>
      <right style="dotted">
        <color indexed="64"/>
      </right>
      <top style="thin">
        <color indexed="64"/>
      </top>
      <bottom style="medium">
        <color indexed="64"/>
      </bottom>
      <diagonal/>
    </border>
    <border>
      <left style="medium">
        <color indexed="64"/>
      </left>
      <right/>
      <top style="thin">
        <color indexed="64"/>
      </top>
      <bottom style="medium">
        <color indexed="64"/>
      </bottom>
      <diagonal/>
    </border>
    <border>
      <left style="dotted">
        <color indexed="64"/>
      </left>
      <right style="medium">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medium">
        <color indexed="64"/>
      </left>
      <right/>
      <top style="thin">
        <color indexed="64"/>
      </top>
      <bottom style="thin">
        <color indexed="64"/>
      </bottom>
      <diagonal/>
    </border>
    <border>
      <left style="dotted">
        <color indexed="64"/>
      </left>
      <right style="medium">
        <color indexed="64"/>
      </right>
      <top style="medium">
        <color indexed="64"/>
      </top>
      <bottom style="thin">
        <color indexed="64"/>
      </bottom>
      <diagonal/>
    </border>
    <border>
      <left style="dotted">
        <color indexed="64"/>
      </left>
      <right style="dotted">
        <color indexed="64"/>
      </right>
      <top style="medium">
        <color indexed="64"/>
      </top>
      <bottom style="thin">
        <color indexed="64"/>
      </bottom>
      <diagonal/>
    </border>
    <border>
      <left style="medium">
        <color indexed="64"/>
      </left>
      <right/>
      <top style="medium">
        <color indexed="64"/>
      </top>
      <bottom style="thin">
        <color indexed="64"/>
      </bottom>
      <diagonal/>
    </border>
    <border>
      <left style="dotted">
        <color indexed="64"/>
      </left>
      <right style="medium">
        <color indexed="64"/>
      </right>
      <top style="medium">
        <color indexed="64"/>
      </top>
      <bottom style="medium">
        <color indexed="64"/>
      </bottom>
      <diagonal/>
    </border>
    <border>
      <left style="medium">
        <color indexed="64"/>
      </left>
      <right style="dotted">
        <color indexed="64"/>
      </right>
      <top style="medium">
        <color indexed="64"/>
      </top>
      <bottom style="medium">
        <color indexed="64"/>
      </bottom>
      <diagonal/>
    </border>
    <border>
      <left style="medium">
        <color indexed="64"/>
      </left>
      <right style="dotted">
        <color indexed="64"/>
      </right>
      <top style="thin">
        <color indexed="64"/>
      </top>
      <bottom style="medium">
        <color indexed="64"/>
      </bottom>
      <diagonal/>
    </border>
    <border>
      <left style="medium">
        <color indexed="64"/>
      </left>
      <right style="dotted">
        <color indexed="64"/>
      </right>
      <top style="thin">
        <color indexed="64"/>
      </top>
      <bottom style="thin">
        <color indexed="64"/>
      </bottom>
      <diagonal/>
    </border>
    <border>
      <left style="medium">
        <color indexed="64"/>
      </left>
      <right style="dotted">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dotted">
        <color indexed="64"/>
      </left>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dotted">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dotted">
        <color indexed="64"/>
      </left>
      <right/>
      <top style="medium">
        <color indexed="64"/>
      </top>
      <bottom style="thin">
        <color indexed="64"/>
      </bottom>
      <diagonal/>
    </border>
    <border>
      <left style="medium">
        <color indexed="64"/>
      </left>
      <right style="medium">
        <color indexed="64"/>
      </right>
      <top style="thin">
        <color indexed="64"/>
      </top>
      <bottom/>
      <diagonal/>
    </border>
    <border>
      <left style="hair">
        <color indexed="64"/>
      </left>
      <right/>
      <top style="thin">
        <color indexed="64"/>
      </top>
      <bottom/>
      <diagonal/>
    </border>
    <border>
      <left style="hair">
        <color indexed="64"/>
      </left>
      <right style="hair">
        <color indexed="64"/>
      </right>
      <top style="thin">
        <color indexed="64"/>
      </top>
      <bottom/>
      <diagonal/>
    </border>
    <border>
      <left style="medium">
        <color indexed="64"/>
      </left>
      <right style="hair">
        <color indexed="64"/>
      </right>
      <top style="thin">
        <color indexed="64"/>
      </top>
      <bottom/>
      <diagonal/>
    </border>
    <border>
      <left style="hair">
        <color indexed="64"/>
      </left>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medium">
        <color indexed="64"/>
      </left>
      <right style="hair">
        <color indexed="64"/>
      </right>
      <top style="thin">
        <color indexed="64"/>
      </top>
      <bottom style="thin">
        <color indexed="64"/>
      </bottom>
      <diagonal/>
    </border>
    <border>
      <left style="medium">
        <color indexed="64"/>
      </left>
      <right style="medium">
        <color indexed="64"/>
      </right>
      <top/>
      <bottom style="thin">
        <color indexed="64"/>
      </bottom>
      <diagonal/>
    </border>
    <border>
      <left style="hair">
        <color indexed="64"/>
      </left>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medium">
        <color indexed="64"/>
      </left>
      <right style="hair">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right style="hair">
        <color indexed="64"/>
      </right>
      <top/>
      <bottom/>
      <diagonal/>
    </border>
    <border>
      <left/>
      <right/>
      <top/>
      <bottom style="medium">
        <color theme="4" tint="0.39988402966399123"/>
      </bottom>
      <diagonal/>
    </border>
    <border>
      <left style="medium">
        <color theme="4" tint="0.39985351115451523"/>
      </left>
      <right/>
      <top style="medium">
        <color theme="4" tint="0.39988402966399123"/>
      </top>
      <bottom/>
      <diagonal/>
    </border>
    <border>
      <left/>
      <right style="medium">
        <color theme="4" tint="0.39985351115451523"/>
      </right>
      <top style="medium">
        <color theme="4" tint="0.39988402966399123"/>
      </top>
      <bottom/>
      <diagonal/>
    </border>
    <border>
      <left style="medium">
        <color theme="4" tint="0.39985351115451523"/>
      </left>
      <right/>
      <top/>
      <bottom/>
      <diagonal/>
    </border>
    <border>
      <left/>
      <right style="medium">
        <color theme="4" tint="0.39985351115451523"/>
      </right>
      <top/>
      <bottom/>
      <diagonal/>
    </border>
    <border>
      <left style="medium">
        <color theme="4" tint="0.39985351115451523"/>
      </left>
      <right/>
      <top/>
      <bottom style="medium">
        <color theme="4" tint="0.39985351115451523"/>
      </bottom>
      <diagonal/>
    </border>
    <border>
      <left/>
      <right style="medium">
        <color theme="4" tint="0.39985351115451523"/>
      </right>
      <top/>
      <bottom style="medium">
        <color theme="4" tint="0.39985351115451523"/>
      </bottom>
      <diagonal/>
    </border>
    <border>
      <left/>
      <right/>
      <top/>
      <bottom style="thin">
        <color theme="4" tint="0.39997558519241921"/>
      </bottom>
      <diagonal/>
    </border>
    <border>
      <left/>
      <right style="thin">
        <color rgb="FF0070C0"/>
      </right>
      <top style="thin">
        <color rgb="FF0070C0"/>
      </top>
      <bottom style="thin">
        <color rgb="FF0070C0"/>
      </bottom>
      <diagonal/>
    </border>
    <border>
      <left/>
      <right/>
      <top style="thin">
        <color indexed="64"/>
      </top>
      <bottom/>
      <diagonal/>
    </border>
    <border>
      <left/>
      <right/>
      <top style="thin">
        <color indexed="64"/>
      </top>
      <bottom style="dotted">
        <color indexed="64"/>
      </bottom>
      <diagonal/>
    </border>
    <border>
      <left/>
      <right/>
      <top style="dotted">
        <color indexed="64"/>
      </top>
      <bottom style="dotted">
        <color indexed="64"/>
      </bottom>
      <diagonal/>
    </border>
    <border>
      <left/>
      <right/>
      <top style="thin">
        <color indexed="64"/>
      </top>
      <bottom style="thin">
        <color indexed="64"/>
      </bottom>
      <diagonal/>
    </border>
    <border>
      <left/>
      <right/>
      <top style="thin">
        <color indexed="64"/>
      </top>
      <bottom style="hair">
        <color indexed="64"/>
      </bottom>
      <diagonal/>
    </border>
    <border>
      <left/>
      <right/>
      <top style="dotted">
        <color indexed="64"/>
      </top>
      <bottom/>
      <diagonal/>
    </border>
    <border>
      <left/>
      <right style="thin">
        <color indexed="64"/>
      </right>
      <top style="thin">
        <color indexed="64"/>
      </top>
      <bottom style="dotted">
        <color indexed="64"/>
      </bottom>
      <diagonal/>
    </border>
    <border>
      <left style="thin">
        <color rgb="FF0070C0"/>
      </left>
      <right/>
      <top style="thin">
        <color rgb="FF0070C0"/>
      </top>
      <bottom style="thin">
        <color rgb="FF0070C0"/>
      </bottom>
      <diagonal/>
    </border>
    <border>
      <left style="double">
        <color rgb="FF0070C0"/>
      </left>
      <right style="thin">
        <color rgb="FF0070C0"/>
      </right>
      <top style="thin">
        <color rgb="FF0070C0"/>
      </top>
      <bottom style="thin">
        <color rgb="FF0070C0"/>
      </bottom>
      <diagonal/>
    </border>
    <border>
      <left style="thin">
        <color rgb="FF0070C0"/>
      </left>
      <right style="double">
        <color rgb="FF0070C0"/>
      </right>
      <top style="thin">
        <color rgb="FF0070C0"/>
      </top>
      <bottom style="thin">
        <color rgb="FF0070C0"/>
      </bottom>
      <diagonal/>
    </border>
    <border>
      <left/>
      <right/>
      <top style="hair">
        <color theme="4" tint="0.79998168889431442"/>
      </top>
      <bottom/>
      <diagonal/>
    </border>
    <border>
      <left/>
      <right/>
      <top style="thick">
        <color theme="4" tint="0.79998168889431442"/>
      </top>
      <bottom/>
      <diagonal/>
    </border>
    <border>
      <left/>
      <right/>
      <top style="thin">
        <color theme="4" tint="0.39994506668294322"/>
      </top>
      <bottom style="thin">
        <color theme="4" tint="0.39991454817346722"/>
      </bottom>
      <diagonal/>
    </border>
    <border>
      <left/>
      <right/>
      <top style="thin">
        <color theme="4" tint="0.39991454817346722"/>
      </top>
      <bottom style="thin">
        <color theme="4" tint="0.39991454817346722"/>
      </bottom>
      <diagonal/>
    </border>
    <border>
      <left/>
      <right style="thin">
        <color theme="1" tint="0.499984740745262"/>
      </right>
      <top/>
      <bottom/>
      <diagonal/>
    </border>
    <border>
      <left style="mediumDashed">
        <color theme="4" tint="0.39994506668294322"/>
      </left>
      <right style="mediumDashed">
        <color theme="4" tint="0.39994506668294322"/>
      </right>
      <top style="thick">
        <color theme="4"/>
      </top>
      <bottom/>
      <diagonal/>
    </border>
    <border>
      <left/>
      <right style="thin">
        <color theme="4" tint="0.39991454817346722"/>
      </right>
      <top/>
      <bottom/>
      <diagonal/>
    </border>
    <border>
      <left style="thin">
        <color rgb="FF0070C0"/>
      </left>
      <right style="thin">
        <color theme="4" tint="0.39991454817346722"/>
      </right>
      <top style="thin">
        <color rgb="FF0070C0"/>
      </top>
      <bottom style="thin">
        <color rgb="FF0070C0"/>
      </bottom>
      <diagonal/>
    </border>
    <border>
      <left/>
      <right/>
      <top/>
      <bottom style="thick">
        <color theme="5"/>
      </bottom>
      <diagonal/>
    </border>
    <border>
      <left/>
      <right/>
      <top/>
      <bottom style="thick">
        <color theme="3"/>
      </bottom>
      <diagonal/>
    </border>
    <border>
      <left/>
      <right/>
      <top style="thick">
        <color theme="0"/>
      </top>
      <bottom style="thick">
        <color theme="0"/>
      </bottom>
      <diagonal/>
    </border>
    <border>
      <left style="mediumDashed">
        <color theme="0" tint="-0.24994659260841701"/>
      </left>
      <right style="mediumDashed">
        <color theme="0" tint="-0.24994659260841701"/>
      </right>
      <top/>
      <bottom/>
      <diagonal/>
    </border>
    <border>
      <left/>
      <right/>
      <top style="thin">
        <color theme="0"/>
      </top>
      <bottom/>
      <diagonal/>
    </border>
    <border>
      <left style="thin">
        <color theme="1" tint="0.499984740745262"/>
      </left>
      <right/>
      <top/>
      <bottom/>
      <diagonal/>
    </border>
    <border>
      <left/>
      <right/>
      <top style="thin">
        <color theme="8" tint="0.59996337778862885"/>
      </top>
      <bottom/>
      <diagonal/>
    </border>
    <border>
      <left/>
      <right/>
      <top style="thin">
        <color theme="4" tint="0.79998168889431442"/>
      </top>
      <bottom/>
      <diagonal/>
    </border>
    <border>
      <left style="thin">
        <color theme="1" tint="0.499984740745262"/>
      </left>
      <right/>
      <top/>
      <bottom style="thin">
        <color theme="1" tint="0.499984740745262"/>
      </bottom>
      <diagonal/>
    </border>
    <border>
      <left style="mediumDashed">
        <color theme="5"/>
      </left>
      <right style="mediumDashed">
        <color theme="5"/>
      </right>
      <top style="thick">
        <color theme="5"/>
      </top>
      <bottom/>
      <diagonal/>
    </border>
    <border>
      <left style="mediumDashed">
        <color theme="5"/>
      </left>
      <right style="mediumDashed">
        <color theme="5"/>
      </right>
      <top/>
      <bottom/>
      <diagonal/>
    </border>
    <border>
      <left style="mediumDashed">
        <color theme="5"/>
      </left>
      <right style="mediumDashed">
        <color theme="5"/>
      </right>
      <top/>
      <bottom style="mediumDashed">
        <color theme="5"/>
      </bottom>
      <diagonal/>
    </border>
    <border>
      <left/>
      <right/>
      <top style="double">
        <color theme="5"/>
      </top>
      <bottom/>
      <diagonal/>
    </border>
    <border>
      <left/>
      <right/>
      <top style="medium">
        <color theme="8" tint="0.39994506668294322"/>
      </top>
      <bottom/>
      <diagonal/>
    </border>
    <border>
      <left/>
      <right/>
      <top/>
      <bottom style="double">
        <color theme="5"/>
      </bottom>
      <diagonal/>
    </border>
    <border>
      <left/>
      <right/>
      <top style="medium">
        <color theme="5"/>
      </top>
      <bottom/>
      <diagonal/>
    </border>
    <border>
      <left/>
      <right/>
      <top style="thick">
        <color theme="8" tint="0.59996337778862885"/>
      </top>
      <bottom/>
      <diagonal/>
    </border>
    <border>
      <left style="thin">
        <color theme="7" tint="-0.24994659260841701"/>
      </left>
      <right style="thin">
        <color theme="7" tint="-0.24994659260841701"/>
      </right>
      <top style="thin">
        <color theme="7" tint="-0.24994659260841701"/>
      </top>
      <bottom style="thin">
        <color theme="7" tint="-0.24994659260841701"/>
      </bottom>
      <diagonal/>
    </border>
    <border>
      <left/>
      <right/>
      <top/>
      <bottom style="thick">
        <color theme="0" tint="-0.499984740745262"/>
      </bottom>
      <diagonal/>
    </border>
    <border>
      <left/>
      <right/>
      <top/>
      <bottom style="thick">
        <color theme="1" tint="0.499984740745262"/>
      </bottom>
      <diagonal/>
    </border>
    <border>
      <left/>
      <right/>
      <top/>
      <bottom style="thick">
        <color theme="1" tint="0.34998626667073579"/>
      </bottom>
      <diagonal/>
    </border>
    <border>
      <left style="thin">
        <color theme="1" tint="0.499984740745262"/>
      </left>
      <right style="hair">
        <color theme="1" tint="0.499984740745262"/>
      </right>
      <top style="thick">
        <color theme="1" tint="0.499984740745262"/>
      </top>
      <bottom/>
      <diagonal/>
    </border>
    <border>
      <left style="hair">
        <color theme="1" tint="0.499984740745262"/>
      </left>
      <right style="hair">
        <color theme="1" tint="0.499984740745262"/>
      </right>
      <top style="thick">
        <color theme="1" tint="0.499984740745262"/>
      </top>
      <bottom/>
      <diagonal/>
    </border>
    <border>
      <left style="thin">
        <color theme="1" tint="0.499984740745262"/>
      </left>
      <right style="hair">
        <color theme="1" tint="0.499984740745262"/>
      </right>
      <top/>
      <bottom/>
      <diagonal/>
    </border>
    <border>
      <left style="hair">
        <color theme="1" tint="0.499984740745262"/>
      </left>
      <right style="hair">
        <color theme="1" tint="0.499984740745262"/>
      </right>
      <top/>
      <bottom/>
      <diagonal/>
    </border>
    <border>
      <left style="thin">
        <color theme="1" tint="0.499984740745262"/>
      </left>
      <right style="hair">
        <color theme="1" tint="0.499984740745262"/>
      </right>
      <top/>
      <bottom style="thick">
        <color theme="1" tint="0.499984740745262"/>
      </bottom>
      <diagonal/>
    </border>
    <border>
      <left style="hair">
        <color theme="1" tint="0.499984740745262"/>
      </left>
      <right style="hair">
        <color theme="1" tint="0.499984740745262"/>
      </right>
      <top/>
      <bottom style="thick">
        <color theme="1" tint="0.499984740745262"/>
      </bottom>
      <diagonal/>
    </border>
    <border>
      <left/>
      <right style="hair">
        <color theme="1" tint="0.499984740745262"/>
      </right>
      <top style="thick">
        <color theme="1" tint="0.499984740745262"/>
      </top>
      <bottom/>
      <diagonal/>
    </border>
    <border>
      <left/>
      <right style="hair">
        <color theme="1" tint="0.499984740745262"/>
      </right>
      <top/>
      <bottom/>
      <diagonal/>
    </border>
    <border>
      <left/>
      <right style="hair">
        <color theme="1" tint="0.499984740745262"/>
      </right>
      <top/>
      <bottom style="thick">
        <color theme="1" tint="0.499984740745262"/>
      </bottom>
      <diagonal/>
    </border>
    <border>
      <left style="medium">
        <color theme="1" tint="0.499984740745262"/>
      </left>
      <right/>
      <top/>
      <bottom/>
      <diagonal/>
    </border>
    <border>
      <left/>
      <right style="medium">
        <color theme="1" tint="0.499984740745262"/>
      </right>
      <top/>
      <bottom/>
      <diagonal/>
    </border>
    <border>
      <left/>
      <right/>
      <top/>
      <bottom style="medium">
        <color theme="5"/>
      </bottom>
      <diagonal/>
    </border>
    <border>
      <left/>
      <right/>
      <top style="thin">
        <color theme="5"/>
      </top>
      <bottom/>
      <diagonal/>
    </border>
    <border>
      <left/>
      <right/>
      <top/>
      <bottom style="medium">
        <color theme="1" tint="0.34998626667073579"/>
      </bottom>
      <diagonal/>
    </border>
    <border>
      <left style="thick">
        <color theme="0" tint="-4.9989318521683403E-2"/>
      </left>
      <right style="thick">
        <color theme="0" tint="-4.9989318521683403E-2"/>
      </right>
      <top style="thick">
        <color theme="0" tint="-4.9989318521683403E-2"/>
      </top>
      <bottom style="thick">
        <color theme="0" tint="-4.9989318521683403E-2"/>
      </bottom>
      <diagonal/>
    </border>
    <border>
      <left/>
      <right/>
      <top style="thick">
        <color theme="1" tint="0.34998626667073579"/>
      </top>
      <bottom/>
      <diagonal/>
    </border>
    <border>
      <left/>
      <right/>
      <top style="mediumDashed">
        <color theme="5"/>
      </top>
      <bottom/>
      <diagonal/>
    </border>
    <border>
      <left/>
      <right/>
      <top style="mediumDashed">
        <color theme="1" tint="0.34998626667073579"/>
      </top>
      <bottom/>
      <diagonal/>
    </border>
    <border>
      <left style="thick">
        <color theme="0" tint="-4.9989318521683403E-2"/>
      </left>
      <right/>
      <top style="thick">
        <color theme="0" tint="-4.9989318521683403E-2"/>
      </top>
      <bottom style="thick">
        <color theme="0" tint="-4.9989318521683403E-2"/>
      </bottom>
      <diagonal/>
    </border>
    <border>
      <left/>
      <right style="thick">
        <color theme="0" tint="-4.9989318521683403E-2"/>
      </right>
      <top style="thick">
        <color theme="0" tint="-4.9989318521683403E-2"/>
      </top>
      <bottom style="thick">
        <color theme="0" tint="-4.9989318521683403E-2"/>
      </bottom>
      <diagonal/>
    </border>
    <border>
      <left style="thick">
        <color theme="0" tint="-4.9989318521683403E-2"/>
      </left>
      <right/>
      <top/>
      <bottom style="thick">
        <color theme="0" tint="-4.9989318521683403E-2"/>
      </bottom>
      <diagonal/>
    </border>
    <border>
      <left/>
      <right/>
      <top style="thick">
        <color theme="0" tint="-4.9989318521683403E-2"/>
      </top>
      <bottom style="thick">
        <color theme="0" tint="-4.9989318521683403E-2"/>
      </bottom>
      <diagonal/>
    </border>
    <border>
      <left style="medium">
        <color theme="1" tint="0.499984740745262"/>
      </left>
      <right/>
      <top style="medium">
        <color theme="1" tint="0.499984740745262"/>
      </top>
      <bottom/>
      <diagonal/>
    </border>
    <border>
      <left/>
      <right/>
      <top style="medium">
        <color theme="1" tint="0.499984740745262"/>
      </top>
      <bottom/>
      <diagonal/>
    </border>
    <border>
      <left/>
      <right style="medium">
        <color theme="1" tint="0.499984740745262"/>
      </right>
      <top style="medium">
        <color theme="1" tint="0.499984740745262"/>
      </top>
      <bottom/>
      <diagonal/>
    </border>
    <border>
      <left style="medium">
        <color theme="1" tint="0.499984740745262"/>
      </left>
      <right/>
      <top/>
      <bottom style="medium">
        <color theme="1" tint="0.499984740745262"/>
      </bottom>
      <diagonal/>
    </border>
    <border>
      <left/>
      <right/>
      <top/>
      <bottom style="medium">
        <color theme="1" tint="0.499984740745262"/>
      </bottom>
      <diagonal/>
    </border>
    <border>
      <left/>
      <right style="medium">
        <color theme="1" tint="0.499984740745262"/>
      </right>
      <top/>
      <bottom style="medium">
        <color theme="1" tint="0.499984740745262"/>
      </bottom>
      <diagonal/>
    </border>
    <border>
      <left style="hair">
        <color theme="1" tint="0.499984740745262"/>
      </left>
      <right style="thick">
        <color theme="1" tint="0.499984740745262"/>
      </right>
      <top style="thick">
        <color theme="1" tint="0.499984740745262"/>
      </top>
      <bottom/>
      <diagonal/>
    </border>
    <border>
      <left style="thin">
        <color rgb="FF0070C0"/>
      </left>
      <right style="thick">
        <color theme="1" tint="0.499984740745262"/>
      </right>
      <top style="thin">
        <color rgb="FF0070C0"/>
      </top>
      <bottom style="thin">
        <color rgb="FF0070C0"/>
      </bottom>
      <diagonal/>
    </border>
    <border>
      <left style="hair">
        <color theme="1" tint="0.499984740745262"/>
      </left>
      <right style="thick">
        <color theme="1" tint="0.499984740745262"/>
      </right>
      <top/>
      <bottom/>
      <diagonal/>
    </border>
    <border>
      <left style="hair">
        <color theme="1" tint="0.499984740745262"/>
      </left>
      <right style="thick">
        <color theme="1" tint="0.499984740745262"/>
      </right>
      <top/>
      <bottom style="thick">
        <color theme="1" tint="0.499984740745262"/>
      </bottom>
      <diagonal/>
    </border>
    <border>
      <left style="double">
        <color theme="5"/>
      </left>
      <right/>
      <top style="thick">
        <color theme="5"/>
      </top>
      <bottom style="thin">
        <color theme="5"/>
      </bottom>
      <diagonal/>
    </border>
    <border>
      <left style="double">
        <color theme="5"/>
      </left>
      <right/>
      <top style="double">
        <color theme="5"/>
      </top>
      <bottom style="thin">
        <color theme="5"/>
      </bottom>
      <diagonal/>
    </border>
    <border>
      <left/>
      <right/>
      <top style="double">
        <color theme="5"/>
      </top>
      <bottom style="thin">
        <color theme="5"/>
      </bottom>
      <diagonal/>
    </border>
    <border>
      <left/>
      <right style="double">
        <color theme="4" tint="0.39991454817346722"/>
      </right>
      <top style="double">
        <color theme="5"/>
      </top>
      <bottom style="thin">
        <color theme="5"/>
      </bottom>
      <diagonal/>
    </border>
    <border>
      <left style="thin">
        <color rgb="FF0070C0"/>
      </left>
      <right style="thin">
        <color rgb="FF0070C0"/>
      </right>
      <top style="thin">
        <color rgb="FF0070C0"/>
      </top>
      <bottom/>
      <diagonal/>
    </border>
    <border>
      <left/>
      <right/>
      <top style="thin">
        <color theme="5"/>
      </top>
      <bottom style="double">
        <color theme="4" tint="0.39994506668294322"/>
      </bottom>
      <diagonal/>
    </border>
    <border>
      <left/>
      <right style="double">
        <color theme="4" tint="0.39991454817346722"/>
      </right>
      <top style="thin">
        <color theme="5"/>
      </top>
      <bottom style="double">
        <color theme="4" tint="0.39994506668294322"/>
      </bottom>
      <diagonal/>
    </border>
    <border>
      <left style="double">
        <color theme="5"/>
      </left>
      <right style="thin">
        <color rgb="FF0070C0"/>
      </right>
      <top/>
      <bottom style="thin">
        <color rgb="FF0070C0"/>
      </bottom>
      <diagonal/>
    </border>
    <border>
      <left style="double">
        <color theme="5"/>
      </left>
      <right style="thin">
        <color rgb="FF0070C0"/>
      </right>
      <top style="thin">
        <color rgb="FF0070C0"/>
      </top>
      <bottom style="thin">
        <color rgb="FF0070C0"/>
      </bottom>
      <diagonal/>
    </border>
    <border>
      <left style="double">
        <color theme="5"/>
      </left>
      <right style="thin">
        <color rgb="FF0070C0"/>
      </right>
      <top style="thin">
        <color rgb="FF0070C0"/>
      </top>
      <bottom/>
      <diagonal/>
    </border>
    <border>
      <left style="double">
        <color theme="5"/>
      </left>
      <right/>
      <top style="thin">
        <color theme="5"/>
      </top>
      <bottom style="double">
        <color theme="4" tint="0.39994506668294322"/>
      </bottom>
      <diagonal/>
    </border>
    <border>
      <left/>
      <right/>
      <top style="thin">
        <color theme="5"/>
      </top>
      <bottom style="double">
        <color theme="5"/>
      </bottom>
      <diagonal/>
    </border>
    <border>
      <left style="double">
        <color theme="5"/>
      </left>
      <right/>
      <top style="thin">
        <color theme="5"/>
      </top>
      <bottom style="double">
        <color theme="5"/>
      </bottom>
      <diagonal/>
    </border>
    <border>
      <left/>
      <right style="double">
        <color theme="4" tint="0.39991454817346722"/>
      </right>
      <top style="thin">
        <color theme="5"/>
      </top>
      <bottom style="double">
        <color theme="5"/>
      </bottom>
      <diagonal/>
    </border>
    <border>
      <left/>
      <right/>
      <top style="double">
        <color theme="5"/>
      </top>
      <bottom style="double">
        <color theme="5"/>
      </bottom>
      <diagonal/>
    </border>
    <border>
      <left style="double">
        <color theme="5"/>
      </left>
      <right/>
      <top style="double">
        <color theme="5"/>
      </top>
      <bottom style="double">
        <color theme="5"/>
      </bottom>
      <diagonal/>
    </border>
    <border>
      <left/>
      <right style="double">
        <color theme="4" tint="0.39991454817346722"/>
      </right>
      <top style="double">
        <color theme="5"/>
      </top>
      <bottom style="double">
        <color theme="5"/>
      </bottom>
      <diagonal/>
    </border>
    <border>
      <left/>
      <right/>
      <top style="double">
        <color theme="5"/>
      </top>
      <bottom style="thick">
        <color theme="5"/>
      </bottom>
      <diagonal/>
    </border>
    <border>
      <left style="double">
        <color theme="5"/>
      </left>
      <right/>
      <top style="double">
        <color theme="5"/>
      </top>
      <bottom style="thick">
        <color theme="5"/>
      </bottom>
      <diagonal/>
    </border>
    <border>
      <left/>
      <right style="double">
        <color theme="4" tint="0.39991454817346722"/>
      </right>
      <top style="double">
        <color theme="5"/>
      </top>
      <bottom style="thick">
        <color theme="5"/>
      </bottom>
      <diagonal/>
    </border>
    <border>
      <left/>
      <right style="double">
        <color theme="5"/>
      </right>
      <top/>
      <bottom/>
      <diagonal/>
    </border>
    <border>
      <left/>
      <right style="double">
        <color theme="5"/>
      </right>
      <top style="double">
        <color theme="5"/>
      </top>
      <bottom style="thin">
        <color theme="5"/>
      </bottom>
      <diagonal/>
    </border>
    <border>
      <left/>
      <right style="double">
        <color theme="5"/>
      </right>
      <top style="thin">
        <color theme="5"/>
      </top>
      <bottom style="double">
        <color theme="4" tint="0.39994506668294322"/>
      </bottom>
      <diagonal/>
    </border>
    <border>
      <left/>
      <right style="double">
        <color theme="5"/>
      </right>
      <top style="thin">
        <color theme="5"/>
      </top>
      <bottom style="double">
        <color theme="5"/>
      </bottom>
      <diagonal/>
    </border>
    <border>
      <left/>
      <right style="double">
        <color theme="5"/>
      </right>
      <top style="double">
        <color theme="5"/>
      </top>
      <bottom style="double">
        <color theme="5"/>
      </bottom>
      <diagonal/>
    </border>
    <border>
      <left/>
      <right style="double">
        <color theme="5"/>
      </right>
      <top style="double">
        <color theme="5"/>
      </top>
      <bottom style="thick">
        <color theme="5"/>
      </bottom>
      <diagonal/>
    </border>
    <border>
      <left/>
      <right style="double">
        <color theme="5"/>
      </right>
      <top style="thick">
        <color theme="5"/>
      </top>
      <bottom style="thin">
        <color theme="5"/>
      </bottom>
      <diagonal/>
    </border>
    <border>
      <left/>
      <right/>
      <top style="thick">
        <color theme="5"/>
      </top>
      <bottom style="thin">
        <color theme="5"/>
      </bottom>
      <diagonal/>
    </border>
    <border>
      <left/>
      <right style="thick">
        <color theme="4"/>
      </right>
      <top style="thin">
        <color theme="5"/>
      </top>
      <bottom style="double">
        <color theme="5"/>
      </bottom>
      <diagonal/>
    </border>
    <border>
      <left/>
      <right style="thin">
        <color rgb="FF0070C0"/>
      </right>
      <top/>
      <bottom style="thin">
        <color rgb="FF0070C0"/>
      </bottom>
      <diagonal/>
    </border>
    <border>
      <left/>
      <right style="thin">
        <color rgb="FF0070C0"/>
      </right>
      <top style="thin">
        <color rgb="FF0070C0"/>
      </top>
      <bottom/>
      <diagonal/>
    </border>
    <border>
      <left/>
      <right style="thick">
        <color theme="5"/>
      </right>
      <top style="thick">
        <color theme="5"/>
      </top>
      <bottom style="thin">
        <color theme="5"/>
      </bottom>
      <diagonal/>
    </border>
    <border>
      <left/>
      <right style="thick">
        <color theme="5"/>
      </right>
      <top/>
      <bottom/>
      <diagonal/>
    </border>
    <border>
      <left/>
      <right style="thick">
        <color theme="5"/>
      </right>
      <top style="double">
        <color theme="5"/>
      </top>
      <bottom style="thin">
        <color theme="5"/>
      </bottom>
      <diagonal/>
    </border>
    <border>
      <left/>
      <right style="thick">
        <color theme="5"/>
      </right>
      <top style="thin">
        <color theme="5"/>
      </top>
      <bottom style="double">
        <color theme="4" tint="0.39994506668294322"/>
      </bottom>
      <diagonal/>
    </border>
    <border>
      <left/>
      <right style="thick">
        <color theme="5"/>
      </right>
      <top style="thin">
        <color theme="5"/>
      </top>
      <bottom style="double">
        <color theme="5"/>
      </bottom>
      <diagonal/>
    </border>
    <border>
      <left/>
      <right style="thick">
        <color theme="5"/>
      </right>
      <top style="double">
        <color theme="5"/>
      </top>
      <bottom style="double">
        <color theme="5"/>
      </bottom>
      <diagonal/>
    </border>
    <border>
      <left/>
      <right style="thick">
        <color theme="5"/>
      </right>
      <top style="double">
        <color theme="5"/>
      </top>
      <bottom style="thick">
        <color theme="5"/>
      </bottom>
      <diagonal/>
    </border>
    <border>
      <left/>
      <right/>
      <top/>
      <bottom style="thin">
        <color theme="5"/>
      </bottom>
      <diagonal/>
    </border>
    <border>
      <left/>
      <right/>
      <top style="mediumDashed">
        <color theme="4"/>
      </top>
      <bottom/>
      <diagonal/>
    </border>
    <border>
      <left style="mediumDashed">
        <color theme="4" tint="0.39991454817346722"/>
      </left>
      <right/>
      <top/>
      <bottom/>
      <diagonal/>
    </border>
    <border>
      <left style="mediumDashed">
        <color theme="4" tint="0.39994506668294322"/>
      </left>
      <right/>
      <top style="thick">
        <color theme="4"/>
      </top>
      <bottom/>
      <diagonal/>
    </border>
    <border>
      <left/>
      <right style="mediumDashed">
        <color theme="4" tint="0.59996337778862885"/>
      </right>
      <top style="thick">
        <color theme="4"/>
      </top>
      <bottom/>
      <diagonal/>
    </border>
    <border>
      <left/>
      <right style="mediumDashed">
        <color theme="4" tint="0.39991454817346722"/>
      </right>
      <top/>
      <bottom/>
      <diagonal/>
    </border>
    <border>
      <left style="mediumDashed">
        <color theme="4"/>
      </left>
      <right style="mediumDashed">
        <color theme="4" tint="0.59996337778862885"/>
      </right>
      <top style="thick">
        <color theme="4"/>
      </top>
      <bottom/>
      <diagonal/>
    </border>
    <border>
      <left style="mediumDashed">
        <color theme="4" tint="0.59996337778862885"/>
      </left>
      <right style="mediumDashed">
        <color theme="4"/>
      </right>
      <top style="thick">
        <color theme="4"/>
      </top>
      <bottom/>
      <diagonal/>
    </border>
    <border>
      <left style="mediumDashed">
        <color theme="4"/>
      </left>
      <right style="mediumDashed">
        <color theme="4" tint="0.39991454817346722"/>
      </right>
      <top/>
      <bottom/>
      <diagonal/>
    </border>
    <border>
      <left style="mediumDashed">
        <color theme="4" tint="0.39991454817346722"/>
      </left>
      <right style="mediumDashed">
        <color theme="4"/>
      </right>
      <top/>
      <bottom/>
      <diagonal/>
    </border>
    <border>
      <left style="thin">
        <color theme="7" tint="-0.24994659260841701"/>
      </left>
      <right style="thin">
        <color theme="7" tint="-0.24994659260841701"/>
      </right>
      <top style="thin">
        <color theme="7" tint="-0.24994659260841701"/>
      </top>
      <bottom/>
      <diagonal/>
    </border>
    <border>
      <left style="thin">
        <color rgb="FF0070C0"/>
      </left>
      <right/>
      <top/>
      <bottom style="thin">
        <color rgb="FF0070C0"/>
      </bottom>
      <diagonal/>
    </border>
    <border>
      <left style="thin">
        <color indexed="64"/>
      </left>
      <right style="double">
        <color indexed="64"/>
      </right>
      <top style="thin">
        <color indexed="64"/>
      </top>
      <bottom/>
      <diagonal/>
    </border>
    <border>
      <left style="double">
        <color indexed="64"/>
      </left>
      <right style="double">
        <color indexed="64"/>
      </right>
      <top style="thin">
        <color indexed="64"/>
      </top>
      <bottom/>
      <diagonal/>
    </border>
    <border>
      <left style="double">
        <color indexed="64"/>
      </left>
      <right style="thin">
        <color indexed="64"/>
      </right>
      <top style="thin">
        <color indexed="64"/>
      </top>
      <bottom/>
      <diagonal/>
    </border>
    <border>
      <left style="thin">
        <color indexed="64"/>
      </left>
      <right style="double">
        <color indexed="64"/>
      </right>
      <top/>
      <bottom/>
      <diagonal/>
    </border>
    <border>
      <left style="double">
        <color indexed="64"/>
      </left>
      <right style="double">
        <color indexed="64"/>
      </right>
      <top/>
      <bottom/>
      <diagonal/>
    </border>
    <border>
      <left style="double">
        <color indexed="64"/>
      </left>
      <right style="thin">
        <color indexed="64"/>
      </right>
      <top/>
      <bottom/>
      <diagonal/>
    </border>
    <border>
      <left style="thin">
        <color indexed="64"/>
      </left>
      <right style="double">
        <color indexed="64"/>
      </right>
      <top/>
      <bottom style="thin">
        <color indexed="64"/>
      </bottom>
      <diagonal/>
    </border>
    <border>
      <left style="double">
        <color indexed="64"/>
      </left>
      <right style="double">
        <color indexed="64"/>
      </right>
      <top/>
      <bottom style="thin">
        <color indexed="64"/>
      </bottom>
      <diagonal/>
    </border>
    <border>
      <left style="double">
        <color indexed="64"/>
      </left>
      <right style="thin">
        <color indexed="64"/>
      </right>
      <top/>
      <bottom style="thin">
        <color indexed="64"/>
      </bottom>
      <diagonal/>
    </border>
    <border>
      <left/>
      <right/>
      <top/>
      <bottom style="thick">
        <color theme="0" tint="-0.34998626667073579"/>
      </bottom>
      <diagonal/>
    </border>
    <border>
      <left/>
      <right/>
      <top style="thin">
        <color theme="0" tint="-0.499984740745262"/>
      </top>
      <bottom style="thin">
        <color theme="0" tint="-0.499984740745262"/>
      </bottom>
      <diagonal/>
    </border>
    <border>
      <left style="mediumDashed">
        <color theme="4"/>
      </left>
      <right/>
      <top/>
      <bottom/>
      <diagonal/>
    </border>
    <border>
      <left/>
      <right/>
      <top/>
      <bottom style="thick">
        <color theme="8" tint="0.59996337778862885"/>
      </bottom>
      <diagonal/>
    </border>
    <border>
      <left style="thin">
        <color theme="0" tint="-0.24994659260841701"/>
      </left>
      <right/>
      <top/>
      <bottom/>
      <diagonal/>
    </border>
    <border>
      <left/>
      <right style="medium">
        <color theme="4" tint="0.39988402966399123"/>
      </right>
      <top/>
      <bottom style="medium">
        <color theme="4" tint="0.39988402966399123"/>
      </bottom>
      <diagonal/>
    </border>
    <border>
      <left style="medium">
        <color theme="4" tint="0.39985351115451523"/>
      </left>
      <right style="medium">
        <color theme="4" tint="0.39985351115451523"/>
      </right>
      <top style="medium">
        <color theme="4" tint="0.39985351115451523"/>
      </top>
      <bottom/>
      <diagonal/>
    </border>
    <border>
      <left style="medium">
        <color theme="4" tint="0.39985351115451523"/>
      </left>
      <right style="medium">
        <color theme="4" tint="0.39985351115451523"/>
      </right>
      <top/>
      <bottom/>
      <diagonal/>
    </border>
    <border>
      <left style="medium">
        <color theme="4" tint="0.39985351115451523"/>
      </left>
      <right style="medium">
        <color theme="4" tint="0.39985351115451523"/>
      </right>
      <top/>
      <bottom style="medium">
        <color theme="4" tint="0.39985351115451523"/>
      </bottom>
      <diagonal/>
    </border>
    <border>
      <left/>
      <right style="medium">
        <color theme="4" tint="0.39991454817346722"/>
      </right>
      <top/>
      <bottom/>
      <diagonal/>
    </border>
    <border>
      <left/>
      <right/>
      <top style="medium">
        <color theme="0" tint="-0.24994659260841701"/>
      </top>
      <bottom/>
      <diagonal/>
    </border>
    <border>
      <left/>
      <right/>
      <top/>
      <bottom style="thin">
        <color theme="4" tint="-0.24994659260841701"/>
      </bottom>
      <diagonal/>
    </border>
    <border>
      <left/>
      <right/>
      <top style="thick">
        <color theme="4" tint="0.79998168889431442"/>
      </top>
      <bottom style="thick">
        <color theme="4" tint="0.79998168889431442"/>
      </bottom>
      <diagonal/>
    </border>
    <border>
      <left style="medium">
        <color theme="4" tint="0.39982299264503923"/>
      </left>
      <right/>
      <top/>
      <bottom style="medium">
        <color theme="4" tint="0.39985351115451523"/>
      </bottom>
      <diagonal/>
    </border>
    <border>
      <left style="medium">
        <color theme="1" tint="0.499984740745262"/>
      </left>
      <right/>
      <top style="hair">
        <color theme="1" tint="0.499984740745262"/>
      </top>
      <bottom/>
      <diagonal/>
    </border>
    <border>
      <left/>
      <right/>
      <top style="hair">
        <color theme="1" tint="0.499984740745262"/>
      </top>
      <bottom/>
      <diagonal/>
    </border>
    <border>
      <left/>
      <right style="medium">
        <color theme="1" tint="0.499984740745262"/>
      </right>
      <top style="hair">
        <color theme="1" tint="0.499984740745262"/>
      </top>
      <bottom/>
      <diagonal/>
    </border>
    <border>
      <left style="medium">
        <color theme="1" tint="0.499984740745262"/>
      </left>
      <right/>
      <top/>
      <bottom style="hair">
        <color theme="1" tint="0.499984740745262"/>
      </bottom>
      <diagonal/>
    </border>
    <border>
      <left/>
      <right/>
      <top/>
      <bottom style="hair">
        <color theme="1" tint="0.499984740745262"/>
      </bottom>
      <diagonal/>
    </border>
    <border>
      <left/>
      <right style="medium">
        <color theme="1" tint="0.499984740745262"/>
      </right>
      <top/>
      <bottom style="hair">
        <color theme="1" tint="0.499984740745262"/>
      </bottom>
      <diagonal/>
    </border>
    <border>
      <left style="thin">
        <color rgb="FF0070C0"/>
      </left>
      <right/>
      <top style="thin">
        <color rgb="FF0070C0"/>
      </top>
      <bottom/>
      <diagonal/>
    </border>
    <border>
      <left style="thin">
        <color rgb="FF0070C0"/>
      </left>
      <right/>
      <top/>
      <bottom/>
      <diagonal/>
    </border>
    <border>
      <left/>
      <right/>
      <top/>
      <bottom style="thin">
        <color theme="1" tint="0.499984740745262"/>
      </bottom>
      <diagonal/>
    </border>
    <border>
      <left/>
      <right/>
      <top style="thin">
        <color theme="4" tint="0.39997558519241921"/>
      </top>
      <bottom style="thick">
        <color theme="5"/>
      </bottom>
      <diagonal/>
    </border>
    <border>
      <left/>
      <right/>
      <top style="thin">
        <color theme="1" tint="0.499984740745262"/>
      </top>
      <bottom/>
      <diagonal/>
    </border>
  </borders>
  <cellStyleXfs count="49">
    <xf numFmtId="0" fontId="0" fillId="0" borderId="0" applyNumberFormat="0">
      <alignment vertical="top"/>
    </xf>
    <xf numFmtId="0" fontId="104" fillId="0" borderId="1" applyNumberFormat="0" applyFill="0" applyAlignment="0" applyProtection="0"/>
    <xf numFmtId="0" fontId="26" fillId="0" borderId="1" applyNumberFormat="0" applyFill="0" applyProtection="0"/>
    <xf numFmtId="0" fontId="27" fillId="0" borderId="8" applyNumberFormat="0" applyFill="0" applyAlignment="0" applyProtection="0"/>
    <xf numFmtId="0" fontId="14" fillId="6" borderId="5" applyNumberFormat="0">
      <alignment horizontal="right" indent="3"/>
      <protection locked="0"/>
    </xf>
    <xf numFmtId="0" fontId="19" fillId="0" borderId="0" applyNumberFormat="0" applyFill="0" applyBorder="0" applyProtection="0">
      <alignment horizontal="left" indent="2"/>
    </xf>
    <xf numFmtId="0" fontId="10" fillId="0" borderId="0"/>
    <xf numFmtId="9" fontId="6" fillId="0" borderId="0" applyFont="0" applyFill="0" applyBorder="0" applyAlignment="0" applyProtection="0"/>
    <xf numFmtId="0" fontId="16" fillId="0" borderId="0" applyNumberFormat="0" applyFill="0" applyBorder="0" applyAlignment="0" applyProtection="0">
      <alignment vertical="top"/>
    </xf>
    <xf numFmtId="0" fontId="27" fillId="0" borderId="0" applyNumberFormat="0" applyFill="0" applyBorder="0" applyAlignment="0" applyProtection="0"/>
    <xf numFmtId="0" fontId="84" fillId="0" borderId="0" applyNumberFormat="0" applyFill="0" applyBorder="0" applyProtection="0">
      <alignment horizontal="right" indent="4"/>
    </xf>
    <xf numFmtId="0" fontId="38" fillId="0" borderId="0" applyNumberFormat="0" applyFill="0" applyBorder="0" applyAlignment="0" applyProtection="0"/>
    <xf numFmtId="0" fontId="12" fillId="0" borderId="0" applyNumberFormat="0" applyFill="0" applyBorder="0" applyAlignment="0" applyProtection="0">
      <alignment vertical="top"/>
    </xf>
    <xf numFmtId="0" fontId="129" fillId="0" borderId="0" applyNumberFormat="0" applyFill="0" applyBorder="0" applyAlignment="0" applyProtection="0"/>
    <xf numFmtId="0" fontId="31" fillId="0" borderId="0" applyNumberFormat="0" applyFill="0" applyBorder="0" applyAlignment="0" applyProtection="0"/>
    <xf numFmtId="0" fontId="36" fillId="5" borderId="15" applyNumberFormat="0" applyFont="0" applyFill="0" applyBorder="0" applyAlignment="0" applyProtection="0"/>
    <xf numFmtId="165" fontId="13" fillId="0" borderId="0" applyFont="0" applyFill="0" applyBorder="0" applyAlignment="0" applyProtection="0"/>
    <xf numFmtId="0" fontId="84" fillId="0" borderId="0" applyNumberFormat="0" applyBorder="0">
      <alignment horizontal="right" vertical="top" indent="2"/>
    </xf>
    <xf numFmtId="0" fontId="43" fillId="5" borderId="39" applyNumberFormat="0" applyAlignment="0" applyProtection="0"/>
    <xf numFmtId="0" fontId="62" fillId="0" borderId="4" applyFill="0" applyBorder="0" applyAlignment="0">
      <alignment horizontal="center" vertical="top"/>
    </xf>
    <xf numFmtId="0" fontId="23" fillId="6" borderId="5" applyAlignment="0">
      <protection locked="0"/>
    </xf>
    <xf numFmtId="0" fontId="30" fillId="0" borderId="0" applyNumberFormat="0" applyFill="0" applyBorder="0" applyAlignment="0">
      <alignment horizontal="right" vertical="top"/>
      <protection locked="0"/>
    </xf>
    <xf numFmtId="0" fontId="76" fillId="0" borderId="0" applyNumberFormat="0" applyFill="0" applyBorder="0">
      <alignment horizontal="right"/>
    </xf>
    <xf numFmtId="3" fontId="13" fillId="0" borderId="0" applyNumberFormat="0" applyFont="0">
      <alignment horizontal="right" vertical="top" indent="3"/>
    </xf>
    <xf numFmtId="0" fontId="79" fillId="0" borderId="0" applyNumberFormat="0" applyAlignment="0">
      <alignment vertical="top"/>
    </xf>
    <xf numFmtId="0" fontId="15" fillId="0" borderId="0" applyNumberFormat="0" applyFill="0" applyBorder="0" applyAlignment="0" applyProtection="0"/>
    <xf numFmtId="191" fontId="14" fillId="0" borderId="0" applyFont="0" applyFill="0" applyBorder="0" applyAlignment="0" applyProtection="0">
      <alignment horizontal="center" vertical="top"/>
    </xf>
    <xf numFmtId="0" fontId="5" fillId="16" borderId="0" applyNumberFormat="0" applyBorder="0" applyAlignment="0" applyProtection="0"/>
    <xf numFmtId="194" fontId="13" fillId="0" borderId="0" applyFont="0" applyFill="0" applyBorder="0" applyAlignment="0" applyProtection="0">
      <alignment horizontal="right" vertical="top" indent="1"/>
    </xf>
    <xf numFmtId="193" fontId="13" fillId="0" borderId="0" applyFont="0" applyFill="0" applyBorder="0" applyAlignment="0" applyProtection="0">
      <alignment horizontal="right" vertical="top" indent="1"/>
    </xf>
    <xf numFmtId="192" fontId="13" fillId="0" borderId="0" applyFont="0" applyFill="0" applyBorder="0" applyAlignment="0" applyProtection="0">
      <alignment horizontal="right" vertical="top" indent="1"/>
    </xf>
    <xf numFmtId="195" fontId="13" fillId="0" borderId="0" applyFont="0" applyFill="0" applyBorder="0" applyAlignment="0" applyProtection="0">
      <alignment horizontal="right" vertical="top" indent="1"/>
    </xf>
    <xf numFmtId="188" fontId="13" fillId="0" borderId="0" applyFont="0" applyFill="0" applyBorder="0" applyAlignment="0" applyProtection="0">
      <alignment horizontal="right" vertical="top" indent="1"/>
    </xf>
    <xf numFmtId="0" fontId="26" fillId="0" borderId="134" applyFill="0" applyProtection="0"/>
    <xf numFmtId="0" fontId="26" fillId="0" borderId="115" applyFill="0" applyProtection="0"/>
    <xf numFmtId="0" fontId="19" fillId="0" borderId="119" applyNumberFormat="0" applyFill="0" applyProtection="0">
      <alignment horizontal="left" vertical="top" wrapText="1" indent="1"/>
    </xf>
    <xf numFmtId="0" fontId="104" fillId="0" borderId="135" applyFill="0" applyAlignment="0" applyProtection="0"/>
    <xf numFmtId="0" fontId="27" fillId="0" borderId="147" applyFill="0" applyAlignment="0" applyProtection="0"/>
    <xf numFmtId="0" fontId="27" fillId="0" borderId="149" applyFill="0" applyAlignment="0" applyProtection="0"/>
    <xf numFmtId="0" fontId="123" fillId="0" borderId="0" applyNumberFormat="0" applyFill="0" applyBorder="0" applyAlignment="0" applyProtection="0"/>
    <xf numFmtId="49" fontId="124" fillId="0" borderId="0" applyFill="0" applyBorder="0" applyProtection="0">
      <alignment horizontal="justify" vertical="top"/>
    </xf>
    <xf numFmtId="0" fontId="104" fillId="0" borderId="115" applyFill="0" applyAlignment="0" applyProtection="0"/>
    <xf numFmtId="166" fontId="13" fillId="0" borderId="0" applyFont="0" applyFill="0" applyBorder="0" applyAlignment="0" applyProtection="0"/>
    <xf numFmtId="0" fontId="13" fillId="0" borderId="0" applyNumberFormat="0">
      <alignment vertical="top"/>
    </xf>
    <xf numFmtId="0" fontId="104" fillId="0" borderId="1" applyNumberFormat="0" applyFill="0" applyAlignment="0" applyProtection="0"/>
    <xf numFmtId="0" fontId="14" fillId="6" borderId="5" applyNumberFormat="0">
      <alignment horizontal="right" indent="3"/>
      <protection locked="0"/>
    </xf>
    <xf numFmtId="0" fontId="27" fillId="0" borderId="8" applyNumberFormat="0" applyFill="0" applyAlignment="0" applyProtection="0"/>
    <xf numFmtId="0" fontId="26" fillId="0" borderId="1" applyNumberFormat="0" applyFill="0" applyProtection="0"/>
    <xf numFmtId="0" fontId="38" fillId="0" borderId="0" applyNumberFormat="0" applyFill="0" applyBorder="0" applyAlignment="0" applyProtection="0"/>
  </cellStyleXfs>
  <cellXfs count="2218">
    <xf numFmtId="0" fontId="0" fillId="0" borderId="0" xfId="0">
      <alignment vertical="top"/>
    </xf>
    <xf numFmtId="0" fontId="104" fillId="0" borderId="1" xfId="1"/>
    <xf numFmtId="0" fontId="26" fillId="0" borderId="1" xfId="2"/>
    <xf numFmtId="0" fontId="19" fillId="0" borderId="0" xfId="5">
      <alignment horizontal="left" indent="2"/>
    </xf>
    <xf numFmtId="3" fontId="0" fillId="0" borderId="0" xfId="0" applyNumberFormat="1">
      <alignment vertical="top"/>
    </xf>
    <xf numFmtId="0" fontId="0" fillId="0" borderId="0" xfId="0">
      <alignment vertical="top"/>
    </xf>
    <xf numFmtId="0" fontId="26" fillId="0" borderId="1" xfId="2" applyAlignment="1"/>
    <xf numFmtId="172" fontId="26" fillId="0" borderId="1" xfId="2" applyNumberFormat="1"/>
    <xf numFmtId="0" fontId="0" fillId="0" borderId="0" xfId="0" applyFont="1">
      <alignment vertical="top"/>
    </xf>
    <xf numFmtId="0" fontId="0" fillId="0" borderId="0" xfId="0">
      <alignment vertical="top"/>
    </xf>
    <xf numFmtId="0" fontId="26" fillId="0" borderId="0" xfId="2" applyBorder="1"/>
    <xf numFmtId="0" fontId="17" fillId="2" borderId="0" xfId="0" applyFont="1" applyFill="1" applyBorder="1" applyAlignment="1">
      <alignment horizontal="left" vertical="top"/>
    </xf>
    <xf numFmtId="0" fontId="19" fillId="2" borderId="0" xfId="5" applyFont="1" applyFill="1">
      <alignment horizontal="left" indent="2"/>
    </xf>
    <xf numFmtId="0" fontId="19" fillId="2" borderId="0" xfId="5" applyFont="1" applyFill="1" applyBorder="1">
      <alignment horizontal="left" indent="2"/>
    </xf>
    <xf numFmtId="0" fontId="16" fillId="0" borderId="0" xfId="8" applyFont="1">
      <alignment vertical="top"/>
    </xf>
    <xf numFmtId="0" fontId="13" fillId="0" borderId="0" xfId="0" applyFont="1">
      <alignment vertical="top"/>
    </xf>
    <xf numFmtId="0" fontId="13" fillId="0" borderId="0" xfId="0" applyFont="1" applyAlignment="1">
      <alignment horizontal="left"/>
    </xf>
    <xf numFmtId="0" fontId="13" fillId="0" borderId="0" xfId="0" applyFont="1" applyAlignment="1">
      <alignment horizontal="left" vertical="top"/>
    </xf>
    <xf numFmtId="0" fontId="13" fillId="0" borderId="0" xfId="0" applyFont="1" applyAlignment="1">
      <alignment horizontal="right"/>
    </xf>
    <xf numFmtId="0" fontId="15" fillId="0" borderId="0" xfId="10" applyFont="1" applyBorder="1" applyAlignment="1">
      <alignment horizontal="center"/>
    </xf>
    <xf numFmtId="178" fontId="13" fillId="0" borderId="0" xfId="0" applyNumberFormat="1" applyFont="1" applyAlignment="1">
      <alignment horizontal="right"/>
    </xf>
    <xf numFmtId="0" fontId="14" fillId="6" borderId="5" xfId="4" applyFont="1" applyAlignment="1">
      <alignment horizontal="center" vertical="top"/>
      <protection locked="0"/>
    </xf>
    <xf numFmtId="0" fontId="13" fillId="0" borderId="0" xfId="0" applyFont="1" applyAlignment="1">
      <alignment horizontal="center" vertical="top"/>
    </xf>
    <xf numFmtId="0" fontId="13" fillId="0" borderId="0" xfId="0" applyFont="1" applyFill="1" applyBorder="1" applyAlignment="1">
      <alignment horizontal="right" vertical="top"/>
    </xf>
    <xf numFmtId="0" fontId="13" fillId="0" borderId="0" xfId="0" applyFont="1" applyFill="1" applyBorder="1" applyAlignment="1">
      <alignment horizontal="left" vertical="top"/>
    </xf>
    <xf numFmtId="0" fontId="22" fillId="0" borderId="0" xfId="0" applyFont="1">
      <alignment vertical="top"/>
    </xf>
    <xf numFmtId="0" fontId="23" fillId="0" borderId="0" xfId="0" applyFont="1">
      <alignment vertical="top"/>
    </xf>
    <xf numFmtId="0" fontId="23" fillId="0" borderId="0" xfId="0" applyFont="1" applyBorder="1">
      <alignment vertical="top"/>
    </xf>
    <xf numFmtId="0" fontId="13" fillId="0" borderId="0" xfId="0" applyFont="1" applyBorder="1">
      <alignment vertical="top"/>
    </xf>
    <xf numFmtId="9" fontId="13" fillId="0" borderId="0" xfId="7" applyFont="1" applyAlignment="1">
      <alignment horizontal="left" vertical="top"/>
    </xf>
    <xf numFmtId="0" fontId="13" fillId="0" borderId="0" xfId="0" applyFont="1" applyAlignment="1">
      <alignment horizontal="right" vertical="top"/>
    </xf>
    <xf numFmtId="0" fontId="13" fillId="0" borderId="0" xfId="0" applyFont="1" applyBorder="1" applyAlignment="1">
      <alignment horizontal="right"/>
    </xf>
    <xf numFmtId="0" fontId="13" fillId="0" borderId="0" xfId="0" applyFont="1" applyFill="1" applyBorder="1">
      <alignment vertical="top"/>
    </xf>
    <xf numFmtId="0" fontId="13" fillId="0" borderId="0" xfId="0" applyFont="1" applyBorder="1" applyAlignment="1">
      <alignment horizontal="left" shrinkToFit="1"/>
    </xf>
    <xf numFmtId="0" fontId="13" fillId="0" borderId="0" xfId="0" applyFont="1" applyFill="1" applyBorder="1" applyAlignment="1">
      <alignment horizontal="right"/>
    </xf>
    <xf numFmtId="167" fontId="13" fillId="0" borderId="0" xfId="0" applyNumberFormat="1" applyFont="1">
      <alignment vertical="top"/>
    </xf>
    <xf numFmtId="0" fontId="25" fillId="0" borderId="0" xfId="0" applyFont="1">
      <alignment vertical="top"/>
    </xf>
    <xf numFmtId="0" fontId="23" fillId="0" borderId="0" xfId="0" applyFont="1" applyFill="1" applyBorder="1" applyAlignment="1">
      <alignment vertical="top"/>
    </xf>
    <xf numFmtId="0" fontId="13" fillId="0" borderId="0" xfId="0" applyFont="1" applyAlignment="1">
      <alignment horizontal="left" vertical="center"/>
    </xf>
    <xf numFmtId="0" fontId="13" fillId="0" borderId="0" xfId="0" applyFont="1" applyAlignment="1">
      <alignment horizontal="right" vertical="top" shrinkToFit="1"/>
    </xf>
    <xf numFmtId="0" fontId="13" fillId="0" borderId="0" xfId="0" applyFont="1" applyBorder="1" applyAlignment="1">
      <alignment horizontal="right" vertical="top" shrinkToFit="1"/>
    </xf>
    <xf numFmtId="0" fontId="0" fillId="0" borderId="0" xfId="0" applyAlignment="1">
      <alignment horizontal="right" vertical="top"/>
    </xf>
    <xf numFmtId="0" fontId="0" fillId="0" borderId="0" xfId="0" applyFont="1" applyAlignment="1">
      <alignment horizontal="right" vertical="top"/>
    </xf>
    <xf numFmtId="0" fontId="0" fillId="2" borderId="0" xfId="0" applyFont="1" applyFill="1" applyBorder="1">
      <alignment vertical="top"/>
    </xf>
    <xf numFmtId="0" fontId="0" fillId="2" borderId="7" xfId="0" applyFont="1" applyFill="1" applyBorder="1">
      <alignment vertical="top"/>
    </xf>
    <xf numFmtId="0" fontId="0" fillId="0" borderId="0" xfId="0" applyFont="1" applyFill="1" applyBorder="1" applyAlignment="1">
      <alignment horizontal="left" vertical="top"/>
    </xf>
    <xf numFmtId="0" fontId="29" fillId="0" borderId="0" xfId="0" applyFont="1">
      <alignment vertical="top"/>
    </xf>
    <xf numFmtId="0" fontId="13" fillId="0" borderId="0" xfId="0" applyFont="1">
      <alignment vertical="top"/>
    </xf>
    <xf numFmtId="0" fontId="13" fillId="0" borderId="0" xfId="0" applyFont="1">
      <alignment vertical="top"/>
    </xf>
    <xf numFmtId="0" fontId="0" fillId="0" borderId="0" xfId="0">
      <alignment vertical="top"/>
    </xf>
    <xf numFmtId="0" fontId="34" fillId="0" borderId="0" xfId="0" applyFont="1">
      <alignment vertical="top"/>
    </xf>
    <xf numFmtId="0" fontId="0" fillId="2" borderId="0" xfId="0" applyFont="1" applyFill="1">
      <alignment vertical="top"/>
    </xf>
    <xf numFmtId="0" fontId="0" fillId="0" borderId="0" xfId="0" applyFont="1" applyFill="1" applyBorder="1">
      <alignment vertical="top"/>
    </xf>
    <xf numFmtId="0" fontId="0" fillId="0" borderId="0" xfId="0" applyBorder="1" applyAlignment="1">
      <alignment vertical="top" wrapText="1"/>
    </xf>
    <xf numFmtId="0" fontId="37" fillId="0" borderId="0" xfId="0" applyFont="1">
      <alignment vertical="top"/>
    </xf>
    <xf numFmtId="0" fontId="16" fillId="0" borderId="0" xfId="8">
      <alignment vertical="top"/>
    </xf>
    <xf numFmtId="0" fontId="0" fillId="0" borderId="17" xfId="0" applyBorder="1">
      <alignment vertical="top"/>
    </xf>
    <xf numFmtId="0" fontId="0" fillId="0" borderId="0" xfId="0" applyFill="1" applyBorder="1">
      <alignment vertical="top"/>
    </xf>
    <xf numFmtId="0" fontId="19" fillId="0" borderId="0" xfId="5" applyFill="1" applyBorder="1">
      <alignment horizontal="left" indent="2"/>
    </xf>
    <xf numFmtId="0" fontId="17" fillId="0" borderId="0" xfId="0" applyFont="1" applyAlignment="1">
      <alignment horizontal="left" vertical="top" shrinkToFit="1"/>
    </xf>
    <xf numFmtId="180" fontId="13" fillId="0" borderId="0" xfId="16" applyNumberFormat="1" applyFont="1" applyAlignment="1">
      <alignment horizontal="right" vertical="top" indent="2" shrinkToFit="1"/>
    </xf>
    <xf numFmtId="0" fontId="0" fillId="0" borderId="0" xfId="0" applyFont="1" applyFill="1" applyAlignment="1">
      <alignment horizontal="right"/>
    </xf>
    <xf numFmtId="0" fontId="0" fillId="0" borderId="0" xfId="0" applyFont="1" applyAlignment="1">
      <alignment horizontal="right"/>
    </xf>
    <xf numFmtId="0" fontId="0" fillId="0" borderId="26" xfId="0" applyFont="1" applyFill="1" applyBorder="1" applyAlignment="1">
      <alignment horizontal="left"/>
    </xf>
    <xf numFmtId="0" fontId="0" fillId="0" borderId="27" xfId="0" applyFont="1" applyFill="1" applyBorder="1" applyAlignment="1">
      <alignment horizontal="left"/>
    </xf>
    <xf numFmtId="0" fontId="0" fillId="0" borderId="27" xfId="0" applyFont="1" applyBorder="1" applyAlignment="1">
      <alignment horizontal="left"/>
    </xf>
    <xf numFmtId="0" fontId="0" fillId="0" borderId="30" xfId="0" applyFont="1" applyFill="1" applyBorder="1" applyAlignment="1">
      <alignment horizontal="right"/>
    </xf>
    <xf numFmtId="3" fontId="0" fillId="0" borderId="30" xfId="0" applyNumberFormat="1" applyFont="1" applyFill="1" applyBorder="1" applyAlignment="1">
      <alignment horizontal="right"/>
    </xf>
    <xf numFmtId="3" fontId="0" fillId="0" borderId="31" xfId="0" applyNumberFormat="1" applyFont="1" applyFill="1" applyBorder="1" applyAlignment="1">
      <alignment horizontal="right"/>
    </xf>
    <xf numFmtId="3" fontId="0" fillId="0" borderId="31" xfId="0" applyNumberFormat="1" applyFont="1" applyBorder="1" applyAlignment="1">
      <alignment horizontal="right"/>
    </xf>
    <xf numFmtId="0" fontId="0" fillId="0" borderId="33" xfId="0" applyFont="1" applyFill="1" applyBorder="1" applyAlignment="1">
      <alignment horizontal="right"/>
    </xf>
    <xf numFmtId="3" fontId="0" fillId="0" borderId="32" xfId="0" applyNumberFormat="1" applyFont="1" applyFill="1" applyBorder="1" applyAlignment="1">
      <alignment horizontal="right"/>
    </xf>
    <xf numFmtId="3" fontId="0" fillId="0" borderId="33" xfId="0" applyNumberFormat="1" applyFont="1" applyFill="1" applyBorder="1" applyAlignment="1">
      <alignment horizontal="right"/>
    </xf>
    <xf numFmtId="3" fontId="0" fillId="0" borderId="32" xfId="0" applyNumberFormat="1" applyFont="1" applyBorder="1" applyAlignment="1">
      <alignment horizontal="right"/>
    </xf>
    <xf numFmtId="1" fontId="17" fillId="0" borderId="34" xfId="0" applyNumberFormat="1" applyFont="1" applyFill="1" applyBorder="1" applyAlignment="1">
      <alignment horizontal="right"/>
    </xf>
    <xf numFmtId="3" fontId="17" fillId="0" borderId="35" xfId="0" applyNumberFormat="1" applyFont="1" applyFill="1" applyBorder="1" applyAlignment="1">
      <alignment horizontal="right"/>
    </xf>
    <xf numFmtId="3" fontId="17" fillId="0" borderId="34" xfId="0" applyNumberFormat="1" applyFont="1" applyFill="1" applyBorder="1" applyAlignment="1">
      <alignment horizontal="right"/>
    </xf>
    <xf numFmtId="3" fontId="17" fillId="0" borderId="35" xfId="0" applyNumberFormat="1" applyFont="1" applyBorder="1" applyAlignment="1">
      <alignment horizontal="right"/>
    </xf>
    <xf numFmtId="0" fontId="0" fillId="0" borderId="21" xfId="0" applyFont="1" applyFill="1" applyBorder="1" applyAlignment="1">
      <alignment horizontal="right"/>
    </xf>
    <xf numFmtId="3" fontId="0" fillId="0" borderId="36" xfId="0" applyNumberFormat="1" applyFont="1" applyFill="1" applyBorder="1" applyAlignment="1">
      <alignment horizontal="right"/>
    </xf>
    <xf numFmtId="3" fontId="0" fillId="0" borderId="36" xfId="0" applyNumberFormat="1" applyFont="1" applyBorder="1" applyAlignment="1">
      <alignment horizontal="right"/>
    </xf>
    <xf numFmtId="0" fontId="0" fillId="0" borderId="24" xfId="0" applyFont="1" applyFill="1" applyBorder="1" applyAlignment="1">
      <alignment horizontal="right"/>
    </xf>
    <xf numFmtId="3" fontId="0" fillId="0" borderId="25" xfId="0" applyNumberFormat="1" applyFont="1" applyFill="1" applyBorder="1" applyAlignment="1">
      <alignment horizontal="right"/>
    </xf>
    <xf numFmtId="3" fontId="0" fillId="0" borderId="24" xfId="0" applyNumberFormat="1" applyFont="1" applyFill="1" applyBorder="1" applyAlignment="1">
      <alignment horizontal="right"/>
    </xf>
    <xf numFmtId="3" fontId="0" fillId="0" borderId="25" xfId="0" applyNumberFormat="1" applyFont="1" applyBorder="1" applyAlignment="1">
      <alignment horizontal="right"/>
    </xf>
    <xf numFmtId="0" fontId="0" fillId="0" borderId="25" xfId="0" applyFont="1" applyBorder="1" applyAlignment="1">
      <alignment horizontal="right"/>
    </xf>
    <xf numFmtId="3" fontId="0" fillId="0" borderId="0" xfId="0" applyNumberFormat="1" applyFont="1" applyFill="1" applyBorder="1" applyAlignment="1">
      <alignment horizontal="right"/>
    </xf>
    <xf numFmtId="0" fontId="0" fillId="0" borderId="24" xfId="0" applyFont="1" applyBorder="1" applyAlignment="1">
      <alignment horizontal="right"/>
    </xf>
    <xf numFmtId="0" fontId="17" fillId="0" borderId="34" xfId="0" applyFont="1" applyFill="1" applyBorder="1" applyAlignment="1">
      <alignment horizontal="right"/>
    </xf>
    <xf numFmtId="0" fontId="17" fillId="0" borderId="0" xfId="0" applyFont="1">
      <alignment vertical="top"/>
    </xf>
    <xf numFmtId="0" fontId="0" fillId="0" borderId="25" xfId="0" applyFont="1" applyFill="1" applyBorder="1" applyAlignment="1">
      <alignment horizontal="right"/>
    </xf>
    <xf numFmtId="171" fontId="0" fillId="0" borderId="0" xfId="0" applyNumberFormat="1">
      <alignment vertical="top"/>
    </xf>
    <xf numFmtId="168" fontId="0" fillId="0" borderId="0" xfId="0" applyNumberFormat="1">
      <alignment vertical="top"/>
    </xf>
    <xf numFmtId="0" fontId="0" fillId="0" borderId="0" xfId="0" applyFont="1">
      <alignment vertical="top"/>
    </xf>
    <xf numFmtId="0" fontId="0" fillId="0" borderId="0" xfId="0" applyBorder="1">
      <alignment vertical="top"/>
    </xf>
    <xf numFmtId="0" fontId="7" fillId="0" borderId="0" xfId="0" applyFont="1" applyBorder="1">
      <alignment vertical="top"/>
    </xf>
    <xf numFmtId="0" fontId="0" fillId="0" borderId="0" xfId="0" applyFill="1" applyAlignment="1"/>
    <xf numFmtId="0" fontId="13" fillId="0" borderId="0" xfId="0" applyFont="1">
      <alignment vertical="top"/>
    </xf>
    <xf numFmtId="0" fontId="31" fillId="0" borderId="0" xfId="0" applyFont="1">
      <alignment vertical="top"/>
    </xf>
    <xf numFmtId="9" fontId="0" fillId="0" borderId="0" xfId="0" applyNumberFormat="1" applyFill="1">
      <alignment vertical="top"/>
    </xf>
    <xf numFmtId="174" fontId="0" fillId="0" borderId="0" xfId="0" applyNumberFormat="1">
      <alignment vertical="top"/>
    </xf>
    <xf numFmtId="1" fontId="0" fillId="0" borderId="0" xfId="0" applyNumberFormat="1" applyFont="1">
      <alignment vertical="top"/>
    </xf>
    <xf numFmtId="10" fontId="13" fillId="0" borderId="0" xfId="0" applyNumberFormat="1" applyFont="1" applyAlignment="1">
      <alignment vertical="top"/>
    </xf>
    <xf numFmtId="170" fontId="0" fillId="0" borderId="0" xfId="0" applyNumberFormat="1" applyFont="1" applyAlignment="1">
      <alignment vertical="top"/>
    </xf>
    <xf numFmtId="172" fontId="26" fillId="0" borderId="1" xfId="2" applyNumberFormat="1" applyAlignment="1">
      <alignment horizontal="center"/>
    </xf>
    <xf numFmtId="0" fontId="0" fillId="0" borderId="0" xfId="0" applyFont="1" applyFill="1" applyBorder="1">
      <alignment vertical="top"/>
    </xf>
    <xf numFmtId="0" fontId="9" fillId="0" borderId="0" xfId="0" applyFont="1" applyAlignment="1">
      <alignment horizontal="left" indent="2"/>
    </xf>
    <xf numFmtId="0" fontId="0" fillId="0" borderId="0" xfId="0" applyFill="1" applyBorder="1">
      <alignment vertical="top"/>
    </xf>
    <xf numFmtId="0" fontId="0" fillId="0" borderId="0" xfId="0" applyNumberFormat="1" applyAlignment="1" applyProtection="1">
      <alignment horizontal="center"/>
    </xf>
    <xf numFmtId="183" fontId="0" fillId="0" borderId="0" xfId="0" applyNumberFormat="1">
      <alignment vertical="top"/>
    </xf>
    <xf numFmtId="0" fontId="45" fillId="0" borderId="0" xfId="0" applyFont="1" applyBorder="1" applyAlignment="1">
      <alignment horizontal="center" vertical="top"/>
    </xf>
    <xf numFmtId="10" fontId="13" fillId="0" borderId="0" xfId="0" applyNumberFormat="1" applyFont="1" applyFill="1" applyBorder="1" applyAlignment="1">
      <alignment vertical="top"/>
    </xf>
    <xf numFmtId="1" fontId="13" fillId="0" borderId="0" xfId="0" applyNumberFormat="1" applyFont="1" applyBorder="1" applyAlignment="1">
      <alignment horizontal="center" vertical="top"/>
    </xf>
    <xf numFmtId="16" fontId="0" fillId="0" borderId="0" xfId="0" applyNumberFormat="1" applyFont="1">
      <alignment vertical="top"/>
    </xf>
    <xf numFmtId="184" fontId="0" fillId="0" borderId="0" xfId="0" applyNumberFormat="1" applyFill="1" applyBorder="1" applyAlignment="1">
      <alignment horizontal="center" vertical="top"/>
    </xf>
    <xf numFmtId="184" fontId="13" fillId="0" borderId="0" xfId="0" applyNumberFormat="1" applyFont="1" applyFill="1" applyBorder="1" applyAlignment="1">
      <alignment horizontal="center" vertical="top"/>
    </xf>
    <xf numFmtId="0" fontId="0" fillId="0" borderId="0" xfId="0" applyFill="1" applyBorder="1" applyAlignment="1">
      <alignment horizontal="center" vertical="top"/>
    </xf>
    <xf numFmtId="184" fontId="17" fillId="0" borderId="20" xfId="0" applyNumberFormat="1" applyFont="1" applyFill="1" applyBorder="1" applyAlignment="1">
      <alignment horizontal="center" vertical="top"/>
    </xf>
    <xf numFmtId="0" fontId="0" fillId="0" borderId="0" xfId="0" applyFont="1" applyFill="1" applyBorder="1" applyAlignment="1">
      <alignment horizontal="center" vertical="top"/>
    </xf>
    <xf numFmtId="165" fontId="46" fillId="0" borderId="0" xfId="0" applyNumberFormat="1" applyFont="1" applyFill="1" applyBorder="1" applyProtection="1">
      <alignment vertical="top"/>
    </xf>
    <xf numFmtId="0" fontId="46" fillId="0" borderId="0" xfId="0" applyFont="1" applyFill="1" applyBorder="1" applyAlignment="1" applyProtection="1"/>
    <xf numFmtId="165" fontId="0" fillId="0" borderId="0" xfId="0" applyNumberFormat="1" applyFont="1" applyFill="1" applyBorder="1" applyProtection="1">
      <alignment vertical="top"/>
    </xf>
    <xf numFmtId="166" fontId="0" fillId="0" borderId="47" xfId="0" applyNumberFormat="1" applyFont="1" applyFill="1" applyBorder="1" applyProtection="1">
      <alignment vertical="top"/>
    </xf>
    <xf numFmtId="171" fontId="0" fillId="0" borderId="46" xfId="0" applyNumberFormat="1" applyFont="1" applyFill="1" applyBorder="1" applyProtection="1">
      <alignment vertical="top"/>
    </xf>
    <xf numFmtId="0" fontId="0" fillId="0" borderId="0" xfId="0" applyFont="1" applyFill="1" applyBorder="1" applyAlignment="1" applyProtection="1"/>
    <xf numFmtId="166" fontId="0" fillId="0" borderId="48" xfId="0" applyNumberFormat="1" applyFont="1" applyBorder="1">
      <alignment vertical="top"/>
    </xf>
    <xf numFmtId="166" fontId="0" fillId="0" borderId="48" xfId="0" applyNumberFormat="1" applyFont="1" applyFill="1" applyBorder="1" applyAlignment="1" applyProtection="1"/>
    <xf numFmtId="166" fontId="0" fillId="0" borderId="50" xfId="0" applyNumberFormat="1" applyFont="1" applyBorder="1">
      <alignment vertical="top"/>
    </xf>
    <xf numFmtId="166" fontId="0" fillId="0" borderId="45" xfId="0" applyNumberFormat="1" applyFont="1" applyBorder="1">
      <alignment vertical="top"/>
    </xf>
    <xf numFmtId="166" fontId="0" fillId="0" borderId="45" xfId="0" applyNumberFormat="1" applyFont="1" applyFill="1" applyBorder="1" applyProtection="1">
      <alignment vertical="top"/>
    </xf>
    <xf numFmtId="166" fontId="44" fillId="0" borderId="50" xfId="0" applyNumberFormat="1" applyFont="1" applyBorder="1">
      <alignment vertical="top"/>
    </xf>
    <xf numFmtId="171" fontId="44" fillId="0" borderId="51" xfId="0" applyNumberFormat="1" applyFont="1" applyFill="1" applyBorder="1">
      <alignment vertical="top"/>
    </xf>
    <xf numFmtId="166" fontId="19" fillId="0" borderId="50" xfId="0" applyNumberFormat="1" applyFont="1" applyFill="1" applyBorder="1" applyProtection="1">
      <alignment vertical="top"/>
    </xf>
    <xf numFmtId="171" fontId="19" fillId="0" borderId="51" xfId="0" applyNumberFormat="1" applyFont="1" applyFill="1" applyBorder="1">
      <alignment vertical="top"/>
    </xf>
    <xf numFmtId="166" fontId="0" fillId="0" borderId="50" xfId="0" applyNumberFormat="1" applyFont="1" applyBorder="1" applyAlignment="1"/>
    <xf numFmtId="166" fontId="0" fillId="0" borderId="50" xfId="0" applyNumberFormat="1" applyFont="1" applyFill="1" applyBorder="1" applyAlignment="1" applyProtection="1"/>
    <xf numFmtId="166" fontId="0" fillId="0" borderId="50" xfId="0" applyNumberFormat="1" applyFont="1" applyFill="1" applyBorder="1" applyProtection="1">
      <alignment vertical="top"/>
    </xf>
    <xf numFmtId="166" fontId="44" fillId="0" borderId="50" xfId="0" applyNumberFormat="1" applyFont="1" applyFill="1" applyBorder="1" applyProtection="1">
      <alignment vertical="top"/>
    </xf>
    <xf numFmtId="166" fontId="0" fillId="0" borderId="50" xfId="0" applyNumberFormat="1" applyFont="1" applyFill="1" applyBorder="1" applyAlignment="1"/>
    <xf numFmtId="166" fontId="0" fillId="0" borderId="50" xfId="0" applyNumberFormat="1" applyFont="1" applyFill="1" applyBorder="1" applyProtection="1">
      <alignment vertical="top"/>
      <protection locked="0"/>
    </xf>
    <xf numFmtId="0" fontId="49" fillId="0" borderId="0" xfId="0" applyFont="1" applyFill="1" applyBorder="1" applyAlignment="1">
      <alignment wrapText="1"/>
    </xf>
    <xf numFmtId="0" fontId="50" fillId="0" borderId="0" xfId="0" applyFont="1" applyFill="1" applyBorder="1" applyAlignment="1">
      <alignment wrapText="1"/>
    </xf>
    <xf numFmtId="168" fontId="0" fillId="0" borderId="0" xfId="0" applyNumberFormat="1" applyFill="1" applyBorder="1" applyAlignment="1" applyProtection="1"/>
    <xf numFmtId="1" fontId="0" fillId="0" borderId="51" xfId="0" applyNumberFormat="1" applyFont="1" applyFill="1" applyBorder="1" applyAlignment="1" applyProtection="1"/>
    <xf numFmtId="2" fontId="0" fillId="0" borderId="0" xfId="0" applyNumberFormat="1">
      <alignment vertical="top"/>
    </xf>
    <xf numFmtId="1" fontId="0" fillId="0" borderId="50" xfId="0" applyNumberFormat="1" applyFont="1" applyFill="1" applyBorder="1" applyAlignment="1" applyProtection="1">
      <alignment horizontal="center"/>
    </xf>
    <xf numFmtId="1" fontId="0" fillId="0" borderId="51" xfId="0" applyNumberFormat="1" applyFont="1" applyFill="1" applyBorder="1" applyAlignment="1" applyProtection="1">
      <alignment horizontal="center"/>
    </xf>
    <xf numFmtId="169" fontId="0" fillId="0" borderId="0" xfId="0" applyNumberFormat="1" applyFont="1" applyFill="1" applyBorder="1" applyProtection="1">
      <alignment vertical="top"/>
    </xf>
    <xf numFmtId="0" fontId="52" fillId="0" borderId="0" xfId="0" applyFont="1" applyFill="1" applyBorder="1" applyAlignment="1" applyProtection="1">
      <alignment wrapText="1"/>
    </xf>
    <xf numFmtId="4" fontId="53" fillId="0" borderId="0" xfId="0" applyNumberFormat="1" applyFont="1" applyFill="1" applyBorder="1" applyProtection="1">
      <alignment vertical="top"/>
      <protection locked="0"/>
    </xf>
    <xf numFmtId="9" fontId="0" fillId="0" borderId="0" xfId="0" applyNumberFormat="1" applyFont="1" applyFill="1" applyBorder="1" applyProtection="1">
      <alignment vertical="top"/>
    </xf>
    <xf numFmtId="0" fontId="46" fillId="0" borderId="0" xfId="0" applyFont="1" applyFill="1" applyBorder="1" applyAlignment="1" applyProtection="1">
      <alignment wrapText="1"/>
    </xf>
    <xf numFmtId="1" fontId="0" fillId="0" borderId="0" xfId="0" applyNumberFormat="1" applyFont="1" applyFill="1" applyBorder="1" applyProtection="1">
      <alignment vertical="top"/>
    </xf>
    <xf numFmtId="2" fontId="0" fillId="0" borderId="0" xfId="0" applyNumberFormat="1" applyFont="1" applyFill="1" applyBorder="1" applyAlignment="1" applyProtection="1">
      <alignment vertical="center"/>
    </xf>
    <xf numFmtId="1" fontId="0" fillId="0" borderId="0" xfId="0" applyNumberFormat="1" applyFont="1" applyFill="1" applyBorder="1" applyAlignment="1" applyProtection="1">
      <alignment vertical="center"/>
    </xf>
    <xf numFmtId="9" fontId="0" fillId="0" borderId="0" xfId="0" applyNumberFormat="1" applyFont="1" applyFill="1" applyBorder="1" applyAlignment="1" applyProtection="1">
      <alignment vertical="center"/>
    </xf>
    <xf numFmtId="2" fontId="23" fillId="0" borderId="0" xfId="0" applyNumberFormat="1" applyFont="1" applyFill="1" applyBorder="1" applyProtection="1">
      <alignment vertical="top"/>
      <protection locked="0"/>
    </xf>
    <xf numFmtId="1" fontId="23" fillId="0" borderId="0" xfId="0" applyNumberFormat="1" applyFont="1" applyFill="1" applyBorder="1" applyAlignment="1" applyProtection="1">
      <alignment vertical="center"/>
      <protection locked="0"/>
    </xf>
    <xf numFmtId="1" fontId="23" fillId="0" borderId="0" xfId="0" applyNumberFormat="1" applyFont="1" applyFill="1" applyBorder="1" applyProtection="1">
      <alignment vertical="top"/>
      <protection locked="0"/>
    </xf>
    <xf numFmtId="2" fontId="0" fillId="0" borderId="0" xfId="0" applyNumberFormat="1" applyFont="1" applyFill="1" applyBorder="1" applyProtection="1">
      <alignment vertical="top"/>
    </xf>
    <xf numFmtId="2" fontId="46" fillId="0" borderId="0" xfId="0" applyNumberFormat="1" applyFont="1" applyFill="1" applyBorder="1" applyProtection="1">
      <alignment vertical="top"/>
      <protection locked="0"/>
    </xf>
    <xf numFmtId="2" fontId="0" fillId="0" borderId="0" xfId="0" applyNumberFormat="1" applyFill="1" applyBorder="1" applyAlignment="1" applyProtection="1"/>
    <xf numFmtId="0" fontId="54" fillId="0" borderId="0" xfId="0" applyFont="1" applyAlignment="1"/>
    <xf numFmtId="170" fontId="46" fillId="0" borderId="0" xfId="0" applyNumberFormat="1" applyFont="1" applyFill="1" applyBorder="1" applyProtection="1">
      <alignment vertical="top"/>
      <protection locked="0"/>
    </xf>
    <xf numFmtId="170" fontId="0" fillId="0" borderId="0" xfId="0" applyNumberFormat="1" applyFont="1" applyFill="1" applyBorder="1" applyProtection="1">
      <alignment vertical="top"/>
    </xf>
    <xf numFmtId="0" fontId="0" fillId="0" borderId="55" xfId="0" applyBorder="1" applyAlignment="1">
      <alignment horizontal="center"/>
    </xf>
    <xf numFmtId="0" fontId="0" fillId="0" borderId="56" xfId="0" applyBorder="1" applyAlignment="1">
      <alignment horizontal="center"/>
    </xf>
    <xf numFmtId="0" fontId="0" fillId="0" borderId="56" xfId="0" applyBorder="1" applyAlignment="1"/>
    <xf numFmtId="0" fontId="0" fillId="0" borderId="57" xfId="0" applyBorder="1" applyAlignment="1"/>
    <xf numFmtId="0" fontId="0" fillId="0" borderId="58" xfId="0" applyBorder="1" applyAlignment="1">
      <alignment horizontal="center"/>
    </xf>
    <xf numFmtId="0" fontId="0" fillId="0" borderId="59" xfId="0" applyBorder="1" applyAlignment="1">
      <alignment horizontal="center"/>
    </xf>
    <xf numFmtId="0" fontId="0" fillId="0" borderId="59" xfId="0" applyBorder="1" applyAlignment="1"/>
    <xf numFmtId="0" fontId="0" fillId="0" borderId="60" xfId="0" applyBorder="1" applyAlignment="1"/>
    <xf numFmtId="0" fontId="0" fillId="0" borderId="59" xfId="0" applyFont="1" applyBorder="1">
      <alignment vertical="top"/>
    </xf>
    <xf numFmtId="0" fontId="0" fillId="0" borderId="61" xfId="0" applyBorder="1" applyAlignment="1">
      <alignment horizontal="center"/>
    </xf>
    <xf numFmtId="0" fontId="0" fillId="0" borderId="62" xfId="0" applyBorder="1" applyAlignment="1">
      <alignment horizontal="center"/>
    </xf>
    <xf numFmtId="0" fontId="0" fillId="0" borderId="62" xfId="0" applyFont="1" applyBorder="1">
      <alignment vertical="top"/>
    </xf>
    <xf numFmtId="0" fontId="0" fillId="0" borderId="63" xfId="0" applyBorder="1" applyAlignment="1"/>
    <xf numFmtId="0" fontId="0" fillId="0" borderId="64" xfId="0" applyBorder="1" applyAlignment="1">
      <alignment horizontal="center"/>
    </xf>
    <xf numFmtId="0" fontId="0" fillId="0" borderId="65" xfId="0" applyBorder="1" applyAlignment="1">
      <alignment horizontal="center"/>
    </xf>
    <xf numFmtId="0" fontId="0" fillId="0" borderId="0" xfId="0" applyBorder="1" applyAlignment="1"/>
    <xf numFmtId="0" fontId="0" fillId="0" borderId="0" xfId="0" applyAlignment="1">
      <alignment horizontal="center"/>
    </xf>
    <xf numFmtId="0" fontId="7" fillId="0" borderId="0" xfId="0" applyFont="1" applyAlignment="1"/>
    <xf numFmtId="0" fontId="47" fillId="0" borderId="0" xfId="0" applyFont="1" applyFill="1" applyBorder="1" applyAlignment="1">
      <alignment horizontal="left"/>
    </xf>
    <xf numFmtId="1" fontId="0" fillId="0" borderId="0" xfId="0" applyNumberFormat="1" applyFill="1" applyBorder="1" applyAlignment="1" applyProtection="1">
      <protection locked="0"/>
    </xf>
    <xf numFmtId="0" fontId="0" fillId="0" borderId="0" xfId="0" applyNumberFormat="1" applyFill="1" applyBorder="1" applyAlignment="1" applyProtection="1"/>
    <xf numFmtId="0" fontId="52" fillId="0" borderId="0" xfId="0" applyFont="1" applyFill="1" applyBorder="1" applyAlignment="1" applyProtection="1"/>
    <xf numFmtId="166" fontId="0" fillId="0" borderId="55" xfId="0" applyNumberFormat="1" applyFont="1" applyBorder="1">
      <alignment vertical="top"/>
    </xf>
    <xf numFmtId="166" fontId="0" fillId="0" borderId="56" xfId="0" applyNumberFormat="1" applyFont="1" applyBorder="1">
      <alignment vertical="top"/>
    </xf>
    <xf numFmtId="0" fontId="0" fillId="0" borderId="66" xfId="0" applyBorder="1" applyAlignment="1"/>
    <xf numFmtId="0" fontId="0" fillId="0" borderId="67" xfId="0" applyBorder="1" applyAlignment="1"/>
    <xf numFmtId="166" fontId="0" fillId="0" borderId="58" xfId="0" applyNumberFormat="1" applyFont="1" applyBorder="1">
      <alignment vertical="top"/>
    </xf>
    <xf numFmtId="166" fontId="0" fillId="0" borderId="59" xfId="0" applyNumberFormat="1" applyFont="1" applyBorder="1">
      <alignment vertical="top"/>
    </xf>
    <xf numFmtId="171" fontId="0" fillId="0" borderId="61" xfId="0" applyNumberFormat="1" applyFont="1" applyBorder="1">
      <alignment vertical="top"/>
    </xf>
    <xf numFmtId="171" fontId="0" fillId="0" borderId="62" xfId="0" applyNumberFormat="1" applyFont="1" applyBorder="1">
      <alignment vertical="top"/>
    </xf>
    <xf numFmtId="0" fontId="0" fillId="0" borderId="68" xfId="0" applyBorder="1" applyAlignment="1"/>
    <xf numFmtId="0" fontId="13" fillId="0" borderId="0" xfId="0" applyFont="1" applyAlignment="1"/>
    <xf numFmtId="166" fontId="0" fillId="0" borderId="0" xfId="0" applyNumberFormat="1" applyFont="1" applyBorder="1" applyAlignment="1">
      <alignment horizontal="center"/>
    </xf>
    <xf numFmtId="0" fontId="0" fillId="0" borderId="0" xfId="0" applyBorder="1" applyAlignment="1">
      <alignment horizontal="center"/>
    </xf>
    <xf numFmtId="166" fontId="0" fillId="0" borderId="69" xfId="0" applyNumberFormat="1" applyFont="1" applyBorder="1" applyAlignment="1">
      <alignment horizontal="center"/>
    </xf>
    <xf numFmtId="0" fontId="0" fillId="0" borderId="70" xfId="0" applyBorder="1" applyAlignment="1">
      <alignment horizontal="center"/>
    </xf>
    <xf numFmtId="0" fontId="47" fillId="0" borderId="66" xfId="0" applyFont="1" applyBorder="1" applyAlignment="1">
      <alignment horizontal="center"/>
    </xf>
    <xf numFmtId="185" fontId="0" fillId="0" borderId="71" xfId="0" applyNumberFormat="1" applyFont="1" applyBorder="1" applyAlignment="1">
      <alignment horizontal="center"/>
    </xf>
    <xf numFmtId="0" fontId="0" fillId="0" borderId="72" xfId="0" applyBorder="1" applyAlignment="1">
      <alignment horizontal="center"/>
    </xf>
    <xf numFmtId="0" fontId="47" fillId="0" borderId="67" xfId="0" applyFont="1" applyBorder="1" applyAlignment="1">
      <alignment horizontal="center"/>
    </xf>
    <xf numFmtId="185" fontId="0" fillId="0" borderId="73" xfId="0" applyNumberFormat="1" applyFont="1" applyBorder="1" applyAlignment="1">
      <alignment horizontal="center"/>
    </xf>
    <xf numFmtId="0" fontId="0" fillId="0" borderId="74" xfId="0" applyBorder="1" applyAlignment="1">
      <alignment horizontal="center"/>
    </xf>
    <xf numFmtId="0" fontId="47" fillId="0" borderId="68" xfId="0" applyFont="1" applyBorder="1" applyAlignment="1">
      <alignment horizontal="center"/>
    </xf>
    <xf numFmtId="166" fontId="0" fillId="0" borderId="75" xfId="0" applyNumberFormat="1" applyFont="1" applyBorder="1" applyAlignment="1">
      <alignment horizontal="center"/>
    </xf>
    <xf numFmtId="166" fontId="0" fillId="0" borderId="76" xfId="0" applyNumberFormat="1" applyFont="1" applyFill="1" applyBorder="1" applyAlignment="1">
      <alignment horizontal="center"/>
    </xf>
    <xf numFmtId="166" fontId="0" fillId="0" borderId="77" xfId="0" applyNumberFormat="1" applyFont="1" applyFill="1" applyBorder="1" applyAlignment="1">
      <alignment horizontal="center"/>
    </xf>
    <xf numFmtId="0" fontId="56" fillId="0" borderId="78" xfId="0" applyFont="1" applyFill="1" applyBorder="1" applyAlignment="1">
      <alignment horizontal="center" wrapText="1"/>
    </xf>
    <xf numFmtId="166" fontId="0" fillId="0" borderId="71" xfId="0" applyNumberFormat="1" applyFont="1" applyBorder="1" applyAlignment="1">
      <alignment horizontal="center"/>
    </xf>
    <xf numFmtId="166" fontId="47" fillId="0" borderId="79" xfId="0" applyNumberFormat="1" applyFont="1" applyFill="1" applyBorder="1" applyAlignment="1">
      <alignment horizontal="center"/>
    </xf>
    <xf numFmtId="166" fontId="47" fillId="0" borderId="80" xfId="0" applyNumberFormat="1" applyFont="1" applyFill="1" applyBorder="1" applyAlignment="1">
      <alignment horizontal="center"/>
    </xf>
    <xf numFmtId="0" fontId="56" fillId="0" borderId="81" xfId="0" applyFont="1" applyFill="1" applyBorder="1" applyAlignment="1">
      <alignment horizontal="center" wrapText="1"/>
    </xf>
    <xf numFmtId="166" fontId="0" fillId="0" borderId="79" xfId="0" applyNumberFormat="1" applyFont="1" applyBorder="1" applyAlignment="1">
      <alignment horizontal="center"/>
    </xf>
    <xf numFmtId="166" fontId="0" fillId="0" borderId="80" xfId="0" applyNumberFormat="1" applyFont="1" applyBorder="1" applyAlignment="1">
      <alignment horizontal="center"/>
    </xf>
    <xf numFmtId="166" fontId="0" fillId="0" borderId="79" xfId="0" applyNumberFormat="1" applyFont="1" applyFill="1" applyBorder="1" applyAlignment="1">
      <alignment horizontal="center"/>
    </xf>
    <xf numFmtId="166" fontId="0" fillId="0" borderId="80" xfId="0" applyNumberFormat="1" applyFont="1" applyFill="1" applyBorder="1" applyAlignment="1">
      <alignment horizontal="center"/>
    </xf>
    <xf numFmtId="0" fontId="0" fillId="0" borderId="79" xfId="0" applyBorder="1" applyAlignment="1">
      <alignment horizontal="center"/>
    </xf>
    <xf numFmtId="0" fontId="0" fillId="0" borderId="80" xfId="0" applyBorder="1" applyAlignment="1">
      <alignment horizontal="center"/>
    </xf>
    <xf numFmtId="166" fontId="0" fillId="0" borderId="82" xfId="0" applyNumberFormat="1" applyFont="1" applyBorder="1" applyAlignment="1">
      <alignment horizontal="center"/>
    </xf>
    <xf numFmtId="0" fontId="0" fillId="0" borderId="83" xfId="0" applyBorder="1" applyAlignment="1">
      <alignment horizontal="center"/>
    </xf>
    <xf numFmtId="0" fontId="0" fillId="0" borderId="84" xfId="0" applyBorder="1" applyAlignment="1">
      <alignment horizontal="center"/>
    </xf>
    <xf numFmtId="0" fontId="56" fillId="0" borderId="85" xfId="0" applyFont="1" applyFill="1" applyBorder="1" applyAlignment="1">
      <alignment horizontal="center" wrapText="1"/>
    </xf>
    <xf numFmtId="0" fontId="0" fillId="0" borderId="86" xfId="0" applyBorder="1" applyAlignment="1"/>
    <xf numFmtId="17" fontId="56" fillId="9" borderId="76" xfId="0" applyNumberFormat="1" applyFont="1" applyFill="1" applyBorder="1" applyAlignment="1">
      <alignment horizontal="center" wrapText="1"/>
    </xf>
    <xf numFmtId="17" fontId="56" fillId="9" borderId="77" xfId="0" applyNumberFormat="1" applyFont="1" applyFill="1" applyBorder="1" applyAlignment="1">
      <alignment horizontal="center" wrapText="1"/>
    </xf>
    <xf numFmtId="0" fontId="0" fillId="0" borderId="87" xfId="0" applyBorder="1" applyAlignment="1"/>
    <xf numFmtId="0" fontId="0" fillId="0" borderId="0" xfId="0" applyFill="1" applyBorder="1" applyAlignment="1"/>
    <xf numFmtId="2" fontId="57" fillId="0" borderId="0" xfId="0" applyNumberFormat="1" applyFont="1" applyFill="1" applyBorder="1" applyAlignment="1" applyProtection="1">
      <alignment horizontal="center"/>
      <protection locked="0"/>
    </xf>
    <xf numFmtId="0" fontId="57" fillId="0" borderId="0" xfId="0" applyFont="1" applyFill="1" applyBorder="1" applyAlignment="1" applyProtection="1">
      <alignment horizontal="center"/>
    </xf>
    <xf numFmtId="0" fontId="58" fillId="0" borderId="0" xfId="0" applyFont="1" applyAlignment="1"/>
    <xf numFmtId="0" fontId="27" fillId="0" borderId="0" xfId="3" applyFill="1" applyBorder="1" applyAlignment="1">
      <alignment vertical="top"/>
    </xf>
    <xf numFmtId="0" fontId="27" fillId="0" borderId="0" xfId="3" applyBorder="1" applyAlignment="1">
      <alignment vertical="top"/>
    </xf>
    <xf numFmtId="2" fontId="0" fillId="0" borderId="0" xfId="0" applyNumberFormat="1" applyFill="1" applyBorder="1" applyAlignment="1" applyProtection="1">
      <protection locked="0"/>
    </xf>
    <xf numFmtId="0" fontId="46" fillId="0" borderId="0" xfId="0" applyFont="1" applyFill="1" applyBorder="1" applyAlignment="1"/>
    <xf numFmtId="0" fontId="11" fillId="0" borderId="0" xfId="0" applyFont="1" applyFill="1" applyBorder="1" applyAlignment="1"/>
    <xf numFmtId="0" fontId="48" fillId="0" borderId="0" xfId="0" applyFont="1" applyFill="1" applyBorder="1" applyAlignment="1"/>
    <xf numFmtId="0" fontId="0" fillId="0" borderId="0" xfId="0" applyFont="1" applyBorder="1">
      <alignment vertical="top"/>
    </xf>
    <xf numFmtId="0" fontId="0" fillId="0" borderId="0" xfId="0" applyFont="1" applyBorder="1" applyAlignment="1"/>
    <xf numFmtId="0" fontId="59" fillId="0" borderId="0" xfId="0" applyFont="1" applyFill="1" applyBorder="1" applyAlignment="1"/>
    <xf numFmtId="0" fontId="0" fillId="0" borderId="0" xfId="0" applyFont="1" applyFill="1" applyBorder="1" applyAlignment="1" applyProtection="1">
      <alignment horizontal="right"/>
    </xf>
    <xf numFmtId="0" fontId="0" fillId="0" borderId="0" xfId="0" applyFont="1" applyFill="1" applyBorder="1" applyAlignment="1">
      <alignment vertical="center"/>
    </xf>
    <xf numFmtId="0" fontId="60" fillId="0" borderId="0" xfId="0" applyFont="1" applyFill="1" applyBorder="1" applyAlignment="1"/>
    <xf numFmtId="1" fontId="14" fillId="0" borderId="0" xfId="0" applyNumberFormat="1" applyFont="1" applyAlignment="1">
      <alignment horizontal="center" vertical="top"/>
    </xf>
    <xf numFmtId="0" fontId="0" fillId="0" borderId="0" xfId="0" applyAlignment="1">
      <alignment horizontal="center" vertical="top"/>
    </xf>
    <xf numFmtId="0" fontId="29" fillId="0" borderId="0" xfId="0" applyFont="1" applyFill="1">
      <alignment vertical="top"/>
    </xf>
    <xf numFmtId="0" fontId="0" fillId="0" borderId="0" xfId="0">
      <alignment vertical="top"/>
    </xf>
    <xf numFmtId="0" fontId="62" fillId="0" borderId="12" xfId="19" applyBorder="1" applyAlignment="1">
      <alignment vertical="top"/>
    </xf>
    <xf numFmtId="0" fontId="63" fillId="0" borderId="0" xfId="9" applyFont="1" applyAlignment="1">
      <alignment vertical="top"/>
    </xf>
    <xf numFmtId="0" fontId="63" fillId="0" borderId="0" xfId="9" applyFont="1" applyAlignment="1">
      <alignment horizontal="right" vertical="top" shrinkToFit="1"/>
    </xf>
    <xf numFmtId="0" fontId="62" fillId="0" borderId="88" xfId="19" applyFill="1" applyBorder="1" applyAlignment="1">
      <alignment vertical="top"/>
    </xf>
    <xf numFmtId="0" fontId="0" fillId="0" borderId="0" xfId="0" applyFont="1" applyAlignment="1">
      <alignment horizontal="left" vertical="top" indent="1"/>
    </xf>
    <xf numFmtId="9" fontId="14" fillId="6" borderId="19" xfId="4" applyNumberFormat="1" applyBorder="1" applyAlignment="1">
      <alignment horizontal="right" vertical="top" indent="1"/>
      <protection locked="0"/>
    </xf>
    <xf numFmtId="9" fontId="13" fillId="0" borderId="0" xfId="0" applyNumberFormat="1" applyFont="1" applyAlignment="1">
      <alignment horizontal="right" vertical="top" indent="1"/>
    </xf>
    <xf numFmtId="0" fontId="0" fillId="0" borderId="14" xfId="0" applyFill="1" applyBorder="1">
      <alignment vertical="top"/>
    </xf>
    <xf numFmtId="186" fontId="61" fillId="0" borderId="0" xfId="0" applyNumberFormat="1" applyFont="1" applyFill="1" applyBorder="1" applyAlignment="1">
      <alignment horizontal="left" vertical="top"/>
    </xf>
    <xf numFmtId="0" fontId="0" fillId="0" borderId="13" xfId="0" applyFill="1" applyBorder="1">
      <alignment vertical="top"/>
    </xf>
    <xf numFmtId="0" fontId="13" fillId="0" borderId="10" xfId="0" applyFont="1" applyFill="1" applyBorder="1">
      <alignment vertical="top"/>
    </xf>
    <xf numFmtId="0" fontId="13" fillId="0" borderId="11" xfId="0" applyFont="1" applyFill="1" applyBorder="1">
      <alignment vertical="top"/>
    </xf>
    <xf numFmtId="0" fontId="65" fillId="0" borderId="0" xfId="0" applyFont="1" applyFill="1" applyBorder="1">
      <alignment vertical="top"/>
    </xf>
    <xf numFmtId="187" fontId="13" fillId="0" borderId="0" xfId="0" applyNumberFormat="1" applyFont="1" applyFill="1" applyBorder="1">
      <alignment vertical="top"/>
    </xf>
    <xf numFmtId="0" fontId="61" fillId="0" borderId="0" xfId="0" applyFont="1">
      <alignment vertical="top"/>
    </xf>
    <xf numFmtId="0" fontId="0" fillId="2" borderId="0" xfId="0" applyFill="1">
      <alignment vertical="top"/>
    </xf>
    <xf numFmtId="0" fontId="29" fillId="2" borderId="0" xfId="0" applyFont="1" applyFill="1">
      <alignment vertical="top"/>
    </xf>
    <xf numFmtId="0" fontId="7" fillId="2" borderId="0" xfId="0" applyFont="1" applyFill="1">
      <alignment vertical="top"/>
    </xf>
    <xf numFmtId="0" fontId="19" fillId="2" borderId="0" xfId="5" applyFill="1">
      <alignment horizontal="left" indent="2"/>
    </xf>
    <xf numFmtId="0" fontId="9" fillId="2" borderId="0" xfId="0" applyFont="1" applyFill="1" applyAlignment="1">
      <alignment horizontal="left" indent="2"/>
    </xf>
    <xf numFmtId="0" fontId="25" fillId="0" borderId="0" xfId="0" applyFont="1" applyBorder="1">
      <alignment vertical="top"/>
    </xf>
    <xf numFmtId="0" fontId="104" fillId="0" borderId="1" xfId="1" applyAlignment="1"/>
    <xf numFmtId="0" fontId="66" fillId="0" borderId="0" xfId="0" applyFont="1" applyAlignment="1">
      <alignment vertical="top"/>
    </xf>
    <xf numFmtId="0" fontId="27" fillId="0" borderId="0" xfId="3" applyBorder="1" applyAlignment="1"/>
    <xf numFmtId="0" fontId="31" fillId="2" borderId="0" xfId="0" applyFont="1" applyFill="1" applyAlignment="1">
      <alignment vertical="top"/>
    </xf>
    <xf numFmtId="0" fontId="0" fillId="2" borderId="0" xfId="0" applyFont="1" applyFill="1" applyAlignment="1">
      <alignment vertical="top"/>
    </xf>
    <xf numFmtId="0" fontId="29" fillId="2" borderId="0" xfId="0" applyFont="1" applyFill="1" applyAlignment="1">
      <alignment vertical="top"/>
    </xf>
    <xf numFmtId="0" fontId="29" fillId="2" borderId="0" xfId="0" applyFont="1" applyFill="1" applyAlignment="1">
      <alignment horizontal="left" vertical="top"/>
    </xf>
    <xf numFmtId="0" fontId="67" fillId="0" borderId="0" xfId="3" applyFont="1" applyBorder="1" applyAlignment="1"/>
    <xf numFmtId="0" fontId="68" fillId="0" borderId="0" xfId="2" applyFont="1" applyBorder="1"/>
    <xf numFmtId="0" fontId="23" fillId="2" borderId="0" xfId="2" applyFont="1" applyFill="1" applyBorder="1"/>
    <xf numFmtId="0" fontId="23" fillId="2" borderId="0" xfId="0" applyFont="1" applyFill="1">
      <alignment vertical="top"/>
    </xf>
    <xf numFmtId="0" fontId="7" fillId="2" borderId="40" xfId="0" applyFont="1" applyFill="1" applyBorder="1">
      <alignment vertical="top"/>
    </xf>
    <xf numFmtId="0" fontId="41" fillId="2" borderId="40" xfId="0" applyFont="1" applyFill="1" applyBorder="1">
      <alignment vertical="top"/>
    </xf>
    <xf numFmtId="0" fontId="26" fillId="0" borderId="1" xfId="2" applyFill="1"/>
    <xf numFmtId="0" fontId="0" fillId="2" borderId="0" xfId="0" applyFont="1" applyFill="1" applyBorder="1" applyAlignment="1">
      <alignment horizontal="right" vertical="top"/>
    </xf>
    <xf numFmtId="0" fontId="71" fillId="0" borderId="0" xfId="0" applyFont="1" applyFill="1">
      <alignment vertical="top"/>
    </xf>
    <xf numFmtId="0" fontId="0" fillId="2" borderId="0" xfId="0" applyFill="1" applyAlignment="1">
      <alignment vertical="top"/>
    </xf>
    <xf numFmtId="0" fontId="27" fillId="2" borderId="0" xfId="3" applyFill="1" applyBorder="1" applyAlignment="1"/>
    <xf numFmtId="0" fontId="13" fillId="2" borderId="0" xfId="8" applyFont="1" applyFill="1" applyAlignment="1">
      <alignment vertical="top"/>
    </xf>
    <xf numFmtId="0" fontId="70" fillId="0" borderId="0" xfId="0" applyNumberFormat="1" applyFont="1" applyAlignment="1" applyProtection="1">
      <alignment horizontal="center" vertical="center"/>
    </xf>
    <xf numFmtId="0" fontId="41" fillId="2" borderId="95" xfId="0" applyFont="1" applyFill="1" applyBorder="1">
      <alignment vertical="top"/>
    </xf>
    <xf numFmtId="0" fontId="7" fillId="2" borderId="95" xfId="0" applyFont="1" applyFill="1" applyBorder="1">
      <alignment vertical="top"/>
    </xf>
    <xf numFmtId="0" fontId="0" fillId="2" borderId="0" xfId="0" applyFont="1" applyFill="1" applyAlignment="1">
      <alignment horizontal="right" vertical="center" indent="1"/>
    </xf>
    <xf numFmtId="0" fontId="0" fillId="2" borderId="0" xfId="0" applyFill="1" applyBorder="1" applyAlignment="1">
      <alignment vertical="top"/>
    </xf>
    <xf numFmtId="0" fontId="0" fillId="2" borderId="0" xfId="0" applyFill="1" applyAlignment="1">
      <alignment horizontal="right" vertical="center"/>
    </xf>
    <xf numFmtId="0" fontId="0" fillId="2" borderId="0" xfId="0" applyFont="1" applyFill="1" applyAlignment="1">
      <alignment horizontal="right" vertical="center"/>
    </xf>
    <xf numFmtId="0" fontId="0" fillId="2" borderId="0" xfId="0" applyFill="1" applyBorder="1" applyAlignment="1">
      <alignment horizontal="right" vertical="center"/>
    </xf>
    <xf numFmtId="0" fontId="0" fillId="2" borderId="0" xfId="0" applyFont="1" applyFill="1" applyBorder="1" applyAlignment="1">
      <alignment horizontal="right" vertical="center"/>
    </xf>
    <xf numFmtId="0" fontId="104" fillId="0" borderId="1" xfId="1" applyAlignment="1">
      <alignment horizontal="center" vertical="center"/>
    </xf>
    <xf numFmtId="0" fontId="26" fillId="0" borderId="1" xfId="2" applyAlignment="1">
      <alignment horizontal="center" vertical="center"/>
    </xf>
    <xf numFmtId="0" fontId="7" fillId="2" borderId="95" xfId="0" applyFont="1" applyFill="1" applyBorder="1" applyAlignment="1">
      <alignment horizontal="center" vertical="center"/>
    </xf>
    <xf numFmtId="0" fontId="7" fillId="2" borderId="40" xfId="0" applyFont="1" applyFill="1" applyBorder="1" applyAlignment="1">
      <alignment horizontal="center" vertical="center"/>
    </xf>
    <xf numFmtId="180" fontId="13" fillId="0" borderId="0" xfId="16" applyNumberFormat="1" applyFont="1" applyAlignment="1">
      <alignment horizontal="right" vertical="top" indent="1" shrinkToFit="1"/>
    </xf>
    <xf numFmtId="0" fontId="0" fillId="0" borderId="0" xfId="0">
      <alignment vertical="top"/>
    </xf>
    <xf numFmtId="0" fontId="0" fillId="0" borderId="0" xfId="0" applyAlignment="1">
      <alignment vertical="top"/>
    </xf>
    <xf numFmtId="0" fontId="0" fillId="0" borderId="0" xfId="0" applyAlignment="1">
      <alignment vertical="top" wrapText="1"/>
    </xf>
    <xf numFmtId="0" fontId="0" fillId="0" borderId="0" xfId="0" applyFont="1" applyAlignment="1">
      <alignment vertical="top"/>
    </xf>
    <xf numFmtId="0" fontId="13" fillId="0" borderId="0" xfId="0" applyFont="1" applyAlignment="1">
      <alignment vertical="top" wrapText="1"/>
    </xf>
    <xf numFmtId="3" fontId="0" fillId="0" borderId="31" xfId="16" applyNumberFormat="1" applyFont="1" applyFill="1" applyBorder="1" applyAlignment="1">
      <alignment horizontal="right"/>
    </xf>
    <xf numFmtId="0" fontId="0" fillId="0" borderId="0" xfId="0" applyFont="1" applyAlignment="1"/>
    <xf numFmtId="0" fontId="0" fillId="0" borderId="0" xfId="0" applyFont="1" applyFill="1" applyAlignment="1">
      <alignment horizontal="center"/>
    </xf>
    <xf numFmtId="3" fontId="0" fillId="0" borderId="0" xfId="0" applyNumberFormat="1" applyFont="1" applyFill="1" applyAlignment="1">
      <alignment horizontal="center"/>
    </xf>
    <xf numFmtId="0" fontId="0" fillId="0" borderId="0" xfId="0" applyFont="1" applyAlignment="1">
      <alignment horizontal="center"/>
    </xf>
    <xf numFmtId="0" fontId="41" fillId="0" borderId="21" xfId="0" applyFont="1" applyBorder="1" applyAlignment="1"/>
    <xf numFmtId="0" fontId="0" fillId="0" borderId="101" xfId="0" applyFont="1" applyBorder="1" applyAlignment="1"/>
    <xf numFmtId="0" fontId="0" fillId="0" borderId="22" xfId="0" applyFont="1" applyBorder="1" applyAlignment="1">
      <alignment horizontal="right"/>
    </xf>
    <xf numFmtId="0" fontId="0" fillId="0" borderId="24" xfId="0" applyFont="1" applyBorder="1" applyAlignment="1"/>
    <xf numFmtId="0" fontId="0" fillId="0" borderId="0" xfId="0" applyFont="1" applyBorder="1" applyAlignment="1">
      <alignment horizontal="right"/>
    </xf>
    <xf numFmtId="0" fontId="0" fillId="0" borderId="25" xfId="0" applyFont="1" applyBorder="1" applyAlignment="1"/>
    <xf numFmtId="0" fontId="0" fillId="0" borderId="98" xfId="0" applyFont="1" applyBorder="1" applyAlignment="1"/>
    <xf numFmtId="0" fontId="0" fillId="0" borderId="103" xfId="0" applyFont="1" applyBorder="1" applyAlignment="1"/>
    <xf numFmtId="1" fontId="0" fillId="0" borderId="28" xfId="16" applyNumberFormat="1" applyFont="1" applyFill="1" applyBorder="1" applyAlignment="1">
      <alignment horizontal="right"/>
    </xf>
    <xf numFmtId="3" fontId="0" fillId="0" borderId="29" xfId="16" applyNumberFormat="1" applyFont="1" applyFill="1" applyBorder="1" applyAlignment="1">
      <alignment horizontal="right"/>
    </xf>
    <xf numFmtId="3" fontId="0" fillId="0" borderId="28" xfId="16" applyNumberFormat="1" applyFont="1" applyFill="1" applyBorder="1" applyAlignment="1">
      <alignment horizontal="right"/>
    </xf>
    <xf numFmtId="3" fontId="0" fillId="0" borderId="29" xfId="16" applyNumberFormat="1" applyFont="1" applyBorder="1" applyAlignment="1">
      <alignment horizontal="right"/>
    </xf>
    <xf numFmtId="0" fontId="0" fillId="0" borderId="30" xfId="0" applyFont="1" applyBorder="1" applyAlignment="1"/>
    <xf numFmtId="0" fontId="0" fillId="0" borderId="99" xfId="0" applyFont="1" applyBorder="1" applyAlignment="1"/>
    <xf numFmtId="0" fontId="0" fillId="0" borderId="31" xfId="0" applyFont="1" applyBorder="1" applyAlignment="1"/>
    <xf numFmtId="169" fontId="0" fillId="0" borderId="30" xfId="16" applyNumberFormat="1" applyFont="1" applyFill="1" applyBorder="1" applyAlignment="1">
      <alignment horizontal="right"/>
    </xf>
    <xf numFmtId="3" fontId="0" fillId="0" borderId="30" xfId="16" applyNumberFormat="1" applyFont="1" applyFill="1" applyBorder="1" applyAlignment="1">
      <alignment horizontal="right"/>
    </xf>
    <xf numFmtId="3" fontId="0" fillId="0" borderId="31" xfId="16" applyNumberFormat="1" applyFont="1" applyBorder="1" applyAlignment="1">
      <alignment horizontal="right"/>
    </xf>
    <xf numFmtId="0" fontId="31" fillId="0" borderId="99" xfId="0" applyFont="1" applyBorder="1" applyAlignment="1"/>
    <xf numFmtId="0" fontId="0" fillId="0" borderId="102" xfId="0" applyFont="1" applyBorder="1" applyAlignment="1"/>
    <xf numFmtId="0" fontId="0" fillId="0" borderId="32" xfId="0" applyFont="1" applyBorder="1" applyAlignment="1"/>
    <xf numFmtId="0" fontId="0" fillId="0" borderId="34" xfId="0" applyFont="1" applyBorder="1" applyAlignment="1"/>
    <xf numFmtId="0" fontId="17" fillId="0" borderId="100" xfId="0" applyFont="1" applyBorder="1" applyAlignment="1"/>
    <xf numFmtId="0" fontId="17" fillId="0" borderId="35" xfId="0" applyFont="1" applyBorder="1" applyAlignment="1"/>
    <xf numFmtId="0" fontId="0" fillId="0" borderId="97" xfId="0" applyFont="1" applyBorder="1" applyAlignment="1"/>
    <xf numFmtId="0" fontId="0" fillId="7" borderId="24" xfId="0" applyFont="1" applyFill="1" applyBorder="1" applyAlignment="1">
      <alignment horizontal="right"/>
    </xf>
    <xf numFmtId="3" fontId="0" fillId="7" borderId="25" xfId="0" applyNumberFormat="1" applyFont="1" applyFill="1" applyBorder="1" applyAlignment="1">
      <alignment horizontal="right"/>
    </xf>
    <xf numFmtId="3" fontId="0" fillId="7" borderId="24" xfId="0" applyNumberFormat="1" applyFont="1" applyFill="1" applyBorder="1" applyAlignment="1">
      <alignment horizontal="right"/>
    </xf>
    <xf numFmtId="0" fontId="17" fillId="0" borderId="0" xfId="0" applyFont="1" applyAlignment="1"/>
    <xf numFmtId="0" fontId="17" fillId="0" borderId="34" xfId="0" applyFont="1" applyBorder="1" applyAlignment="1"/>
    <xf numFmtId="0" fontId="17" fillId="0" borderId="24" xfId="0" applyFont="1" applyBorder="1" applyAlignment="1"/>
    <xf numFmtId="0" fontId="29" fillId="0" borderId="0" xfId="0" applyFont="1" applyAlignment="1">
      <alignment horizontal="right" vertical="top"/>
    </xf>
    <xf numFmtId="0" fontId="13" fillId="0" borderId="7" xfId="0" applyFont="1" applyBorder="1">
      <alignment vertical="top"/>
    </xf>
    <xf numFmtId="0" fontId="0" fillId="3" borderId="0" xfId="0" applyFill="1" applyAlignment="1">
      <alignment vertical="top"/>
    </xf>
    <xf numFmtId="0" fontId="0" fillId="3" borderId="0" xfId="0" applyFont="1" applyFill="1">
      <alignment vertical="top"/>
    </xf>
    <xf numFmtId="2" fontId="0" fillId="0" borderId="0" xfId="0" applyNumberFormat="1" applyFont="1" applyFill="1" applyBorder="1" applyAlignment="1" applyProtection="1"/>
    <xf numFmtId="0" fontId="0" fillId="0" borderId="0" xfId="0" applyFont="1" applyAlignment="1">
      <alignment vertical="center"/>
    </xf>
    <xf numFmtId="169" fontId="0" fillId="0" borderId="0" xfId="0" applyNumberFormat="1" applyFont="1" applyAlignment="1">
      <alignment vertical="top"/>
    </xf>
    <xf numFmtId="0" fontId="23" fillId="0" borderId="0" xfId="0" applyFont="1" applyFill="1" applyBorder="1" applyAlignment="1" applyProtection="1"/>
    <xf numFmtId="0" fontId="23" fillId="0" borderId="0" xfId="0" applyFont="1" applyFill="1" applyBorder="1" applyAlignment="1" applyProtection="1">
      <alignment wrapText="1"/>
    </xf>
    <xf numFmtId="1" fontId="72" fillId="0" borderId="0" xfId="0" applyNumberFormat="1" applyFont="1" applyFill="1" applyBorder="1" applyProtection="1">
      <alignment vertical="top"/>
      <protection locked="0"/>
    </xf>
    <xf numFmtId="1" fontId="0" fillId="0" borderId="50" xfId="0" applyNumberFormat="1" applyFont="1" applyFill="1" applyBorder="1" applyAlignment="1" applyProtection="1"/>
    <xf numFmtId="1" fontId="0" fillId="0" borderId="50" xfId="0" applyNumberFormat="1" applyFont="1" applyBorder="1">
      <alignment vertical="top"/>
    </xf>
    <xf numFmtId="168" fontId="0" fillId="0" borderId="51" xfId="0" applyNumberFormat="1" applyFont="1" applyBorder="1">
      <alignment vertical="top"/>
    </xf>
    <xf numFmtId="168" fontId="0" fillId="0" borderId="50" xfId="0" applyNumberFormat="1" applyFont="1" applyBorder="1">
      <alignment vertical="top"/>
    </xf>
    <xf numFmtId="168" fontId="0" fillId="0" borderId="51" xfId="0" applyNumberFormat="1" applyFont="1" applyFill="1" applyBorder="1" applyAlignment="1" applyProtection="1"/>
    <xf numFmtId="0" fontId="0" fillId="0" borderId="50" xfId="0" applyFont="1" applyBorder="1">
      <alignment vertical="top"/>
    </xf>
    <xf numFmtId="168" fontId="0" fillId="0" borderId="0" xfId="0" applyNumberFormat="1" applyFont="1" applyFill="1" applyBorder="1" applyAlignment="1" applyProtection="1"/>
    <xf numFmtId="168" fontId="0" fillId="0" borderId="0" xfId="0" applyNumberFormat="1" applyFont="1" applyBorder="1">
      <alignment vertical="top"/>
    </xf>
    <xf numFmtId="168" fontId="0" fillId="0" borderId="50" xfId="0" applyNumberFormat="1" applyFont="1" applyFill="1" applyBorder="1" applyAlignment="1" applyProtection="1"/>
    <xf numFmtId="2" fontId="0" fillId="0" borderId="51" xfId="0" applyNumberFormat="1" applyFont="1" applyFill="1" applyBorder="1" applyAlignment="1" applyProtection="1"/>
    <xf numFmtId="2" fontId="0" fillId="0" borderId="50" xfId="0" applyNumberFormat="1" applyFont="1" applyFill="1" applyBorder="1" applyAlignment="1" applyProtection="1"/>
    <xf numFmtId="2" fontId="0" fillId="0" borderId="51" xfId="0" applyNumberFormat="1" applyFont="1" applyBorder="1">
      <alignment vertical="top"/>
    </xf>
    <xf numFmtId="9" fontId="0" fillId="0" borderId="51" xfId="0" applyNumberFormat="1" applyFont="1" applyFill="1" applyBorder="1" applyAlignment="1" applyProtection="1"/>
    <xf numFmtId="9" fontId="0" fillId="0" borderId="50" xfId="0" applyNumberFormat="1" applyFont="1" applyFill="1" applyBorder="1" applyAlignment="1" applyProtection="1"/>
    <xf numFmtId="9" fontId="0" fillId="0" borderId="51" xfId="0" applyNumberFormat="1" applyFont="1" applyBorder="1" applyAlignment="1">
      <alignment vertical="top"/>
    </xf>
    <xf numFmtId="9" fontId="0" fillId="0" borderId="50" xfId="0" applyNumberFormat="1" applyFont="1" applyBorder="1" applyAlignment="1">
      <alignment vertical="top"/>
    </xf>
    <xf numFmtId="1" fontId="0" fillId="0" borderId="51" xfId="0" applyNumberFormat="1" applyFont="1" applyBorder="1">
      <alignment vertical="top"/>
    </xf>
    <xf numFmtId="166" fontId="0" fillId="0" borderId="51" xfId="0" applyNumberFormat="1" applyFont="1" applyFill="1" applyBorder="1" applyAlignment="1" applyProtection="1"/>
    <xf numFmtId="166" fontId="0" fillId="0" borderId="51" xfId="0" applyNumberFormat="1" applyFont="1" applyBorder="1" applyAlignment="1">
      <alignment vertical="top"/>
    </xf>
    <xf numFmtId="170" fontId="0" fillId="0" borderId="51" xfId="0" applyNumberFormat="1" applyFont="1" applyFill="1" applyBorder="1" applyAlignment="1" applyProtection="1"/>
    <xf numFmtId="171" fontId="0" fillId="0" borderId="51" xfId="0" applyNumberFormat="1" applyFont="1" applyFill="1" applyBorder="1">
      <alignment vertical="top"/>
    </xf>
    <xf numFmtId="166" fontId="0" fillId="0" borderId="50" xfId="0" applyNumberFormat="1" applyFont="1" applyFill="1" applyBorder="1" applyAlignment="1">
      <alignment wrapText="1"/>
    </xf>
    <xf numFmtId="166" fontId="23" fillId="0" borderId="50" xfId="0" applyNumberFormat="1" applyFont="1" applyFill="1" applyBorder="1" applyProtection="1">
      <alignment vertical="top"/>
    </xf>
    <xf numFmtId="166" fontId="73" fillId="0" borderId="50" xfId="0" applyNumberFormat="1" applyFont="1" applyFill="1" applyBorder="1" applyProtection="1">
      <alignment vertical="top"/>
      <protection locked="0"/>
    </xf>
    <xf numFmtId="166" fontId="23" fillId="0" borderId="50" xfId="0" applyNumberFormat="1" applyFont="1" applyFill="1" applyBorder="1" applyProtection="1">
      <alignment vertical="top"/>
      <protection locked="0"/>
    </xf>
    <xf numFmtId="171" fontId="0" fillId="0" borderId="51" xfId="0" applyNumberFormat="1" applyFont="1" applyFill="1" applyBorder="1" applyAlignment="1"/>
    <xf numFmtId="166" fontId="23" fillId="0" borderId="50" xfId="0" applyNumberFormat="1" applyFont="1" applyFill="1" applyBorder="1" applyAlignment="1" applyProtection="1">
      <protection locked="0"/>
    </xf>
    <xf numFmtId="166" fontId="74" fillId="0" borderId="50" xfId="0" applyNumberFormat="1" applyFont="1" applyFill="1" applyBorder="1" applyProtection="1">
      <alignment vertical="top"/>
      <protection locked="0"/>
    </xf>
    <xf numFmtId="166" fontId="75" fillId="0" borderId="50" xfId="0" applyNumberFormat="1" applyFont="1" applyFill="1" applyBorder="1" applyProtection="1">
      <alignment vertical="top"/>
      <protection locked="0"/>
    </xf>
    <xf numFmtId="166" fontId="75" fillId="0" borderId="50" xfId="0" applyNumberFormat="1" applyFont="1" applyFill="1" applyBorder="1" applyProtection="1">
      <alignment vertical="top"/>
    </xf>
    <xf numFmtId="171" fontId="0" fillId="0" borderId="46" xfId="0" applyNumberFormat="1" applyFont="1" applyFill="1" applyBorder="1">
      <alignment vertical="top"/>
    </xf>
    <xf numFmtId="166" fontId="23" fillId="0" borderId="45" xfId="0" applyNumberFormat="1" applyFont="1" applyFill="1" applyBorder="1" applyProtection="1">
      <alignment vertical="top"/>
      <protection locked="0"/>
    </xf>
    <xf numFmtId="171" fontId="0" fillId="0" borderId="49" xfId="0" applyNumberFormat="1" applyFont="1" applyFill="1" applyBorder="1">
      <alignment vertical="top"/>
    </xf>
    <xf numFmtId="171" fontId="0" fillId="0" borderId="47" xfId="0" applyNumberFormat="1" applyFont="1" applyBorder="1" applyAlignment="1">
      <alignment vertical="top"/>
    </xf>
    <xf numFmtId="171" fontId="0" fillId="0" borderId="46" xfId="0" applyNumberFormat="1" applyFont="1" applyBorder="1" applyAlignment="1">
      <alignment vertical="top"/>
    </xf>
    <xf numFmtId="0" fontId="0" fillId="0" borderId="0" xfId="0" applyFont="1" applyFill="1" applyBorder="1" applyAlignment="1">
      <alignment vertical="center" wrapText="1"/>
    </xf>
    <xf numFmtId="0" fontId="23" fillId="0" borderId="0" xfId="0" applyFont="1" applyFill="1" applyBorder="1" applyAlignment="1" applyProtection="1">
      <alignment vertical="center"/>
    </xf>
    <xf numFmtId="0" fontId="23" fillId="0" borderId="0" xfId="0" applyFont="1" applyFill="1" applyBorder="1" applyAlignment="1" applyProtection="1">
      <alignment vertical="center" wrapText="1"/>
    </xf>
    <xf numFmtId="0" fontId="74" fillId="0" borderId="0" xfId="0" applyFont="1" applyFill="1" applyBorder="1" applyAlignment="1" applyProtection="1">
      <alignment vertical="center" wrapText="1"/>
    </xf>
    <xf numFmtId="0" fontId="74" fillId="0" borderId="0" xfId="0" applyFont="1" applyFill="1" applyBorder="1" applyAlignment="1" applyProtection="1">
      <alignment vertical="center"/>
    </xf>
    <xf numFmtId="0" fontId="0" fillId="0" borderId="0" xfId="0" applyFont="1" applyFill="1" applyBorder="1" applyAlignment="1" applyProtection="1">
      <alignment vertical="center"/>
    </xf>
    <xf numFmtId="0" fontId="23" fillId="0" borderId="46" xfId="0" applyFont="1" applyFill="1" applyBorder="1" applyAlignment="1" applyProtection="1">
      <alignment vertical="center"/>
    </xf>
    <xf numFmtId="0" fontId="0" fillId="12" borderId="0" xfId="0" applyFill="1" applyAlignment="1">
      <alignment vertical="top"/>
    </xf>
    <xf numFmtId="0" fontId="0" fillId="12" borderId="0" xfId="0" applyFill="1" applyBorder="1">
      <alignment vertical="top"/>
    </xf>
    <xf numFmtId="0" fontId="0" fillId="12" borderId="0" xfId="0" applyFill="1" applyBorder="1" applyAlignment="1">
      <alignment horizontal="right" vertical="center"/>
    </xf>
    <xf numFmtId="0" fontId="0" fillId="12" borderId="0" xfId="0" applyFont="1" applyFill="1" applyBorder="1" applyAlignment="1">
      <alignment horizontal="right" vertical="center"/>
    </xf>
    <xf numFmtId="0" fontId="0" fillId="12" borderId="0" xfId="0" applyFill="1" applyAlignment="1">
      <alignment horizontal="right" vertical="top"/>
    </xf>
    <xf numFmtId="0" fontId="18" fillId="0" borderId="0" xfId="0" applyFont="1" applyAlignment="1">
      <alignment horizontal="right"/>
    </xf>
    <xf numFmtId="0" fontId="37" fillId="0" borderId="0" xfId="0" applyFont="1" applyAlignment="1">
      <alignment vertical="top"/>
    </xf>
    <xf numFmtId="0" fontId="37" fillId="0" borderId="0" xfId="0" applyFont="1" applyBorder="1">
      <alignment vertical="top"/>
    </xf>
    <xf numFmtId="0" fontId="78" fillId="0" borderId="0" xfId="2" applyFont="1" applyBorder="1"/>
    <xf numFmtId="0" fontId="78" fillId="0" borderId="0" xfId="2" applyFont="1" applyFill="1" applyBorder="1"/>
    <xf numFmtId="0" fontId="37" fillId="0" borderId="0" xfId="0" applyFont="1" applyAlignment="1"/>
    <xf numFmtId="171" fontId="26" fillId="0" borderId="1" xfId="2" applyNumberFormat="1"/>
    <xf numFmtId="0" fontId="76" fillId="0" borderId="0" xfId="22" applyAlignment="1">
      <alignment vertical="top"/>
    </xf>
    <xf numFmtId="0" fontId="29" fillId="0" borderId="0" xfId="0" applyFont="1" applyAlignment="1">
      <alignment horizontal="center" vertical="top"/>
    </xf>
    <xf numFmtId="0" fontId="76" fillId="0" borderId="0" xfId="22" applyBorder="1" applyAlignment="1">
      <alignment vertical="top"/>
    </xf>
    <xf numFmtId="0" fontId="76" fillId="0" borderId="0" xfId="22" applyAlignment="1">
      <alignment horizontal="right" vertical="top"/>
    </xf>
    <xf numFmtId="0" fontId="76" fillId="0" borderId="7" xfId="22" applyBorder="1" applyAlignment="1">
      <alignment vertical="top"/>
    </xf>
    <xf numFmtId="0" fontId="76" fillId="0" borderId="0" xfId="22" applyFill="1" applyBorder="1" applyAlignment="1">
      <alignment vertical="top"/>
    </xf>
    <xf numFmtId="0" fontId="80" fillId="0" borderId="0" xfId="22" applyFont="1" applyBorder="1" applyAlignment="1">
      <alignment vertical="top"/>
    </xf>
    <xf numFmtId="0" fontId="29" fillId="0" borderId="0" xfId="0" applyFont="1" applyBorder="1">
      <alignment vertical="top"/>
    </xf>
    <xf numFmtId="0" fontId="29" fillId="2" borderId="6" xfId="0" applyFont="1" applyFill="1" applyBorder="1">
      <alignment vertical="top"/>
    </xf>
    <xf numFmtId="0" fontId="29" fillId="2" borderId="6" xfId="0" applyFont="1" applyFill="1" applyBorder="1" applyAlignment="1">
      <alignment horizontal="left" vertical="top"/>
    </xf>
    <xf numFmtId="0" fontId="80" fillId="0" borderId="0" xfId="22" applyFont="1" applyAlignment="1">
      <alignment vertical="top"/>
    </xf>
    <xf numFmtId="180" fontId="13" fillId="0" borderId="0" xfId="0" applyNumberFormat="1" applyFont="1" applyBorder="1" applyAlignment="1">
      <alignment horizontal="right" vertical="top" indent="3" shrinkToFit="1"/>
    </xf>
    <xf numFmtId="180" fontId="13" fillId="0" borderId="0" xfId="0" applyNumberFormat="1" applyFont="1" applyAlignment="1">
      <alignment horizontal="right" vertical="top" indent="3"/>
    </xf>
    <xf numFmtId="0" fontId="76" fillId="0" borderId="0" xfId="22" applyFont="1" applyAlignment="1">
      <alignment vertical="top"/>
    </xf>
    <xf numFmtId="3" fontId="15" fillId="0" borderId="0" xfId="10" applyNumberFormat="1" applyFont="1" applyBorder="1" applyAlignment="1">
      <alignment horizontal="right" vertical="top" indent="4"/>
    </xf>
    <xf numFmtId="3" fontId="13" fillId="0" borderId="0" xfId="0" applyNumberFormat="1" applyFont="1" applyAlignment="1">
      <alignment horizontal="right" vertical="top" indent="4" shrinkToFit="1"/>
    </xf>
    <xf numFmtId="0" fontId="81" fillId="0" borderId="0" xfId="22" applyFont="1" applyBorder="1" applyAlignment="1">
      <alignment vertical="top"/>
    </xf>
    <xf numFmtId="0" fontId="77" fillId="0" borderId="0" xfId="3" applyFont="1" applyBorder="1" applyAlignment="1">
      <alignment vertical="top"/>
    </xf>
    <xf numFmtId="0" fontId="37" fillId="0" borderId="0" xfId="0" applyFont="1" applyBorder="1" applyAlignment="1">
      <alignment horizontal="right"/>
    </xf>
    <xf numFmtId="0" fontId="76" fillId="0" borderId="7" xfId="22" applyBorder="1" applyAlignment="1">
      <alignment horizontal="right" vertical="top"/>
    </xf>
    <xf numFmtId="0" fontId="76" fillId="0" borderId="0" xfId="22" applyFill="1" applyBorder="1" applyAlignment="1">
      <alignment horizontal="right" vertical="top"/>
    </xf>
    <xf numFmtId="0" fontId="76" fillId="0" borderId="0" xfId="22" applyBorder="1" applyAlignment="1">
      <alignment horizontal="right" vertical="top"/>
    </xf>
    <xf numFmtId="0" fontId="80" fillId="0" borderId="0" xfId="22" applyFont="1" applyBorder="1" applyAlignment="1">
      <alignment horizontal="right" vertical="top"/>
    </xf>
    <xf numFmtId="0" fontId="80" fillId="0" borderId="0" xfId="22" applyFont="1" applyAlignment="1">
      <alignment horizontal="right" vertical="top"/>
    </xf>
    <xf numFmtId="0" fontId="80" fillId="0" borderId="0" xfId="22" applyFont="1" applyFill="1" applyBorder="1" applyAlignment="1">
      <alignment horizontal="right" vertical="top"/>
    </xf>
    <xf numFmtId="0" fontId="81" fillId="0" borderId="0" xfId="22" applyFont="1" applyBorder="1" applyAlignment="1">
      <alignment horizontal="right" vertical="top"/>
    </xf>
    <xf numFmtId="0" fontId="37" fillId="0" borderId="0" xfId="0" applyFont="1" applyAlignment="1">
      <alignment horizontal="right" vertical="top"/>
    </xf>
    <xf numFmtId="0" fontId="13" fillId="0" borderId="0" xfId="0" applyFont="1" applyFill="1" applyBorder="1" applyAlignment="1">
      <alignment horizontal="center" vertical="top"/>
    </xf>
    <xf numFmtId="0" fontId="0" fillId="0" borderId="0" xfId="0" applyFill="1" applyAlignment="1">
      <alignment horizontal="center" vertical="top"/>
    </xf>
    <xf numFmtId="0" fontId="61" fillId="0" borderId="0" xfId="0" applyFont="1" applyFill="1" applyBorder="1" applyAlignment="1">
      <alignment horizontal="center" vertical="top"/>
    </xf>
    <xf numFmtId="0" fontId="0" fillId="0" borderId="0" xfId="0" applyFill="1" applyBorder="1">
      <alignment vertical="top"/>
    </xf>
    <xf numFmtId="0" fontId="19" fillId="0" borderId="0" xfId="5" applyFill="1">
      <alignment horizontal="left" indent="2"/>
    </xf>
    <xf numFmtId="180" fontId="17" fillId="0" borderId="0" xfId="0" applyNumberFormat="1" applyFont="1" applyBorder="1" applyAlignment="1">
      <alignment horizontal="right" indent="3"/>
    </xf>
    <xf numFmtId="0" fontId="61" fillId="0" borderId="3" xfId="0" applyFont="1" applyBorder="1">
      <alignment vertical="top"/>
    </xf>
    <xf numFmtId="0" fontId="76" fillId="0" borderId="0" xfId="22" applyFont="1" applyAlignment="1">
      <alignment horizontal="right" vertical="top"/>
    </xf>
    <xf numFmtId="3" fontId="13" fillId="0" borderId="0" xfId="0" applyNumberFormat="1" applyFont="1" applyAlignment="1">
      <alignment horizontal="right" vertical="top" indent="4"/>
    </xf>
    <xf numFmtId="0" fontId="0" fillId="0" borderId="0" xfId="0" applyAlignment="1">
      <alignment horizontal="left" vertical="top"/>
    </xf>
    <xf numFmtId="0" fontId="0" fillId="0" borderId="0" xfId="0" applyAlignment="1">
      <alignment horizontal="left" vertical="top" wrapText="1"/>
    </xf>
    <xf numFmtId="0" fontId="0" fillId="0" borderId="0" xfId="0" applyFill="1">
      <alignment vertical="top"/>
    </xf>
    <xf numFmtId="0" fontId="0" fillId="0" borderId="0" xfId="0" applyFill="1" applyAlignment="1">
      <alignment vertical="top"/>
    </xf>
    <xf numFmtId="0" fontId="16" fillId="0" borderId="0" xfId="8">
      <alignment vertical="top"/>
    </xf>
    <xf numFmtId="0" fontId="0" fillId="0" borderId="0" xfId="0" applyAlignment="1"/>
    <xf numFmtId="0" fontId="79" fillId="0" borderId="0" xfId="24" applyAlignment="1">
      <alignment vertical="top"/>
    </xf>
    <xf numFmtId="0" fontId="79" fillId="0" borderId="0" xfId="24" applyAlignment="1">
      <alignment horizontal="right" vertical="top"/>
    </xf>
    <xf numFmtId="0" fontId="79" fillId="0" borderId="0" xfId="24">
      <alignment vertical="top"/>
    </xf>
    <xf numFmtId="0" fontId="79" fillId="0" borderId="0" xfId="24" applyAlignment="1">
      <alignment horizontal="left" vertical="top"/>
    </xf>
    <xf numFmtId="0" fontId="13" fillId="0" borderId="0" xfId="23" applyNumberFormat="1" applyFont="1">
      <alignment horizontal="right" vertical="top" indent="3"/>
    </xf>
    <xf numFmtId="3" fontId="13" fillId="0" borderId="0" xfId="23" applyNumberFormat="1" applyFont="1">
      <alignment horizontal="right" vertical="top" indent="3"/>
    </xf>
    <xf numFmtId="3" fontId="14" fillId="6" borderId="5" xfId="4" applyNumberFormat="1" applyFont="1" applyAlignment="1">
      <alignment horizontal="right" vertical="top" indent="3"/>
      <protection locked="0"/>
    </xf>
    <xf numFmtId="3" fontId="0" fillId="0" borderId="0" xfId="0" applyNumberFormat="1" applyFont="1" applyAlignment="1">
      <alignment horizontal="right" vertical="top" indent="3"/>
    </xf>
    <xf numFmtId="0" fontId="61" fillId="0" borderId="0" xfId="0" applyFont="1" applyAlignment="1">
      <alignment horizontal="left" vertical="top" shrinkToFit="1"/>
    </xf>
    <xf numFmtId="3" fontId="23" fillId="0" borderId="0" xfId="23" applyNumberFormat="1" applyFont="1">
      <alignment horizontal="right" vertical="top" indent="3"/>
    </xf>
    <xf numFmtId="0" fontId="76" fillId="0" borderId="0" xfId="22" applyBorder="1">
      <alignment horizontal="right"/>
    </xf>
    <xf numFmtId="0" fontId="86" fillId="0" borderId="0" xfId="0" applyFont="1">
      <alignment vertical="top"/>
    </xf>
    <xf numFmtId="177" fontId="87" fillId="0" borderId="107" xfId="10" applyNumberFormat="1" applyFont="1" applyBorder="1" applyAlignment="1">
      <alignment horizontal="center"/>
    </xf>
    <xf numFmtId="0" fontId="32" fillId="0" borderId="107" xfId="0" applyFont="1" applyBorder="1" applyAlignment="1">
      <alignment horizontal="right" shrinkToFit="1"/>
    </xf>
    <xf numFmtId="0" fontId="85" fillId="0" borderId="0" xfId="24" applyFont="1" applyAlignment="1">
      <alignment vertical="top"/>
    </xf>
    <xf numFmtId="0" fontId="85" fillId="0" borderId="0" xfId="24" applyFont="1" applyAlignment="1">
      <alignment horizontal="right" vertical="top"/>
    </xf>
    <xf numFmtId="0" fontId="85" fillId="0" borderId="0" xfId="24" applyFont="1">
      <alignment vertical="top"/>
    </xf>
    <xf numFmtId="0" fontId="85" fillId="0" borderId="0" xfId="24" applyFont="1" applyAlignment="1">
      <alignment horizontal="left" indent="2"/>
    </xf>
    <xf numFmtId="179" fontId="13" fillId="0" borderId="0" xfId="7" applyNumberFormat="1" applyFont="1" applyBorder="1" applyAlignment="1">
      <alignment horizontal="right" vertical="top" shrinkToFit="1"/>
    </xf>
    <xf numFmtId="0" fontId="89" fillId="0" borderId="0" xfId="0" applyFont="1" applyAlignment="1">
      <alignment horizontal="centerContinuous" vertical="top"/>
    </xf>
    <xf numFmtId="0" fontId="90" fillId="0" borderId="0" xfId="0" applyFont="1" applyAlignment="1">
      <alignment horizontal="center" vertical="top"/>
    </xf>
    <xf numFmtId="1" fontId="15" fillId="0" borderId="0" xfId="23" applyNumberFormat="1" applyFont="1" applyFill="1">
      <alignment horizontal="right" vertical="top" indent="3"/>
    </xf>
    <xf numFmtId="0" fontId="79" fillId="0" borderId="0" xfId="24" applyAlignment="1">
      <alignment horizontal="center" vertical="top"/>
    </xf>
    <xf numFmtId="0" fontId="79" fillId="0" borderId="0" xfId="24" applyAlignment="1">
      <alignment horizontal="right"/>
    </xf>
    <xf numFmtId="0" fontId="91" fillId="0" borderId="0" xfId="24" applyFont="1">
      <alignment vertical="top"/>
    </xf>
    <xf numFmtId="0" fontId="92" fillId="0" borderId="0" xfId="24" applyFont="1">
      <alignment vertical="top"/>
    </xf>
    <xf numFmtId="0" fontId="93" fillId="0" borderId="0" xfId="22" applyFont="1" applyBorder="1">
      <alignment horizontal="right"/>
    </xf>
    <xf numFmtId="0" fontId="0" fillId="3" borderId="0" xfId="0" applyFont="1" applyFill="1" applyAlignment="1">
      <alignment horizontal="right" vertical="top"/>
    </xf>
    <xf numFmtId="0" fontId="94" fillId="0" borderId="0" xfId="0" applyFont="1" applyAlignment="1">
      <alignment horizontal="left" indent="2"/>
    </xf>
    <xf numFmtId="0" fontId="93" fillId="0" borderId="0" xfId="0" applyFont="1">
      <alignment vertical="top"/>
    </xf>
    <xf numFmtId="0" fontId="0" fillId="13" borderId="0" xfId="0" applyFill="1">
      <alignment vertical="top"/>
    </xf>
    <xf numFmtId="168" fontId="96" fillId="0" borderId="1" xfId="2" applyNumberFormat="1" applyFont="1" applyAlignment="1">
      <alignment horizontal="right" vertical="center"/>
    </xf>
    <xf numFmtId="188" fontId="0" fillId="0" borderId="0" xfId="0" applyNumberFormat="1">
      <alignment vertical="top"/>
    </xf>
    <xf numFmtId="168" fontId="0" fillId="0" borderId="0" xfId="0" applyNumberFormat="1" applyAlignment="1"/>
    <xf numFmtId="0" fontId="41" fillId="2" borderId="109" xfId="0" applyFont="1" applyFill="1" applyBorder="1">
      <alignment vertical="top"/>
    </xf>
    <xf numFmtId="0" fontId="7" fillId="2" borderId="109" xfId="0" applyFont="1" applyFill="1" applyBorder="1">
      <alignment vertical="top"/>
    </xf>
    <xf numFmtId="0" fontId="0" fillId="0" borderId="21" xfId="0" applyBorder="1">
      <alignment vertical="top"/>
    </xf>
    <xf numFmtId="0" fontId="46" fillId="0" borderId="97" xfId="0" applyFont="1" applyFill="1" applyBorder="1" applyAlignment="1"/>
    <xf numFmtId="0" fontId="0" fillId="0" borderId="97" xfId="0" applyFill="1" applyBorder="1" applyAlignment="1" applyProtection="1">
      <alignment horizontal="right"/>
    </xf>
    <xf numFmtId="2" fontId="0" fillId="0" borderId="97" xfId="0" applyNumberFormat="1" applyFont="1" applyFill="1" applyBorder="1" applyAlignment="1" applyProtection="1">
      <protection locked="0"/>
    </xf>
    <xf numFmtId="0" fontId="0" fillId="0" borderId="97" xfId="0" applyFont="1" applyFill="1" applyBorder="1" applyAlignment="1"/>
    <xf numFmtId="0" fontId="0" fillId="0" borderId="36" xfId="0" applyFont="1" applyBorder="1">
      <alignment vertical="top"/>
    </xf>
    <xf numFmtId="0" fontId="0" fillId="0" borderId="24" xfId="0" applyFont="1" applyBorder="1">
      <alignment vertical="top"/>
    </xf>
    <xf numFmtId="0" fontId="0" fillId="0" borderId="25" xfId="0" applyBorder="1" applyAlignment="1"/>
    <xf numFmtId="0" fontId="0" fillId="0" borderId="26" xfId="0" applyBorder="1">
      <alignment vertical="top"/>
    </xf>
    <xf numFmtId="0" fontId="46" fillId="0" borderId="41" xfId="0" applyFont="1" applyFill="1" applyBorder="1" applyAlignment="1"/>
    <xf numFmtId="0" fontId="0" fillId="0" borderId="41" xfId="0" applyFont="1" applyFill="1" applyBorder="1" applyAlignment="1" applyProtection="1">
      <alignment horizontal="right"/>
    </xf>
    <xf numFmtId="0" fontId="0" fillId="0" borderId="41" xfId="0" applyBorder="1">
      <alignment vertical="top"/>
    </xf>
    <xf numFmtId="0" fontId="0" fillId="0" borderId="27" xfId="0" applyBorder="1">
      <alignment vertical="top"/>
    </xf>
    <xf numFmtId="0" fontId="0" fillId="0" borderId="24" xfId="0" applyFont="1" applyBorder="1" applyAlignment="1">
      <alignment horizontal="center" vertical="top"/>
    </xf>
    <xf numFmtId="0" fontId="0" fillId="0" borderId="25" xfId="0" applyBorder="1" applyAlignment="1">
      <alignment horizontal="center" vertical="top"/>
    </xf>
    <xf numFmtId="0" fontId="0" fillId="0" borderId="24" xfId="0" applyBorder="1">
      <alignment vertical="top"/>
    </xf>
    <xf numFmtId="0" fontId="0" fillId="0" borderId="25" xfId="0" applyBorder="1" applyAlignment="1">
      <alignment vertical="top"/>
    </xf>
    <xf numFmtId="0" fontId="0" fillId="0" borderId="25" xfId="0" applyBorder="1">
      <alignment vertical="top"/>
    </xf>
    <xf numFmtId="0" fontId="0" fillId="0" borderId="26" xfId="0" applyFont="1" applyBorder="1" applyAlignment="1">
      <alignment horizontal="center" vertical="top"/>
    </xf>
    <xf numFmtId="0" fontId="0" fillId="0" borderId="27" xfId="0" applyBorder="1" applyAlignment="1">
      <alignment horizontal="center" vertical="top"/>
    </xf>
    <xf numFmtId="0" fontId="0" fillId="0" borderId="97" xfId="0" applyBorder="1">
      <alignment vertical="top"/>
    </xf>
    <xf numFmtId="0" fontId="47" fillId="0" borderId="97" xfId="0" applyFont="1" applyBorder="1" applyAlignment="1">
      <alignment horizontal="right"/>
    </xf>
    <xf numFmtId="0" fontId="0" fillId="0" borderId="36" xfId="0" applyBorder="1">
      <alignment vertical="top"/>
    </xf>
    <xf numFmtId="0" fontId="47" fillId="0" borderId="41" xfId="0" applyFont="1" applyBorder="1" applyAlignment="1">
      <alignment horizontal="right"/>
    </xf>
    <xf numFmtId="0" fontId="0" fillId="0" borderId="20" xfId="0" applyBorder="1" applyAlignment="1"/>
    <xf numFmtId="0" fontId="0" fillId="0" borderId="20" xfId="0" applyBorder="1">
      <alignment vertical="top"/>
    </xf>
    <xf numFmtId="0" fontId="0" fillId="0" borderId="20" xfId="0" applyFont="1" applyBorder="1">
      <alignment vertical="top"/>
    </xf>
    <xf numFmtId="166" fontId="0" fillId="0" borderId="0" xfId="0" applyNumberFormat="1">
      <alignment vertical="top"/>
    </xf>
    <xf numFmtId="2" fontId="13" fillId="0" borderId="0" xfId="0" applyNumberFormat="1" applyFont="1" applyFill="1" applyBorder="1" applyAlignment="1">
      <alignment horizontal="center" vertical="top"/>
    </xf>
    <xf numFmtId="2" fontId="0" fillId="0" borderId="0" xfId="0" applyNumberFormat="1" applyFill="1" applyBorder="1" applyAlignment="1">
      <alignment horizontal="center" vertical="top"/>
    </xf>
    <xf numFmtId="2" fontId="0" fillId="0" borderId="51" xfId="0" applyNumberFormat="1" applyFont="1" applyFill="1" applyBorder="1" applyAlignment="1" applyProtection="1">
      <alignment horizontal="center"/>
    </xf>
    <xf numFmtId="2" fontId="0" fillId="0" borderId="50" xfId="0" applyNumberFormat="1" applyFont="1" applyFill="1" applyBorder="1" applyAlignment="1" applyProtection="1">
      <alignment horizontal="center"/>
    </xf>
    <xf numFmtId="0" fontId="0" fillId="0" borderId="0" xfId="0" applyFill="1" applyBorder="1" applyAlignment="1" applyProtection="1"/>
    <xf numFmtId="9" fontId="0" fillId="0" borderId="0" xfId="0" applyNumberFormat="1" applyAlignment="1">
      <alignment horizontal="center" vertical="top"/>
    </xf>
    <xf numFmtId="166" fontId="95" fillId="0" borderId="2" xfId="0" applyNumberFormat="1" applyFont="1" applyBorder="1" applyAlignment="1">
      <alignment horizontal="right" vertical="center" indent="3"/>
    </xf>
    <xf numFmtId="170" fontId="0" fillId="0" borderId="0" xfId="0" applyNumberFormat="1" applyFont="1" applyAlignment="1"/>
    <xf numFmtId="166" fontId="0" fillId="0" borderId="0" xfId="0" applyNumberFormat="1" applyFont="1" applyAlignment="1"/>
    <xf numFmtId="39" fontId="97" fillId="0" borderId="0" xfId="0" applyNumberFormat="1" applyFont="1" applyAlignment="1">
      <alignment horizontal="center" vertical="center"/>
    </xf>
    <xf numFmtId="9" fontId="0" fillId="0" borderId="68" xfId="0" applyNumberFormat="1" applyFont="1" applyBorder="1" applyAlignment="1"/>
    <xf numFmtId="9" fontId="0" fillId="0" borderId="61" xfId="0" applyNumberFormat="1" applyFont="1" applyBorder="1" applyAlignment="1"/>
    <xf numFmtId="9" fontId="0" fillId="0" borderId="66" xfId="0" applyNumberFormat="1" applyFont="1" applyBorder="1" applyAlignment="1"/>
    <xf numFmtId="9" fontId="0" fillId="0" borderId="55" xfId="0" applyNumberFormat="1" applyFont="1" applyBorder="1" applyAlignment="1"/>
    <xf numFmtId="10" fontId="0" fillId="0" borderId="0" xfId="0" applyNumberFormat="1" applyFont="1" applyFill="1" applyBorder="1" applyAlignment="1" applyProtection="1"/>
    <xf numFmtId="10" fontId="23" fillId="0" borderId="0" xfId="0" applyNumberFormat="1" applyFont="1" applyFill="1" applyBorder="1" applyAlignment="1" applyProtection="1">
      <alignment vertical="top"/>
      <protection locked="0"/>
    </xf>
    <xf numFmtId="10" fontId="0" fillId="0" borderId="0" xfId="0" applyNumberFormat="1" applyFont="1" applyAlignment="1">
      <alignment vertical="top"/>
    </xf>
    <xf numFmtId="0" fontId="14" fillId="0" borderId="0" xfId="0" applyFont="1" applyAlignment="1">
      <alignment horizontal="center" vertical="top"/>
    </xf>
    <xf numFmtId="0" fontId="0" fillId="0" borderId="0" xfId="0">
      <alignment vertical="top"/>
    </xf>
    <xf numFmtId="0" fontId="76" fillId="0" borderId="0" xfId="22">
      <alignment horizontal="right"/>
    </xf>
    <xf numFmtId="0" fontId="23" fillId="0" borderId="0" xfId="0" applyNumberFormat="1" applyFont="1" applyFill="1" applyAlignment="1" applyProtection="1">
      <alignment horizontal="center" vertical="center"/>
    </xf>
    <xf numFmtId="0" fontId="23" fillId="0" borderId="0" xfId="0" applyFont="1" applyFill="1">
      <alignment vertical="top"/>
    </xf>
    <xf numFmtId="0" fontId="23" fillId="0" borderId="0" xfId="0" applyFont="1" applyFill="1" applyAlignment="1">
      <alignment horizontal="center" vertical="top"/>
    </xf>
    <xf numFmtId="168" fontId="0" fillId="0" borderId="0" xfId="0" applyNumberFormat="1" applyAlignment="1">
      <alignment horizontal="right" vertical="center" indent="3"/>
    </xf>
    <xf numFmtId="0" fontId="0" fillId="0" borderId="0" xfId="0" applyAlignment="1">
      <alignment horizontal="right" vertical="center" indent="3"/>
    </xf>
    <xf numFmtId="180" fontId="0" fillId="0" borderId="0" xfId="0" applyNumberFormat="1" applyAlignment="1">
      <alignment horizontal="right" vertical="center" indent="3"/>
    </xf>
    <xf numFmtId="0" fontId="14" fillId="0" borderId="0" xfId="0" applyFont="1" applyAlignment="1">
      <alignment horizontal="right" vertical="center" indent="3"/>
    </xf>
    <xf numFmtId="0" fontId="26" fillId="0" borderId="1" xfId="2" applyAlignment="1">
      <alignment horizontal="right" vertical="center" indent="3"/>
    </xf>
    <xf numFmtId="172" fontId="26" fillId="0" borderId="1" xfId="2" applyNumberFormat="1" applyAlignment="1">
      <alignment horizontal="right" vertical="center" indent="3"/>
    </xf>
    <xf numFmtId="2" fontId="0" fillId="0" borderId="0" xfId="0" applyNumberFormat="1" applyAlignment="1">
      <alignment horizontal="right" vertical="center" indent="3"/>
    </xf>
    <xf numFmtId="168" fontId="0" fillId="0" borderId="0" xfId="0" applyNumberFormat="1" applyFont="1" applyAlignment="1">
      <alignment horizontal="right" vertical="center" indent="3"/>
    </xf>
    <xf numFmtId="188" fontId="0" fillId="0" borderId="0" xfId="0" applyNumberFormat="1" applyAlignment="1">
      <alignment horizontal="right" vertical="center" indent="3"/>
    </xf>
    <xf numFmtId="174" fontId="0" fillId="0" borderId="0" xfId="0" applyNumberFormat="1" applyAlignment="1">
      <alignment horizontal="right" vertical="center" indent="3"/>
    </xf>
    <xf numFmtId="180" fontId="0" fillId="0" borderId="0" xfId="0" applyNumberFormat="1" applyBorder="1" applyAlignment="1">
      <alignment horizontal="right" vertical="center" indent="3"/>
    </xf>
    <xf numFmtId="0" fontId="68" fillId="0" borderId="0" xfId="2" applyFont="1" applyBorder="1" applyAlignment="1">
      <alignment horizontal="right" vertical="center" indent="3"/>
    </xf>
    <xf numFmtId="172" fontId="68" fillId="0" borderId="0" xfId="2" applyNumberFormat="1" applyFont="1" applyBorder="1" applyAlignment="1">
      <alignment horizontal="right" vertical="center" indent="3"/>
    </xf>
    <xf numFmtId="0" fontId="37" fillId="0" borderId="0" xfId="0" applyFont="1" applyAlignment="1">
      <alignment horizontal="right" vertical="center" indent="3"/>
    </xf>
    <xf numFmtId="0" fontId="93" fillId="0" borderId="0" xfId="0" applyFont="1" applyAlignment="1">
      <alignment horizontal="right" vertical="center" indent="3"/>
    </xf>
    <xf numFmtId="172" fontId="79" fillId="0" borderId="0" xfId="2" applyNumberFormat="1" applyFont="1" applyBorder="1" applyAlignment="1">
      <alignment horizontal="right" vertical="center" indent="3"/>
    </xf>
    <xf numFmtId="180" fontId="14" fillId="0" borderId="0" xfId="0" applyNumberFormat="1" applyFont="1" applyAlignment="1">
      <alignment horizontal="right" vertical="center" indent="3"/>
    </xf>
    <xf numFmtId="0" fontId="37" fillId="0" borderId="0" xfId="0" applyFont="1" applyBorder="1" applyAlignment="1">
      <alignment horizontal="right" vertical="center" indent="3"/>
    </xf>
    <xf numFmtId="3" fontId="23" fillId="0" borderId="0" xfId="25" applyNumberFormat="1" applyFont="1" applyFill="1" applyBorder="1" applyAlignment="1" applyProtection="1">
      <alignment horizontal="right" vertical="center" indent="3"/>
    </xf>
    <xf numFmtId="164" fontId="23" fillId="0" borderId="0" xfId="25" applyNumberFormat="1" applyFont="1" applyFill="1" applyBorder="1" applyAlignment="1" applyProtection="1">
      <alignment horizontal="right" vertical="center" indent="3"/>
    </xf>
    <xf numFmtId="9" fontId="23" fillId="0" borderId="0" xfId="0" applyNumberFormat="1" applyFont="1" applyFill="1" applyBorder="1" applyAlignment="1" applyProtection="1">
      <alignment horizontal="right" vertical="center" indent="3"/>
    </xf>
    <xf numFmtId="0" fontId="78" fillId="0" borderId="0" xfId="2" applyFont="1" applyBorder="1" applyAlignment="1">
      <alignment horizontal="right" vertical="center" indent="3"/>
    </xf>
    <xf numFmtId="3" fontId="13" fillId="0" borderId="0" xfId="0" applyNumberFormat="1" applyFont="1" applyAlignment="1">
      <alignment horizontal="right" vertical="center" indent="3"/>
    </xf>
    <xf numFmtId="3" fontId="37" fillId="0" borderId="0" xfId="0" applyNumberFormat="1" applyFont="1" applyAlignment="1">
      <alignment horizontal="right" vertical="center" indent="3"/>
    </xf>
    <xf numFmtId="37" fontId="23" fillId="0" borderId="0" xfId="0" applyNumberFormat="1" applyFont="1" applyFill="1" applyBorder="1" applyAlignment="1" applyProtection="1">
      <alignment horizontal="right" vertical="center" indent="3"/>
    </xf>
    <xf numFmtId="3" fontId="23" fillId="0" borderId="0" xfId="25" applyNumberFormat="1" applyFont="1" applyFill="1" applyBorder="1" applyAlignment="1">
      <alignment horizontal="right" vertical="center" indent="3"/>
    </xf>
    <xf numFmtId="3" fontId="13" fillId="0" borderId="0" xfId="0" applyNumberFormat="1" applyFont="1" applyFill="1" applyAlignment="1">
      <alignment horizontal="right" vertical="center" indent="3"/>
    </xf>
    <xf numFmtId="3" fontId="13" fillId="0" borderId="40" xfId="0" applyNumberFormat="1" applyFont="1" applyBorder="1" applyAlignment="1">
      <alignment horizontal="right" vertical="center" indent="3"/>
    </xf>
    <xf numFmtId="0" fontId="79" fillId="0" borderId="0" xfId="24" applyAlignment="1"/>
    <xf numFmtId="0" fontId="79" fillId="0" borderId="0" xfId="24" applyAlignment="1">
      <alignment horizontal="center" vertical="center"/>
    </xf>
    <xf numFmtId="171" fontId="79" fillId="0" borderId="0" xfId="24" applyNumberFormat="1" applyAlignment="1">
      <alignment horizontal="right" vertical="center" indent="3"/>
    </xf>
    <xf numFmtId="0" fontId="79" fillId="0" borderId="0" xfId="24" applyAlignment="1">
      <alignment horizontal="right" vertical="center" indent="3"/>
    </xf>
    <xf numFmtId="0" fontId="23" fillId="0" borderId="0" xfId="0" applyFont="1" applyAlignment="1">
      <alignment horizontal="right" vertical="center" indent="3"/>
    </xf>
    <xf numFmtId="168" fontId="23" fillId="8" borderId="44" xfId="25" applyNumberFormat="1" applyFont="1" applyFill="1" applyBorder="1" applyAlignment="1">
      <alignment horizontal="right" vertical="center" indent="3"/>
    </xf>
    <xf numFmtId="1" fontId="23" fillId="0" borderId="43" xfId="25" applyNumberFormat="1" applyFont="1" applyFill="1" applyBorder="1" applyAlignment="1">
      <alignment horizontal="right" vertical="center" indent="3"/>
    </xf>
    <xf numFmtId="1" fontId="23" fillId="0" borderId="0" xfId="25" applyNumberFormat="1" applyFont="1" applyFill="1" applyBorder="1" applyAlignment="1">
      <alignment horizontal="right" vertical="center" indent="3"/>
    </xf>
    <xf numFmtId="0" fontId="23" fillId="0" borderId="0" xfId="25" applyFont="1" applyAlignment="1">
      <alignment horizontal="right" vertical="center" indent="3"/>
    </xf>
    <xf numFmtId="168" fontId="23" fillId="0" borderId="0" xfId="25" applyNumberFormat="1" applyFont="1" applyFill="1" applyBorder="1" applyAlignment="1">
      <alignment horizontal="right" vertical="center" indent="3"/>
    </xf>
    <xf numFmtId="180" fontId="23" fillId="0" borderId="0" xfId="25" applyNumberFormat="1" applyFont="1" applyFill="1" applyBorder="1" applyAlignment="1">
      <alignment horizontal="right" vertical="center" indent="3"/>
    </xf>
    <xf numFmtId="182" fontId="23" fillId="0" borderId="0" xfId="25" applyNumberFormat="1" applyFont="1" applyFill="1" applyBorder="1" applyAlignment="1" applyProtection="1">
      <alignment horizontal="right" vertical="center" indent="3"/>
    </xf>
    <xf numFmtId="182" fontId="23" fillId="0" borderId="0" xfId="25" applyNumberFormat="1" applyFont="1" applyFill="1" applyBorder="1" applyAlignment="1">
      <alignment horizontal="right" vertical="center" indent="3"/>
    </xf>
    <xf numFmtId="180" fontId="23" fillId="0" borderId="0" xfId="0" applyNumberFormat="1" applyFont="1" applyFill="1" applyBorder="1" applyAlignment="1">
      <alignment horizontal="right" vertical="center" indent="3"/>
    </xf>
    <xf numFmtId="37" fontId="23" fillId="0" borderId="0" xfId="25" applyNumberFormat="1" applyFont="1" applyFill="1" applyBorder="1" applyAlignment="1">
      <alignment horizontal="right" vertical="center" indent="3"/>
    </xf>
    <xf numFmtId="3" fontId="23" fillId="0" borderId="95" xfId="25" applyNumberFormat="1" applyFont="1" applyBorder="1" applyAlignment="1">
      <alignment horizontal="right" vertical="center" indent="3"/>
    </xf>
    <xf numFmtId="3" fontId="23" fillId="0" borderId="40" xfId="25" applyNumberFormat="1" applyFont="1" applyFill="1" applyBorder="1" applyAlignment="1">
      <alignment horizontal="right" vertical="center" indent="3"/>
    </xf>
    <xf numFmtId="3" fontId="23" fillId="0" borderId="0" xfId="25" applyNumberFormat="1" applyFont="1" applyAlignment="1">
      <alignment horizontal="right" vertical="center" indent="3"/>
    </xf>
    <xf numFmtId="3" fontId="23" fillId="0" borderId="110" xfId="25" applyNumberFormat="1" applyFont="1" applyFill="1" applyBorder="1" applyAlignment="1">
      <alignment horizontal="right" vertical="center" indent="3"/>
    </xf>
    <xf numFmtId="168" fontId="23" fillId="0" borderId="43" xfId="25" applyNumberFormat="1" applyFont="1" applyFill="1" applyBorder="1" applyAlignment="1">
      <alignment horizontal="right" vertical="center" indent="3"/>
    </xf>
    <xf numFmtId="170" fontId="23" fillId="0" borderId="42" xfId="25" applyNumberFormat="1" applyFont="1" applyFill="1" applyBorder="1" applyAlignment="1">
      <alignment horizontal="right" vertical="center" indent="3"/>
    </xf>
    <xf numFmtId="168" fontId="23" fillId="0" borderId="0" xfId="25" applyNumberFormat="1" applyFont="1" applyAlignment="1">
      <alignment horizontal="right" vertical="center" indent="3"/>
    </xf>
    <xf numFmtId="2" fontId="23" fillId="0" borderId="0" xfId="25" applyNumberFormat="1" applyFont="1" applyFill="1" applyBorder="1" applyAlignment="1">
      <alignment horizontal="right" vertical="center" indent="3"/>
    </xf>
    <xf numFmtId="9" fontId="23" fillId="0" borderId="0" xfId="25" applyNumberFormat="1" applyFont="1" applyFill="1" applyBorder="1" applyAlignment="1">
      <alignment horizontal="right" vertical="center" indent="3"/>
    </xf>
    <xf numFmtId="170" fontId="23" fillId="0" borderId="0" xfId="25" applyNumberFormat="1" applyFont="1" applyFill="1" applyBorder="1" applyAlignment="1">
      <alignment horizontal="right" vertical="center" indent="3"/>
    </xf>
    <xf numFmtId="171" fontId="23" fillId="0" borderId="0" xfId="25" applyNumberFormat="1" applyFont="1" applyFill="1" applyBorder="1" applyAlignment="1">
      <alignment horizontal="right" vertical="center" indent="3"/>
    </xf>
    <xf numFmtId="3" fontId="23" fillId="0" borderId="41" xfId="25" applyNumberFormat="1" applyFont="1" applyFill="1" applyBorder="1" applyAlignment="1">
      <alignment horizontal="right" vertical="center" indent="3"/>
    </xf>
    <xf numFmtId="180" fontId="23" fillId="0" borderId="42" xfId="25" applyNumberFormat="1" applyFont="1" applyFill="1" applyBorder="1" applyAlignment="1" applyProtection="1">
      <alignment horizontal="right" vertical="center" indent="3"/>
    </xf>
    <xf numFmtId="0" fontId="0" fillId="0" borderId="0" xfId="0" applyAlignment="1">
      <alignment horizontal="right" vertical="center"/>
    </xf>
    <xf numFmtId="0" fontId="23" fillId="0" borderId="0" xfId="0" applyFont="1" applyBorder="1" applyAlignment="1">
      <alignment horizontal="right" vertical="center" indent="3"/>
    </xf>
    <xf numFmtId="2" fontId="23" fillId="0" borderId="0" xfId="0" applyNumberFormat="1" applyFont="1" applyFill="1" applyBorder="1" applyAlignment="1">
      <alignment horizontal="right" vertical="center" indent="3"/>
    </xf>
    <xf numFmtId="0" fontId="85" fillId="0" borderId="0" xfId="0" applyFont="1" applyBorder="1">
      <alignment vertical="top"/>
    </xf>
    <xf numFmtId="1" fontId="101" fillId="0" borderId="0" xfId="25" applyNumberFormat="1" applyFont="1" applyFill="1" applyBorder="1" applyAlignment="1">
      <alignment horizontal="center" vertical="top"/>
    </xf>
    <xf numFmtId="180" fontId="15" fillId="0" borderId="0" xfId="0" applyNumberFormat="1" applyFont="1" applyAlignment="1">
      <alignment horizontal="right" vertical="center" indent="3"/>
    </xf>
    <xf numFmtId="0" fontId="15" fillId="0" borderId="0" xfId="0" applyFont="1" applyAlignment="1">
      <alignment horizontal="right" vertical="center" indent="3"/>
    </xf>
    <xf numFmtId="174" fontId="15" fillId="0" borderId="0" xfId="0" applyNumberFormat="1" applyFont="1" applyAlignment="1" applyProtection="1">
      <alignment horizontal="right" vertical="center" indent="3"/>
    </xf>
    <xf numFmtId="0" fontId="23" fillId="0" borderId="0" xfId="0" applyFont="1" applyFill="1" applyBorder="1" applyAlignment="1">
      <alignment horizontal="center" vertical="top"/>
    </xf>
    <xf numFmtId="0" fontId="23" fillId="0" borderId="0" xfId="0" applyFont="1" applyFill="1" applyBorder="1">
      <alignment vertical="top"/>
    </xf>
    <xf numFmtId="1" fontId="23" fillId="0" borderId="0" xfId="25" applyNumberFormat="1" applyFont="1" applyFill="1" applyBorder="1" applyAlignment="1">
      <alignment horizontal="center" vertical="top"/>
    </xf>
    <xf numFmtId="9" fontId="23" fillId="0" borderId="0" xfId="0" applyNumberFormat="1" applyFont="1" applyFill="1" applyBorder="1" applyAlignment="1">
      <alignment horizontal="center" vertical="top"/>
    </xf>
    <xf numFmtId="166" fontId="23" fillId="0" borderId="0" xfId="0" applyNumberFormat="1" applyFont="1" applyFill="1" applyBorder="1" applyAlignment="1">
      <alignment horizontal="center" vertical="top"/>
    </xf>
    <xf numFmtId="0" fontId="100" fillId="0" borderId="0" xfId="0" applyFont="1" applyFill="1" applyBorder="1">
      <alignment vertical="top"/>
    </xf>
    <xf numFmtId="172" fontId="85" fillId="0" borderId="0" xfId="0" applyNumberFormat="1" applyFont="1" applyFill="1" applyBorder="1" applyAlignment="1">
      <alignment horizontal="center" vertical="top"/>
    </xf>
    <xf numFmtId="172" fontId="23" fillId="0" borderId="0" xfId="0" applyNumberFormat="1" applyFont="1" applyFill="1" applyBorder="1" applyAlignment="1">
      <alignment horizontal="center" vertical="top"/>
    </xf>
    <xf numFmtId="171" fontId="23" fillId="0" borderId="0" xfId="0" applyNumberFormat="1" applyFont="1" applyFill="1" applyBorder="1" applyAlignment="1">
      <alignment horizontal="center" vertical="top"/>
    </xf>
    <xf numFmtId="0" fontId="23" fillId="15" borderId="0" xfId="0" applyFont="1" applyFill="1" applyBorder="1" applyAlignment="1" applyProtection="1">
      <alignment horizontal="center" vertical="center" wrapText="1" shrinkToFit="1"/>
    </xf>
    <xf numFmtId="0" fontId="23" fillId="15" borderId="0" xfId="0" applyFont="1" applyFill="1" applyAlignment="1" applyProtection="1">
      <alignment horizontal="center" vertical="top"/>
    </xf>
    <xf numFmtId="0" fontId="98" fillId="15" borderId="1" xfId="2" applyFont="1" applyFill="1" applyProtection="1"/>
    <xf numFmtId="0" fontId="23" fillId="15" borderId="0" xfId="0" applyFont="1" applyFill="1" applyProtection="1">
      <alignment vertical="top"/>
    </xf>
    <xf numFmtId="172" fontId="23" fillId="15" borderId="0" xfId="0" applyNumberFormat="1" applyFont="1" applyFill="1" applyAlignment="1" applyProtection="1">
      <alignment horizontal="center" vertical="top"/>
    </xf>
    <xf numFmtId="172" fontId="23" fillId="15" borderId="0" xfId="0" applyNumberFormat="1" applyFont="1" applyFill="1" applyAlignment="1">
      <alignment horizontal="center" vertical="top"/>
    </xf>
    <xf numFmtId="168" fontId="23" fillId="15" borderId="0" xfId="0" applyNumberFormat="1" applyFont="1" applyFill="1" applyAlignment="1" applyProtection="1">
      <alignment horizontal="right" vertical="center" indent="3"/>
    </xf>
    <xf numFmtId="0" fontId="23" fillId="15" borderId="0" xfId="0" applyFont="1" applyFill="1" applyAlignment="1" applyProtection="1">
      <alignment horizontal="right" vertical="center" indent="3"/>
    </xf>
    <xf numFmtId="10" fontId="23" fillId="15" borderId="0" xfId="0" applyNumberFormat="1" applyFont="1" applyFill="1" applyBorder="1" applyAlignment="1" applyProtection="1">
      <alignment horizontal="right" vertical="center" indent="3"/>
    </xf>
    <xf numFmtId="1" fontId="23" fillId="15" borderId="0" xfId="0" applyNumberFormat="1" applyFont="1" applyFill="1" applyBorder="1" applyAlignment="1" applyProtection="1">
      <alignment horizontal="right" vertical="center" indent="3"/>
    </xf>
    <xf numFmtId="170" fontId="23" fillId="15" borderId="0" xfId="0" applyNumberFormat="1" applyFont="1" applyFill="1" applyBorder="1" applyAlignment="1" applyProtection="1">
      <alignment horizontal="right" vertical="center" indent="3"/>
    </xf>
    <xf numFmtId="168" fontId="85" fillId="15" borderId="0" xfId="25" applyNumberFormat="1" applyFont="1" applyFill="1" applyBorder="1" applyAlignment="1" applyProtection="1">
      <alignment horizontal="right" vertical="center" indent="3"/>
    </xf>
    <xf numFmtId="0" fontId="23" fillId="15" borderId="0" xfId="0" applyFont="1" applyFill="1" applyBorder="1" applyProtection="1">
      <alignment vertical="top"/>
    </xf>
    <xf numFmtId="0" fontId="98" fillId="15" borderId="0" xfId="2" applyFont="1" applyFill="1" applyBorder="1" applyProtection="1"/>
    <xf numFmtId="180" fontId="23" fillId="15" borderId="0" xfId="0" applyNumberFormat="1" applyFont="1" applyFill="1" applyBorder="1" applyAlignment="1" applyProtection="1">
      <alignment horizontal="right" vertical="center" indent="3"/>
    </xf>
    <xf numFmtId="1" fontId="23" fillId="15" borderId="0" xfId="25" applyNumberFormat="1" applyFont="1" applyFill="1" applyBorder="1" applyAlignment="1" applyProtection="1">
      <alignment horizontal="right" vertical="center" indent="3"/>
    </xf>
    <xf numFmtId="1" fontId="23" fillId="15" borderId="0" xfId="25" applyNumberFormat="1" applyFont="1" applyFill="1" applyBorder="1" applyAlignment="1" applyProtection="1">
      <alignment horizontal="right" vertical="center" indent="5"/>
    </xf>
    <xf numFmtId="172" fontId="98" fillId="15" borderId="0" xfId="2" applyNumberFormat="1" applyFont="1" applyFill="1" applyBorder="1" applyAlignment="1" applyProtection="1">
      <alignment horizontal="center"/>
    </xf>
    <xf numFmtId="172" fontId="98" fillId="15" borderId="0" xfId="2" applyNumberFormat="1" applyFont="1" applyFill="1" applyBorder="1" applyProtection="1"/>
    <xf numFmtId="16" fontId="23" fillId="15" borderId="0" xfId="0" applyNumberFormat="1" applyFont="1" applyFill="1" applyBorder="1" applyAlignment="1" applyProtection="1">
      <alignment horizontal="center" vertical="top"/>
    </xf>
    <xf numFmtId="170" fontId="23" fillId="15" borderId="0" xfId="0" applyNumberFormat="1" applyFont="1" applyFill="1" applyBorder="1" applyAlignment="1" applyProtection="1">
      <alignment horizontal="center" vertical="top"/>
    </xf>
    <xf numFmtId="1" fontId="23" fillId="15" borderId="0" xfId="0" applyNumberFormat="1" applyFont="1" applyFill="1" applyBorder="1" applyAlignment="1" applyProtection="1">
      <alignment horizontal="center" vertical="top"/>
    </xf>
    <xf numFmtId="9" fontId="23" fillId="15" borderId="0" xfId="0" applyNumberFormat="1" applyFont="1" applyFill="1" applyBorder="1" applyAlignment="1">
      <alignment horizontal="center" vertical="top"/>
    </xf>
    <xf numFmtId="1" fontId="23" fillId="15" borderId="0" xfId="25" applyNumberFormat="1" applyFont="1" applyFill="1" applyBorder="1" applyAlignment="1" applyProtection="1">
      <alignment horizontal="center" vertical="top"/>
    </xf>
    <xf numFmtId="0" fontId="23" fillId="15" borderId="0" xfId="0" applyNumberFormat="1" applyFont="1" applyFill="1" applyBorder="1" applyAlignment="1" applyProtection="1">
      <alignment horizontal="center"/>
    </xf>
    <xf numFmtId="170" fontId="23" fillId="15" borderId="0" xfId="25" applyNumberFormat="1" applyFont="1" applyFill="1" applyBorder="1" applyAlignment="1" applyProtection="1">
      <alignment horizontal="center" vertical="top"/>
    </xf>
    <xf numFmtId="0" fontId="23" fillId="15" borderId="0" xfId="0" applyFont="1" applyFill="1" applyBorder="1" applyAlignment="1" applyProtection="1">
      <alignment horizontal="center" vertical="top"/>
    </xf>
    <xf numFmtId="168" fontId="23" fillId="15" borderId="0" xfId="0" applyNumberFormat="1" applyFont="1" applyFill="1" applyBorder="1" applyAlignment="1" applyProtection="1">
      <alignment horizontal="center" vertical="top"/>
    </xf>
    <xf numFmtId="9" fontId="23" fillId="15" borderId="0" xfId="0" applyNumberFormat="1" applyFont="1" applyFill="1" applyBorder="1" applyAlignment="1" applyProtection="1">
      <alignment horizontal="center" vertical="top"/>
    </xf>
    <xf numFmtId="168" fontId="23" fillId="15" borderId="0" xfId="25" applyNumberFormat="1" applyFont="1" applyFill="1" applyBorder="1" applyAlignment="1" applyProtection="1">
      <alignment horizontal="right" vertical="center" indent="3"/>
    </xf>
    <xf numFmtId="170" fontId="23" fillId="15" borderId="0" xfId="25" applyNumberFormat="1" applyFont="1" applyFill="1" applyBorder="1" applyAlignment="1" applyProtection="1">
      <alignment horizontal="right" vertical="center" indent="3"/>
    </xf>
    <xf numFmtId="0" fontId="23" fillId="15" borderId="0" xfId="0" applyFont="1" applyFill="1" applyBorder="1" applyAlignment="1" applyProtection="1">
      <alignment horizontal="right" vertical="center" indent="3"/>
    </xf>
    <xf numFmtId="0" fontId="0" fillId="15" borderId="0" xfId="0" applyFill="1">
      <alignment vertical="top"/>
    </xf>
    <xf numFmtId="0" fontId="23" fillId="15" borderId="0" xfId="0" applyFont="1" applyFill="1" applyBorder="1">
      <alignment vertical="top"/>
    </xf>
    <xf numFmtId="172" fontId="98" fillId="15" borderId="0" xfId="2" applyNumberFormat="1" applyFont="1" applyFill="1" applyBorder="1" applyAlignment="1" applyProtection="1">
      <alignment horizontal="right" vertical="center" indent="3"/>
    </xf>
    <xf numFmtId="2" fontId="23" fillId="15" borderId="0" xfId="0" applyNumberFormat="1" applyFont="1" applyFill="1" applyBorder="1" applyAlignment="1">
      <alignment horizontal="right" vertical="center" indent="3"/>
    </xf>
    <xf numFmtId="2" fontId="23" fillId="15" borderId="0" xfId="0" applyNumberFormat="1" applyFont="1" applyFill="1" applyBorder="1" applyAlignment="1" applyProtection="1">
      <alignment horizontal="right" vertical="center" indent="3"/>
    </xf>
    <xf numFmtId="168" fontId="23" fillId="15" borderId="0" xfId="0" applyNumberFormat="1" applyFont="1" applyFill="1" applyBorder="1" applyAlignment="1" applyProtection="1">
      <alignment horizontal="right" vertical="center" indent="3"/>
    </xf>
    <xf numFmtId="180" fontId="23" fillId="15" borderId="0" xfId="0" applyNumberFormat="1" applyFont="1" applyFill="1" applyBorder="1" applyAlignment="1">
      <alignment horizontal="right" vertical="center" indent="3"/>
    </xf>
    <xf numFmtId="188" fontId="23" fillId="15" borderId="0" xfId="0" applyNumberFormat="1" applyFont="1" applyFill="1" applyBorder="1" applyAlignment="1">
      <alignment horizontal="right" vertical="center" indent="3"/>
    </xf>
    <xf numFmtId="174" fontId="23" fillId="15" borderId="0" xfId="0" applyNumberFormat="1" applyFont="1" applyFill="1" applyBorder="1" applyAlignment="1" applyProtection="1">
      <alignment horizontal="right" vertical="center" indent="3"/>
    </xf>
    <xf numFmtId="37" fontId="23" fillId="15" borderId="0" xfId="25" applyNumberFormat="1" applyFont="1" applyFill="1" applyBorder="1" applyAlignment="1" applyProtection="1">
      <alignment horizontal="right" vertical="center" indent="3"/>
    </xf>
    <xf numFmtId="171" fontId="98" fillId="15" borderId="0" xfId="2" applyNumberFormat="1" applyFont="1" applyFill="1" applyBorder="1" applyProtection="1"/>
    <xf numFmtId="0" fontId="79" fillId="15" borderId="0" xfId="24" applyFill="1">
      <alignment vertical="top"/>
    </xf>
    <xf numFmtId="172" fontId="99" fillId="15" borderId="0" xfId="2" applyNumberFormat="1" applyFont="1" applyFill="1" applyBorder="1" applyAlignment="1" applyProtection="1">
      <alignment horizontal="right" vertical="center" indent="3"/>
    </xf>
    <xf numFmtId="0" fontId="98" fillId="15" borderId="0" xfId="2" applyFont="1" applyFill="1" applyBorder="1" applyAlignment="1" applyProtection="1">
      <alignment horizontal="right" vertical="center" indent="3"/>
    </xf>
    <xf numFmtId="0" fontId="100" fillId="15" borderId="0" xfId="0" applyFont="1" applyFill="1" applyBorder="1" applyAlignment="1" applyProtection="1">
      <alignment horizontal="right" vertical="center" indent="3"/>
    </xf>
    <xf numFmtId="168" fontId="11" fillId="15" borderId="0" xfId="2" applyNumberFormat="1" applyFont="1" applyFill="1" applyBorder="1" applyAlignment="1" applyProtection="1">
      <alignment horizontal="right" vertical="center" indent="3"/>
    </xf>
    <xf numFmtId="168" fontId="85" fillId="15" borderId="0" xfId="2" applyNumberFormat="1" applyFont="1" applyFill="1" applyBorder="1" applyAlignment="1" applyProtection="1">
      <alignment horizontal="right" vertical="center" indent="3"/>
    </xf>
    <xf numFmtId="180" fontId="85" fillId="15" borderId="0" xfId="0" applyNumberFormat="1" applyFont="1" applyFill="1" applyBorder="1" applyAlignment="1" applyProtection="1">
      <alignment horizontal="right" vertical="center" indent="3"/>
    </xf>
    <xf numFmtId="1" fontId="23" fillId="15" borderId="0" xfId="0" applyNumberFormat="1" applyFont="1" applyFill="1" applyBorder="1" applyAlignment="1">
      <alignment horizontal="right" vertical="center" indent="3"/>
    </xf>
    <xf numFmtId="172" fontId="79" fillId="15" borderId="0" xfId="2" applyNumberFormat="1" applyFont="1" applyFill="1" applyBorder="1" applyAlignment="1" applyProtection="1">
      <alignment horizontal="right" vertical="center" indent="3"/>
    </xf>
    <xf numFmtId="1" fontId="85" fillId="15" borderId="0" xfId="2" applyNumberFormat="1" applyFont="1" applyFill="1" applyBorder="1" applyAlignment="1" applyProtection="1">
      <alignment horizontal="right" vertical="center" indent="3"/>
    </xf>
    <xf numFmtId="180" fontId="23" fillId="15" borderId="0" xfId="25" applyNumberFormat="1" applyFont="1" applyFill="1" applyBorder="1" applyAlignment="1" applyProtection="1">
      <alignment horizontal="right" vertical="center" indent="3"/>
    </xf>
    <xf numFmtId="3" fontId="23" fillId="15" borderId="0" xfId="25" applyNumberFormat="1" applyFont="1" applyFill="1" applyBorder="1" applyAlignment="1" applyProtection="1">
      <alignment horizontal="right" vertical="center" indent="3"/>
    </xf>
    <xf numFmtId="2" fontId="23" fillId="15" borderId="0" xfId="25" applyNumberFormat="1" applyFont="1" applyFill="1" applyBorder="1" applyAlignment="1" applyProtection="1">
      <alignment horizontal="right" vertical="center" indent="3"/>
    </xf>
    <xf numFmtId="9" fontId="23" fillId="15" borderId="0" xfId="25" applyNumberFormat="1" applyFont="1" applyFill="1" applyBorder="1" applyAlignment="1" applyProtection="1">
      <alignment horizontal="right" vertical="center" indent="3"/>
    </xf>
    <xf numFmtId="164" fontId="23" fillId="15" borderId="0" xfId="25" applyNumberFormat="1" applyFont="1" applyFill="1" applyBorder="1" applyAlignment="1" applyProtection="1">
      <alignment horizontal="right" vertical="center" indent="3"/>
    </xf>
    <xf numFmtId="171" fontId="23" fillId="15" borderId="0" xfId="25" applyNumberFormat="1" applyFont="1" applyFill="1" applyBorder="1" applyAlignment="1" applyProtection="1">
      <alignment horizontal="right" vertical="center" indent="3"/>
    </xf>
    <xf numFmtId="9" fontId="23" fillId="15" borderId="0" xfId="0" applyNumberFormat="1" applyFont="1" applyFill="1" applyBorder="1" applyAlignment="1" applyProtection="1">
      <alignment horizontal="right" vertical="center" indent="3"/>
    </xf>
    <xf numFmtId="172" fontId="100" fillId="15" borderId="0" xfId="2" applyNumberFormat="1" applyFont="1" applyFill="1" applyBorder="1" applyAlignment="1" applyProtection="1">
      <alignment horizontal="right" vertical="center" indent="3"/>
    </xf>
    <xf numFmtId="171" fontId="11" fillId="15" borderId="95" xfId="25" applyNumberFormat="1" applyFont="1" applyFill="1" applyBorder="1" applyAlignment="1" applyProtection="1">
      <alignment horizontal="center" vertical="top"/>
    </xf>
    <xf numFmtId="171" fontId="11" fillId="15" borderId="40" xfId="25" applyNumberFormat="1" applyFont="1" applyFill="1" applyBorder="1" applyAlignment="1" applyProtection="1">
      <alignment horizontal="center" vertical="top"/>
    </xf>
    <xf numFmtId="37" fontId="23" fillId="15" borderId="0" xfId="0" applyNumberFormat="1" applyFont="1" applyFill="1" applyBorder="1" applyAlignment="1" applyProtection="1">
      <alignment horizontal="right" vertical="center" indent="3"/>
    </xf>
    <xf numFmtId="3" fontId="23" fillId="15" borderId="0" xfId="25" applyNumberFormat="1" applyFont="1" applyFill="1" applyBorder="1" applyAlignment="1">
      <alignment horizontal="right" vertical="center" indent="3"/>
    </xf>
    <xf numFmtId="3" fontId="73" fillId="15" borderId="0" xfId="0" applyNumberFormat="1" applyFont="1" applyFill="1" applyBorder="1" applyAlignment="1">
      <alignment horizontal="right" vertical="center" indent="3"/>
    </xf>
    <xf numFmtId="3" fontId="23" fillId="15" borderId="0" xfId="0" applyNumberFormat="1" applyFont="1" applyFill="1" applyBorder="1" applyAlignment="1" applyProtection="1">
      <alignment horizontal="right" vertical="center" indent="3"/>
    </xf>
    <xf numFmtId="171" fontId="11" fillId="15" borderId="110" xfId="25" applyNumberFormat="1" applyFont="1" applyFill="1" applyBorder="1" applyAlignment="1" applyProtection="1">
      <alignment horizontal="center" vertical="top"/>
    </xf>
    <xf numFmtId="39" fontId="23" fillId="15" borderId="0" xfId="0" applyNumberFormat="1" applyFont="1" applyFill="1" applyBorder="1" applyAlignment="1" applyProtection="1">
      <alignment horizontal="center" vertical="center"/>
    </xf>
    <xf numFmtId="3" fontId="73" fillId="15" borderId="0" xfId="25" applyNumberFormat="1" applyFont="1" applyFill="1" applyAlignment="1" applyProtection="1">
      <alignment horizontal="right" vertical="center" indent="3"/>
    </xf>
    <xf numFmtId="3" fontId="23" fillId="15" borderId="0" xfId="25" applyNumberFormat="1" applyFont="1" applyFill="1" applyAlignment="1" applyProtection="1">
      <alignment horizontal="right" vertical="center" indent="3"/>
    </xf>
    <xf numFmtId="166" fontId="23" fillId="15" borderId="0" xfId="0" applyNumberFormat="1" applyFont="1" applyFill="1" applyAlignment="1" applyProtection="1">
      <alignment horizontal="center" vertical="top"/>
    </xf>
    <xf numFmtId="0" fontId="98" fillId="15" borderId="1" xfId="2" applyFont="1" applyFill="1"/>
    <xf numFmtId="0" fontId="37" fillId="15" borderId="0" xfId="0" applyFont="1" applyFill="1">
      <alignment vertical="top"/>
    </xf>
    <xf numFmtId="0" fontId="100" fillId="15" borderId="0" xfId="0" applyFont="1" applyFill="1">
      <alignment vertical="top"/>
    </xf>
    <xf numFmtId="172" fontId="85" fillId="15" borderId="0" xfId="0" applyNumberFormat="1" applyFont="1" applyFill="1" applyAlignment="1">
      <alignment horizontal="center" vertical="top"/>
    </xf>
    <xf numFmtId="171" fontId="23" fillId="15" borderId="0" xfId="0" applyNumberFormat="1" applyFont="1" applyFill="1" applyAlignment="1">
      <alignment horizontal="center" vertical="top"/>
    </xf>
    <xf numFmtId="166" fontId="23" fillId="15" borderId="0" xfId="0" applyNumberFormat="1" applyFont="1" applyFill="1" applyAlignment="1">
      <alignment horizontal="center" vertical="top"/>
    </xf>
    <xf numFmtId="9" fontId="23" fillId="15" borderId="0" xfId="0" applyNumberFormat="1" applyFont="1" applyFill="1" applyAlignment="1">
      <alignment horizontal="center" vertical="top"/>
    </xf>
    <xf numFmtId="0" fontId="23" fillId="15" borderId="0" xfId="0" applyFont="1" applyFill="1" applyAlignment="1">
      <alignment horizontal="center" vertical="top"/>
    </xf>
    <xf numFmtId="1" fontId="23" fillId="15" borderId="113" xfId="0" applyNumberFormat="1" applyFont="1" applyFill="1" applyBorder="1" applyAlignment="1" applyProtection="1">
      <alignment horizontal="center" vertical="top"/>
    </xf>
    <xf numFmtId="16" fontId="23" fillId="15" borderId="113" xfId="0" applyNumberFormat="1" applyFont="1" applyFill="1" applyBorder="1" applyAlignment="1" applyProtection="1">
      <alignment horizontal="center" vertical="top"/>
    </xf>
    <xf numFmtId="0" fontId="23" fillId="15" borderId="113" xfId="0" applyFont="1" applyFill="1" applyBorder="1" applyAlignment="1" applyProtection="1">
      <alignment horizontal="center"/>
    </xf>
    <xf numFmtId="172" fontId="23" fillId="15" borderId="113" xfId="0" applyNumberFormat="1" applyFont="1" applyFill="1" applyBorder="1" applyAlignment="1" applyProtection="1">
      <alignment horizontal="center" vertical="top"/>
    </xf>
    <xf numFmtId="172" fontId="23" fillId="15" borderId="113" xfId="0" applyNumberFormat="1" applyFont="1" applyFill="1" applyBorder="1" applyAlignment="1">
      <alignment horizontal="center" vertical="top"/>
    </xf>
    <xf numFmtId="0" fontId="86" fillId="0" borderId="0" xfId="0" applyFont="1" applyAlignment="1">
      <alignment horizontal="left" wrapText="1"/>
    </xf>
    <xf numFmtId="10" fontId="86" fillId="0" borderId="0" xfId="0" applyNumberFormat="1" applyFont="1" applyAlignment="1">
      <alignment vertical="top"/>
    </xf>
    <xf numFmtId="0" fontId="86" fillId="0" borderId="0" xfId="0" applyFont="1" applyFill="1">
      <alignment vertical="top"/>
    </xf>
    <xf numFmtId="0" fontId="102" fillId="0" borderId="0" xfId="0" applyFont="1" applyBorder="1">
      <alignment vertical="top"/>
    </xf>
    <xf numFmtId="0" fontId="91" fillId="0" borderId="0" xfId="0" applyFont="1">
      <alignment vertical="top"/>
    </xf>
    <xf numFmtId="0" fontId="91" fillId="0" borderId="0" xfId="0" applyFont="1" applyBorder="1">
      <alignment vertical="top"/>
    </xf>
    <xf numFmtId="3" fontId="86" fillId="0" borderId="0" xfId="0" applyNumberFormat="1" applyFont="1">
      <alignment vertical="top"/>
    </xf>
    <xf numFmtId="170" fontId="23" fillId="0" borderId="43" xfId="25" applyNumberFormat="1" applyFont="1" applyFill="1" applyBorder="1" applyAlignment="1">
      <alignment horizontal="center" vertical="top"/>
    </xf>
    <xf numFmtId="0" fontId="71" fillId="0" borderId="0" xfId="0" applyFont="1" applyAlignment="1">
      <alignment horizontal="right" vertical="top"/>
    </xf>
    <xf numFmtId="0" fontId="23" fillId="2" borderId="0" xfId="2" applyFont="1" applyFill="1" applyBorder="1" applyAlignment="1">
      <alignment horizontal="right"/>
    </xf>
    <xf numFmtId="0" fontId="23" fillId="2" borderId="0" xfId="0" applyFont="1" applyFill="1" applyAlignment="1">
      <alignment horizontal="right" vertical="top"/>
    </xf>
    <xf numFmtId="0" fontId="23" fillId="15" borderId="0" xfId="25" applyFont="1" applyFill="1" applyBorder="1" applyAlignment="1" applyProtection="1">
      <alignment horizontal="right" vertical="center" indent="3"/>
    </xf>
    <xf numFmtId="182" fontId="23" fillId="15" borderId="0" xfId="25" applyNumberFormat="1" applyFont="1" applyFill="1" applyBorder="1" applyAlignment="1" applyProtection="1">
      <alignment horizontal="right" vertical="center" indent="3"/>
    </xf>
    <xf numFmtId="3" fontId="15" fillId="0" borderId="0" xfId="10" applyNumberFormat="1" applyFont="1" applyBorder="1" applyAlignment="1">
      <alignment horizontal="center" vertical="top"/>
    </xf>
    <xf numFmtId="0" fontId="0" fillId="10" borderId="58" xfId="0" applyFill="1" applyBorder="1" applyAlignment="1">
      <alignment horizontal="center"/>
    </xf>
    <xf numFmtId="0" fontId="0" fillId="10" borderId="0" xfId="0" applyFill="1" applyAlignment="1"/>
    <xf numFmtId="0" fontId="0" fillId="12" borderId="108" xfId="0" applyFill="1" applyBorder="1" applyAlignment="1">
      <alignment vertical="top"/>
    </xf>
    <xf numFmtId="0" fontId="0" fillId="12" borderId="108" xfId="0" applyFill="1" applyBorder="1">
      <alignment vertical="top"/>
    </xf>
    <xf numFmtId="0" fontId="0" fillId="0" borderId="0" xfId="0" applyBorder="1" applyAlignment="1">
      <alignment vertical="center"/>
    </xf>
    <xf numFmtId="0" fontId="29" fillId="12" borderId="108" xfId="0" applyFont="1" applyFill="1" applyBorder="1" applyAlignment="1">
      <alignment horizontal="right" vertical="center"/>
    </xf>
    <xf numFmtId="182" fontId="85" fillId="15" borderId="108" xfId="25" applyNumberFormat="1" applyFont="1" applyFill="1" applyBorder="1" applyAlignment="1" applyProtection="1">
      <alignment horizontal="right" vertical="center" indent="3"/>
    </xf>
    <xf numFmtId="182" fontId="85" fillId="0" borderId="108" xfId="25" applyNumberFormat="1" applyFont="1" applyFill="1" applyBorder="1" applyAlignment="1">
      <alignment horizontal="right" vertical="center" indent="3"/>
    </xf>
    <xf numFmtId="0" fontId="29" fillId="0" borderId="108" xfId="0" applyFont="1" applyBorder="1" applyAlignment="1">
      <alignment horizontal="right" vertical="center" indent="3"/>
    </xf>
    <xf numFmtId="189" fontId="71" fillId="0" borderId="0" xfId="0" applyNumberFormat="1" applyFont="1" applyBorder="1" applyAlignment="1">
      <alignment horizontal="right" vertical="center"/>
    </xf>
    <xf numFmtId="189" fontId="71" fillId="0" borderId="0" xfId="0" applyNumberFormat="1" applyFont="1" applyAlignment="1">
      <alignment horizontal="right" vertical="center"/>
    </xf>
    <xf numFmtId="0" fontId="104" fillId="0" borderId="115" xfId="1" applyFill="1" applyBorder="1" applyAlignment="1">
      <alignment horizontal="left"/>
    </xf>
    <xf numFmtId="0" fontId="104" fillId="0" borderId="115" xfId="1" applyBorder="1" applyAlignment="1">
      <alignment horizontal="right" shrinkToFit="1"/>
    </xf>
    <xf numFmtId="0" fontId="0" fillId="12" borderId="7" xfId="0" applyFill="1" applyBorder="1" applyAlignment="1">
      <alignment vertical="top"/>
    </xf>
    <xf numFmtId="0" fontId="0" fillId="12" borderId="7" xfId="0" applyFill="1" applyBorder="1">
      <alignment vertical="top"/>
    </xf>
    <xf numFmtId="0" fontId="0" fillId="12" borderId="7" xfId="0" applyFill="1" applyBorder="1" applyAlignment="1">
      <alignment horizontal="right" vertical="top"/>
    </xf>
    <xf numFmtId="0" fontId="79" fillId="0" borderId="0" xfId="24" applyFont="1">
      <alignment vertical="top"/>
    </xf>
    <xf numFmtId="0" fontId="79" fillId="0" borderId="0" xfId="24" applyFont="1" applyAlignment="1">
      <alignment horizontal="right" vertical="center" indent="3"/>
    </xf>
    <xf numFmtId="0" fontId="79" fillId="15" borderId="0" xfId="24" applyFont="1" applyFill="1">
      <alignment vertical="top"/>
    </xf>
    <xf numFmtId="171" fontId="79" fillId="15" borderId="0" xfId="24" applyNumberFormat="1" applyFont="1" applyFill="1" applyBorder="1" applyAlignment="1">
      <alignment horizontal="right" vertical="center" indent="3"/>
    </xf>
    <xf numFmtId="1" fontId="23" fillId="15" borderId="0" xfId="18" applyNumberFormat="1" applyFont="1" applyFill="1" applyBorder="1" applyAlignment="1" applyProtection="1">
      <alignment horizontal="right" vertical="center" indent="3"/>
    </xf>
    <xf numFmtId="3" fontId="100" fillId="15" borderId="0" xfId="0" applyNumberFormat="1" applyFont="1" applyFill="1" applyBorder="1" applyAlignment="1" applyProtection="1">
      <alignment horizontal="right" vertical="center" indent="3"/>
    </xf>
    <xf numFmtId="1" fontId="23" fillId="15" borderId="0" xfId="22" applyNumberFormat="1" applyFont="1" applyFill="1">
      <alignment horizontal="right"/>
    </xf>
    <xf numFmtId="0" fontId="23" fillId="15" borderId="0" xfId="0" applyFont="1" applyFill="1" applyBorder="1" applyAlignment="1" applyProtection="1">
      <alignment horizontal="right" vertical="top"/>
    </xf>
    <xf numFmtId="0" fontId="85" fillId="15" borderId="108" xfId="0" applyFont="1" applyFill="1" applyBorder="1" applyProtection="1">
      <alignment vertical="top"/>
    </xf>
    <xf numFmtId="0" fontId="23" fillId="15" borderId="0" xfId="0" applyFont="1" applyFill="1">
      <alignment vertical="top"/>
    </xf>
    <xf numFmtId="0" fontId="99" fillId="15" borderId="0" xfId="2" applyFont="1" applyFill="1" applyBorder="1" applyProtection="1"/>
    <xf numFmtId="0" fontId="100" fillId="15" borderId="0" xfId="0" applyFont="1" applyFill="1" applyProtection="1">
      <alignment vertical="top"/>
    </xf>
    <xf numFmtId="3" fontId="107" fillId="15" borderId="0" xfId="8" applyNumberFormat="1" applyFont="1" applyFill="1" applyBorder="1" applyAlignment="1">
      <alignment horizontal="right" vertical="center" indent="3"/>
    </xf>
    <xf numFmtId="0" fontId="100" fillId="15" borderId="0" xfId="0" applyFont="1" applyFill="1" applyBorder="1" applyProtection="1">
      <alignment vertical="top"/>
    </xf>
    <xf numFmtId="0" fontId="100" fillId="15" borderId="0" xfId="2" applyFont="1" applyFill="1" applyBorder="1" applyProtection="1"/>
    <xf numFmtId="0" fontId="23" fillId="15" borderId="40" xfId="0" applyFont="1" applyFill="1" applyBorder="1" applyProtection="1">
      <alignment vertical="top"/>
    </xf>
    <xf numFmtId="0" fontId="85" fillId="15" borderId="0" xfId="0" applyFont="1" applyFill="1">
      <alignment vertical="top"/>
    </xf>
    <xf numFmtId="0" fontId="93" fillId="0" borderId="0" xfId="22" applyFont="1">
      <alignment horizontal="right"/>
    </xf>
    <xf numFmtId="9" fontId="13" fillId="0" borderId="0" xfId="0" applyNumberFormat="1" applyFont="1" applyFill="1" applyBorder="1" applyAlignment="1">
      <alignment vertical="top"/>
    </xf>
    <xf numFmtId="0" fontId="0" fillId="12" borderId="0" xfId="0" applyFill="1" applyBorder="1" applyAlignment="1">
      <alignment horizontal="right" vertical="top"/>
    </xf>
    <xf numFmtId="0" fontId="13" fillId="0" borderId="0" xfId="0" applyFont="1" applyFill="1">
      <alignment vertical="top"/>
    </xf>
    <xf numFmtId="179" fontId="13" fillId="0" borderId="0" xfId="23" applyNumberFormat="1" applyFont="1" applyFill="1" applyBorder="1">
      <alignment horizontal="right" vertical="top" indent="3"/>
    </xf>
    <xf numFmtId="179" fontId="13" fillId="0" borderId="0" xfId="7" applyNumberFormat="1" applyFont="1" applyFill="1" applyBorder="1" applyAlignment="1">
      <alignment horizontal="right" vertical="top" shrinkToFit="1"/>
    </xf>
    <xf numFmtId="0" fontId="13" fillId="0" borderId="7" xfId="0" applyFont="1" applyFill="1" applyBorder="1">
      <alignment vertical="top"/>
    </xf>
    <xf numFmtId="9" fontId="0" fillId="0" borderId="0" xfId="7" applyFont="1" applyAlignment="1">
      <alignment horizontal="center" vertical="top"/>
    </xf>
    <xf numFmtId="0" fontId="0" fillId="12" borderId="0" xfId="0" applyFill="1" applyBorder="1" applyAlignment="1">
      <alignment vertical="top"/>
    </xf>
    <xf numFmtId="0" fontId="61" fillId="0" borderId="0" xfId="0" applyFont="1" applyBorder="1">
      <alignment vertical="top"/>
    </xf>
    <xf numFmtId="0" fontId="61" fillId="0" borderId="3" xfId="0" applyFont="1" applyBorder="1" applyAlignment="1">
      <alignment vertical="top" wrapText="1"/>
    </xf>
    <xf numFmtId="0" fontId="61" fillId="0" borderId="3" xfId="0" applyFont="1" applyBorder="1" applyAlignment="1">
      <alignment vertical="center"/>
    </xf>
    <xf numFmtId="0" fontId="29" fillId="0" borderId="0" xfId="5" applyFont="1" applyFill="1" applyBorder="1">
      <alignment horizontal="left" indent="2"/>
    </xf>
    <xf numFmtId="0" fontId="0" fillId="0" borderId="0" xfId="0" applyBorder="1" applyAlignment="1">
      <alignment vertical="top"/>
    </xf>
    <xf numFmtId="0" fontId="17" fillId="17" borderId="0" xfId="0" applyFont="1" applyFill="1">
      <alignment vertical="top"/>
    </xf>
    <xf numFmtId="0" fontId="13" fillId="17" borderId="0" xfId="0" applyFont="1" applyFill="1">
      <alignment vertical="top"/>
    </xf>
    <xf numFmtId="0" fontId="0" fillId="17" borderId="0" xfId="0" applyFont="1" applyFill="1">
      <alignment vertical="top"/>
    </xf>
    <xf numFmtId="0" fontId="0" fillId="18" borderId="0" xfId="0" applyFont="1" applyFill="1" applyAlignment="1">
      <alignment horizontal="right" vertical="top"/>
    </xf>
    <xf numFmtId="0" fontId="0" fillId="18" borderId="0" xfId="0" applyFont="1" applyFill="1" applyBorder="1" applyAlignment="1">
      <alignment horizontal="right" vertical="top"/>
    </xf>
    <xf numFmtId="0" fontId="61" fillId="19" borderId="0" xfId="0" applyFont="1" applyFill="1" applyAlignment="1">
      <alignment horizontal="right" vertical="top"/>
    </xf>
    <xf numFmtId="0" fontId="0" fillId="20" borderId="0" xfId="0" applyFont="1" applyFill="1" applyAlignment="1">
      <alignment horizontal="right" vertical="top"/>
    </xf>
    <xf numFmtId="0" fontId="19" fillId="20" borderId="0" xfId="5" applyFont="1" applyFill="1">
      <alignment horizontal="left" indent="2"/>
    </xf>
    <xf numFmtId="0" fontId="19" fillId="20" borderId="0" xfId="5" applyFont="1" applyFill="1" applyBorder="1">
      <alignment horizontal="left" indent="2"/>
    </xf>
    <xf numFmtId="0" fontId="61" fillId="20" borderId="0" xfId="0" applyFont="1" applyFill="1" applyBorder="1">
      <alignment vertical="top"/>
    </xf>
    <xf numFmtId="0" fontId="19" fillId="20" borderId="0" xfId="5" applyFill="1" applyBorder="1">
      <alignment horizontal="left" indent="2"/>
    </xf>
    <xf numFmtId="0" fontId="0" fillId="20" borderId="0" xfId="0" applyFont="1" applyFill="1" applyBorder="1">
      <alignment vertical="top"/>
    </xf>
    <xf numFmtId="0" fontId="29" fillId="20" borderId="0" xfId="0" applyFont="1" applyFill="1" applyBorder="1" applyAlignment="1">
      <alignment vertical="top" wrapText="1"/>
    </xf>
    <xf numFmtId="0" fontId="29" fillId="20" borderId="6" xfId="0" applyFont="1" applyFill="1" applyBorder="1">
      <alignment vertical="top"/>
    </xf>
    <xf numFmtId="0" fontId="13" fillId="20" borderId="0" xfId="0" applyFont="1" applyFill="1" applyBorder="1">
      <alignment vertical="top"/>
    </xf>
    <xf numFmtId="0" fontId="13" fillId="20" borderId="0" xfId="0" applyFont="1" applyFill="1" applyAlignment="1">
      <alignment horizontal="right" vertical="center" shrinkToFit="1"/>
    </xf>
    <xf numFmtId="0" fontId="29" fillId="20" borderId="0" xfId="0" applyFont="1" applyFill="1" applyBorder="1">
      <alignment vertical="top"/>
    </xf>
    <xf numFmtId="0" fontId="29" fillId="20" borderId="0" xfId="0" applyFont="1" applyFill="1">
      <alignment vertical="top"/>
    </xf>
    <xf numFmtId="0" fontId="13" fillId="20" borderId="0" xfId="0" applyFont="1" applyFill="1">
      <alignment vertical="top"/>
    </xf>
    <xf numFmtId="0" fontId="0" fillId="20" borderId="0" xfId="0" applyFont="1" applyFill="1">
      <alignment vertical="top"/>
    </xf>
    <xf numFmtId="0" fontId="0" fillId="20" borderId="0" xfId="0" applyFill="1">
      <alignment vertical="top"/>
    </xf>
    <xf numFmtId="0" fontId="19" fillId="17" borderId="0" xfId="5" applyFont="1" applyFill="1" applyBorder="1">
      <alignment horizontal="left" indent="2"/>
    </xf>
    <xf numFmtId="0" fontId="0" fillId="21" borderId="0" xfId="0" applyFont="1" applyFill="1" applyBorder="1" applyAlignment="1">
      <alignment horizontal="right" vertical="top"/>
    </xf>
    <xf numFmtId="0" fontId="0" fillId="21" borderId="0" xfId="0" applyFont="1" applyFill="1" applyAlignment="1">
      <alignment horizontal="right" vertical="top"/>
    </xf>
    <xf numFmtId="0" fontId="19" fillId="21" borderId="0" xfId="5" applyFont="1" applyFill="1">
      <alignment horizontal="left" indent="2"/>
    </xf>
    <xf numFmtId="0" fontId="19" fillId="21" borderId="0" xfId="5" applyFont="1" applyFill="1" applyBorder="1">
      <alignment horizontal="left" indent="2"/>
    </xf>
    <xf numFmtId="0" fontId="16" fillId="0" borderId="111" xfId="8" applyBorder="1">
      <alignment vertical="top"/>
    </xf>
    <xf numFmtId="0" fontId="15" fillId="6" borderId="5" xfId="4" applyFont="1" applyAlignment="1">
      <alignment horizontal="center" vertical="center"/>
      <protection locked="0"/>
    </xf>
    <xf numFmtId="0" fontId="108" fillId="6" borderId="5" xfId="4" applyFont="1" applyAlignment="1">
      <alignment horizontal="center" vertical="center"/>
      <protection locked="0"/>
    </xf>
    <xf numFmtId="0" fontId="20" fillId="6" borderId="5" xfId="4" applyFont="1" applyAlignment="1">
      <alignment horizontal="center" vertical="center"/>
      <protection locked="0"/>
    </xf>
    <xf numFmtId="0" fontId="0" fillId="0" borderId="0" xfId="0" applyAlignment="1">
      <alignment vertical="center" wrapText="1"/>
    </xf>
    <xf numFmtId="0" fontId="0" fillId="0" borderId="0" xfId="0" applyAlignment="1">
      <alignment vertical="center"/>
    </xf>
    <xf numFmtId="0" fontId="104" fillId="0" borderId="116" xfId="1" applyBorder="1" applyAlignment="1">
      <alignment vertical="center"/>
    </xf>
    <xf numFmtId="0" fontId="106" fillId="0" borderId="116" xfId="1" applyFont="1" applyBorder="1" applyAlignment="1">
      <alignment horizontal="center" vertical="center"/>
    </xf>
    <xf numFmtId="0" fontId="109" fillId="0" borderId="116" xfId="1" applyFont="1" applyBorder="1" applyAlignment="1">
      <alignment horizontal="center" vertical="center"/>
    </xf>
    <xf numFmtId="0" fontId="104" fillId="0" borderId="116" xfId="1" applyFont="1" applyBorder="1" applyAlignment="1">
      <alignment vertical="center"/>
    </xf>
    <xf numFmtId="0" fontId="19" fillId="0" borderId="0" xfId="5" applyAlignment="1">
      <alignment horizontal="left" vertical="center"/>
    </xf>
    <xf numFmtId="0" fontId="15" fillId="0" borderId="0" xfId="0" applyFont="1" applyAlignment="1">
      <alignment horizontal="center" vertical="center"/>
    </xf>
    <xf numFmtId="0" fontId="108" fillId="0" borderId="0" xfId="0" applyFont="1" applyAlignment="1">
      <alignment horizontal="center" vertical="center"/>
    </xf>
    <xf numFmtId="0" fontId="20" fillId="0" borderId="0" xfId="0" applyFont="1" applyAlignment="1">
      <alignment vertical="center"/>
    </xf>
    <xf numFmtId="0" fontId="26" fillId="0" borderId="134" xfId="33" applyAlignment="1">
      <alignment vertical="center"/>
    </xf>
    <xf numFmtId="0" fontId="79" fillId="0" borderId="0" xfId="24" applyAlignment="1">
      <alignment vertical="center"/>
    </xf>
    <xf numFmtId="0" fontId="104" fillId="0" borderId="115" xfId="1" applyBorder="1" applyAlignment="1">
      <alignment vertical="center"/>
    </xf>
    <xf numFmtId="0" fontId="106" fillId="0" borderId="115" xfId="1" applyFont="1" applyBorder="1" applyAlignment="1">
      <alignment horizontal="center" vertical="center"/>
    </xf>
    <xf numFmtId="0" fontId="109" fillId="0" borderId="115" xfId="1" applyFont="1" applyBorder="1" applyAlignment="1">
      <alignment horizontal="center" vertical="center"/>
    </xf>
    <xf numFmtId="0" fontId="104" fillId="0" borderId="115" xfId="1" applyFont="1" applyBorder="1" applyAlignment="1">
      <alignment vertical="center"/>
    </xf>
    <xf numFmtId="0" fontId="26" fillId="0" borderId="1" xfId="2" applyAlignment="1">
      <alignment vertical="center"/>
    </xf>
    <xf numFmtId="0" fontId="0" fillId="0" borderId="0" xfId="0" applyFill="1" applyAlignment="1">
      <alignment vertical="center" wrapText="1"/>
    </xf>
    <xf numFmtId="0" fontId="104" fillId="0" borderId="1" xfId="1" applyAlignment="1">
      <alignment vertical="center"/>
    </xf>
    <xf numFmtId="0" fontId="26" fillId="0" borderId="115" xfId="34"/>
    <xf numFmtId="0" fontId="84" fillId="0" borderId="118" xfId="0" applyFont="1" applyBorder="1" applyAlignment="1">
      <alignment horizontal="center" vertical="center"/>
    </xf>
    <xf numFmtId="0" fontId="108" fillId="0" borderId="118" xfId="0" applyFont="1" applyBorder="1" applyAlignment="1">
      <alignment horizontal="center" vertical="center"/>
    </xf>
    <xf numFmtId="0" fontId="83" fillId="0" borderId="118" xfId="0" applyFont="1" applyBorder="1" applyAlignment="1">
      <alignment horizontal="center" vertical="center"/>
    </xf>
    <xf numFmtId="0" fontId="29" fillId="17" borderId="0" xfId="0" applyFont="1" applyFill="1" applyAlignment="1">
      <alignment vertical="center" wrapText="1"/>
    </xf>
    <xf numFmtId="0" fontId="79" fillId="0" borderId="0" xfId="24" applyAlignment="1">
      <alignment vertical="center" wrapText="1"/>
    </xf>
    <xf numFmtId="0" fontId="104" fillId="0" borderId="116" xfId="1" applyBorder="1" applyAlignment="1">
      <alignment vertical="center" wrapText="1"/>
    </xf>
    <xf numFmtId="0" fontId="26" fillId="0" borderId="134" xfId="33" applyAlignment="1">
      <alignment vertical="center" wrapText="1"/>
    </xf>
    <xf numFmtId="0" fontId="104" fillId="0" borderId="115" xfId="1" applyBorder="1" applyAlignment="1">
      <alignment vertical="center" wrapText="1"/>
    </xf>
    <xf numFmtId="0" fontId="26" fillId="0" borderId="115" xfId="34" applyAlignment="1">
      <alignment wrapText="1"/>
    </xf>
    <xf numFmtId="0" fontId="29" fillId="17" borderId="0" xfId="0" applyFont="1" applyFill="1" applyBorder="1" applyAlignment="1">
      <alignment vertical="center" wrapText="1"/>
    </xf>
    <xf numFmtId="0" fontId="84" fillId="0" borderId="0" xfId="0" applyFont="1" applyBorder="1" applyAlignment="1">
      <alignment horizontal="center" vertical="center"/>
    </xf>
    <xf numFmtId="0" fontId="108" fillId="0" borderId="0" xfId="0" applyFont="1" applyBorder="1" applyAlignment="1">
      <alignment horizontal="center" vertical="center"/>
    </xf>
    <xf numFmtId="0" fontId="83" fillId="0" borderId="0" xfId="0" applyFont="1" applyBorder="1" applyAlignment="1">
      <alignment horizontal="center" vertical="center"/>
    </xf>
    <xf numFmtId="0" fontId="104" fillId="0" borderId="1" xfId="1" applyAlignment="1">
      <alignment vertical="center" wrapText="1"/>
    </xf>
    <xf numFmtId="0" fontId="29" fillId="2" borderId="0" xfId="0" applyFont="1" applyFill="1" applyAlignment="1">
      <alignment vertical="center" wrapText="1"/>
    </xf>
    <xf numFmtId="0" fontId="83" fillId="0" borderId="0" xfId="0" applyFont="1" applyFill="1" applyBorder="1" applyAlignment="1">
      <alignment horizontal="right" vertical="center" wrapText="1"/>
    </xf>
    <xf numFmtId="0" fontId="26" fillId="0" borderId="134" xfId="33" applyFill="1" applyAlignment="1">
      <alignment vertical="center" wrapText="1"/>
    </xf>
    <xf numFmtId="0" fontId="26" fillId="0" borderId="115" xfId="34" applyFill="1" applyAlignment="1">
      <alignment wrapText="1"/>
    </xf>
    <xf numFmtId="0" fontId="79" fillId="0" borderId="0" xfId="24" applyAlignment="1">
      <alignment vertical="top" wrapText="1"/>
    </xf>
    <xf numFmtId="0" fontId="26" fillId="0" borderId="1" xfId="2" applyAlignment="1">
      <alignment vertical="center" wrapText="1"/>
    </xf>
    <xf numFmtId="0" fontId="83" fillId="0" borderId="118" xfId="0" applyFont="1" applyFill="1" applyBorder="1" applyAlignment="1">
      <alignment horizontal="right" vertical="center" wrapText="1" indent="1"/>
    </xf>
    <xf numFmtId="0" fontId="29" fillId="22" borderId="117" xfId="0" applyFont="1" applyFill="1" applyBorder="1" applyAlignment="1">
      <alignment vertical="center" wrapText="1"/>
    </xf>
    <xf numFmtId="0" fontId="83" fillId="15" borderId="0" xfId="0" applyFont="1" applyFill="1" applyAlignment="1">
      <alignment vertical="center" wrapText="1"/>
    </xf>
    <xf numFmtId="0" fontId="79" fillId="0" borderId="0" xfId="24" applyBorder="1">
      <alignment vertical="top"/>
    </xf>
    <xf numFmtId="0" fontId="85" fillId="20" borderId="0" xfId="0" applyFont="1" applyFill="1" applyBorder="1">
      <alignment vertical="top"/>
    </xf>
    <xf numFmtId="0" fontId="61" fillId="20" borderId="119" xfId="0" applyFont="1" applyFill="1" applyBorder="1">
      <alignment vertical="top"/>
    </xf>
    <xf numFmtId="0" fontId="61" fillId="21" borderId="122" xfId="0" applyFont="1" applyFill="1" applyBorder="1">
      <alignment vertical="top"/>
    </xf>
    <xf numFmtId="3" fontId="15" fillId="0" borderId="0" xfId="0" applyNumberFormat="1" applyFont="1" applyBorder="1" applyAlignment="1">
      <alignment horizontal="right" vertical="top" indent="3"/>
    </xf>
    <xf numFmtId="3" fontId="15" fillId="0" borderId="0" xfId="23" applyNumberFormat="1" applyFont="1" applyFill="1" applyAlignment="1">
      <alignment horizontal="right" vertical="top" indent="3"/>
    </xf>
    <xf numFmtId="179" fontId="23" fillId="0" borderId="122" xfId="7" applyNumberFormat="1" applyFont="1" applyBorder="1" applyAlignment="1">
      <alignment horizontal="right" vertical="top" shrinkToFit="1"/>
    </xf>
    <xf numFmtId="179" fontId="23" fillId="0" borderId="121" xfId="7" applyNumberFormat="1" applyFont="1" applyBorder="1" applyAlignment="1">
      <alignment horizontal="right" vertical="top" shrinkToFit="1"/>
    </xf>
    <xf numFmtId="179" fontId="23" fillId="0" borderId="121" xfId="7" applyNumberFormat="1" applyFont="1" applyFill="1" applyBorder="1" applyAlignment="1">
      <alignment horizontal="right" vertical="top" shrinkToFit="1"/>
    </xf>
    <xf numFmtId="179" fontId="23" fillId="0" borderId="121" xfId="0" applyNumberFormat="1" applyFont="1" applyFill="1" applyBorder="1" applyAlignment="1">
      <alignment horizontal="right" vertical="top" shrinkToFit="1"/>
    </xf>
    <xf numFmtId="179" fontId="23" fillId="0" borderId="121" xfId="7" applyNumberFormat="1" applyFont="1" applyBorder="1" applyAlignment="1">
      <alignment horizontal="right" vertical="top"/>
    </xf>
    <xf numFmtId="179" fontId="23" fillId="0" borderId="122" xfId="7" applyNumberFormat="1" applyFont="1" applyBorder="1" applyAlignment="1">
      <alignment horizontal="right" vertical="top"/>
    </xf>
    <xf numFmtId="179" fontId="23" fillId="0" borderId="121" xfId="0" applyNumberFormat="1" applyFont="1" applyFill="1" applyBorder="1" applyAlignment="1">
      <alignment horizontal="right" vertical="top"/>
    </xf>
    <xf numFmtId="3" fontId="13" fillId="0" borderId="122" xfId="0" applyNumberFormat="1" applyFont="1" applyBorder="1" applyAlignment="1">
      <alignment horizontal="right" vertical="top" indent="3"/>
    </xf>
    <xf numFmtId="3" fontId="13" fillId="0" borderId="121" xfId="0" applyNumberFormat="1" applyFont="1" applyBorder="1" applyAlignment="1">
      <alignment horizontal="right" vertical="top" indent="3"/>
    </xf>
    <xf numFmtId="3" fontId="13" fillId="0" borderId="121" xfId="0" applyNumberFormat="1" applyFont="1" applyFill="1" applyBorder="1" applyAlignment="1">
      <alignment horizontal="right" vertical="top" indent="3"/>
    </xf>
    <xf numFmtId="3" fontId="23" fillId="0" borderId="0" xfId="0" applyNumberFormat="1" applyFont="1" applyBorder="1" applyAlignment="1">
      <alignment horizontal="right" vertical="top" indent="3"/>
    </xf>
    <xf numFmtId="3" fontId="15" fillId="0" borderId="0" xfId="17" applyNumberFormat="1" applyFont="1" applyAlignment="1">
      <alignment horizontal="right" vertical="top" indent="3"/>
    </xf>
    <xf numFmtId="3" fontId="23" fillId="0" borderId="0" xfId="23" applyNumberFormat="1" applyFont="1" applyAlignment="1">
      <alignment horizontal="right" vertical="top" indent="3"/>
    </xf>
    <xf numFmtId="3" fontId="17" fillId="0" borderId="0" xfId="23" applyNumberFormat="1" applyFont="1" applyAlignment="1">
      <alignment horizontal="right" vertical="top" indent="3"/>
    </xf>
    <xf numFmtId="177" fontId="87" fillId="0" borderId="107" xfId="23" applyNumberFormat="1" applyFont="1" applyBorder="1" applyAlignment="1">
      <alignment horizontal="right" indent="3"/>
    </xf>
    <xf numFmtId="0" fontId="32" fillId="0" borderId="107" xfId="0" applyFont="1" applyBorder="1" applyAlignment="1">
      <alignment horizontal="right" indent="3" shrinkToFit="1"/>
    </xf>
    <xf numFmtId="0" fontId="13" fillId="0" borderId="0" xfId="23" applyNumberFormat="1" applyFont="1" applyAlignment="1">
      <alignment horizontal="right" vertical="top" indent="3"/>
    </xf>
    <xf numFmtId="1" fontId="13" fillId="0" borderId="0" xfId="23" applyNumberFormat="1" applyFont="1" applyAlignment="1">
      <alignment horizontal="right" vertical="top" indent="3"/>
    </xf>
    <xf numFmtId="1" fontId="17" fillId="0" borderId="0" xfId="23" applyNumberFormat="1" applyFont="1" applyAlignment="1">
      <alignment horizontal="right" vertical="top" indent="3"/>
    </xf>
    <xf numFmtId="0" fontId="26" fillId="0" borderId="115" xfId="34" applyFill="1"/>
    <xf numFmtId="0" fontId="37" fillId="0" borderId="129" xfId="0" applyFont="1" applyBorder="1">
      <alignment vertical="top"/>
    </xf>
    <xf numFmtId="0" fontId="0" fillId="0" borderId="130" xfId="0" applyBorder="1">
      <alignment vertical="top"/>
    </xf>
    <xf numFmtId="0" fontId="0" fillId="4" borderId="132" xfId="0" applyFill="1" applyBorder="1" applyAlignment="1">
      <alignment vertical="top" wrapText="1"/>
    </xf>
    <xf numFmtId="0" fontId="104" fillId="0" borderId="1" xfId="1" applyFont="1" applyAlignment="1">
      <alignment horizontal="left" indent="3"/>
    </xf>
    <xf numFmtId="0" fontId="104" fillId="0" borderId="135" xfId="36" applyAlignment="1">
      <alignment vertical="top"/>
    </xf>
    <xf numFmtId="0" fontId="79" fillId="0" borderId="0" xfId="24" applyFont="1" applyAlignment="1"/>
    <xf numFmtId="0" fontId="91" fillId="0" borderId="136" xfId="24" applyFont="1" applyBorder="1" applyAlignment="1">
      <alignment horizontal="center" vertical="top"/>
    </xf>
    <xf numFmtId="0" fontId="91" fillId="0" borderId="142" xfId="24" applyFont="1" applyBorder="1" applyAlignment="1">
      <alignment horizontal="center" vertical="top"/>
    </xf>
    <xf numFmtId="0" fontId="91" fillId="0" borderId="137" xfId="24" applyFont="1" applyBorder="1" applyAlignment="1">
      <alignment horizontal="center" vertical="top"/>
    </xf>
    <xf numFmtId="0" fontId="91" fillId="0" borderId="138" xfId="24" applyFont="1" applyBorder="1" applyAlignment="1">
      <alignment horizontal="center" vertical="top"/>
    </xf>
    <xf numFmtId="0" fontId="91" fillId="0" borderId="143" xfId="24" applyFont="1" applyBorder="1" applyAlignment="1">
      <alignment horizontal="center" vertical="top"/>
    </xf>
    <xf numFmtId="0" fontId="91" fillId="0" borderId="139" xfId="24" applyFont="1" applyBorder="1" applyAlignment="1">
      <alignment horizontal="center" vertical="top"/>
    </xf>
    <xf numFmtId="0" fontId="26" fillId="0" borderId="134" xfId="33" applyFont="1"/>
    <xf numFmtId="0" fontId="29" fillId="0" borderId="0" xfId="0" applyFont="1" applyAlignment="1">
      <alignment vertical="top" wrapText="1"/>
    </xf>
    <xf numFmtId="0" fontId="113" fillId="0" borderId="135" xfId="36" applyFont="1" applyAlignment="1">
      <alignment horizontal="center" vertical="top"/>
    </xf>
    <xf numFmtId="0" fontId="66" fillId="0" borderId="0" xfId="0" applyFont="1" applyAlignment="1">
      <alignment horizontal="center" vertical="top"/>
    </xf>
    <xf numFmtId="0" fontId="114" fillId="0" borderId="0" xfId="0" applyFont="1" applyAlignment="1">
      <alignment horizontal="center" vertical="top"/>
    </xf>
    <xf numFmtId="0" fontId="115" fillId="0" borderId="0" xfId="0" applyFont="1" applyAlignment="1">
      <alignment horizontal="center" vertical="top"/>
    </xf>
    <xf numFmtId="0" fontId="79" fillId="0" borderId="134" xfId="24" applyFont="1" applyBorder="1" applyAlignment="1"/>
    <xf numFmtId="0" fontId="91" fillId="0" borderId="140" xfId="24" applyFont="1" applyBorder="1" applyAlignment="1">
      <alignment horizontal="center" vertical="top"/>
    </xf>
    <xf numFmtId="0" fontId="91" fillId="0" borderId="144" xfId="24" applyFont="1" applyBorder="1" applyAlignment="1">
      <alignment horizontal="center" vertical="top"/>
    </xf>
    <xf numFmtId="0" fontId="91" fillId="0" borderId="141" xfId="24" applyFont="1" applyBorder="1" applyAlignment="1">
      <alignment horizontal="center" vertical="top"/>
    </xf>
    <xf numFmtId="0" fontId="20" fillId="0" borderId="0" xfId="0" applyFont="1">
      <alignment vertical="top"/>
    </xf>
    <xf numFmtId="0" fontId="111" fillId="0" borderId="134" xfId="33" applyFont="1" applyAlignment="1">
      <alignment horizontal="center"/>
    </xf>
    <xf numFmtId="0" fontId="0" fillId="0" borderId="145" xfId="0" applyBorder="1">
      <alignment vertical="top"/>
    </xf>
    <xf numFmtId="0" fontId="84" fillId="0" borderId="0" xfId="0" applyFont="1" applyAlignment="1">
      <alignment horizontal="center" vertical="top"/>
    </xf>
    <xf numFmtId="0" fontId="86" fillId="0" borderId="0" xfId="0" applyFont="1" applyAlignment="1">
      <alignment horizontal="center" vertical="top"/>
    </xf>
    <xf numFmtId="0" fontId="115" fillId="23" borderId="5" xfId="4" applyFont="1" applyFill="1" applyAlignment="1" applyProtection="1">
      <alignment horizontal="center" vertical="center"/>
      <protection locked="0"/>
    </xf>
    <xf numFmtId="0" fontId="20" fillId="0" borderId="0" xfId="0" applyFont="1" applyAlignment="1">
      <alignment horizontal="center" vertical="top"/>
    </xf>
    <xf numFmtId="0" fontId="116" fillId="0" borderId="0" xfId="33" applyFont="1" applyFill="1" applyBorder="1" applyAlignment="1">
      <alignment horizontal="center"/>
    </xf>
    <xf numFmtId="0" fontId="82" fillId="0" borderId="0" xfId="24" applyFont="1" applyFill="1" applyBorder="1" applyAlignment="1">
      <alignment horizontal="center"/>
    </xf>
    <xf numFmtId="0" fontId="116" fillId="0" borderId="134" xfId="33" applyFont="1" applyAlignment="1">
      <alignment horizontal="center"/>
    </xf>
    <xf numFmtId="0" fontId="82" fillId="0" borderId="146" xfId="24" applyFont="1" applyFill="1" applyBorder="1" applyAlignment="1">
      <alignment horizontal="center"/>
    </xf>
    <xf numFmtId="0" fontId="20" fillId="0" borderId="146" xfId="0" applyFont="1" applyFill="1" applyBorder="1" applyAlignment="1">
      <alignment horizontal="center" vertical="top"/>
    </xf>
    <xf numFmtId="0" fontId="79" fillId="0" borderId="0" xfId="24" applyFont="1" applyBorder="1" applyAlignment="1"/>
    <xf numFmtId="0" fontId="91" fillId="0" borderId="0" xfId="24" applyFont="1" applyBorder="1" applyAlignment="1">
      <alignment horizontal="center" vertical="top"/>
    </xf>
    <xf numFmtId="0" fontId="79" fillId="0" borderId="0" xfId="24" applyFont="1" applyBorder="1" applyAlignment="1">
      <alignment horizontal="center" vertical="top"/>
    </xf>
    <xf numFmtId="0" fontId="112" fillId="0" borderId="0" xfId="24" applyFont="1" applyBorder="1" applyAlignment="1">
      <alignment horizontal="center" vertical="top"/>
    </xf>
    <xf numFmtId="0" fontId="66" fillId="0" borderId="0" xfId="0" applyFont="1" applyAlignment="1">
      <alignment horizontal="right" vertical="top"/>
    </xf>
    <xf numFmtId="0" fontId="83" fillId="0" borderId="0" xfId="0" applyFont="1">
      <alignment vertical="top"/>
    </xf>
    <xf numFmtId="0" fontId="119" fillId="0" borderId="134" xfId="33" applyFont="1" applyAlignment="1">
      <alignment horizontal="center"/>
    </xf>
    <xf numFmtId="0" fontId="120" fillId="0" borderId="136" xfId="24" applyFont="1" applyBorder="1" applyAlignment="1">
      <alignment horizontal="center" vertical="top"/>
    </xf>
    <xf numFmtId="0" fontId="120" fillId="0" borderId="142" xfId="24" applyFont="1" applyBorder="1" applyAlignment="1">
      <alignment horizontal="center" vertical="top"/>
    </xf>
    <xf numFmtId="0" fontId="120" fillId="0" borderId="137" xfId="24" applyFont="1" applyBorder="1" applyAlignment="1">
      <alignment horizontal="center" vertical="top"/>
    </xf>
    <xf numFmtId="0" fontId="121" fillId="23" borderId="5" xfId="4" applyFont="1" applyFill="1" applyAlignment="1" applyProtection="1">
      <alignment horizontal="center" vertical="center"/>
      <protection locked="0"/>
    </xf>
    <xf numFmtId="0" fontId="120" fillId="0" borderId="138" xfId="24" applyFont="1" applyBorder="1" applyAlignment="1">
      <alignment horizontal="center" vertical="top"/>
    </xf>
    <xf numFmtId="0" fontId="120" fillId="0" borderId="143" xfId="24" applyFont="1" applyBorder="1" applyAlignment="1">
      <alignment horizontal="center" vertical="top"/>
    </xf>
    <xf numFmtId="0" fontId="120" fillId="0" borderId="139" xfId="24" applyFont="1" applyBorder="1" applyAlignment="1">
      <alignment horizontal="center" vertical="top"/>
    </xf>
    <xf numFmtId="0" fontId="120" fillId="0" borderId="140" xfId="24" applyFont="1" applyBorder="1" applyAlignment="1">
      <alignment horizontal="center" vertical="top"/>
    </xf>
    <xf numFmtId="0" fontId="120" fillId="0" borderId="144" xfId="24" applyFont="1" applyBorder="1" applyAlignment="1">
      <alignment horizontal="center" vertical="top"/>
    </xf>
    <xf numFmtId="0" fontId="120" fillId="0" borderId="141" xfId="24" applyFont="1" applyBorder="1" applyAlignment="1">
      <alignment horizontal="center" vertical="top"/>
    </xf>
    <xf numFmtId="0" fontId="27" fillId="0" borderId="0" xfId="0" applyFont="1" applyAlignment="1">
      <alignment horizontal="center" vertical="top"/>
    </xf>
    <xf numFmtId="0" fontId="82" fillId="0" borderId="137" xfId="24" applyFont="1" applyBorder="1" applyAlignment="1">
      <alignment horizontal="center" vertical="top"/>
    </xf>
    <xf numFmtId="0" fontId="27" fillId="23" borderId="5" xfId="4" applyFont="1" applyFill="1" applyAlignment="1" applyProtection="1">
      <alignment horizontal="center" vertical="center"/>
      <protection locked="0"/>
    </xf>
    <xf numFmtId="0" fontId="82" fillId="0" borderId="139" xfId="24" applyFont="1" applyBorder="1" applyAlignment="1">
      <alignment horizontal="center" vertical="top"/>
    </xf>
    <xf numFmtId="0" fontId="82" fillId="0" borderId="141" xfId="24" applyFont="1" applyBorder="1" applyAlignment="1">
      <alignment horizontal="center" vertical="top"/>
    </xf>
    <xf numFmtId="0" fontId="82" fillId="0" borderId="0" xfId="24" applyFont="1" applyBorder="1" applyAlignment="1">
      <alignment horizontal="center" vertical="top"/>
    </xf>
    <xf numFmtId="0" fontId="83" fillId="0" borderId="0" xfId="0" applyFont="1" applyAlignment="1">
      <alignment horizontal="center" vertical="top"/>
    </xf>
    <xf numFmtId="0" fontId="66" fillId="15" borderId="0" xfId="0" applyFont="1" applyFill="1" applyAlignment="1">
      <alignment horizontal="left" vertical="top" wrapText="1" indent="1"/>
    </xf>
    <xf numFmtId="0" fontId="79" fillId="0" borderId="0" xfId="24" applyFont="1" applyAlignment="1">
      <alignment horizontal="left" indent="1"/>
    </xf>
    <xf numFmtId="0" fontId="27" fillId="0" borderId="147" xfId="37" applyAlignment="1">
      <alignment vertical="top"/>
    </xf>
    <xf numFmtId="0" fontId="29" fillId="0" borderId="148" xfId="5" applyFont="1" applyFill="1" applyBorder="1">
      <alignment horizontal="left" indent="2"/>
    </xf>
    <xf numFmtId="0" fontId="0" fillId="0" borderId="148" xfId="0" applyBorder="1">
      <alignment vertical="top"/>
    </xf>
    <xf numFmtId="0" fontId="27" fillId="0" borderId="147" xfId="37" applyFill="1" applyAlignment="1">
      <alignment vertical="top"/>
    </xf>
    <xf numFmtId="0" fontId="27" fillId="0" borderId="147" xfId="37" applyAlignment="1">
      <alignment horizontal="right" vertical="top" shrinkToFit="1"/>
    </xf>
    <xf numFmtId="0" fontId="0" fillId="0" borderId="0" xfId="0" applyFill="1" applyAlignment="1">
      <alignment horizontal="left" vertical="top" indent="2"/>
    </xf>
    <xf numFmtId="0" fontId="21" fillId="6" borderId="5" xfId="4" applyFont="1" applyAlignment="1" applyProtection="1">
      <alignment horizontal="center" vertical="center" shrinkToFit="1"/>
    </xf>
    <xf numFmtId="0" fontId="62" fillId="0" borderId="0" xfId="0" applyFont="1">
      <alignment vertical="top"/>
    </xf>
    <xf numFmtId="0" fontId="122" fillId="0" borderId="0" xfId="0" applyFont="1" applyAlignment="1">
      <alignment horizontal="right" vertical="top"/>
    </xf>
    <xf numFmtId="0" fontId="123" fillId="0" borderId="0" xfId="39" applyAlignment="1">
      <alignment vertical="center"/>
    </xf>
    <xf numFmtId="0" fontId="123" fillId="0" borderId="0" xfId="39" applyBorder="1" applyAlignment="1">
      <alignment vertical="center"/>
    </xf>
    <xf numFmtId="0" fontId="79" fillId="0" borderId="0" xfId="24" applyAlignment="1">
      <alignment horizontal="left" vertical="top" indent="1"/>
    </xf>
    <xf numFmtId="0" fontId="20" fillId="0" borderId="0" xfId="0" applyFont="1" applyAlignment="1">
      <alignment horizontal="left" vertical="center"/>
    </xf>
    <xf numFmtId="0" fontId="0" fillId="0" borderId="0" xfId="0" applyAlignment="1">
      <alignment horizontal="justify" vertical="center"/>
    </xf>
    <xf numFmtId="0" fontId="27" fillId="0" borderId="149" xfId="38" applyAlignment="1">
      <alignment vertical="center"/>
    </xf>
    <xf numFmtId="0" fontId="27" fillId="0" borderId="149" xfId="38" applyAlignment="1">
      <alignment vertical="top"/>
    </xf>
    <xf numFmtId="0" fontId="0" fillId="0" borderId="0" xfId="0" applyAlignment="1">
      <alignment horizontal="justify" vertical="top" wrapText="1"/>
    </xf>
    <xf numFmtId="0" fontId="0" fillId="0" borderId="0" xfId="0" applyAlignment="1">
      <alignment horizontal="left" vertical="top" indent="1"/>
    </xf>
    <xf numFmtId="0" fontId="0" fillId="0" borderId="17" xfId="0" applyBorder="1" applyAlignment="1">
      <alignment vertical="top"/>
    </xf>
    <xf numFmtId="1" fontId="0" fillId="0" borderId="0" xfId="30" applyNumberFormat="1" applyFont="1" applyAlignment="1">
      <alignment horizontal="right" vertical="top"/>
    </xf>
    <xf numFmtId="0" fontId="0" fillId="0" borderId="17" xfId="0" applyBorder="1" applyAlignment="1">
      <alignment horizontal="right" vertical="top"/>
    </xf>
    <xf numFmtId="0" fontId="27" fillId="0" borderId="149" xfId="38" applyAlignment="1">
      <alignment horizontal="justify" vertical="top"/>
    </xf>
    <xf numFmtId="49" fontId="0" fillId="0" borderId="0" xfId="0" applyNumberFormat="1">
      <alignment vertical="top"/>
    </xf>
    <xf numFmtId="0" fontId="0" fillId="0" borderId="0" xfId="0">
      <alignment vertical="top"/>
    </xf>
    <xf numFmtId="0" fontId="30" fillId="0" borderId="0" xfId="21" applyAlignment="1">
      <alignment horizontal="right" vertical="center"/>
      <protection locked="0"/>
    </xf>
    <xf numFmtId="0" fontId="104" fillId="0" borderId="135" xfId="36" applyAlignment="1">
      <alignment vertical="top"/>
    </xf>
    <xf numFmtId="0" fontId="125" fillId="0" borderId="0" xfId="0" applyFont="1">
      <alignment vertical="top"/>
    </xf>
    <xf numFmtId="0" fontId="104" fillId="0" borderId="135" xfId="36"/>
    <xf numFmtId="0" fontId="0" fillId="0" borderId="0" xfId="0">
      <alignment vertical="top"/>
    </xf>
    <xf numFmtId="0" fontId="0" fillId="27" borderId="0" xfId="0" applyFill="1">
      <alignment vertical="top"/>
    </xf>
    <xf numFmtId="0" fontId="47" fillId="0" borderId="0" xfId="0" applyFont="1">
      <alignment vertical="top"/>
    </xf>
    <xf numFmtId="0" fontId="47" fillId="0" borderId="0" xfId="0" applyFont="1" applyFill="1" applyBorder="1">
      <alignment vertical="top"/>
    </xf>
    <xf numFmtId="0" fontId="0" fillId="0" borderId="0" xfId="0" applyAlignment="1">
      <alignment horizontal="right"/>
    </xf>
    <xf numFmtId="0" fontId="126" fillId="0" borderId="0" xfId="0" applyFont="1">
      <alignment vertical="top"/>
    </xf>
    <xf numFmtId="0" fontId="127" fillId="0" borderId="0" xfId="0" applyFont="1">
      <alignment vertical="top"/>
    </xf>
    <xf numFmtId="0" fontId="127" fillId="0" borderId="0" xfId="0" applyFont="1" applyAlignment="1">
      <alignment horizontal="left"/>
    </xf>
    <xf numFmtId="186" fontId="127" fillId="0" borderId="0" xfId="0" applyNumberFormat="1" applyFont="1" applyAlignment="1">
      <alignment horizontal="left"/>
    </xf>
    <xf numFmtId="0" fontId="128" fillId="0" borderId="0" xfId="0" applyFont="1" applyAlignment="1">
      <alignment vertical="center"/>
    </xf>
    <xf numFmtId="0" fontId="130" fillId="0" borderId="0" xfId="0" applyFont="1" applyAlignment="1">
      <alignment vertical="top"/>
    </xf>
    <xf numFmtId="0" fontId="131" fillId="0" borderId="0" xfId="0" applyFont="1" applyFill="1" applyAlignment="1"/>
    <xf numFmtId="0" fontId="132" fillId="6" borderId="5" xfId="4" applyFont="1" applyAlignment="1">
      <alignment horizontal="center" shrinkToFit="1"/>
      <protection locked="0"/>
    </xf>
    <xf numFmtId="196" fontId="132" fillId="6" borderId="5" xfId="4" applyNumberFormat="1" applyFont="1" applyAlignment="1">
      <alignment horizontal="center" shrinkToFit="1"/>
      <protection locked="0"/>
    </xf>
    <xf numFmtId="0" fontId="132" fillId="6" borderId="5" xfId="4" applyNumberFormat="1" applyFont="1" applyAlignment="1">
      <alignment horizontal="center" shrinkToFit="1"/>
      <protection locked="0"/>
    </xf>
    <xf numFmtId="0" fontId="22" fillId="0" borderId="0" xfId="0" applyFont="1" applyAlignment="1">
      <alignment horizontal="left"/>
    </xf>
    <xf numFmtId="0" fontId="104" fillId="0" borderId="135" xfId="36"/>
    <xf numFmtId="0" fontId="79" fillId="28" borderId="0" xfId="24" applyFill="1">
      <alignment vertical="top"/>
    </xf>
    <xf numFmtId="0" fontId="0" fillId="28" borderId="0" xfId="0" applyFill="1">
      <alignment vertical="top"/>
    </xf>
    <xf numFmtId="0" fontId="37" fillId="27" borderId="0" xfId="0" applyFont="1" applyFill="1">
      <alignment vertical="top"/>
    </xf>
    <xf numFmtId="0" fontId="0" fillId="0" borderId="0" xfId="0">
      <alignment vertical="top"/>
    </xf>
    <xf numFmtId="9" fontId="85" fillId="0" borderId="0" xfId="7" applyFont="1" applyFill="1" applyAlignment="1">
      <alignment horizontal="center" vertical="top"/>
    </xf>
    <xf numFmtId="0" fontId="4" fillId="0" borderId="154" xfId="0" applyFont="1" applyBorder="1" applyAlignment="1">
      <alignment horizontal="left" vertical="top" wrapText="1" indent="1"/>
    </xf>
    <xf numFmtId="0" fontId="29" fillId="0" borderId="154" xfId="0" applyFont="1" applyBorder="1" applyAlignment="1">
      <alignment horizontal="left" vertical="top" wrapText="1" indent="1"/>
    </xf>
    <xf numFmtId="0" fontId="115" fillId="0" borderId="0" xfId="0" applyFont="1" applyAlignment="1">
      <alignment horizontal="center" vertical="top"/>
    </xf>
    <xf numFmtId="0" fontId="29" fillId="0" borderId="156" xfId="0" applyFont="1" applyBorder="1" applyAlignment="1">
      <alignment horizontal="left" vertical="top" wrapText="1" indent="1"/>
    </xf>
    <xf numFmtId="0" fontId="4" fillId="0" borderId="0" xfId="0" applyFont="1" applyAlignment="1">
      <alignment horizontal="right" vertical="top"/>
    </xf>
    <xf numFmtId="0" fontId="92" fillId="0" borderId="0" xfId="24" applyFont="1" applyAlignment="1">
      <alignment vertical="center" wrapText="1"/>
    </xf>
    <xf numFmtId="0" fontId="92" fillId="0" borderId="0" xfId="24" applyFont="1" applyAlignment="1">
      <alignment vertical="center"/>
    </xf>
    <xf numFmtId="0" fontId="26" fillId="0" borderId="134" xfId="33" applyAlignment="1">
      <alignment horizontal="center" vertical="center"/>
    </xf>
    <xf numFmtId="0" fontId="92" fillId="0" borderId="0" xfId="24" applyFont="1" applyAlignment="1">
      <alignment horizontal="center" vertical="center"/>
    </xf>
    <xf numFmtId="0" fontId="26" fillId="0" borderId="115" xfId="34" applyAlignment="1">
      <alignment horizontal="center"/>
    </xf>
    <xf numFmtId="0" fontId="16" fillId="0" borderId="0" xfId="8" applyAlignment="1">
      <alignment horizontal="left" wrapText="1"/>
    </xf>
    <xf numFmtId="0" fontId="19" fillId="0" borderId="0" xfId="5" applyAlignment="1">
      <alignment vertical="center" wrapText="1"/>
    </xf>
    <xf numFmtId="0" fontId="19" fillId="22" borderId="117" xfId="35" applyFont="1" applyFill="1" applyBorder="1" applyAlignment="1">
      <alignment horizontal="left" vertical="top" wrapText="1"/>
    </xf>
    <xf numFmtId="0" fontId="19" fillId="22" borderId="117" xfId="35" applyFill="1" applyBorder="1" applyAlignment="1">
      <alignment horizontal="left" vertical="top" wrapText="1"/>
    </xf>
    <xf numFmtId="0" fontId="19" fillId="17" borderId="119" xfId="35" applyFill="1" applyAlignment="1">
      <alignment horizontal="left" vertical="top" wrapText="1"/>
    </xf>
    <xf numFmtId="0" fontId="19" fillId="17" borderId="119" xfId="35" applyFill="1" applyBorder="1" applyAlignment="1">
      <alignment horizontal="left" vertical="top" wrapText="1"/>
    </xf>
    <xf numFmtId="0" fontId="19" fillId="2" borderId="119" xfId="35" applyFill="1" applyAlignment="1">
      <alignment horizontal="left" vertical="top" wrapText="1"/>
    </xf>
    <xf numFmtId="0" fontId="104" fillId="0" borderId="135" xfId="36" applyAlignment="1">
      <alignment wrapText="1"/>
    </xf>
    <xf numFmtId="0" fontId="0" fillId="0" borderId="0" xfId="0">
      <alignment vertical="top"/>
    </xf>
    <xf numFmtId="0" fontId="3" fillId="0" borderId="154" xfId="0" applyFont="1" applyBorder="1" applyAlignment="1">
      <alignment horizontal="left" vertical="top" wrapText="1" indent="1"/>
    </xf>
    <xf numFmtId="0" fontId="14" fillId="6" borderId="5" xfId="4" applyFont="1" applyAlignment="1">
      <alignment horizontal="center" vertical="center" shrinkToFit="1"/>
      <protection locked="0"/>
    </xf>
    <xf numFmtId="0" fontId="0" fillId="0" borderId="0" xfId="0" applyFont="1" applyAlignment="1">
      <alignment horizontal="right" vertical="top" indent="1"/>
    </xf>
    <xf numFmtId="0" fontId="133" fillId="0" borderId="115" xfId="34" applyFont="1" applyAlignment="1">
      <alignment textRotation="90"/>
    </xf>
    <xf numFmtId="0" fontId="0" fillId="0" borderId="1" xfId="0" applyBorder="1" applyAlignment="1">
      <alignment horizontal="right" vertical="center" textRotation="90"/>
    </xf>
    <xf numFmtId="0" fontId="37" fillId="0" borderId="0" xfId="0" applyFont="1" applyProtection="1">
      <alignment vertical="top"/>
    </xf>
    <xf numFmtId="0" fontId="13" fillId="0" borderId="0" xfId="0" applyFont="1" applyAlignment="1" applyProtection="1">
      <alignment horizontal="right" vertical="top" shrinkToFit="1"/>
    </xf>
    <xf numFmtId="0" fontId="13" fillId="0" borderId="0" xfId="0" applyFont="1" applyProtection="1">
      <alignment vertical="top"/>
    </xf>
    <xf numFmtId="0" fontId="13" fillId="0" borderId="0" xfId="0" applyFont="1" applyAlignment="1" applyProtection="1">
      <alignment horizontal="right" vertical="top"/>
    </xf>
    <xf numFmtId="179" fontId="13" fillId="0" borderId="0" xfId="7" applyNumberFormat="1" applyFont="1" applyBorder="1" applyAlignment="1" applyProtection="1">
      <alignment horizontal="right" vertical="top" shrinkToFit="1"/>
    </xf>
    <xf numFmtId="179" fontId="13" fillId="0" borderId="0" xfId="0" applyNumberFormat="1" applyFont="1" applyFill="1" applyBorder="1" applyAlignment="1" applyProtection="1">
      <alignment horizontal="right" vertical="top" shrinkToFit="1"/>
    </xf>
    <xf numFmtId="179" fontId="71" fillId="0" borderId="0" xfId="7" applyNumberFormat="1" applyFont="1" applyBorder="1" applyAlignment="1" applyProtection="1">
      <alignment horizontal="right" vertical="top" shrinkToFit="1"/>
    </xf>
    <xf numFmtId="179" fontId="87" fillId="0" borderId="0" xfId="7" applyNumberFormat="1" applyFont="1" applyBorder="1" applyAlignment="1" applyProtection="1">
      <alignment vertical="top" wrapText="1" shrinkToFit="1"/>
    </xf>
    <xf numFmtId="179" fontId="110" fillId="0" borderId="0" xfId="7" applyNumberFormat="1" applyFont="1" applyBorder="1" applyAlignment="1" applyProtection="1">
      <alignment vertical="top" wrapText="1" shrinkToFit="1"/>
    </xf>
    <xf numFmtId="3" fontId="15" fillId="0" borderId="0" xfId="7" applyNumberFormat="1" applyFont="1" applyBorder="1" applyAlignment="1" applyProtection="1">
      <alignment horizontal="right" vertical="top" indent="3"/>
    </xf>
    <xf numFmtId="3" fontId="15" fillId="0" borderId="0" xfId="23" applyNumberFormat="1" applyFont="1" applyFill="1" applyAlignment="1" applyProtection="1">
      <alignment horizontal="right" vertical="top" indent="3"/>
    </xf>
    <xf numFmtId="3" fontId="23" fillId="0" borderId="0" xfId="7" applyNumberFormat="1" applyFont="1" applyBorder="1" applyAlignment="1" applyProtection="1">
      <alignment horizontal="right" vertical="top" indent="3"/>
    </xf>
    <xf numFmtId="179" fontId="13" fillId="0" borderId="0" xfId="7" applyNumberFormat="1" applyFont="1" applyBorder="1" applyAlignment="1" applyProtection="1">
      <alignment horizontal="right" vertical="top" indent="3"/>
    </xf>
    <xf numFmtId="0" fontId="22" fillId="0" borderId="0" xfId="0" applyFont="1" applyProtection="1">
      <alignment vertical="top"/>
    </xf>
    <xf numFmtId="0" fontId="37" fillId="0" borderId="131" xfId="0" applyFont="1" applyBorder="1" applyProtection="1">
      <alignment vertical="top"/>
    </xf>
    <xf numFmtId="180" fontId="13" fillId="0" borderId="0" xfId="0" applyNumberFormat="1" applyFont="1" applyProtection="1">
      <alignment vertical="top"/>
    </xf>
    <xf numFmtId="173" fontId="13" fillId="0" borderId="0" xfId="0" applyNumberFormat="1" applyFont="1" applyBorder="1" applyProtection="1">
      <alignment vertical="top"/>
    </xf>
    <xf numFmtId="180" fontId="13" fillId="0" borderId="0" xfId="0" applyNumberFormat="1" applyFont="1" applyAlignment="1" applyProtection="1">
      <alignment horizontal="right" vertical="top" indent="3" shrinkToFit="1"/>
    </xf>
    <xf numFmtId="0" fontId="13" fillId="0" borderId="0" xfId="0" applyFont="1" applyBorder="1" applyAlignment="1" applyProtection="1">
      <alignment horizontal="right" vertical="top" shrinkToFit="1"/>
    </xf>
    <xf numFmtId="167" fontId="13" fillId="0" borderId="0" xfId="0" applyNumberFormat="1" applyFont="1" applyAlignment="1" applyProtection="1">
      <alignment horizontal="center"/>
    </xf>
    <xf numFmtId="0" fontId="13" fillId="0" borderId="0" xfId="23" applyNumberFormat="1" applyFont="1" applyProtection="1">
      <alignment horizontal="right" vertical="top" indent="3"/>
    </xf>
    <xf numFmtId="173" fontId="13" fillId="0" borderId="0" xfId="0" applyNumberFormat="1" applyFont="1" applyFill="1" applyBorder="1" applyProtection="1">
      <alignment vertical="top"/>
    </xf>
    <xf numFmtId="0" fontId="13" fillId="0" borderId="0" xfId="0" applyFont="1" applyAlignment="1" applyProtection="1">
      <alignment horizontal="center"/>
    </xf>
    <xf numFmtId="0" fontId="13" fillId="0" borderId="0" xfId="0" applyFont="1" applyFill="1" applyBorder="1" applyAlignment="1" applyProtection="1">
      <alignment horizontal="right" vertical="top" shrinkToFit="1"/>
    </xf>
    <xf numFmtId="0" fontId="13" fillId="0" borderId="0" xfId="0" applyFont="1" applyBorder="1" applyProtection="1">
      <alignment vertical="top"/>
    </xf>
    <xf numFmtId="0" fontId="13" fillId="0" borderId="107" xfId="0" applyFont="1" applyBorder="1" applyProtection="1">
      <alignment vertical="top"/>
    </xf>
    <xf numFmtId="3" fontId="24" fillId="0" borderId="107" xfId="10" applyNumberFormat="1" applyFont="1" applyBorder="1" applyAlignment="1" applyProtection="1">
      <alignment horizontal="center" vertical="top"/>
    </xf>
    <xf numFmtId="177" fontId="87" fillId="0" borderId="107" xfId="10" applyNumberFormat="1" applyFont="1" applyBorder="1" applyAlignment="1" applyProtection="1">
      <alignment horizontal="center"/>
    </xf>
    <xf numFmtId="1" fontId="15" fillId="0" borderId="0" xfId="0" applyNumberFormat="1" applyFont="1" applyAlignment="1" applyProtection="1">
      <alignment horizontal="right" vertical="top" shrinkToFit="1"/>
    </xf>
    <xf numFmtId="1" fontId="13" fillId="0" borderId="0" xfId="0" applyNumberFormat="1" applyFont="1" applyAlignment="1" applyProtection="1">
      <alignment horizontal="right" vertical="top" shrinkToFit="1"/>
    </xf>
    <xf numFmtId="0" fontId="17" fillId="0" borderId="0" xfId="0" applyFont="1" applyAlignment="1" applyProtection="1">
      <alignment horizontal="right" vertical="top"/>
    </xf>
    <xf numFmtId="0" fontId="13" fillId="0" borderId="107" xfId="0" applyFont="1" applyBorder="1" applyAlignment="1" applyProtection="1">
      <alignment horizontal="right" vertical="top"/>
    </xf>
    <xf numFmtId="0" fontId="23" fillId="0" borderId="0" xfId="23" applyNumberFormat="1" applyFont="1" applyProtection="1">
      <alignment horizontal="right" vertical="top" indent="3"/>
    </xf>
    <xf numFmtId="0" fontId="24" fillId="0" borderId="107" xfId="0" applyFont="1" applyBorder="1" applyAlignment="1" applyProtection="1">
      <alignment horizontal="right" vertical="top" shrinkToFit="1"/>
    </xf>
    <xf numFmtId="0" fontId="15" fillId="0" borderId="0" xfId="17" applyNumberFormat="1" applyFont="1" applyProtection="1">
      <alignment horizontal="right" vertical="top" indent="2"/>
    </xf>
    <xf numFmtId="0" fontId="87" fillId="0" borderId="107" xfId="0" applyFont="1" applyBorder="1" applyAlignment="1" applyProtection="1">
      <alignment horizontal="right" shrinkToFit="1"/>
    </xf>
    <xf numFmtId="3" fontId="23" fillId="0" borderId="0" xfId="23" applyNumberFormat="1" applyFont="1" applyProtection="1">
      <alignment horizontal="right" vertical="top" indent="3"/>
    </xf>
    <xf numFmtId="3" fontId="13" fillId="0" borderId="0" xfId="0" applyNumberFormat="1" applyFont="1" applyAlignment="1" applyProtection="1">
      <alignment horizontal="right" vertical="top" shrinkToFit="1"/>
    </xf>
    <xf numFmtId="3" fontId="13" fillId="0" borderId="0" xfId="0" applyNumberFormat="1" applyFont="1" applyAlignment="1" applyProtection="1">
      <alignment horizontal="right" vertical="top"/>
    </xf>
    <xf numFmtId="1" fontId="15" fillId="0" borderId="0" xfId="23" applyNumberFormat="1" applyFont="1" applyFill="1" applyProtection="1">
      <alignment horizontal="right" vertical="top" indent="3"/>
    </xf>
    <xf numFmtId="0" fontId="13" fillId="0" borderId="0" xfId="0" applyFont="1" applyAlignment="1" applyProtection="1">
      <alignment horizontal="center" vertical="top" shrinkToFit="1"/>
    </xf>
    <xf numFmtId="0" fontId="24" fillId="0" borderId="107" xfId="0" applyFont="1" applyBorder="1" applyAlignment="1" applyProtection="1">
      <alignment horizontal="center" vertical="top" shrinkToFit="1"/>
    </xf>
    <xf numFmtId="0" fontId="15" fillId="0" borderId="0" xfId="17" applyNumberFormat="1" applyFont="1" applyAlignment="1" applyProtection="1">
      <alignment horizontal="right" vertical="top" indent="3"/>
    </xf>
    <xf numFmtId="0" fontId="87" fillId="0" borderId="107" xfId="0" applyFont="1" applyBorder="1" applyAlignment="1" applyProtection="1">
      <alignment horizontal="center" shrinkToFit="1"/>
    </xf>
    <xf numFmtId="3" fontId="23" fillId="0" borderId="0" xfId="23" applyNumberFormat="1" applyFont="1" applyAlignment="1" applyProtection="1">
      <alignment horizontal="right" vertical="top" indent="3"/>
    </xf>
    <xf numFmtId="3" fontId="13" fillId="0" borderId="0" xfId="23" applyNumberFormat="1" applyFont="1" applyAlignment="1" applyProtection="1">
      <alignment horizontal="right" vertical="top" indent="3"/>
    </xf>
    <xf numFmtId="0" fontId="20" fillId="0" borderId="152" xfId="0" applyFont="1" applyBorder="1" applyAlignment="1" applyProtection="1">
      <alignment horizontal="right"/>
    </xf>
    <xf numFmtId="0" fontId="13" fillId="0" borderId="152" xfId="0" applyFont="1" applyBorder="1" applyAlignment="1" applyProtection="1">
      <alignment horizontal="right" vertical="top" shrinkToFit="1"/>
    </xf>
    <xf numFmtId="189" fontId="14" fillId="6" borderId="104" xfId="4" applyNumberFormat="1" applyFont="1" applyBorder="1" applyAlignment="1" applyProtection="1">
      <alignment horizontal="center" vertical="top"/>
      <protection locked="0"/>
    </xf>
    <xf numFmtId="0" fontId="14" fillId="6" borderId="5" xfId="4" applyFont="1" applyAlignment="1" applyProtection="1">
      <alignment horizontal="center" vertical="top"/>
      <protection locked="0"/>
    </xf>
    <xf numFmtId="0" fontId="83" fillId="0" borderId="88" xfId="19" applyFont="1" applyBorder="1" applyAlignment="1">
      <alignment vertical="top"/>
    </xf>
    <xf numFmtId="0" fontId="83" fillId="0" borderId="88" xfId="19" applyFont="1" applyFill="1" applyBorder="1" applyAlignment="1">
      <alignment vertical="top"/>
    </xf>
    <xf numFmtId="0" fontId="83" fillId="0" borderId="0" xfId="19" applyFont="1" applyFill="1" applyBorder="1" applyAlignment="1">
      <alignment horizontal="left" vertical="top"/>
    </xf>
    <xf numFmtId="0" fontId="83" fillId="0" borderId="0" xfId="19" applyFont="1" applyBorder="1" applyAlignment="1">
      <alignment vertical="top"/>
    </xf>
    <xf numFmtId="0" fontId="13" fillId="0" borderId="158" xfId="0" applyFont="1" applyFill="1" applyBorder="1">
      <alignment vertical="top"/>
    </xf>
    <xf numFmtId="0" fontId="13" fillId="0" borderId="159" xfId="0" applyFont="1" applyFill="1" applyBorder="1">
      <alignment vertical="top"/>
    </xf>
    <xf numFmtId="0" fontId="0" fillId="0" borderId="160" xfId="0" applyFill="1" applyBorder="1">
      <alignment vertical="top"/>
    </xf>
    <xf numFmtId="0" fontId="13" fillId="0" borderId="145" xfId="0" applyFont="1" applyFill="1" applyBorder="1">
      <alignment vertical="top"/>
    </xf>
    <xf numFmtId="0" fontId="0" fillId="0" borderId="146" xfId="0" applyFill="1" applyBorder="1">
      <alignment vertical="top"/>
    </xf>
    <xf numFmtId="0" fontId="13" fillId="0" borderId="145" xfId="0" applyFont="1" applyBorder="1">
      <alignment vertical="top"/>
    </xf>
    <xf numFmtId="0" fontId="0" fillId="0" borderId="145" xfId="0" applyFont="1" applyFill="1" applyBorder="1" applyAlignment="1">
      <alignment horizontal="left" vertical="top" indent="1"/>
    </xf>
    <xf numFmtId="0" fontId="13" fillId="0" borderId="146" xfId="0" applyFont="1" applyBorder="1">
      <alignment vertical="top"/>
    </xf>
    <xf numFmtId="0" fontId="103" fillId="0" borderId="145" xfId="0" applyFont="1" applyFill="1" applyBorder="1" applyAlignment="1">
      <alignment horizontal="left" vertical="top" indent="1"/>
    </xf>
    <xf numFmtId="0" fontId="14" fillId="6" borderId="5" xfId="4" applyFont="1" applyBorder="1" applyAlignment="1">
      <alignment horizontal="center" vertical="top"/>
      <protection locked="0"/>
    </xf>
    <xf numFmtId="0" fontId="0" fillId="0" borderId="146" xfId="0" applyBorder="1">
      <alignment vertical="top"/>
    </xf>
    <xf numFmtId="0" fontId="13" fillId="0" borderId="161" xfId="0" applyFont="1" applyBorder="1">
      <alignment vertical="top"/>
    </xf>
    <xf numFmtId="0" fontId="13" fillId="0" borderId="162" xfId="0" applyFont="1" applyBorder="1">
      <alignment vertical="top"/>
    </xf>
    <xf numFmtId="0" fontId="0" fillId="0" borderId="163" xfId="0" applyBorder="1">
      <alignment vertical="top"/>
    </xf>
    <xf numFmtId="0" fontId="0" fillId="0" borderId="161" xfId="0" applyFont="1" applyBorder="1">
      <alignment vertical="top"/>
    </xf>
    <xf numFmtId="0" fontId="0" fillId="0" borderId="162" xfId="0" applyFont="1" applyBorder="1">
      <alignment vertical="top"/>
    </xf>
    <xf numFmtId="0" fontId="0" fillId="0" borderId="163" xfId="0" applyFont="1" applyBorder="1">
      <alignment vertical="top"/>
    </xf>
    <xf numFmtId="0" fontId="79" fillId="0" borderId="0" xfId="24" applyFont="1" applyBorder="1">
      <alignment vertical="top"/>
    </xf>
    <xf numFmtId="0" fontId="120" fillId="0" borderId="164" xfId="24" applyFont="1" applyBorder="1" applyAlignment="1">
      <alignment horizontal="center" vertical="top"/>
    </xf>
    <xf numFmtId="0" fontId="121" fillId="23" borderId="165" xfId="4" applyFont="1" applyFill="1" applyBorder="1" applyAlignment="1" applyProtection="1">
      <alignment horizontal="center" vertical="center"/>
      <protection locked="0"/>
    </xf>
    <xf numFmtId="0" fontId="120" fillId="0" borderId="166" xfId="24" applyFont="1" applyBorder="1" applyAlignment="1">
      <alignment horizontal="center" vertical="top"/>
    </xf>
    <xf numFmtId="0" fontId="120" fillId="0" borderId="167" xfId="24" applyFont="1" applyBorder="1" applyAlignment="1">
      <alignment horizontal="center" vertical="top"/>
    </xf>
    <xf numFmtId="0" fontId="91" fillId="0" borderId="164" xfId="24" applyFont="1" applyBorder="1" applyAlignment="1">
      <alignment horizontal="center" vertical="top"/>
    </xf>
    <xf numFmtId="0" fontId="115" fillId="23" borderId="165" xfId="4" applyFont="1" applyFill="1" applyBorder="1" applyAlignment="1" applyProtection="1">
      <alignment horizontal="center" vertical="center"/>
      <protection locked="0"/>
    </xf>
    <xf numFmtId="0" fontId="91" fillId="0" borderId="166" xfId="24" applyFont="1" applyBorder="1" applyAlignment="1">
      <alignment horizontal="center" vertical="top"/>
    </xf>
    <xf numFmtId="0" fontId="91" fillId="0" borderId="167" xfId="24" applyFont="1" applyBorder="1" applyAlignment="1">
      <alignment horizontal="center" vertical="top"/>
    </xf>
    <xf numFmtId="0" fontId="83" fillId="0" borderId="170" xfId="37" applyFont="1" applyBorder="1" applyAlignment="1">
      <alignment vertical="top"/>
    </xf>
    <xf numFmtId="0" fontId="83" fillId="0" borderId="195" xfId="37" applyFont="1" applyBorder="1" applyAlignment="1">
      <alignment vertical="top"/>
    </xf>
    <xf numFmtId="174" fontId="15" fillId="0" borderId="0" xfId="23" applyNumberFormat="1" applyFont="1" applyFill="1" applyAlignment="1">
      <alignment horizontal="right" vertical="top" indent="3"/>
    </xf>
    <xf numFmtId="174" fontId="15" fillId="0" borderId="0" xfId="23" applyNumberFormat="1" applyFont="1" applyFill="1" applyAlignment="1" applyProtection="1">
      <alignment horizontal="right" vertical="top" indent="3"/>
    </xf>
    <xf numFmtId="3" fontId="15" fillId="0" borderId="206" xfId="23" applyNumberFormat="1" applyFont="1" applyFill="1" applyBorder="1" applyAlignment="1">
      <alignment horizontal="right" vertical="top" indent="3"/>
    </xf>
    <xf numFmtId="3" fontId="15" fillId="0" borderId="206" xfId="23" applyNumberFormat="1" applyFont="1" applyFill="1" applyBorder="1" applyAlignment="1" applyProtection="1">
      <alignment horizontal="right" vertical="top" indent="3"/>
    </xf>
    <xf numFmtId="0" fontId="0" fillId="14" borderId="0" xfId="0" applyFill="1" applyAlignment="1">
      <alignment vertical="top" wrapText="1"/>
    </xf>
    <xf numFmtId="0" fontId="0" fillId="14" borderId="0" xfId="0" applyFill="1">
      <alignment vertical="top"/>
    </xf>
    <xf numFmtId="0" fontId="0" fillId="0" borderId="0" xfId="0">
      <alignment vertical="top"/>
    </xf>
    <xf numFmtId="0" fontId="0" fillId="0" borderId="0" xfId="0" applyAlignment="1">
      <alignment horizontal="justify" vertical="top" wrapText="1"/>
    </xf>
    <xf numFmtId="0" fontId="0" fillId="0" borderId="0" xfId="0" applyAlignment="1">
      <alignment horizontal="justify" vertical="center"/>
    </xf>
    <xf numFmtId="0" fontId="29" fillId="2" borderId="40" xfId="0" applyFont="1" applyFill="1" applyBorder="1" applyAlignment="1">
      <alignment vertical="top"/>
    </xf>
    <xf numFmtId="0" fontId="29" fillId="2" borderId="40" xfId="0" applyFont="1" applyFill="1" applyBorder="1">
      <alignment vertical="top"/>
    </xf>
    <xf numFmtId="0" fontId="85" fillId="15" borderId="40" xfId="0" applyFont="1" applyFill="1" applyBorder="1" applyProtection="1">
      <alignment vertical="top"/>
    </xf>
    <xf numFmtId="3" fontId="85" fillId="15" borderId="40" xfId="25" applyNumberFormat="1" applyFont="1" applyFill="1" applyBorder="1" applyAlignment="1" applyProtection="1">
      <alignment horizontal="right" vertical="center" indent="3"/>
    </xf>
    <xf numFmtId="3" fontId="29" fillId="0" borderId="40" xfId="0" applyNumberFormat="1" applyFont="1" applyBorder="1" applyAlignment="1">
      <alignment horizontal="right" vertical="center" indent="3"/>
    </xf>
    <xf numFmtId="3" fontId="85" fillId="0" borderId="40" xfId="25" applyNumberFormat="1" applyFont="1" applyBorder="1" applyAlignment="1">
      <alignment horizontal="right" vertical="center" indent="3"/>
    </xf>
    <xf numFmtId="0" fontId="104" fillId="0" borderId="115" xfId="1" applyBorder="1" applyAlignment="1">
      <alignment horizontal="left"/>
    </xf>
    <xf numFmtId="0" fontId="83" fillId="15" borderId="0" xfId="0" applyFont="1" applyFill="1" applyAlignment="1">
      <alignment horizontal="left" vertical="top"/>
    </xf>
    <xf numFmtId="0" fontId="23" fillId="29" borderId="5" xfId="4" applyFont="1" applyFill="1" applyAlignment="1">
      <alignment horizontal="center" vertical="center"/>
      <protection locked="0"/>
    </xf>
    <xf numFmtId="0" fontId="0" fillId="15" borderId="0" xfId="0" applyFill="1" applyAlignment="1">
      <alignment horizontal="center" vertical="center"/>
    </xf>
    <xf numFmtId="0" fontId="134" fillId="0" borderId="0" xfId="0" applyFont="1" applyAlignment="1">
      <alignment horizontal="right"/>
    </xf>
    <xf numFmtId="0" fontId="134" fillId="0" borderId="0" xfId="0" applyFont="1" applyFill="1" applyAlignment="1">
      <alignment horizontal="right"/>
    </xf>
    <xf numFmtId="0" fontId="85" fillId="0" borderId="0" xfId="24" applyFont="1" applyAlignment="1">
      <alignment horizontal="right"/>
    </xf>
    <xf numFmtId="0" fontId="134" fillId="11" borderId="0" xfId="0" applyFont="1" applyFill="1" applyAlignment="1">
      <alignment horizontal="right"/>
    </xf>
    <xf numFmtId="0" fontId="134" fillId="0" borderId="0" xfId="0" applyFont="1" applyAlignment="1">
      <alignment horizontal="right" wrapText="1"/>
    </xf>
    <xf numFmtId="0" fontId="134" fillId="0" borderId="0" xfId="8" applyFont="1" applyFill="1" applyBorder="1" applyAlignment="1">
      <alignment horizontal="right"/>
    </xf>
    <xf numFmtId="0" fontId="18" fillId="0" borderId="0" xfId="0" applyFont="1" applyBorder="1" applyAlignment="1">
      <alignment horizontal="right"/>
    </xf>
    <xf numFmtId="0" fontId="18" fillId="0" borderId="0" xfId="0" applyFont="1" applyFill="1" applyAlignment="1">
      <alignment horizontal="right"/>
    </xf>
    <xf numFmtId="0" fontId="23" fillId="0" borderId="207" xfId="0" applyFont="1" applyFill="1" applyBorder="1" applyAlignment="1">
      <alignment horizontal="left" vertical="top" wrapText="1" indent="1"/>
    </xf>
    <xf numFmtId="0" fontId="23" fillId="0" borderId="207" xfId="0" applyFont="1" applyBorder="1" applyAlignment="1">
      <alignment horizontal="left" vertical="top" wrapText="1" indent="1"/>
    </xf>
    <xf numFmtId="3" fontId="0" fillId="0" borderId="35" xfId="0" applyNumberFormat="1" applyFont="1" applyFill="1" applyBorder="1" applyAlignment="1">
      <alignment horizontal="right"/>
    </xf>
    <xf numFmtId="3" fontId="0" fillId="0" borderId="34" xfId="0" applyNumberFormat="1" applyFont="1" applyFill="1" applyBorder="1" applyAlignment="1">
      <alignment horizontal="right"/>
    </xf>
    <xf numFmtId="3" fontId="0" fillId="0" borderId="35" xfId="0" applyNumberFormat="1" applyFont="1" applyBorder="1" applyAlignment="1">
      <alignment horizontal="right"/>
    </xf>
    <xf numFmtId="0" fontId="16" fillId="0" borderId="0" xfId="8" applyAlignment="1">
      <alignment horizontal="right" vertical="top"/>
    </xf>
    <xf numFmtId="0" fontId="17" fillId="0" borderId="0" xfId="0" applyFont="1" applyAlignment="1">
      <alignment vertical="top" wrapText="1"/>
    </xf>
    <xf numFmtId="197" fontId="0" fillId="0" borderId="0" xfId="0" applyNumberFormat="1">
      <alignment vertical="top"/>
    </xf>
    <xf numFmtId="166" fontId="0" fillId="0" borderId="0" xfId="42" applyFont="1" applyAlignment="1">
      <alignment vertical="top"/>
    </xf>
    <xf numFmtId="0" fontId="135" fillId="0" borderId="0" xfId="0" applyFont="1" applyFill="1" applyAlignment="1">
      <alignment horizontal="right"/>
    </xf>
    <xf numFmtId="0" fontId="18" fillId="0" borderId="0" xfId="0" applyFont="1" applyFill="1" applyAlignment="1">
      <alignment horizontal="right" wrapText="1"/>
    </xf>
    <xf numFmtId="0" fontId="13" fillId="3" borderId="0" xfId="0" applyFont="1" applyFill="1">
      <alignment vertical="top"/>
    </xf>
    <xf numFmtId="14" fontId="0" fillId="0" borderId="0" xfId="0" applyNumberFormat="1">
      <alignment vertical="top"/>
    </xf>
    <xf numFmtId="174" fontId="23" fillId="0" borderId="0" xfId="23" applyNumberFormat="1" applyFont="1" applyAlignment="1">
      <alignment horizontal="right" vertical="top" indent="3"/>
    </xf>
    <xf numFmtId="174" fontId="23" fillId="0" borderId="0" xfId="23" applyNumberFormat="1" applyFont="1" applyAlignment="1" applyProtection="1">
      <alignment horizontal="right" vertical="top" indent="3"/>
    </xf>
    <xf numFmtId="0" fontId="0" fillId="0" borderId="0" xfId="0">
      <alignment vertical="top"/>
    </xf>
    <xf numFmtId="0" fontId="137" fillId="0" borderId="0" xfId="0" applyFont="1" applyBorder="1">
      <alignment vertical="top"/>
    </xf>
    <xf numFmtId="0" fontId="0" fillId="17" borderId="0" xfId="0" applyFill="1">
      <alignment vertical="top"/>
    </xf>
    <xf numFmtId="0" fontId="19" fillId="2" borderId="0" xfId="0" applyFont="1" applyFill="1" applyAlignment="1">
      <alignment horizontal="left" indent="2"/>
    </xf>
    <xf numFmtId="180" fontId="24" fillId="0" borderId="0" xfId="25" applyNumberFormat="1" applyFont="1" applyFill="1" applyBorder="1" applyAlignment="1" applyProtection="1">
      <alignment horizontal="right" vertical="center" indent="3"/>
    </xf>
    <xf numFmtId="0" fontId="29" fillId="2" borderId="0" xfId="0" applyFont="1" applyFill="1" applyBorder="1" applyAlignment="1">
      <alignment vertical="top"/>
    </xf>
    <xf numFmtId="0" fontId="0" fillId="3" borderId="0" xfId="0" applyFill="1">
      <alignment vertical="top"/>
    </xf>
    <xf numFmtId="0" fontId="31" fillId="4" borderId="132" xfId="0" applyFont="1" applyFill="1" applyBorder="1" applyAlignment="1">
      <alignment vertical="top" wrapText="1"/>
    </xf>
    <xf numFmtId="0" fontId="138" fillId="0" borderId="0" xfId="0" applyFont="1">
      <alignment vertical="top"/>
    </xf>
    <xf numFmtId="0" fontId="138" fillId="0" borderId="0" xfId="0" applyFont="1" applyAlignment="1">
      <alignment horizontal="left" vertical="top"/>
    </xf>
    <xf numFmtId="0" fontId="138" fillId="0" borderId="0" xfId="0" applyFont="1" applyAlignment="1">
      <alignment horizontal="center" vertical="top"/>
    </xf>
    <xf numFmtId="0" fontId="0" fillId="4" borderId="216" xfId="0" applyFill="1" applyBorder="1" applyAlignment="1">
      <alignment vertical="top" wrapText="1"/>
    </xf>
    <xf numFmtId="0" fontId="0" fillId="2" borderId="0" xfId="0" applyFill="1" applyAlignment="1">
      <alignment horizontal="right" vertical="top"/>
    </xf>
    <xf numFmtId="0" fontId="0" fillId="2" borderId="0" xfId="0" applyFont="1" applyFill="1" applyAlignment="1">
      <alignment horizontal="right" vertical="top"/>
    </xf>
    <xf numFmtId="0" fontId="13" fillId="0" borderId="0" xfId="43">
      <alignment vertical="top"/>
    </xf>
    <xf numFmtId="0" fontId="13" fillId="0" borderId="0" xfId="43" applyBorder="1">
      <alignment vertical="top"/>
    </xf>
    <xf numFmtId="0" fontId="17" fillId="0" borderId="179" xfId="43" applyFont="1" applyBorder="1">
      <alignment vertical="top"/>
    </xf>
    <xf numFmtId="175" fontId="17" fillId="0" borderId="180" xfId="43" applyNumberFormat="1" applyFont="1" applyBorder="1">
      <alignment vertical="top"/>
    </xf>
    <xf numFmtId="0" fontId="17" fillId="0" borderId="180" xfId="43" applyFont="1" applyBorder="1">
      <alignment vertical="top"/>
    </xf>
    <xf numFmtId="175" fontId="13" fillId="0" borderId="0" xfId="43" applyNumberFormat="1" applyBorder="1">
      <alignment vertical="top"/>
    </xf>
    <xf numFmtId="0" fontId="17" fillId="0" borderId="148" xfId="43" applyFont="1" applyBorder="1">
      <alignment vertical="top"/>
    </xf>
    <xf numFmtId="176" fontId="17" fillId="0" borderId="179" xfId="43" applyNumberFormat="1" applyFont="1" applyBorder="1" applyAlignment="1">
      <alignment horizontal="right" vertical="center"/>
    </xf>
    <xf numFmtId="176" fontId="17" fillId="0" borderId="180" xfId="43" applyNumberFormat="1" applyFont="1" applyBorder="1">
      <alignment vertical="top"/>
    </xf>
    <xf numFmtId="0" fontId="17" fillId="0" borderId="182" xfId="43" applyFont="1" applyBorder="1">
      <alignment vertical="top"/>
    </xf>
    <xf numFmtId="176" fontId="17" fillId="0" borderId="182" xfId="43" applyNumberFormat="1" applyFont="1" applyBorder="1" applyAlignment="1">
      <alignment horizontal="right" vertical="center"/>
    </xf>
    <xf numFmtId="176" fontId="17" fillId="0" borderId="183" xfId="43" applyNumberFormat="1" applyFont="1" applyBorder="1">
      <alignment vertical="top"/>
    </xf>
    <xf numFmtId="175" fontId="17" fillId="0" borderId="183" xfId="43" applyNumberFormat="1" applyFont="1" applyBorder="1">
      <alignment vertical="top"/>
    </xf>
    <xf numFmtId="0" fontId="17" fillId="0" borderId="183" xfId="43" applyFont="1" applyBorder="1">
      <alignment vertical="top"/>
    </xf>
    <xf numFmtId="0" fontId="17" fillId="0" borderId="185" xfId="43" applyFont="1" applyBorder="1">
      <alignment vertical="top"/>
    </xf>
    <xf numFmtId="176" fontId="17" fillId="0" borderId="185" xfId="43" applyNumberFormat="1" applyFont="1" applyBorder="1" applyAlignment="1">
      <alignment horizontal="right" vertical="center"/>
    </xf>
    <xf numFmtId="176" fontId="17" fillId="0" borderId="186" xfId="43" applyNumberFormat="1" applyFont="1" applyBorder="1">
      <alignment vertical="top"/>
    </xf>
    <xf numFmtId="175" fontId="17" fillId="0" borderId="186" xfId="43" applyNumberFormat="1" applyFont="1" applyBorder="1">
      <alignment vertical="top"/>
    </xf>
    <xf numFmtId="0" fontId="17" fillId="0" borderId="186" xfId="43" applyFont="1" applyBorder="1">
      <alignment vertical="top"/>
    </xf>
    <xf numFmtId="0" fontId="13" fillId="0" borderId="0" xfId="43" applyBorder="1" applyAlignment="1">
      <alignment horizontal="right" vertical="center"/>
    </xf>
    <xf numFmtId="0" fontId="13" fillId="0" borderId="0" xfId="43" applyAlignment="1">
      <alignment horizontal="right" vertical="center"/>
    </xf>
    <xf numFmtId="0" fontId="13" fillId="0" borderId="0" xfId="43" applyFill="1">
      <alignment vertical="top"/>
    </xf>
    <xf numFmtId="0" fontId="17" fillId="0" borderId="179" xfId="43" applyFont="1" applyFill="1" applyBorder="1">
      <alignment vertical="top"/>
    </xf>
    <xf numFmtId="0" fontId="83" fillId="0" borderId="195" xfId="37" applyFont="1" applyBorder="1" applyAlignment="1">
      <alignment horizontal="right" vertical="center" shrinkToFit="1"/>
    </xf>
    <xf numFmtId="0" fontId="83" fillId="0" borderId="168" xfId="37" applyFont="1" applyBorder="1" applyAlignment="1">
      <alignment vertical="top" shrinkToFit="1"/>
    </xf>
    <xf numFmtId="0" fontId="14" fillId="6" borderId="197" xfId="45" applyBorder="1" applyAlignment="1">
      <alignment horizontal="right" vertical="center" shrinkToFit="1"/>
      <protection locked="0"/>
    </xf>
    <xf numFmtId="0" fontId="14" fillId="6" borderId="175" xfId="45" applyBorder="1" applyAlignment="1">
      <alignment horizontal="right" vertical="center" shrinkToFit="1"/>
      <protection locked="0"/>
    </xf>
    <xf numFmtId="0" fontId="14" fillId="6" borderId="96" xfId="45" applyBorder="1" applyAlignment="1">
      <alignment horizontal="right" vertical="center" shrinkToFit="1"/>
      <protection locked="0"/>
    </xf>
    <xf numFmtId="0" fontId="14" fillId="6" borderId="176" xfId="45" applyBorder="1" applyAlignment="1">
      <alignment horizontal="right" vertical="center" shrinkToFit="1"/>
      <protection locked="0"/>
    </xf>
    <xf numFmtId="10" fontId="14" fillId="6" borderId="177" xfId="45" applyNumberFormat="1" applyBorder="1" applyAlignment="1">
      <alignment horizontal="right" vertical="center" shrinkToFit="1"/>
      <protection locked="0"/>
    </xf>
    <xf numFmtId="0" fontId="14" fillId="6" borderId="177" xfId="45" applyBorder="1" applyAlignment="1">
      <alignment horizontal="right" vertical="center" shrinkToFit="1"/>
      <protection locked="0"/>
    </xf>
    <xf numFmtId="175" fontId="17" fillId="0" borderId="179" xfId="43" applyNumberFormat="1" applyFont="1" applyBorder="1" applyAlignment="1">
      <alignment horizontal="right" vertical="center" shrinkToFit="1"/>
    </xf>
    <xf numFmtId="175" fontId="17" fillId="0" borderId="180" xfId="43" applyNumberFormat="1" applyFont="1" applyFill="1" applyBorder="1" applyAlignment="1">
      <alignment vertical="top" shrinkToFit="1"/>
    </xf>
    <xf numFmtId="175" fontId="17" fillId="0" borderId="180" xfId="43" applyNumberFormat="1" applyFont="1" applyBorder="1" applyAlignment="1">
      <alignment vertical="top" shrinkToFit="1"/>
    </xf>
    <xf numFmtId="0" fontId="17" fillId="0" borderId="180" xfId="43" applyFont="1" applyBorder="1" applyAlignment="1">
      <alignment vertical="top" shrinkToFit="1"/>
    </xf>
    <xf numFmtId="0" fontId="14" fillId="6" borderId="5" xfId="45" applyAlignment="1">
      <alignment horizontal="right" shrinkToFit="1"/>
      <protection locked="0"/>
    </xf>
    <xf numFmtId="2" fontId="14" fillId="6" borderId="176" xfId="45" applyNumberFormat="1" applyBorder="1" applyAlignment="1">
      <alignment horizontal="right" vertical="center" shrinkToFit="1"/>
      <protection locked="0"/>
    </xf>
    <xf numFmtId="2" fontId="14" fillId="6" borderId="5" xfId="45" applyNumberFormat="1" applyAlignment="1">
      <alignment shrinkToFit="1"/>
      <protection locked="0"/>
    </xf>
    <xf numFmtId="2" fontId="14" fillId="6" borderId="5" xfId="45" applyNumberFormat="1" applyAlignment="1">
      <alignment horizontal="right" shrinkToFit="1"/>
      <protection locked="0"/>
    </xf>
    <xf numFmtId="0" fontId="14" fillId="6" borderId="198" xfId="45" applyBorder="1" applyAlignment="1">
      <alignment horizontal="right" vertical="center" shrinkToFit="1"/>
      <protection locked="0"/>
    </xf>
    <xf numFmtId="2" fontId="14" fillId="6" borderId="177" xfId="45" applyNumberFormat="1" applyBorder="1" applyAlignment="1">
      <alignment horizontal="right" vertical="center" shrinkToFit="1"/>
      <protection locked="0"/>
    </xf>
    <xf numFmtId="2" fontId="14" fillId="6" borderId="175" xfId="45" applyNumberFormat="1" applyBorder="1" applyAlignment="1">
      <alignment horizontal="right" vertical="center" shrinkToFit="1"/>
      <protection locked="0"/>
    </xf>
    <xf numFmtId="175" fontId="17" fillId="0" borderId="173" xfId="43" applyNumberFormat="1" applyFont="1" applyBorder="1" applyAlignment="1">
      <alignment horizontal="right" vertical="center" shrinkToFit="1"/>
    </xf>
    <xf numFmtId="175" fontId="17" fillId="0" borderId="178" xfId="43" applyNumberFormat="1" applyFont="1" applyBorder="1" applyAlignment="1">
      <alignment vertical="top" shrinkToFit="1"/>
    </xf>
    <xf numFmtId="0" fontId="17" fillId="0" borderId="178" xfId="43" applyFont="1" applyBorder="1" applyAlignment="1">
      <alignment vertical="top" shrinkToFit="1"/>
    </xf>
    <xf numFmtId="0" fontId="83" fillId="0" borderId="170" xfId="46" applyFont="1" applyBorder="1" applyAlignment="1">
      <alignment horizontal="right" vertical="center" shrinkToFit="1"/>
    </xf>
    <xf numFmtId="0" fontId="83" fillId="0" borderId="169" xfId="46" applyFont="1" applyBorder="1" applyAlignment="1">
      <alignment vertical="top" shrinkToFit="1"/>
    </xf>
    <xf numFmtId="1" fontId="14" fillId="6" borderId="96" xfId="45" applyNumberFormat="1" applyBorder="1" applyAlignment="1">
      <alignment horizontal="right" vertical="center" shrinkToFit="1"/>
      <protection locked="0"/>
    </xf>
    <xf numFmtId="1" fontId="14" fillId="6" borderId="176" xfId="45" applyNumberFormat="1" applyBorder="1" applyAlignment="1">
      <alignment horizontal="right" vertical="center" shrinkToFit="1"/>
      <protection locked="0"/>
    </xf>
    <xf numFmtId="168" fontId="14" fillId="6" borderId="176" xfId="45" applyNumberFormat="1" applyBorder="1" applyAlignment="1">
      <alignment horizontal="right" vertical="center" shrinkToFit="1"/>
      <protection locked="0"/>
    </xf>
    <xf numFmtId="1" fontId="14" fillId="6" borderId="177" xfId="45" applyNumberFormat="1" applyBorder="1" applyAlignment="1">
      <alignment horizontal="right" vertical="center" shrinkToFit="1"/>
      <protection locked="0"/>
    </xf>
    <xf numFmtId="168" fontId="14" fillId="6" borderId="177" xfId="45" applyNumberFormat="1" applyBorder="1" applyAlignment="1">
      <alignment horizontal="right" vertical="center" shrinkToFit="1"/>
      <protection locked="0"/>
    </xf>
    <xf numFmtId="176" fontId="17" fillId="0" borderId="179" xfId="43" applyNumberFormat="1" applyFont="1" applyBorder="1" applyAlignment="1">
      <alignment horizontal="right" vertical="center" shrinkToFit="1"/>
    </xf>
    <xf numFmtId="176" fontId="17" fillId="0" borderId="180" xfId="43" applyNumberFormat="1" applyFont="1" applyBorder="1" applyAlignment="1">
      <alignment vertical="top" shrinkToFit="1"/>
    </xf>
    <xf numFmtId="0" fontId="13" fillId="15" borderId="0" xfId="43" applyFill="1" applyAlignment="1">
      <alignment vertical="top" shrinkToFit="1"/>
    </xf>
    <xf numFmtId="10" fontId="14" fillId="6" borderId="176" xfId="45" applyNumberFormat="1" applyBorder="1" applyAlignment="1">
      <alignment horizontal="right" vertical="center" shrinkToFit="1"/>
      <protection locked="0"/>
    </xf>
    <xf numFmtId="10" fontId="14" fillId="6" borderId="176" xfId="7" applyNumberFormat="1" applyFont="1" applyFill="1" applyBorder="1" applyAlignment="1" applyProtection="1">
      <alignment horizontal="right" vertical="center" shrinkToFit="1"/>
      <protection locked="0"/>
    </xf>
    <xf numFmtId="175" fontId="14" fillId="6" borderId="96" xfId="45" applyNumberFormat="1" applyBorder="1" applyAlignment="1">
      <alignment horizontal="right" vertical="center" shrinkToFit="1"/>
      <protection locked="0"/>
    </xf>
    <xf numFmtId="175" fontId="14" fillId="6" borderId="176" xfId="45" applyNumberFormat="1" applyBorder="1" applyAlignment="1">
      <alignment horizontal="right" vertical="center" shrinkToFit="1"/>
      <protection locked="0"/>
    </xf>
    <xf numFmtId="198" fontId="14" fillId="6" borderId="198" xfId="45" applyNumberFormat="1" applyBorder="1" applyAlignment="1">
      <alignment horizontal="right" vertical="center" shrinkToFit="1"/>
      <protection locked="0"/>
    </xf>
    <xf numFmtId="175" fontId="14" fillId="6" borderId="177" xfId="45" applyNumberFormat="1" applyBorder="1" applyAlignment="1">
      <alignment horizontal="right" vertical="center" shrinkToFit="1"/>
      <protection locked="0"/>
    </xf>
    <xf numFmtId="198" fontId="14" fillId="6" borderId="176" xfId="45" applyNumberFormat="1" applyBorder="1" applyAlignment="1">
      <alignment horizontal="right" vertical="center" shrinkToFit="1"/>
      <protection locked="0"/>
    </xf>
    <xf numFmtId="198" fontId="14" fillId="6" borderId="177" xfId="45" applyNumberFormat="1" applyBorder="1" applyAlignment="1">
      <alignment horizontal="right" vertical="center" shrinkToFit="1"/>
      <protection locked="0"/>
    </xf>
    <xf numFmtId="199" fontId="83" fillId="0" borderId="195" xfId="37" applyNumberFormat="1" applyFont="1" applyBorder="1" applyAlignment="1">
      <alignment horizontal="right" vertical="center" shrinkToFit="1"/>
    </xf>
    <xf numFmtId="199" fontId="83" fillId="0" borderId="195" xfId="37" applyNumberFormat="1" applyFont="1" applyBorder="1" applyAlignment="1">
      <alignment horizontal="right" vertical="top" shrinkToFit="1"/>
    </xf>
    <xf numFmtId="199" fontId="14" fillId="6" borderId="19" xfId="16" applyNumberFormat="1" applyFont="1" applyFill="1" applyBorder="1" applyAlignment="1" applyProtection="1">
      <alignment horizontal="right" vertical="center" shrinkToFit="1"/>
      <protection locked="0"/>
    </xf>
    <xf numFmtId="199" fontId="13" fillId="32" borderId="0" xfId="43" applyNumberFormat="1" applyFill="1" applyBorder="1" applyAlignment="1">
      <alignment vertical="top" shrinkToFit="1"/>
    </xf>
    <xf numFmtId="199" fontId="14" fillId="6" borderId="5" xfId="16" applyNumberFormat="1" applyFont="1" applyFill="1" applyBorder="1" applyAlignment="1" applyProtection="1">
      <alignment horizontal="right" vertical="center" shrinkToFit="1"/>
      <protection locked="0"/>
    </xf>
    <xf numFmtId="199" fontId="14" fillId="6" borderId="172" xfId="16" applyNumberFormat="1" applyFont="1" applyFill="1" applyBorder="1" applyAlignment="1" applyProtection="1">
      <alignment horizontal="right" vertical="center" shrinkToFit="1"/>
      <protection locked="0"/>
    </xf>
    <xf numFmtId="199" fontId="17" fillId="0" borderId="179" xfId="43" applyNumberFormat="1" applyFont="1" applyBorder="1" applyAlignment="1">
      <alignment horizontal="right" vertical="center" shrinkToFit="1"/>
    </xf>
    <xf numFmtId="199" fontId="17" fillId="0" borderId="179" xfId="43" applyNumberFormat="1" applyFont="1" applyFill="1" applyBorder="1" applyAlignment="1">
      <alignment vertical="top" shrinkToFit="1"/>
    </xf>
    <xf numFmtId="199" fontId="13" fillId="0" borderId="0" xfId="43" applyNumberFormat="1" applyBorder="1" applyAlignment="1">
      <alignment vertical="top" shrinkToFit="1"/>
    </xf>
    <xf numFmtId="199" fontId="17" fillId="0" borderId="173" xfId="43" applyNumberFormat="1" applyFont="1" applyBorder="1" applyAlignment="1">
      <alignment horizontal="right" vertical="center" shrinkToFit="1"/>
    </xf>
    <xf numFmtId="199" fontId="17" fillId="0" borderId="173" xfId="43" applyNumberFormat="1" applyFont="1" applyBorder="1" applyAlignment="1">
      <alignment vertical="top" shrinkToFit="1"/>
    </xf>
    <xf numFmtId="199" fontId="83" fillId="0" borderId="170" xfId="46" applyNumberFormat="1" applyFont="1" applyBorder="1" applyAlignment="1">
      <alignment horizontal="right" vertical="center" shrinkToFit="1"/>
    </xf>
    <xf numFmtId="199" fontId="83" fillId="0" borderId="170" xfId="46" applyNumberFormat="1" applyFont="1" applyBorder="1" applyAlignment="1">
      <alignment horizontal="right" vertical="top" shrinkToFit="1"/>
    </xf>
    <xf numFmtId="199" fontId="17" fillId="0" borderId="179" xfId="43" applyNumberFormat="1" applyFont="1" applyBorder="1" applyAlignment="1">
      <alignment vertical="top" shrinkToFit="1"/>
    </xf>
    <xf numFmtId="199" fontId="17" fillId="0" borderId="179" xfId="43" applyNumberFormat="1" applyFont="1" applyBorder="1" applyAlignment="1">
      <alignment horizontal="right" vertical="center"/>
    </xf>
    <xf numFmtId="199" fontId="17" fillId="0" borderId="179" xfId="43" applyNumberFormat="1" applyFont="1" applyBorder="1">
      <alignment vertical="top"/>
    </xf>
    <xf numFmtId="199" fontId="17" fillId="0" borderId="182" xfId="43" applyNumberFormat="1" applyFont="1" applyBorder="1" applyAlignment="1">
      <alignment horizontal="right" vertical="center"/>
    </xf>
    <xf numFmtId="199" fontId="17" fillId="0" borderId="182" xfId="43" applyNumberFormat="1" applyFont="1" applyBorder="1">
      <alignment vertical="top"/>
    </xf>
    <xf numFmtId="199" fontId="17" fillId="0" borderId="185" xfId="43" applyNumberFormat="1" applyFont="1" applyBorder="1" applyAlignment="1">
      <alignment horizontal="right" vertical="center"/>
    </xf>
    <xf numFmtId="199" fontId="17" fillId="0" borderId="185" xfId="43" applyNumberFormat="1" applyFont="1" applyBorder="1">
      <alignment vertical="top"/>
    </xf>
    <xf numFmtId="199" fontId="13" fillId="0" borderId="0" xfId="43" applyNumberFormat="1" applyBorder="1" applyAlignment="1">
      <alignment horizontal="right" vertical="center"/>
    </xf>
    <xf numFmtId="199" fontId="13" fillId="0" borderId="0" xfId="43" applyNumberFormat="1" applyBorder="1">
      <alignment vertical="top"/>
    </xf>
    <xf numFmtId="199" fontId="13" fillId="0" borderId="0" xfId="43" applyNumberFormat="1">
      <alignment vertical="top"/>
    </xf>
    <xf numFmtId="199" fontId="13" fillId="0" borderId="0" xfId="43" applyNumberFormat="1" applyAlignment="1">
      <alignment horizontal="right" vertical="center"/>
    </xf>
    <xf numFmtId="199" fontId="83" fillId="0" borderId="195" xfId="37" applyNumberFormat="1" applyFont="1" applyBorder="1" applyAlignment="1">
      <alignment vertical="top" shrinkToFit="1"/>
    </xf>
    <xf numFmtId="199" fontId="83" fillId="0" borderId="170" xfId="46" applyNumberFormat="1" applyFont="1" applyBorder="1" applyAlignment="1">
      <alignment vertical="top" shrinkToFit="1"/>
    </xf>
    <xf numFmtId="199" fontId="14" fillId="6" borderId="5" xfId="45" applyNumberFormat="1" applyAlignment="1">
      <alignment horizontal="right" vertical="center" shrinkToFit="1"/>
      <protection locked="0"/>
    </xf>
    <xf numFmtId="199" fontId="14" fillId="6" borderId="172" xfId="45" applyNumberFormat="1" applyBorder="1" applyAlignment="1">
      <alignment horizontal="right" vertical="center" shrinkToFit="1"/>
      <protection locked="0"/>
    </xf>
    <xf numFmtId="199" fontId="14" fillId="6" borderId="19" xfId="45" applyNumberFormat="1" applyBorder="1" applyAlignment="1">
      <alignment horizontal="right" vertical="center" shrinkToFit="1"/>
      <protection locked="0"/>
    </xf>
    <xf numFmtId="199" fontId="13" fillId="32" borderId="37" xfId="43" applyNumberFormat="1" applyFill="1" applyBorder="1" applyAlignment="1">
      <alignment vertical="top" shrinkToFit="1"/>
    </xf>
    <xf numFmtId="199" fontId="17" fillId="0" borderId="181" xfId="43" applyNumberFormat="1" applyFont="1" applyBorder="1" applyAlignment="1">
      <alignment vertical="top" shrinkToFit="1"/>
    </xf>
    <xf numFmtId="199" fontId="13" fillId="0" borderId="37" xfId="43" applyNumberFormat="1" applyBorder="1" applyAlignment="1">
      <alignment vertical="top" shrinkToFit="1"/>
    </xf>
    <xf numFmtId="199" fontId="17" fillId="0" borderId="174" xfId="43" applyNumberFormat="1" applyFont="1" applyBorder="1" applyAlignment="1">
      <alignment vertical="top" shrinkToFit="1"/>
    </xf>
    <xf numFmtId="199" fontId="17" fillId="0" borderId="181" xfId="43" applyNumberFormat="1" applyFont="1" applyBorder="1">
      <alignment vertical="top"/>
    </xf>
    <xf numFmtId="199" fontId="17" fillId="0" borderId="184" xfId="43" applyNumberFormat="1" applyFont="1" applyBorder="1">
      <alignment vertical="top"/>
    </xf>
    <xf numFmtId="199" fontId="17" fillId="0" borderId="187" xfId="43" applyNumberFormat="1" applyFont="1" applyBorder="1">
      <alignment vertical="top"/>
    </xf>
    <xf numFmtId="199" fontId="83" fillId="0" borderId="171" xfId="46" applyNumberFormat="1" applyFont="1" applyBorder="1" applyAlignment="1">
      <alignment vertical="top" shrinkToFit="1"/>
    </xf>
    <xf numFmtId="199" fontId="13" fillId="32" borderId="0" xfId="43" applyNumberFormat="1" applyFill="1" applyAlignment="1">
      <alignment vertical="top" shrinkToFit="1"/>
    </xf>
    <xf numFmtId="199" fontId="83" fillId="0" borderId="195" xfId="16" applyNumberFormat="1" applyFont="1" applyBorder="1" applyAlignment="1">
      <alignment vertical="top" shrinkToFit="1"/>
    </xf>
    <xf numFmtId="199" fontId="17" fillId="0" borderId="179" xfId="16" applyNumberFormat="1" applyFont="1" applyBorder="1" applyAlignment="1">
      <alignment vertical="top" shrinkToFit="1"/>
    </xf>
    <xf numFmtId="199" fontId="17" fillId="0" borderId="173" xfId="16" applyNumberFormat="1" applyFont="1" applyBorder="1" applyAlignment="1">
      <alignment vertical="top" shrinkToFit="1"/>
    </xf>
    <xf numFmtId="199" fontId="83" fillId="0" borderId="170" xfId="16" applyNumberFormat="1" applyFont="1" applyBorder="1" applyAlignment="1">
      <alignment vertical="top" shrinkToFit="1"/>
    </xf>
    <xf numFmtId="199" fontId="83" fillId="0" borderId="171" xfId="46" applyNumberFormat="1" applyFont="1" applyBorder="1" applyAlignment="1">
      <alignment horizontal="right" vertical="top" shrinkToFit="1"/>
    </xf>
    <xf numFmtId="199" fontId="17" fillId="0" borderId="179" xfId="16" applyNumberFormat="1" applyFont="1" applyBorder="1" applyAlignment="1">
      <alignment vertical="top"/>
    </xf>
    <xf numFmtId="199" fontId="17" fillId="0" borderId="182" xfId="16" applyNumberFormat="1" applyFont="1" applyBorder="1" applyAlignment="1">
      <alignment vertical="top"/>
    </xf>
    <xf numFmtId="199" fontId="17" fillId="0" borderId="185" xfId="16" applyNumberFormat="1" applyFont="1" applyBorder="1" applyAlignment="1">
      <alignment vertical="top"/>
    </xf>
    <xf numFmtId="199" fontId="13" fillId="0" borderId="0" xfId="16" applyNumberFormat="1" applyFont="1" applyBorder="1" applyAlignment="1">
      <alignment vertical="top"/>
    </xf>
    <xf numFmtId="199" fontId="13" fillId="0" borderId="0" xfId="16" applyNumberFormat="1" applyFont="1" applyAlignment="1">
      <alignment vertical="top"/>
    </xf>
    <xf numFmtId="199" fontId="83" fillId="0" borderId="199" xfId="37" applyNumberFormat="1" applyFont="1" applyBorder="1" applyAlignment="1">
      <alignment horizontal="right" vertical="top" shrinkToFit="1"/>
    </xf>
    <xf numFmtId="199" fontId="14" fillId="6" borderId="5" xfId="45" applyNumberFormat="1" applyAlignment="1">
      <alignment horizontal="right" shrinkToFit="1"/>
      <protection locked="0"/>
    </xf>
    <xf numFmtId="199" fontId="13" fillId="32" borderId="200" xfId="43" applyNumberFormat="1" applyFill="1" applyBorder="1" applyAlignment="1">
      <alignment vertical="top" shrinkToFit="1"/>
    </xf>
    <xf numFmtId="199" fontId="14" fillId="6" borderId="172" xfId="45" applyNumberFormat="1" applyBorder="1" applyAlignment="1">
      <alignment horizontal="right" shrinkToFit="1"/>
      <protection locked="0"/>
    </xf>
    <xf numFmtId="199" fontId="17" fillId="0" borderId="203" xfId="43" applyNumberFormat="1" applyFont="1" applyBorder="1" applyAlignment="1">
      <alignment vertical="top" shrinkToFit="1"/>
    </xf>
    <xf numFmtId="199" fontId="13" fillId="0" borderId="200" xfId="43" applyNumberFormat="1" applyBorder="1" applyAlignment="1">
      <alignment vertical="top" shrinkToFit="1"/>
    </xf>
    <xf numFmtId="199" fontId="17" fillId="0" borderId="202" xfId="43" applyNumberFormat="1" applyFont="1" applyBorder="1" applyAlignment="1">
      <alignment vertical="top" shrinkToFit="1"/>
    </xf>
    <xf numFmtId="199" fontId="83" fillId="0" borderId="201" xfId="46" applyNumberFormat="1" applyFont="1" applyBorder="1" applyAlignment="1">
      <alignment vertical="top" shrinkToFit="1"/>
    </xf>
    <xf numFmtId="199" fontId="13" fillId="15" borderId="0" xfId="43" applyNumberFormat="1" applyFill="1" applyAlignment="1">
      <alignment vertical="top" shrinkToFit="1"/>
    </xf>
    <xf numFmtId="199" fontId="17" fillId="0" borderId="203" xfId="43" applyNumberFormat="1" applyFont="1" applyBorder="1">
      <alignment vertical="top"/>
    </xf>
    <xf numFmtId="199" fontId="17" fillId="0" borderId="204" xfId="43" applyNumberFormat="1" applyFont="1" applyBorder="1">
      <alignment vertical="top"/>
    </xf>
    <xf numFmtId="199" fontId="17" fillId="0" borderId="205" xfId="43" applyNumberFormat="1" applyFont="1" applyBorder="1">
      <alignment vertical="top"/>
    </xf>
    <xf numFmtId="199" fontId="14" fillId="6" borderId="5" xfId="16" applyNumberFormat="1" applyFont="1" applyFill="1" applyBorder="1" applyAlignment="1" applyProtection="1">
      <alignment horizontal="right" shrinkToFit="1"/>
      <protection locked="0"/>
    </xf>
    <xf numFmtId="199" fontId="83" fillId="0" borderId="194" xfId="37" applyNumberFormat="1" applyFont="1" applyBorder="1" applyAlignment="1">
      <alignment horizontal="right" vertical="top" shrinkToFit="1"/>
    </xf>
    <xf numFmtId="199" fontId="17" fillId="0" borderId="191" xfId="43" applyNumberFormat="1" applyFont="1" applyBorder="1" applyAlignment="1">
      <alignment horizontal="right" vertical="top" shrinkToFit="1"/>
    </xf>
    <xf numFmtId="199" fontId="17" fillId="0" borderId="190" xfId="43" applyNumberFormat="1" applyFont="1" applyBorder="1" applyAlignment="1">
      <alignment horizontal="right" vertical="top" shrinkToFit="1"/>
    </xf>
    <xf numFmtId="199" fontId="83" fillId="0" borderId="189" xfId="46" applyNumberFormat="1" applyFont="1" applyBorder="1" applyAlignment="1">
      <alignment horizontal="right" vertical="top" shrinkToFit="1"/>
    </xf>
    <xf numFmtId="199" fontId="17" fillId="0" borderId="191" xfId="43" applyNumberFormat="1" applyFont="1" applyBorder="1" applyAlignment="1">
      <alignment horizontal="right" vertical="top"/>
    </xf>
    <xf numFmtId="199" fontId="17" fillId="0" borderId="192" xfId="43" applyNumberFormat="1" applyFont="1" applyBorder="1" applyAlignment="1">
      <alignment horizontal="right" vertical="top"/>
    </xf>
    <xf numFmtId="199" fontId="17" fillId="0" borderId="193" xfId="43" applyNumberFormat="1" applyFont="1" applyBorder="1" applyAlignment="1">
      <alignment horizontal="right" vertical="top"/>
    </xf>
    <xf numFmtId="199" fontId="13" fillId="0" borderId="0" xfId="43" applyNumberFormat="1" applyAlignment="1">
      <alignment horizontal="right" vertical="top"/>
    </xf>
    <xf numFmtId="199" fontId="17" fillId="0" borderId="179" xfId="43" applyNumberFormat="1" applyFont="1" applyBorder="1" applyAlignment="1">
      <alignment horizontal="right" vertical="top" shrinkToFit="1"/>
    </xf>
    <xf numFmtId="199" fontId="17" fillId="0" borderId="173" xfId="43" applyNumberFormat="1" applyFont="1" applyBorder="1" applyAlignment="1">
      <alignment horizontal="right" vertical="top" shrinkToFit="1"/>
    </xf>
    <xf numFmtId="199" fontId="17" fillId="0" borderId="179" xfId="43" applyNumberFormat="1" applyFont="1" applyBorder="1" applyAlignment="1">
      <alignment horizontal="right" vertical="top"/>
    </xf>
    <xf numFmtId="199" fontId="17" fillId="0" borderId="182" xfId="43" applyNumberFormat="1" applyFont="1" applyBorder="1" applyAlignment="1">
      <alignment horizontal="right" vertical="top"/>
    </xf>
    <xf numFmtId="199" fontId="17" fillId="0" borderId="185" xfId="43" applyNumberFormat="1" applyFont="1" applyBorder="1" applyAlignment="1">
      <alignment horizontal="right" vertical="top"/>
    </xf>
    <xf numFmtId="199" fontId="17" fillId="0" borderId="196" xfId="43" applyNumberFormat="1" applyFont="1" applyBorder="1" applyAlignment="1">
      <alignment horizontal="right" vertical="top" shrinkToFit="1"/>
    </xf>
    <xf numFmtId="199" fontId="13" fillId="0" borderId="0" xfId="43" applyNumberFormat="1" applyAlignment="1">
      <alignment horizontal="right" vertical="top" shrinkToFit="1"/>
    </xf>
    <xf numFmtId="0" fontId="104" fillId="0" borderId="115" xfId="44" applyBorder="1" applyAlignment="1">
      <alignment horizontal="left" vertical="top" wrapText="1" indent="3"/>
    </xf>
    <xf numFmtId="0" fontId="70" fillId="0" borderId="115" xfId="44" applyFont="1" applyBorder="1" applyAlignment="1">
      <alignment horizontal="right" vertical="center"/>
    </xf>
    <xf numFmtId="0" fontId="13" fillId="15" borderId="0" xfId="43" applyFont="1" applyFill="1" applyBorder="1" applyAlignment="1">
      <alignment vertical="center"/>
    </xf>
    <xf numFmtId="0" fontId="32" fillId="15" borderId="0" xfId="43" applyFont="1" applyFill="1" applyBorder="1">
      <alignment vertical="top"/>
    </xf>
    <xf numFmtId="199" fontId="32" fillId="15" borderId="0" xfId="43" applyNumberFormat="1" applyFont="1" applyFill="1" applyBorder="1" applyAlignment="1">
      <alignment horizontal="right" vertical="center"/>
    </xf>
    <xf numFmtId="199" fontId="32" fillId="15" borderId="0" xfId="43" applyNumberFormat="1" applyFont="1" applyFill="1" applyBorder="1">
      <alignment vertical="top"/>
    </xf>
    <xf numFmtId="199" fontId="32" fillId="15" borderId="0" xfId="16" applyNumberFormat="1" applyFont="1" applyFill="1" applyBorder="1" applyAlignment="1">
      <alignment vertical="top"/>
    </xf>
    <xf numFmtId="0" fontId="32" fillId="15" borderId="38" xfId="43" applyFont="1" applyFill="1" applyBorder="1">
      <alignment vertical="top"/>
    </xf>
    <xf numFmtId="199" fontId="32" fillId="15" borderId="0" xfId="43" applyNumberFormat="1" applyFont="1" applyFill="1">
      <alignment vertical="top"/>
    </xf>
    <xf numFmtId="165" fontId="32" fillId="15" borderId="0" xfId="16" applyFont="1" applyFill="1" applyAlignment="1">
      <alignment vertical="top"/>
    </xf>
    <xf numFmtId="199" fontId="32" fillId="15" borderId="0" xfId="16" applyNumberFormat="1" applyFont="1" applyFill="1" applyAlignment="1">
      <alignment vertical="top"/>
    </xf>
    <xf numFmtId="0" fontId="32" fillId="15" borderId="0" xfId="43" applyFont="1" applyFill="1">
      <alignment vertical="top"/>
    </xf>
    <xf numFmtId="199" fontId="32" fillId="15" borderId="0" xfId="43" applyNumberFormat="1" applyFont="1" applyFill="1" applyAlignment="1">
      <alignment horizontal="right" vertical="top"/>
    </xf>
    <xf numFmtId="199" fontId="26" fillId="15" borderId="115" xfId="34" applyNumberFormat="1" applyFill="1"/>
    <xf numFmtId="199" fontId="26" fillId="15" borderId="115" xfId="16" applyNumberFormat="1" applyFont="1" applyFill="1" applyBorder="1"/>
    <xf numFmtId="0" fontId="26" fillId="15" borderId="0" xfId="34" applyFill="1" applyBorder="1"/>
    <xf numFmtId="0" fontId="13" fillId="15" borderId="0" xfId="43" applyFont="1" applyFill="1" applyBorder="1" applyAlignment="1">
      <alignment vertical="top" wrapText="1"/>
    </xf>
    <xf numFmtId="0" fontId="26" fillId="15" borderId="115" xfId="34" applyFill="1"/>
    <xf numFmtId="0" fontId="29" fillId="0" borderId="20" xfId="0" applyFont="1" applyFill="1" applyBorder="1">
      <alignment vertical="top"/>
    </xf>
    <xf numFmtId="0" fontId="17" fillId="0" borderId="0" xfId="0" applyFont="1" applyBorder="1" applyAlignment="1" applyProtection="1">
      <alignment horizontal="right" vertical="top" shrinkToFit="1"/>
    </xf>
    <xf numFmtId="3" fontId="17" fillId="0" borderId="0" xfId="23" applyNumberFormat="1" applyFont="1">
      <alignment horizontal="right" vertical="top" indent="3"/>
    </xf>
    <xf numFmtId="0" fontId="17" fillId="0" borderId="0" xfId="23" applyNumberFormat="1" applyFont="1" applyProtection="1">
      <alignment horizontal="right" vertical="top" indent="3"/>
    </xf>
    <xf numFmtId="0" fontId="29" fillId="20" borderId="0" xfId="0" applyFont="1" applyFill="1" applyBorder="1" applyAlignment="1">
      <alignment vertical="top"/>
    </xf>
    <xf numFmtId="0" fontId="83" fillId="0" borderId="88" xfId="19" applyFont="1" applyBorder="1" applyAlignment="1">
      <alignment horizontal="centerContinuous" vertical="top"/>
    </xf>
    <xf numFmtId="9" fontId="0" fillId="0" borderId="0" xfId="7" applyFont="1" applyAlignment="1">
      <alignment horizontal="right"/>
    </xf>
    <xf numFmtId="9" fontId="0" fillId="0" borderId="0" xfId="7" applyFont="1" applyAlignment="1">
      <alignment horizontal="center"/>
    </xf>
    <xf numFmtId="9" fontId="0" fillId="0" borderId="29" xfId="7" applyFont="1" applyBorder="1" applyAlignment="1">
      <alignment horizontal="right"/>
    </xf>
    <xf numFmtId="9" fontId="17" fillId="0" borderId="35" xfId="7" applyFont="1" applyBorder="1" applyAlignment="1">
      <alignment horizontal="right"/>
    </xf>
    <xf numFmtId="9" fontId="0" fillId="0" borderId="36" xfId="7" applyFont="1" applyBorder="1" applyAlignment="1">
      <alignment horizontal="right"/>
    </xf>
    <xf numFmtId="9" fontId="0" fillId="0" borderId="25" xfId="7" applyFont="1" applyBorder="1" applyAlignment="1">
      <alignment horizontal="right"/>
    </xf>
    <xf numFmtId="9" fontId="0" fillId="0" borderId="35" xfId="7" applyFont="1" applyBorder="1" applyAlignment="1">
      <alignment horizontal="right"/>
    </xf>
    <xf numFmtId="0" fontId="71" fillId="0" borderId="0" xfId="0" applyFont="1" applyAlignment="1">
      <alignment horizontal="center" vertical="center"/>
    </xf>
    <xf numFmtId="0" fontId="83" fillId="0" borderId="170" xfId="46" applyFont="1" applyBorder="1" applyAlignment="1">
      <alignment vertical="top"/>
    </xf>
    <xf numFmtId="0" fontId="13" fillId="0" borderId="0" xfId="43" applyFont="1">
      <alignment vertical="top"/>
    </xf>
    <xf numFmtId="0" fontId="85" fillId="0" borderId="194" xfId="37" applyFont="1" applyBorder="1" applyAlignment="1">
      <alignment vertical="top"/>
    </xf>
    <xf numFmtId="0" fontId="23" fillId="0" borderId="188" xfId="43" applyFont="1" applyFill="1" applyBorder="1">
      <alignment vertical="top"/>
    </xf>
    <xf numFmtId="0" fontId="24" fillId="0" borderId="191" xfId="43" applyFont="1" applyFill="1" applyBorder="1" applyAlignment="1">
      <alignment horizontal="right" vertical="top"/>
    </xf>
    <xf numFmtId="0" fontId="85" fillId="0" borderId="189" xfId="46" applyFont="1" applyBorder="1" applyAlignment="1">
      <alignment vertical="top"/>
    </xf>
    <xf numFmtId="0" fontId="23" fillId="0" borderId="188" xfId="43" applyFont="1" applyBorder="1">
      <alignment vertical="top"/>
    </xf>
    <xf numFmtId="0" fontId="23" fillId="0" borderId="188" xfId="43" applyFont="1" applyBorder="1" applyAlignment="1">
      <alignment horizontal="right" vertical="center" shrinkToFit="1"/>
    </xf>
    <xf numFmtId="0" fontId="24" fillId="0" borderId="190" xfId="43" applyFont="1" applyBorder="1">
      <alignment vertical="top"/>
    </xf>
    <xf numFmtId="0" fontId="24" fillId="0" borderId="191" xfId="43" applyFont="1" applyBorder="1">
      <alignment vertical="top"/>
    </xf>
    <xf numFmtId="0" fontId="24" fillId="0" borderId="192" xfId="43" applyFont="1" applyBorder="1">
      <alignment vertical="top"/>
    </xf>
    <xf numFmtId="0" fontId="24" fillId="0" borderId="193" xfId="43" applyFont="1" applyBorder="1">
      <alignment vertical="top"/>
    </xf>
    <xf numFmtId="0" fontId="23" fillId="0" borderId="0" xfId="43" applyFont="1" applyBorder="1">
      <alignment vertical="top"/>
    </xf>
    <xf numFmtId="0" fontId="23" fillId="0" borderId="0" xfId="43" applyFont="1" applyBorder="1" applyAlignment="1">
      <alignment vertical="top"/>
    </xf>
    <xf numFmtId="0" fontId="23" fillId="0" borderId="0" xfId="43" applyFont="1">
      <alignment vertical="top"/>
    </xf>
    <xf numFmtId="0" fontId="74" fillId="0" borderId="0" xfId="48" applyFont="1" applyAlignment="1">
      <alignment vertical="top"/>
    </xf>
    <xf numFmtId="0" fontId="74" fillId="0" borderId="0" xfId="43" applyFont="1" applyBorder="1" applyAlignment="1">
      <alignment vertical="top"/>
    </xf>
    <xf numFmtId="0" fontId="0" fillId="0" borderId="18" xfId="0" applyFont="1" applyBorder="1" applyAlignment="1">
      <alignment horizontal="left" shrinkToFit="1"/>
    </xf>
    <xf numFmtId="0" fontId="0" fillId="0" borderId="18" xfId="0" applyBorder="1" applyAlignment="1">
      <alignment horizontal="center"/>
    </xf>
    <xf numFmtId="0" fontId="0" fillId="0" borderId="18" xfId="0" applyFont="1" applyBorder="1" applyAlignment="1">
      <alignment horizontal="right" shrinkToFit="1"/>
    </xf>
    <xf numFmtId="0" fontId="0" fillId="0" borderId="18" xfId="0" applyFont="1" applyBorder="1" applyAlignment="1">
      <alignment horizontal="right" wrapText="1" shrinkToFit="1"/>
    </xf>
    <xf numFmtId="0" fontId="0" fillId="0" borderId="18" xfId="0" applyFont="1" applyBorder="1" applyAlignment="1">
      <alignment horizontal="center" shrinkToFit="1"/>
    </xf>
    <xf numFmtId="9" fontId="0" fillId="0" borderId="0" xfId="7" applyFont="1" applyAlignment="1">
      <alignment vertical="top"/>
    </xf>
    <xf numFmtId="9" fontId="13" fillId="0" borderId="0" xfId="7" applyFont="1" applyAlignment="1">
      <alignment horizontal="right" vertical="top" shrinkToFit="1"/>
    </xf>
    <xf numFmtId="9" fontId="0" fillId="0" borderId="18" xfId="7" applyFont="1" applyBorder="1" applyAlignment="1">
      <alignment horizontal="right" wrapText="1" shrinkToFit="1"/>
    </xf>
    <xf numFmtId="168" fontId="0" fillId="0" borderId="0" xfId="7" applyNumberFormat="1" applyFont="1" applyAlignment="1">
      <alignment horizontal="center" vertical="top"/>
    </xf>
    <xf numFmtId="2" fontId="0" fillId="0" borderId="0" xfId="0" applyNumberFormat="1" applyAlignment="1">
      <alignment horizontal="center" vertical="top"/>
    </xf>
    <xf numFmtId="0" fontId="134" fillId="7" borderId="0" xfId="0" applyFont="1" applyFill="1" applyAlignment="1">
      <alignment horizontal="right"/>
    </xf>
    <xf numFmtId="0" fontId="86" fillId="0" borderId="0" xfId="0" applyFont="1" applyFill="1" applyAlignment="1">
      <alignment horizontal="center" vertical="top"/>
    </xf>
    <xf numFmtId="9" fontId="0" fillId="0" borderId="0" xfId="7" applyFont="1" applyFill="1" applyAlignment="1">
      <alignment horizontal="center" vertical="top"/>
    </xf>
    <xf numFmtId="0" fontId="0" fillId="0" borderId="13" xfId="0" applyFont="1" applyBorder="1" applyAlignment="1">
      <alignment vertical="top" wrapText="1"/>
    </xf>
    <xf numFmtId="0" fontId="13" fillId="0" borderId="13" xfId="0" applyFont="1" applyBorder="1">
      <alignment vertical="top"/>
    </xf>
    <xf numFmtId="0" fontId="93" fillId="0" borderId="0" xfId="0" applyFont="1" applyAlignment="1">
      <alignment horizontal="right" vertical="top"/>
    </xf>
    <xf numFmtId="0" fontId="33" fillId="0" borderId="0" xfId="0" applyFont="1" applyAlignment="1">
      <alignment wrapText="1"/>
    </xf>
    <xf numFmtId="0" fontId="34" fillId="0" borderId="0" xfId="0" applyFont="1" applyAlignment="1"/>
    <xf numFmtId="0" fontId="0" fillId="0" borderId="0" xfId="7" applyNumberFormat="1" applyFont="1" applyAlignment="1">
      <alignment horizontal="right"/>
    </xf>
    <xf numFmtId="164" fontId="0" fillId="0" borderId="0" xfId="16" applyNumberFormat="1" applyFont="1" applyAlignment="1"/>
    <xf numFmtId="0" fontId="0" fillId="0" borderId="0" xfId="7" applyNumberFormat="1" applyFont="1" applyAlignment="1">
      <alignment horizontal="center"/>
    </xf>
    <xf numFmtId="0" fontId="17" fillId="0" borderId="0" xfId="0" applyNumberFormat="1" applyFont="1" applyBorder="1" applyAlignment="1">
      <alignment horizontal="center"/>
    </xf>
    <xf numFmtId="0" fontId="0" fillId="0" borderId="26" xfId="0" applyFont="1" applyFill="1" applyBorder="1" applyAlignment="1">
      <alignment horizontal="center" vertical="center" wrapText="1"/>
    </xf>
    <xf numFmtId="9" fontId="0" fillId="0" borderId="27" xfId="7" applyFont="1" applyBorder="1" applyAlignment="1">
      <alignment horizontal="center" vertical="center"/>
    </xf>
    <xf numFmtId="0" fontId="0" fillId="0" borderId="0" xfId="7" applyNumberFormat="1" applyFont="1" applyBorder="1" applyAlignment="1">
      <alignment horizontal="center" vertical="center" wrapText="1"/>
    </xf>
    <xf numFmtId="0" fontId="0" fillId="0" borderId="0" xfId="7" applyNumberFormat="1" applyFont="1" applyBorder="1" applyAlignment="1">
      <alignment horizontal="right"/>
    </xf>
    <xf numFmtId="0" fontId="17" fillId="0" borderId="0" xfId="7" applyNumberFormat="1" applyFont="1" applyBorder="1" applyAlignment="1">
      <alignment horizontal="right"/>
    </xf>
    <xf numFmtId="164" fontId="0" fillId="0" borderId="0" xfId="16" applyNumberFormat="1" applyFont="1" applyFill="1" applyBorder="1" applyAlignment="1">
      <alignment horizontal="right"/>
    </xf>
    <xf numFmtId="9" fontId="0" fillId="0" borderId="25" xfId="7" applyFont="1" applyBorder="1" applyAlignment="1"/>
    <xf numFmtId="0" fontId="0" fillId="0" borderId="0" xfId="7" applyNumberFormat="1" applyFont="1" applyBorder="1" applyAlignment="1"/>
    <xf numFmtId="164" fontId="17" fillId="0" borderId="0" xfId="16" applyNumberFormat="1" applyFont="1" applyAlignment="1"/>
    <xf numFmtId="164" fontId="13" fillId="0" borderId="0" xfId="16" applyNumberFormat="1" applyFont="1" applyAlignment="1">
      <alignment vertical="center"/>
    </xf>
    <xf numFmtId="0" fontId="32" fillId="0" borderId="0" xfId="0" applyFont="1" applyAlignment="1">
      <alignment horizontal="left" vertical="top"/>
    </xf>
    <xf numFmtId="0" fontId="32" fillId="0" borderId="0" xfId="0" applyFont="1">
      <alignment vertical="top"/>
    </xf>
    <xf numFmtId="0" fontId="140" fillId="0" borderId="115" xfId="34" applyFont="1"/>
    <xf numFmtId="0" fontId="141" fillId="0" borderId="0" xfId="24" applyFont="1" applyAlignment="1">
      <alignment horizontal="right"/>
    </xf>
    <xf numFmtId="0" fontId="32" fillId="17" borderId="0" xfId="0" applyFont="1" applyFill="1" applyAlignment="1">
      <alignment horizontal="left" vertical="top"/>
    </xf>
    <xf numFmtId="0" fontId="141" fillId="0" borderId="0" xfId="24" applyFont="1" applyAlignment="1">
      <alignment horizontal="left" vertical="top"/>
    </xf>
    <xf numFmtId="0" fontId="142" fillId="19" borderId="0" xfId="0" applyFont="1" applyFill="1" applyAlignment="1">
      <alignment horizontal="center" vertical="top"/>
    </xf>
    <xf numFmtId="0" fontId="32" fillId="21" borderId="0" xfId="0" applyFont="1" applyFill="1" applyBorder="1" applyAlignment="1">
      <alignment horizontal="center" vertical="top"/>
    </xf>
    <xf numFmtId="0" fontId="32" fillId="18" borderId="0" xfId="0" applyFont="1" applyFill="1" applyAlignment="1">
      <alignment horizontal="center" vertical="top"/>
    </xf>
    <xf numFmtId="0" fontId="32" fillId="18" borderId="0" xfId="0" applyFont="1" applyFill="1" applyBorder="1" applyAlignment="1">
      <alignment horizontal="center" vertical="top"/>
    </xf>
    <xf numFmtId="0" fontId="32" fillId="0" borderId="0" xfId="0" applyFont="1" applyFill="1" applyBorder="1" applyAlignment="1">
      <alignment horizontal="left" vertical="top"/>
    </xf>
    <xf numFmtId="0" fontId="110" fillId="2" borderId="6" xfId="0" applyFont="1" applyFill="1" applyBorder="1" applyAlignment="1">
      <alignment horizontal="center" vertical="top"/>
    </xf>
    <xf numFmtId="0" fontId="32" fillId="2" borderId="0" xfId="0" applyFont="1" applyFill="1" applyBorder="1" applyAlignment="1">
      <alignment horizontal="center" vertical="top"/>
    </xf>
    <xf numFmtId="0" fontId="110" fillId="2" borderId="0" xfId="0" applyFont="1" applyFill="1" applyBorder="1" applyAlignment="1">
      <alignment horizontal="center" vertical="top"/>
    </xf>
    <xf numFmtId="0" fontId="32" fillId="2" borderId="6" xfId="0" applyFont="1" applyFill="1" applyBorder="1" applyAlignment="1">
      <alignment horizontal="center" vertical="top"/>
    </xf>
    <xf numFmtId="0" fontId="141" fillId="0" borderId="0" xfId="24" applyFont="1">
      <alignment vertical="top"/>
    </xf>
    <xf numFmtId="0" fontId="32" fillId="2" borderId="0" xfId="0" applyFont="1" applyFill="1" applyAlignment="1">
      <alignment horizontal="center" vertical="top"/>
    </xf>
    <xf numFmtId="0" fontId="32" fillId="0" borderId="0" xfId="0" applyFont="1" applyAlignment="1">
      <alignment horizontal="center" vertical="top"/>
    </xf>
    <xf numFmtId="0" fontId="142" fillId="0" borderId="0" xfId="0" applyFont="1" applyAlignment="1">
      <alignment horizontal="center" vertical="top"/>
    </xf>
    <xf numFmtId="0" fontId="32" fillId="20" borderId="0" xfId="0" applyFont="1" applyFill="1" applyAlignment="1">
      <alignment horizontal="center" vertical="top"/>
    </xf>
    <xf numFmtId="0" fontId="32" fillId="21" borderId="0" xfId="0" applyFont="1" applyFill="1" applyAlignment="1">
      <alignment horizontal="center" vertical="top"/>
    </xf>
    <xf numFmtId="0" fontId="32" fillId="21" borderId="122" xfId="0" applyFont="1" applyFill="1" applyBorder="1" applyAlignment="1">
      <alignment horizontal="center" vertical="top"/>
    </xf>
    <xf numFmtId="0" fontId="32" fillId="20" borderId="119" xfId="0" applyFont="1" applyFill="1" applyBorder="1" applyAlignment="1">
      <alignment horizontal="center" vertical="top"/>
    </xf>
    <xf numFmtId="0" fontId="32" fillId="20" borderId="0" xfId="0" applyFont="1" applyFill="1" applyBorder="1" applyAlignment="1">
      <alignment horizontal="center" vertical="top"/>
    </xf>
    <xf numFmtId="0" fontId="32" fillId="17" borderId="0" xfId="0" applyFont="1" applyFill="1" applyBorder="1" applyAlignment="1">
      <alignment horizontal="center" vertical="top"/>
    </xf>
    <xf numFmtId="0" fontId="88" fillId="20" borderId="0" xfId="8" applyFont="1" applyFill="1" applyBorder="1" applyAlignment="1">
      <alignment horizontal="right" vertical="top"/>
    </xf>
    <xf numFmtId="0" fontId="141" fillId="0" borderId="0" xfId="24" applyFont="1" applyBorder="1">
      <alignment vertical="top"/>
    </xf>
    <xf numFmtId="0" fontId="142" fillId="20" borderId="0" xfId="0" applyFont="1" applyFill="1" applyBorder="1" applyAlignment="1">
      <alignment horizontal="center" vertical="top"/>
    </xf>
    <xf numFmtId="0" fontId="110" fillId="0" borderId="115" xfId="34" applyFont="1" applyAlignment="1">
      <alignment shrinkToFit="1"/>
    </xf>
    <xf numFmtId="0" fontId="32" fillId="2" borderId="7" xfId="0" applyFont="1" applyFill="1" applyBorder="1" applyAlignment="1">
      <alignment horizontal="right" vertical="top"/>
    </xf>
    <xf numFmtId="0" fontId="32" fillId="2" borderId="0" xfId="0" applyFont="1" applyFill="1" applyBorder="1" applyAlignment="1">
      <alignment horizontal="right" vertical="top"/>
    </xf>
    <xf numFmtId="0" fontId="143" fillId="20" borderId="0" xfId="0" applyFont="1" applyFill="1" applyAlignment="1">
      <alignment horizontal="center" vertical="top"/>
    </xf>
    <xf numFmtId="0" fontId="32" fillId="0" borderId="130" xfId="0" applyFont="1" applyBorder="1" applyAlignment="1">
      <alignment horizontal="center" vertical="top"/>
    </xf>
    <xf numFmtId="167" fontId="32" fillId="0" borderId="0" xfId="0" applyNumberFormat="1" applyFont="1" applyAlignment="1">
      <alignment horizontal="center" vertical="top"/>
    </xf>
    <xf numFmtId="0" fontId="143" fillId="20" borderId="0" xfId="0" applyFont="1" applyFill="1" applyBorder="1" applyAlignment="1">
      <alignment horizontal="center" vertical="top"/>
    </xf>
    <xf numFmtId="0" fontId="141" fillId="0" borderId="0" xfId="24" applyFont="1" applyAlignment="1">
      <alignment horizontal="center" vertical="top"/>
    </xf>
    <xf numFmtId="0" fontId="140" fillId="0" borderId="115" xfId="34" applyFont="1" applyFill="1"/>
    <xf numFmtId="0" fontId="144" fillId="20" borderId="0" xfId="0" applyFont="1" applyFill="1" applyAlignment="1">
      <alignment horizontal="center" vertical="top"/>
    </xf>
    <xf numFmtId="0" fontId="145" fillId="0" borderId="0" xfId="3" applyFont="1" applyBorder="1" applyAlignment="1">
      <alignment horizontal="left" vertical="top"/>
    </xf>
    <xf numFmtId="0" fontId="32" fillId="20" borderId="6" xfId="0" applyFont="1" applyFill="1" applyBorder="1" applyAlignment="1">
      <alignment horizontal="center" vertical="top"/>
    </xf>
    <xf numFmtId="0" fontId="32" fillId="0" borderId="129" xfId="0" applyFont="1" applyBorder="1">
      <alignment vertical="top"/>
    </xf>
    <xf numFmtId="0" fontId="32" fillId="0" borderId="0" xfId="0" applyFont="1" applyBorder="1" applyAlignment="1">
      <alignment horizontal="left" vertical="top"/>
    </xf>
    <xf numFmtId="0" fontId="0" fillId="0" borderId="0" xfId="0">
      <alignment vertical="top"/>
    </xf>
    <xf numFmtId="0" fontId="0" fillId="0" borderId="0" xfId="0">
      <alignment vertical="top"/>
    </xf>
    <xf numFmtId="0" fontId="2" fillId="0" borderId="0" xfId="1" applyFont="1" applyFill="1" applyBorder="1" applyAlignment="1">
      <alignment vertical="top"/>
    </xf>
    <xf numFmtId="0" fontId="0" fillId="14" borderId="218" xfId="0" applyFont="1" applyFill="1" applyBorder="1" applyAlignment="1">
      <alignment horizontal="center" vertical="center" wrapText="1"/>
    </xf>
    <xf numFmtId="0" fontId="0" fillId="14" borderId="219" xfId="0" applyFont="1" applyFill="1" applyBorder="1" applyAlignment="1">
      <alignment horizontal="center" vertical="center" wrapText="1"/>
    </xf>
    <xf numFmtId="0" fontId="0" fillId="14" borderId="219" xfId="0" applyFill="1" applyBorder="1" applyAlignment="1">
      <alignment horizontal="center" vertical="center" wrapText="1"/>
    </xf>
    <xf numFmtId="0" fontId="0" fillId="14" borderId="219" xfId="0" applyFill="1" applyBorder="1" applyAlignment="1" applyProtection="1">
      <alignment horizontal="center" vertical="center" wrapText="1"/>
    </xf>
    <xf numFmtId="0" fontId="23" fillId="14" borderId="219" xfId="1" applyFont="1" applyFill="1" applyBorder="1" applyAlignment="1">
      <alignment horizontal="center" vertical="center" wrapText="1"/>
    </xf>
    <xf numFmtId="0" fontId="0" fillId="14" borderId="220" xfId="0" applyFont="1" applyFill="1" applyBorder="1" applyAlignment="1">
      <alignment horizontal="center" vertical="center" wrapText="1"/>
    </xf>
    <xf numFmtId="0" fontId="0" fillId="0" borderId="221" xfId="0" applyFill="1" applyBorder="1" applyAlignment="1">
      <alignment horizontal="center"/>
    </xf>
    <xf numFmtId="0" fontId="0" fillId="0" borderId="222" xfId="0" applyFill="1" applyBorder="1" applyAlignment="1">
      <alignment horizontal="center"/>
    </xf>
    <xf numFmtId="0" fontId="0" fillId="0" borderId="222" xfId="0" applyBorder="1" applyAlignment="1">
      <alignment horizontal="center" vertical="top"/>
    </xf>
    <xf numFmtId="0" fontId="0" fillId="0" borderId="223" xfId="0" applyBorder="1">
      <alignment vertical="top"/>
    </xf>
    <xf numFmtId="0" fontId="0" fillId="0" borderId="221" xfId="0" applyFont="1" applyFill="1" applyBorder="1" applyAlignment="1">
      <alignment horizontal="center"/>
    </xf>
    <xf numFmtId="0" fontId="0" fillId="0" borderId="222" xfId="0" applyFont="1" applyBorder="1" applyAlignment="1">
      <alignment horizontal="center" vertical="top"/>
    </xf>
    <xf numFmtId="0" fontId="0" fillId="0" borderId="222" xfId="0" applyFill="1" applyBorder="1" applyAlignment="1" applyProtection="1">
      <alignment horizontal="center"/>
    </xf>
    <xf numFmtId="0" fontId="0" fillId="0" borderId="223" xfId="0" applyFont="1" applyFill="1" applyBorder="1" applyAlignment="1">
      <alignment horizontal="center" vertical="top"/>
    </xf>
    <xf numFmtId="0" fontId="0" fillId="0" borderId="221" xfId="0" applyFont="1" applyFill="1" applyBorder="1" applyAlignment="1" applyProtection="1">
      <alignment horizontal="center"/>
    </xf>
    <xf numFmtId="0" fontId="0" fillId="0" borderId="222" xfId="0" applyFont="1" applyFill="1" applyBorder="1" applyAlignment="1" applyProtection="1">
      <alignment horizontal="center"/>
    </xf>
    <xf numFmtId="0" fontId="0" fillId="0" borderId="221" xfId="0" applyFill="1" applyBorder="1" applyAlignment="1" applyProtection="1">
      <alignment horizontal="center"/>
    </xf>
    <xf numFmtId="2" fontId="0" fillId="0" borderId="222" xfId="0" applyNumberFormat="1" applyFill="1" applyBorder="1" applyAlignment="1" applyProtection="1">
      <alignment horizontal="center"/>
      <protection locked="0"/>
    </xf>
    <xf numFmtId="0" fontId="0" fillId="0" borderId="222" xfId="0" applyFont="1" applyFill="1" applyBorder="1" applyAlignment="1">
      <alignment horizontal="center" vertical="top"/>
    </xf>
    <xf numFmtId="0" fontId="0" fillId="0" borderId="222" xfId="0" applyFill="1" applyBorder="1" applyAlignment="1">
      <alignment horizontal="center" vertical="top"/>
    </xf>
    <xf numFmtId="0" fontId="0" fillId="0" borderId="224" xfId="0" applyFill="1" applyBorder="1" applyAlignment="1"/>
    <xf numFmtId="0" fontId="59" fillId="0" borderId="225" xfId="0" applyFont="1" applyFill="1" applyBorder="1" applyAlignment="1"/>
    <xf numFmtId="0" fontId="0" fillId="0" borderId="225" xfId="0" applyFont="1" applyFill="1" applyBorder="1" applyAlignment="1">
      <alignment horizontal="center" vertical="top"/>
    </xf>
    <xf numFmtId="0" fontId="0" fillId="0" borderId="225" xfId="0" applyFont="1" applyBorder="1" applyAlignment="1"/>
    <xf numFmtId="0" fontId="0" fillId="0" borderId="225" xfId="0" applyBorder="1">
      <alignment vertical="top"/>
    </xf>
    <xf numFmtId="0" fontId="0" fillId="0" borderId="226" xfId="0" applyBorder="1">
      <alignment vertical="top"/>
    </xf>
    <xf numFmtId="0" fontId="147" fillId="0" borderId="0" xfId="0" applyFont="1" applyAlignment="1">
      <alignment horizontal="right" vertical="center"/>
    </xf>
    <xf numFmtId="0" fontId="32" fillId="0" borderId="0" xfId="0" applyFont="1" applyAlignment="1">
      <alignment horizontal="center" vertical="center"/>
    </xf>
    <xf numFmtId="0" fontId="140" fillId="0" borderId="1" xfId="2" applyFont="1" applyAlignment="1">
      <alignment horizontal="center" vertical="center"/>
    </xf>
    <xf numFmtId="0" fontId="32" fillId="2" borderId="0" xfId="0" applyFont="1" applyFill="1" applyAlignment="1">
      <alignment horizontal="center" vertical="center"/>
    </xf>
    <xf numFmtId="0" fontId="149" fillId="0" borderId="0" xfId="0" applyFont="1" applyAlignment="1">
      <alignment horizontal="center" vertical="center"/>
    </xf>
    <xf numFmtId="0" fontId="32" fillId="2" borderId="0" xfId="0" applyFont="1" applyFill="1" applyAlignment="1">
      <alignment horizontal="right" vertical="center"/>
    </xf>
    <xf numFmtId="0" fontId="32" fillId="2" borderId="0" xfId="0" applyFont="1" applyFill="1" applyBorder="1" applyAlignment="1">
      <alignment horizontal="center" vertical="center"/>
    </xf>
    <xf numFmtId="0" fontId="32" fillId="2" borderId="0" xfId="0" applyFont="1" applyFill="1" applyAlignment="1">
      <alignment horizontal="right" vertical="center" indent="8"/>
    </xf>
    <xf numFmtId="0" fontId="32" fillId="2" borderId="0" xfId="0" applyFont="1" applyFill="1" applyAlignment="1">
      <alignment vertical="top"/>
    </xf>
    <xf numFmtId="0" fontId="32" fillId="2" borderId="0" xfId="0" applyFont="1" applyFill="1" applyBorder="1" applyAlignment="1">
      <alignment vertical="top"/>
    </xf>
    <xf numFmtId="0" fontId="32" fillId="12" borderId="0" xfId="0" applyFont="1" applyFill="1" applyAlignment="1">
      <alignment horizontal="center" vertical="center"/>
    </xf>
    <xf numFmtId="0" fontId="141" fillId="0" borderId="0" xfId="24" applyFont="1" applyAlignment="1">
      <alignment horizontal="center" vertical="center"/>
    </xf>
    <xf numFmtId="9" fontId="32" fillId="2" borderId="0" xfId="7" applyFont="1" applyFill="1" applyAlignment="1">
      <alignment horizontal="center" vertical="center"/>
    </xf>
    <xf numFmtId="9" fontId="110" fillId="2" borderId="0" xfId="7" applyFont="1" applyFill="1" applyAlignment="1">
      <alignment horizontal="center" vertical="center"/>
    </xf>
    <xf numFmtId="9" fontId="32" fillId="2" borderId="0" xfId="7" applyFont="1" applyFill="1" applyBorder="1" applyAlignment="1">
      <alignment horizontal="center" vertical="top"/>
    </xf>
    <xf numFmtId="9" fontId="32" fillId="2" borderId="0" xfId="7" applyFont="1" applyFill="1" applyAlignment="1">
      <alignment horizontal="center" vertical="top"/>
    </xf>
    <xf numFmtId="9" fontId="32" fillId="2" borderId="0" xfId="7" applyFont="1" applyFill="1" applyBorder="1" applyAlignment="1">
      <alignment horizontal="center" vertical="center"/>
    </xf>
    <xf numFmtId="9" fontId="150" fillId="2" borderId="0" xfId="7" applyFont="1" applyFill="1" applyBorder="1" applyAlignment="1">
      <alignment horizontal="center" vertical="center"/>
    </xf>
    <xf numFmtId="0" fontId="32" fillId="3" borderId="0" xfId="0" applyFont="1" applyFill="1" applyAlignment="1">
      <alignment horizontal="center" vertical="center"/>
    </xf>
    <xf numFmtId="0" fontId="32" fillId="12" borderId="0" xfId="0" applyFont="1" applyFill="1" applyBorder="1" applyAlignment="1">
      <alignment horizontal="center" vertical="center"/>
    </xf>
    <xf numFmtId="0" fontId="142" fillId="12" borderId="108" xfId="0" applyFont="1" applyFill="1" applyBorder="1" applyAlignment="1">
      <alignment horizontal="center" vertical="center"/>
    </xf>
    <xf numFmtId="0" fontId="140" fillId="0" borderId="1" xfId="2" applyFont="1"/>
    <xf numFmtId="0" fontId="140" fillId="0" borderId="0" xfId="2" applyFont="1" applyBorder="1" applyAlignment="1">
      <alignment horizontal="center" vertical="center"/>
    </xf>
    <xf numFmtId="0" fontId="32" fillId="2" borderId="0" xfId="0" applyFont="1" applyFill="1" applyAlignment="1">
      <alignment vertical="center"/>
    </xf>
    <xf numFmtId="0" fontId="32" fillId="12" borderId="7" xfId="0" applyFont="1" applyFill="1" applyBorder="1" applyAlignment="1">
      <alignment horizontal="center" vertical="center"/>
    </xf>
    <xf numFmtId="0" fontId="32" fillId="0" borderId="0" xfId="0" applyFont="1" applyBorder="1" applyAlignment="1">
      <alignment horizontal="center" vertical="center"/>
    </xf>
    <xf numFmtId="0" fontId="140" fillId="0" borderId="1" xfId="2" applyFont="1" applyFill="1" applyAlignment="1">
      <alignment horizontal="center" vertical="center"/>
    </xf>
    <xf numFmtId="0" fontId="151" fillId="0" borderId="0" xfId="2" applyFont="1" applyFill="1" applyBorder="1" applyAlignment="1">
      <alignment horizontal="center" vertical="center"/>
    </xf>
    <xf numFmtId="0" fontId="143" fillId="2" borderId="95" xfId="0" applyFont="1" applyFill="1" applyBorder="1" applyAlignment="1">
      <alignment horizontal="center" vertical="center"/>
    </xf>
    <xf numFmtId="0" fontId="143" fillId="2" borderId="40" xfId="0" applyFont="1" applyFill="1" applyBorder="1" applyAlignment="1">
      <alignment horizontal="center" vertical="center"/>
    </xf>
    <xf numFmtId="0" fontId="142" fillId="2" borderId="40" xfId="0" applyFont="1" applyFill="1" applyBorder="1" applyAlignment="1">
      <alignment horizontal="center" vertical="center"/>
    </xf>
    <xf numFmtId="0" fontId="32" fillId="0" borderId="0" xfId="0" applyFont="1" applyFill="1" applyAlignment="1">
      <alignment vertical="top"/>
    </xf>
    <xf numFmtId="0" fontId="32" fillId="3" borderId="0" xfId="0" applyFont="1" applyFill="1">
      <alignment vertical="top"/>
    </xf>
    <xf numFmtId="0" fontId="143" fillId="2" borderId="109" xfId="0" applyFont="1" applyFill="1" applyBorder="1" applyAlignment="1">
      <alignment horizontal="center" vertical="center"/>
    </xf>
    <xf numFmtId="0" fontId="142" fillId="0" borderId="0" xfId="0" applyFont="1" applyAlignment="1">
      <alignment horizontal="center" vertical="center"/>
    </xf>
    <xf numFmtId="0" fontId="0" fillId="12" borderId="7" xfId="0" applyFill="1" applyBorder="1" applyAlignment="1">
      <alignment horizontal="left" vertical="top"/>
    </xf>
    <xf numFmtId="0" fontId="0" fillId="12" borderId="0" xfId="0" applyFill="1" applyBorder="1" applyAlignment="1">
      <alignment horizontal="left" vertical="center"/>
    </xf>
    <xf numFmtId="180" fontId="23" fillId="7" borderId="0" xfId="0" applyNumberFormat="1" applyFont="1" applyFill="1" applyBorder="1" applyAlignment="1" applyProtection="1">
      <alignment horizontal="right" vertical="center" indent="3"/>
    </xf>
    <xf numFmtId="176" fontId="17" fillId="0" borderId="185" xfId="43" applyNumberFormat="1" applyFont="1" applyBorder="1" applyAlignment="1">
      <alignment horizontal="right" vertical="center" shrinkToFit="1"/>
    </xf>
    <xf numFmtId="199" fontId="17" fillId="0" borderId="185" xfId="43" applyNumberFormat="1" applyFont="1" applyBorder="1" applyAlignment="1">
      <alignment horizontal="right" vertical="center" shrinkToFit="1"/>
    </xf>
    <xf numFmtId="199" fontId="17" fillId="0" borderId="185" xfId="43" applyNumberFormat="1" applyFont="1" applyBorder="1" applyAlignment="1">
      <alignment vertical="top" shrinkToFit="1"/>
    </xf>
    <xf numFmtId="176" fontId="17" fillId="0" borderId="186" xfId="43" applyNumberFormat="1" applyFont="1" applyBorder="1" applyAlignment="1">
      <alignment vertical="top" shrinkToFit="1"/>
    </xf>
    <xf numFmtId="199" fontId="17" fillId="0" borderId="187" xfId="43" applyNumberFormat="1" applyFont="1" applyBorder="1" applyAlignment="1">
      <alignment vertical="top" shrinkToFit="1"/>
    </xf>
    <xf numFmtId="175" fontId="17" fillId="0" borderId="186" xfId="43" applyNumberFormat="1" applyFont="1" applyBorder="1" applyAlignment="1">
      <alignment vertical="top" shrinkToFit="1"/>
    </xf>
    <xf numFmtId="0" fontId="17" fillId="0" borderId="186" xfId="43" applyFont="1" applyBorder="1" applyAlignment="1">
      <alignment vertical="top" shrinkToFit="1"/>
    </xf>
    <xf numFmtId="199" fontId="17" fillId="0" borderId="185" xfId="16" applyNumberFormat="1" applyFont="1" applyBorder="1" applyAlignment="1">
      <alignment vertical="top" shrinkToFit="1"/>
    </xf>
    <xf numFmtId="199" fontId="17" fillId="0" borderId="185" xfId="43" applyNumberFormat="1" applyFont="1" applyBorder="1" applyAlignment="1">
      <alignment horizontal="right" vertical="top" shrinkToFit="1"/>
    </xf>
    <xf numFmtId="199" fontId="17" fillId="0" borderId="205" xfId="43" applyNumberFormat="1" applyFont="1" applyBorder="1" applyAlignment="1">
      <alignment vertical="top" shrinkToFit="1"/>
    </xf>
    <xf numFmtId="180" fontId="13" fillId="0" borderId="0" xfId="43" applyNumberFormat="1">
      <alignment vertical="top"/>
    </xf>
    <xf numFmtId="168" fontId="15" fillId="0" borderId="0" xfId="23" applyNumberFormat="1" applyFont="1" applyFill="1" applyAlignment="1">
      <alignment horizontal="right" vertical="top" indent="3"/>
    </xf>
    <xf numFmtId="0" fontId="0" fillId="17" borderId="6" xfId="0" applyFill="1" applyBorder="1">
      <alignment vertical="top"/>
    </xf>
    <xf numFmtId="0" fontId="0" fillId="17" borderId="0" xfId="0" applyFill="1" applyBorder="1">
      <alignment vertical="top"/>
    </xf>
    <xf numFmtId="180" fontId="13" fillId="0" borderId="0" xfId="0" applyNumberFormat="1" applyFont="1" applyFill="1" applyBorder="1" applyProtection="1">
      <alignment vertical="top"/>
    </xf>
    <xf numFmtId="180" fontId="13" fillId="0" borderId="0" xfId="0" applyNumberFormat="1" applyFont="1" applyAlignment="1" applyProtection="1">
      <alignment horizontal="right" vertical="top"/>
    </xf>
    <xf numFmtId="180" fontId="23" fillId="0" borderId="0" xfId="23" applyNumberFormat="1" applyFont="1" applyAlignment="1">
      <alignment horizontal="right" vertical="top" indent="2"/>
    </xf>
    <xf numFmtId="0" fontId="0" fillId="0" borderId="0" xfId="0">
      <alignment vertical="top"/>
    </xf>
    <xf numFmtId="0" fontId="13" fillId="0" borderId="0" xfId="0" applyFont="1" applyAlignment="1">
      <alignment horizontal="right" vertical="top" indent="1"/>
    </xf>
    <xf numFmtId="0" fontId="0" fillId="0" borderId="0" xfId="0" applyAlignment="1">
      <alignment horizontal="right" vertical="top" indent="1"/>
    </xf>
    <xf numFmtId="0" fontId="25" fillId="0" borderId="0" xfId="0" applyFont="1" applyAlignment="1">
      <alignment vertical="top"/>
    </xf>
    <xf numFmtId="0" fontId="17" fillId="0" borderId="0" xfId="0" applyFont="1" applyBorder="1">
      <alignment vertical="top"/>
    </xf>
    <xf numFmtId="0" fontId="0" fillId="0" borderId="227" xfId="0" applyBorder="1" applyAlignment="1">
      <alignment horizontal="right" vertical="center" textRotation="90"/>
    </xf>
    <xf numFmtId="0" fontId="17" fillId="0" borderId="228" xfId="0" applyFont="1" applyBorder="1">
      <alignment vertical="top"/>
    </xf>
    <xf numFmtId="0" fontId="0" fillId="0" borderId="228" xfId="0" applyBorder="1">
      <alignment vertical="top"/>
    </xf>
    <xf numFmtId="0" fontId="0" fillId="0" borderId="228" xfId="0" applyFont="1" applyBorder="1">
      <alignment vertical="top"/>
    </xf>
    <xf numFmtId="0" fontId="37" fillId="0" borderId="228" xfId="0" applyFont="1" applyBorder="1">
      <alignment vertical="top"/>
    </xf>
    <xf numFmtId="0" fontId="37" fillId="0" borderId="228" xfId="0" applyFont="1" applyBorder="1" applyAlignment="1">
      <alignment horizontal="right" vertical="top"/>
    </xf>
    <xf numFmtId="0" fontId="37" fillId="0" borderId="228" xfId="0" applyFont="1" applyBorder="1" applyAlignment="1">
      <alignment vertical="top"/>
    </xf>
    <xf numFmtId="0" fontId="64" fillId="0" borderId="91" xfId="0" applyFont="1" applyFill="1" applyBorder="1">
      <alignment vertical="top"/>
    </xf>
    <xf numFmtId="0" fontId="35" fillId="0" borderId="92" xfId="0" applyFont="1" applyFill="1" applyBorder="1">
      <alignment vertical="top"/>
    </xf>
    <xf numFmtId="0" fontId="64" fillId="30" borderId="93" xfId="0" applyFont="1" applyFill="1" applyBorder="1">
      <alignment vertical="top"/>
    </xf>
    <xf numFmtId="0" fontId="35" fillId="30" borderId="94" xfId="0" applyFont="1" applyFill="1" applyBorder="1">
      <alignment vertical="top"/>
    </xf>
    <xf numFmtId="0" fontId="35" fillId="0" borderId="91" xfId="0" applyFont="1" applyFill="1" applyBorder="1">
      <alignment vertical="top"/>
    </xf>
    <xf numFmtId="0" fontId="13" fillId="0" borderId="92" xfId="0" applyFont="1" applyFill="1" applyBorder="1">
      <alignment vertical="top"/>
    </xf>
    <xf numFmtId="186" fontId="61" fillId="0" borderId="0" xfId="0" applyNumberFormat="1" applyFont="1" applyFill="1" applyBorder="1" applyAlignment="1" applyProtection="1">
      <alignment horizontal="left" vertical="top"/>
      <protection locked="0"/>
    </xf>
    <xf numFmtId="0" fontId="64" fillId="0" borderId="90" xfId="0" applyFont="1" applyFill="1" applyBorder="1" applyProtection="1">
      <alignment vertical="top"/>
      <protection locked="0"/>
    </xf>
    <xf numFmtId="0" fontId="93" fillId="0" borderId="0" xfId="0" applyFont="1" applyBorder="1" applyProtection="1">
      <alignment vertical="top"/>
      <protection locked="0"/>
    </xf>
    <xf numFmtId="0" fontId="129" fillId="0" borderId="133" xfId="13" applyBorder="1" applyAlignment="1">
      <alignment horizontal="left" vertical="top" indent="3"/>
    </xf>
    <xf numFmtId="0" fontId="129" fillId="0" borderId="133" xfId="13" applyBorder="1" applyAlignment="1">
      <alignment vertical="top"/>
    </xf>
    <xf numFmtId="0" fontId="129" fillId="0" borderId="133" xfId="13" applyBorder="1" applyAlignment="1">
      <alignment vertical="center"/>
    </xf>
    <xf numFmtId="0" fontId="129" fillId="0" borderId="0" xfId="13" applyAlignment="1">
      <alignment vertical="top"/>
    </xf>
    <xf numFmtId="0" fontId="34" fillId="0" borderId="0" xfId="0" applyFont="1" applyAlignment="1">
      <alignment vertical="top" wrapText="1"/>
    </xf>
    <xf numFmtId="0" fontId="0" fillId="0" borderId="0" xfId="0">
      <alignment vertical="top"/>
    </xf>
    <xf numFmtId="0" fontId="0" fillId="2" borderId="0" xfId="0" applyFill="1" applyBorder="1" applyAlignment="1">
      <alignment horizontal="right" vertical="top"/>
    </xf>
    <xf numFmtId="0" fontId="83" fillId="0" borderId="118" xfId="0" applyFont="1" applyFill="1" applyBorder="1" applyAlignment="1" applyProtection="1">
      <alignment horizontal="right" vertical="center"/>
    </xf>
    <xf numFmtId="0" fontId="83" fillId="0" borderId="0" xfId="0" applyFont="1" applyFill="1" applyBorder="1" applyAlignment="1" applyProtection="1">
      <alignment horizontal="right" vertical="center"/>
    </xf>
    <xf numFmtId="0" fontId="0" fillId="0" borderId="0" xfId="0" applyAlignment="1" applyProtection="1">
      <alignment vertical="top"/>
    </xf>
    <xf numFmtId="0" fontId="0" fillId="0" borderId="0" xfId="0" applyFill="1" applyAlignment="1" applyProtection="1">
      <alignment vertical="center"/>
    </xf>
    <xf numFmtId="0" fontId="104" fillId="0" borderId="116" xfId="1" applyBorder="1" applyAlignment="1" applyProtection="1">
      <alignment vertical="center"/>
    </xf>
    <xf numFmtId="0" fontId="79" fillId="0" borderId="0" xfId="24" applyAlignment="1" applyProtection="1">
      <alignment vertical="center"/>
    </xf>
    <xf numFmtId="0" fontId="26" fillId="0" borderId="134" xfId="33" applyFill="1" applyAlignment="1" applyProtection="1">
      <alignment vertical="center"/>
    </xf>
    <xf numFmtId="0" fontId="92" fillId="0" borderId="0" xfId="24" applyFont="1" applyAlignment="1" applyProtection="1">
      <alignment vertical="center"/>
    </xf>
    <xf numFmtId="0" fontId="104" fillId="0" borderId="135" xfId="36" applyAlignment="1" applyProtection="1"/>
    <xf numFmtId="0" fontId="0" fillId="0" borderId="0" xfId="0" applyBorder="1" applyAlignment="1" applyProtection="1">
      <alignment vertical="top"/>
    </xf>
    <xf numFmtId="0" fontId="1" fillId="0" borderId="0" xfId="0" applyFont="1" applyAlignment="1">
      <alignment horizontal="right" vertical="center" indent="3"/>
    </xf>
    <xf numFmtId="0" fontId="1" fillId="2" borderId="0" xfId="0" applyFont="1" applyFill="1" applyBorder="1">
      <alignment vertical="top"/>
    </xf>
    <xf numFmtId="0" fontId="0" fillId="2" borderId="0" xfId="0" applyFill="1" applyAlignment="1">
      <alignment vertical="top" wrapText="1"/>
    </xf>
    <xf numFmtId="0" fontId="0" fillId="2" borderId="0" xfId="0" applyFont="1" applyFill="1" applyBorder="1" applyAlignment="1">
      <alignment horizontal="left" vertical="top"/>
    </xf>
    <xf numFmtId="0" fontId="104" fillId="0" borderId="135" xfId="36" applyAlignment="1">
      <alignment vertical="top"/>
    </xf>
    <xf numFmtId="0" fontId="104" fillId="0" borderId="135" xfId="36" applyAlignment="1">
      <alignment horizontal="justify" vertical="center"/>
    </xf>
    <xf numFmtId="0" fontId="0" fillId="0" borderId="0" xfId="0" applyAlignment="1">
      <alignment horizontal="justify" vertical="top"/>
    </xf>
    <xf numFmtId="0" fontId="0" fillId="0" borderId="0" xfId="0">
      <alignment vertical="top"/>
    </xf>
    <xf numFmtId="0" fontId="148" fillId="6" borderId="114" xfId="4" applyFont="1" applyFill="1" applyBorder="1" applyAlignment="1">
      <alignment horizontal="center"/>
      <protection locked="0"/>
    </xf>
    <xf numFmtId="0" fontId="104" fillId="33" borderId="1" xfId="1" applyFill="1" applyAlignment="1">
      <alignment horizontal="left" indent="3"/>
    </xf>
    <xf numFmtId="0" fontId="104" fillId="33" borderId="1" xfId="1" applyFill="1" applyAlignment="1"/>
    <xf numFmtId="0" fontId="104" fillId="33" borderId="1" xfId="1" applyFill="1"/>
    <xf numFmtId="0" fontId="146" fillId="33" borderId="1" xfId="1" applyFont="1" applyFill="1" applyAlignment="1">
      <alignment horizontal="center" vertical="center"/>
    </xf>
    <xf numFmtId="0" fontId="70" fillId="33" borderId="0" xfId="0" applyNumberFormat="1" applyFont="1" applyFill="1" applyAlignment="1">
      <alignment horizontal="center" vertical="center"/>
    </xf>
    <xf numFmtId="0" fontId="0" fillId="33" borderId="0" xfId="0" applyNumberFormat="1" applyFill="1">
      <alignment vertical="top"/>
    </xf>
    <xf numFmtId="0" fontId="0" fillId="33" borderId="0" xfId="0" applyFill="1">
      <alignment vertical="top"/>
    </xf>
    <xf numFmtId="0" fontId="86" fillId="33" borderId="0" xfId="0" applyFont="1" applyFill="1">
      <alignment vertical="top"/>
    </xf>
    <xf numFmtId="0" fontId="18" fillId="33" borderId="0" xfId="0" applyFont="1" applyFill="1" applyAlignment="1">
      <alignment horizontal="right" wrapText="1"/>
    </xf>
    <xf numFmtId="0" fontId="139" fillId="33" borderId="0" xfId="0" applyFont="1" applyFill="1" applyAlignment="1">
      <alignment horizontal="left" vertical="center"/>
    </xf>
    <xf numFmtId="0" fontId="13" fillId="33" borderId="0" xfId="0" applyFont="1" applyFill="1">
      <alignment vertical="top"/>
    </xf>
    <xf numFmtId="0" fontId="147" fillId="33" borderId="0" xfId="0" applyFont="1" applyFill="1" applyAlignment="1">
      <alignment horizontal="right" vertical="center"/>
    </xf>
    <xf numFmtId="0" fontId="13" fillId="33" borderId="0" xfId="0" applyFont="1" applyFill="1" applyAlignment="1">
      <alignment horizontal="left" vertical="center"/>
    </xf>
    <xf numFmtId="0" fontId="86" fillId="33" borderId="0" xfId="0" applyFont="1" applyFill="1" applyAlignment="1">
      <alignment horizontal="left" wrapText="1"/>
    </xf>
    <xf numFmtId="0" fontId="76" fillId="30" borderId="115" xfId="22" applyFill="1" applyBorder="1" applyAlignment="1">
      <alignment vertical="top"/>
    </xf>
    <xf numFmtId="0" fontId="76" fillId="30" borderId="115" xfId="22" applyFill="1" applyBorder="1" applyAlignment="1">
      <alignment horizontal="right" vertical="top"/>
    </xf>
    <xf numFmtId="0" fontId="106" fillId="30" borderId="115" xfId="1" applyFont="1" applyFill="1" applyBorder="1" applyAlignment="1">
      <alignment horizontal="left" indent="3"/>
    </xf>
    <xf numFmtId="0" fontId="18" fillId="30" borderId="115" xfId="1" applyFont="1" applyFill="1" applyBorder="1"/>
    <xf numFmtId="0" fontId="32" fillId="30" borderId="115" xfId="0" applyFont="1" applyFill="1" applyBorder="1" applyAlignment="1">
      <alignment horizontal="left"/>
    </xf>
    <xf numFmtId="0" fontId="69" fillId="30" borderId="115" xfId="1" applyFont="1" applyFill="1" applyBorder="1" applyAlignment="1">
      <alignment horizontal="center" vertical="center" shrinkToFit="1"/>
    </xf>
    <xf numFmtId="0" fontId="69" fillId="30" borderId="115" xfId="1" applyFont="1" applyFill="1" applyBorder="1" applyAlignment="1">
      <alignment horizontal="center" vertical="center"/>
    </xf>
    <xf numFmtId="0" fontId="18" fillId="30" borderId="115" xfId="1" applyFont="1" applyFill="1" applyBorder="1" applyAlignment="1">
      <alignment horizontal="right"/>
    </xf>
    <xf numFmtId="0" fontId="18" fillId="30" borderId="115" xfId="1" applyFont="1" applyFill="1" applyBorder="1" applyAlignment="1">
      <alignment vertical="top"/>
    </xf>
    <xf numFmtId="0" fontId="76" fillId="30" borderId="0" xfId="22" applyFill="1" applyAlignment="1">
      <alignment vertical="top" wrapText="1"/>
    </xf>
    <xf numFmtId="0" fontId="76" fillId="30" borderId="0" xfId="22" applyFill="1" applyAlignment="1">
      <alignment horizontal="right" vertical="top" wrapText="1"/>
    </xf>
    <xf numFmtId="0" fontId="13" fillId="30" borderId="0" xfId="0" applyFont="1" applyFill="1">
      <alignment vertical="top"/>
    </xf>
    <xf numFmtId="0" fontId="139" fillId="30" borderId="0" xfId="0" applyFont="1" applyFill="1" applyAlignment="1">
      <alignment horizontal="left" vertical="center"/>
    </xf>
    <xf numFmtId="0" fontId="32" fillId="30" borderId="0" xfId="0" applyFont="1" applyFill="1" applyBorder="1" applyAlignment="1">
      <alignment horizontal="right" vertical="center"/>
    </xf>
    <xf numFmtId="0" fontId="17" fillId="30" borderId="0" xfId="0" applyFont="1" applyFill="1" applyAlignment="1">
      <alignment horizontal="left" vertical="center"/>
    </xf>
    <xf numFmtId="0" fontId="104" fillId="0" borderId="135" xfId="36" applyAlignment="1">
      <alignment vertical="center"/>
    </xf>
    <xf numFmtId="0" fontId="104" fillId="0" borderId="135" xfId="36" applyAlignment="1"/>
    <xf numFmtId="0" fontId="13" fillId="33" borderId="229" xfId="0" applyFont="1" applyFill="1" applyBorder="1" applyAlignment="1">
      <alignment horizontal="left" shrinkToFit="1"/>
    </xf>
    <xf numFmtId="0" fontId="14" fillId="6" borderId="5" xfId="4">
      <alignment horizontal="right" indent="3"/>
      <protection locked="0"/>
    </xf>
    <xf numFmtId="0" fontId="152" fillId="0" borderId="133" xfId="13" applyFont="1" applyBorder="1" applyAlignment="1">
      <alignment horizontal="right" vertical="top"/>
    </xf>
    <xf numFmtId="0" fontId="0" fillId="17" borderId="230" xfId="0" applyFill="1" applyBorder="1">
      <alignment vertical="top"/>
    </xf>
    <xf numFmtId="0" fontId="32" fillId="20" borderId="230" xfId="0" applyFont="1" applyFill="1" applyBorder="1" applyAlignment="1">
      <alignment horizontal="center" vertical="top"/>
    </xf>
    <xf numFmtId="180" fontId="13" fillId="0" borderId="0" xfId="0" applyNumberFormat="1" applyFont="1" applyBorder="1" applyAlignment="1" applyProtection="1">
      <alignment horizontal="right" vertical="top"/>
    </xf>
    <xf numFmtId="0" fontId="13" fillId="0" borderId="6" xfId="0" applyFont="1" applyBorder="1">
      <alignment vertical="top"/>
    </xf>
    <xf numFmtId="0" fontId="32" fillId="20" borderId="148" xfId="0" applyFont="1" applyFill="1" applyBorder="1" applyAlignment="1">
      <alignment horizontal="center" vertical="top"/>
    </xf>
    <xf numFmtId="180" fontId="13" fillId="0" borderId="230" xfId="0" applyNumberFormat="1" applyFont="1" applyBorder="1" applyAlignment="1">
      <alignment horizontal="right" vertical="top" indent="3" shrinkToFit="1"/>
    </xf>
    <xf numFmtId="180" fontId="17" fillId="0" borderId="0" xfId="0" applyNumberFormat="1" applyFont="1" applyAlignment="1" applyProtection="1">
      <alignment horizontal="right" vertical="top" indent="3" shrinkToFit="1"/>
    </xf>
    <xf numFmtId="180" fontId="17" fillId="0" borderId="0" xfId="0" applyNumberFormat="1" applyFont="1" applyAlignment="1">
      <alignment horizontal="right" vertical="top" indent="3"/>
    </xf>
    <xf numFmtId="180" fontId="15" fillId="0" borderId="0" xfId="17" applyNumberFormat="1" applyFont="1" applyAlignment="1">
      <alignment horizontal="right" vertical="top" indent="2" shrinkToFit="1"/>
    </xf>
    <xf numFmtId="180" fontId="15" fillId="0" borderId="0" xfId="17" applyNumberFormat="1" applyFont="1" applyBorder="1">
      <alignment horizontal="right" vertical="top" indent="2"/>
    </xf>
    <xf numFmtId="180" fontId="13" fillId="0" borderId="0" xfId="0" applyNumberFormat="1" applyFont="1" applyFill="1" applyAlignment="1">
      <alignment horizontal="right" vertical="top" indent="2"/>
    </xf>
    <xf numFmtId="180" fontId="13" fillId="0" borderId="0" xfId="0" applyNumberFormat="1" applyFont="1" applyFill="1" applyBorder="1" applyAlignment="1" applyProtection="1">
      <alignment horizontal="right" vertical="top" indent="2"/>
    </xf>
    <xf numFmtId="180" fontId="13" fillId="0" borderId="0" xfId="0" applyNumberFormat="1" applyFont="1" applyAlignment="1" applyProtection="1">
      <alignment horizontal="right" vertical="top" indent="2" shrinkToFit="1"/>
    </xf>
    <xf numFmtId="0" fontId="0" fillId="0" borderId="233" xfId="0" applyBorder="1">
      <alignment vertical="top"/>
    </xf>
    <xf numFmtId="0" fontId="0" fillId="0" borderId="234" xfId="0" applyBorder="1">
      <alignment vertical="top"/>
    </xf>
    <xf numFmtId="0" fontId="0" fillId="0" borderId="235" xfId="0" applyBorder="1">
      <alignment vertical="top"/>
    </xf>
    <xf numFmtId="0" fontId="93" fillId="0" borderId="236" xfId="0" applyFont="1" applyBorder="1" applyAlignment="1">
      <alignment horizontal="right" vertical="top"/>
    </xf>
    <xf numFmtId="0" fontId="62" fillId="0" borderId="232" xfId="19" applyBorder="1" applyAlignment="1">
      <alignment vertical="top"/>
    </xf>
    <xf numFmtId="0" fontId="83" fillId="0" borderId="88" xfId="19" applyFont="1" applyBorder="1" applyAlignment="1">
      <alignment horizontal="left" vertical="top"/>
    </xf>
    <xf numFmtId="0" fontId="156" fillId="0" borderId="0" xfId="0" applyFont="1">
      <alignment vertical="top"/>
    </xf>
    <xf numFmtId="0" fontId="157" fillId="0" borderId="0" xfId="8" applyFont="1" applyFill="1" applyAlignment="1">
      <alignment horizontal="right"/>
    </xf>
    <xf numFmtId="0" fontId="156" fillId="0" borderId="0" xfId="22" applyFont="1">
      <alignment horizontal="right"/>
    </xf>
    <xf numFmtId="0" fontId="158" fillId="0" borderId="0" xfId="0" applyFont="1">
      <alignment vertical="top"/>
    </xf>
    <xf numFmtId="0" fontId="93" fillId="0" borderId="0" xfId="0" applyFont="1" applyBorder="1">
      <alignment vertical="top"/>
    </xf>
    <xf numFmtId="0" fontId="93" fillId="0" borderId="0" xfId="22" applyFont="1" applyFill="1">
      <alignment horizontal="right"/>
    </xf>
    <xf numFmtId="0" fontId="23" fillId="0" borderId="0" xfId="0" applyFont="1" applyBorder="1" applyAlignment="1">
      <alignment horizontal="left" vertical="top" wrapText="1" indent="1"/>
    </xf>
    <xf numFmtId="0" fontId="23" fillId="0" borderId="0" xfId="0" applyFont="1" applyFill="1" applyBorder="1" applyAlignment="1">
      <alignment horizontal="left" vertical="top" wrapText="1" indent="1"/>
    </xf>
    <xf numFmtId="0" fontId="29" fillId="0" borderId="237" xfId="0" applyFont="1" applyBorder="1" applyAlignment="1">
      <alignment vertical="top"/>
    </xf>
    <xf numFmtId="0" fontId="159" fillId="0" borderId="0" xfId="0" applyFont="1" applyFill="1" applyAlignment="1">
      <alignment horizontal="right"/>
    </xf>
    <xf numFmtId="0" fontId="159" fillId="0" borderId="0" xfId="0" applyFont="1" applyAlignment="1">
      <alignment horizontal="right"/>
    </xf>
    <xf numFmtId="0" fontId="92" fillId="0" borderId="0" xfId="24" applyFont="1" applyAlignment="1">
      <alignment horizontal="right"/>
    </xf>
    <xf numFmtId="0" fontId="155" fillId="0" borderId="0" xfId="13" applyFont="1" applyAlignment="1">
      <alignment horizontal="left" vertical="center" indent="3"/>
    </xf>
    <xf numFmtId="0" fontId="160" fillId="0" borderId="135" xfId="36" applyFont="1" applyAlignment="1">
      <alignment horizontal="center" vertical="top"/>
    </xf>
    <xf numFmtId="0" fontId="161" fillId="0" borderId="115" xfId="34" applyFont="1" applyProtection="1"/>
    <xf numFmtId="0" fontId="100" fillId="0" borderId="0" xfId="24" applyFont="1" applyAlignment="1">
      <alignment horizontal="right"/>
    </xf>
    <xf numFmtId="0" fontId="100" fillId="0" borderId="0" xfId="24" applyFont="1" applyAlignment="1" applyProtection="1">
      <alignment horizontal="right" vertical="top" shrinkToFit="1"/>
    </xf>
    <xf numFmtId="0" fontId="100" fillId="0" borderId="0" xfId="24" applyFont="1" applyProtection="1">
      <alignment vertical="top"/>
    </xf>
    <xf numFmtId="0" fontId="100" fillId="0" borderId="0" xfId="24" applyFont="1">
      <alignment vertical="top"/>
    </xf>
    <xf numFmtId="3" fontId="14" fillId="6" borderId="5" xfId="4" applyNumberFormat="1" applyFont="1" applyProtection="1">
      <alignment horizontal="right" indent="3"/>
      <protection locked="0"/>
    </xf>
    <xf numFmtId="1" fontId="13" fillId="0" borderId="0" xfId="23" applyNumberFormat="1" applyFont="1">
      <alignment horizontal="right" vertical="top" indent="3"/>
    </xf>
    <xf numFmtId="1" fontId="13" fillId="0" borderId="0" xfId="23" applyNumberFormat="1" applyFont="1" applyProtection="1">
      <alignment horizontal="right" vertical="top" indent="3"/>
    </xf>
    <xf numFmtId="3" fontId="13" fillId="0" borderId="0" xfId="23" applyFont="1">
      <alignment horizontal="right" vertical="top" indent="3"/>
    </xf>
    <xf numFmtId="3" fontId="13" fillId="0" borderId="0" xfId="23" applyFont="1" applyProtection="1">
      <alignment horizontal="right" vertical="top" indent="3"/>
    </xf>
    <xf numFmtId="0" fontId="15" fillId="0" borderId="0" xfId="17" applyFont="1" applyBorder="1" applyProtection="1">
      <alignment horizontal="right" vertical="top" indent="2"/>
    </xf>
    <xf numFmtId="3" fontId="15" fillId="0" borderId="0" xfId="17" applyNumberFormat="1" applyFont="1" applyBorder="1" applyAlignment="1">
      <alignment horizontal="right" vertical="top" indent="3"/>
    </xf>
    <xf numFmtId="0" fontId="15" fillId="0" borderId="0" xfId="17" applyFont="1" applyBorder="1" applyAlignment="1" applyProtection="1">
      <alignment horizontal="right" vertical="top" indent="3"/>
    </xf>
    <xf numFmtId="0" fontId="15" fillId="0" borderId="0" xfId="17" applyFont="1" applyProtection="1">
      <alignment horizontal="right" vertical="top" indent="2"/>
    </xf>
    <xf numFmtId="3" fontId="15" fillId="0" borderId="0" xfId="17" applyNumberFormat="1" applyFont="1" applyBorder="1">
      <alignment horizontal="right" vertical="top" indent="2"/>
    </xf>
    <xf numFmtId="0" fontId="15" fillId="0" borderId="0" xfId="17" applyFont="1">
      <alignment horizontal="right" vertical="top" indent="2"/>
    </xf>
    <xf numFmtId="189" fontId="13" fillId="0" borderId="0" xfId="0" applyNumberFormat="1" applyFont="1" applyProtection="1">
      <alignment vertical="top"/>
    </xf>
    <xf numFmtId="189" fontId="23" fillId="0" borderId="0" xfId="23" applyNumberFormat="1" applyFont="1" applyAlignment="1">
      <alignment horizontal="center" vertical="top"/>
    </xf>
    <xf numFmtId="189" fontId="13" fillId="0" borderId="0" xfId="0" applyNumberFormat="1" applyFont="1" applyAlignment="1" applyProtection="1">
      <alignment horizontal="center" vertical="top"/>
    </xf>
    <xf numFmtId="189" fontId="13" fillId="0" borderId="0" xfId="0" applyNumberFormat="1" applyFont="1" applyAlignment="1">
      <alignment horizontal="center" vertical="top"/>
    </xf>
    <xf numFmtId="181" fontId="14" fillId="6" borderId="105" xfId="4" applyNumberFormat="1" applyFont="1" applyBorder="1" applyAlignment="1" applyProtection="1">
      <alignment horizontal="center" vertical="top" shrinkToFit="1"/>
      <protection locked="0"/>
    </xf>
    <xf numFmtId="189" fontId="14" fillId="6" borderId="106" xfId="4" applyNumberFormat="1" applyFont="1" applyBorder="1" applyAlignment="1" applyProtection="1">
      <alignment horizontal="center" vertical="top"/>
      <protection locked="0"/>
    </xf>
    <xf numFmtId="181" fontId="14" fillId="6" borderId="96" xfId="4" applyNumberFormat="1" applyFont="1" applyBorder="1" applyAlignment="1" applyProtection="1">
      <alignment horizontal="center" vertical="top" shrinkToFit="1"/>
      <protection locked="0"/>
    </xf>
    <xf numFmtId="189" fontId="14" fillId="6" borderId="5" xfId="4" applyNumberFormat="1" applyFont="1" applyAlignment="1" applyProtection="1">
      <alignment horizontal="center" vertical="top"/>
      <protection locked="0"/>
    </xf>
    <xf numFmtId="3" fontId="13" fillId="0" borderId="0" xfId="0" applyNumberFormat="1" applyFont="1" applyBorder="1" applyAlignment="1" applyProtection="1">
      <alignment horizontal="right" vertical="top" indent="3"/>
    </xf>
    <xf numFmtId="179" fontId="13" fillId="0" borderId="0" xfId="7" applyNumberFormat="1" applyFont="1" applyAlignment="1">
      <alignment horizontal="right" vertical="top" shrinkToFit="1"/>
    </xf>
    <xf numFmtId="0" fontId="13" fillId="0" borderId="127" xfId="0" applyFont="1" applyBorder="1" applyAlignment="1" applyProtection="1">
      <alignment horizontal="right" vertical="top" shrinkToFit="1"/>
    </xf>
    <xf numFmtId="3" fontId="13" fillId="0" borderId="0" xfId="0" applyNumberFormat="1" applyFont="1" applyProtection="1">
      <alignment vertical="top"/>
    </xf>
    <xf numFmtId="0" fontId="13" fillId="0" borderId="0" xfId="0" applyFont="1" applyFill="1" applyBorder="1" applyAlignment="1">
      <alignment horizontal="right" vertical="top" shrinkToFit="1"/>
    </xf>
    <xf numFmtId="180" fontId="13" fillId="0" borderId="131" xfId="0" applyNumberFormat="1" applyFont="1" applyBorder="1" applyAlignment="1">
      <alignment horizontal="right" vertical="top" indent="3" shrinkToFit="1"/>
    </xf>
    <xf numFmtId="0" fontId="13" fillId="0" borderId="130" xfId="0" applyFont="1" applyBorder="1" applyProtection="1">
      <alignment vertical="top"/>
    </xf>
    <xf numFmtId="3" fontId="13" fillId="0" borderId="0" xfId="0" applyNumberFormat="1" applyFont="1" applyAlignment="1" applyProtection="1">
      <alignment horizontal="right" vertical="top" indent="4"/>
    </xf>
    <xf numFmtId="0" fontId="23" fillId="0" borderId="0" xfId="24" applyFont="1" applyAlignment="1" applyProtection="1">
      <alignment horizontal="right" vertical="top" shrinkToFit="1"/>
    </xf>
    <xf numFmtId="0" fontId="23" fillId="0" borderId="0" xfId="24" applyFont="1">
      <alignment vertical="top"/>
    </xf>
    <xf numFmtId="0" fontId="13" fillId="0" borderId="0" xfId="0" applyFont="1" applyAlignment="1" applyProtection="1">
      <alignment horizontal="center" vertical="top"/>
    </xf>
    <xf numFmtId="3" fontId="13" fillId="0" borderId="0" xfId="0" applyNumberFormat="1" applyFont="1" applyAlignment="1">
      <alignment horizontal="center" vertical="top"/>
    </xf>
    <xf numFmtId="0" fontId="17" fillId="0" borderId="0" xfId="0" applyFont="1" applyAlignment="1" applyProtection="1">
      <alignment horizontal="center" vertical="top"/>
    </xf>
    <xf numFmtId="3" fontId="17" fillId="0" borderId="0" xfId="0" applyNumberFormat="1" applyFont="1" applyAlignment="1">
      <alignment horizontal="center" vertical="top"/>
    </xf>
    <xf numFmtId="180" fontId="14" fillId="6" borderId="5" xfId="4" applyNumberFormat="1" applyFont="1" applyAlignment="1">
      <alignment horizontal="right" shrinkToFit="1"/>
      <protection locked="0"/>
    </xf>
    <xf numFmtId="3" fontId="13" fillId="0" borderId="0" xfId="0" applyNumberFormat="1" applyFont="1" applyAlignment="1">
      <alignment horizontal="center" vertical="top" shrinkToFit="1"/>
    </xf>
    <xf numFmtId="0" fontId="13" fillId="0" borderId="0" xfId="0" applyFont="1" applyAlignment="1" applyProtection="1">
      <alignment vertical="top" shrinkToFit="1"/>
    </xf>
    <xf numFmtId="167" fontId="13" fillId="0" borderId="0" xfId="0" applyNumberFormat="1" applyFont="1" applyProtection="1">
      <alignment vertical="top"/>
    </xf>
    <xf numFmtId="0" fontId="100" fillId="0" borderId="0" xfId="24" applyFont="1" applyAlignment="1" applyProtection="1">
      <alignment horizontal="right" vertical="top"/>
    </xf>
    <xf numFmtId="0" fontId="162" fillId="0" borderId="0" xfId="3" applyFont="1" applyBorder="1" applyAlignment="1" applyProtection="1">
      <alignment horizontal="right" vertical="top" shrinkToFit="1"/>
    </xf>
    <xf numFmtId="0" fontId="162" fillId="0" borderId="0" xfId="3" applyFont="1" applyBorder="1" applyAlignment="1" applyProtection="1">
      <alignment vertical="top"/>
    </xf>
    <xf numFmtId="3" fontId="132" fillId="6" borderId="5" xfId="4" applyNumberFormat="1" applyFont="1" applyProtection="1">
      <alignment horizontal="right" indent="3"/>
      <protection locked="0"/>
    </xf>
    <xf numFmtId="0" fontId="0" fillId="17" borderId="131" xfId="0" applyFill="1" applyBorder="1">
      <alignment vertical="top"/>
    </xf>
    <xf numFmtId="0" fontId="32" fillId="20" borderId="131" xfId="0" applyFont="1" applyFill="1" applyBorder="1" applyAlignment="1">
      <alignment horizontal="center" vertical="top"/>
    </xf>
    <xf numFmtId="0" fontId="163" fillId="0" borderId="0" xfId="0" applyFont="1" applyFill="1" applyBorder="1">
      <alignment vertical="top"/>
    </xf>
    <xf numFmtId="0" fontId="164" fillId="0" borderId="0" xfId="22" applyFont="1" applyAlignment="1">
      <alignment vertical="top"/>
    </xf>
    <xf numFmtId="0" fontId="164" fillId="0" borderId="0" xfId="22" applyFont="1" applyAlignment="1">
      <alignment horizontal="right" vertical="top"/>
    </xf>
    <xf numFmtId="0" fontId="165" fillId="0" borderId="0" xfId="0" applyFont="1">
      <alignment vertical="top"/>
    </xf>
    <xf numFmtId="0" fontId="165" fillId="0" borderId="0" xfId="0" applyFont="1" applyAlignment="1">
      <alignment horizontal="left" vertical="top"/>
    </xf>
    <xf numFmtId="0" fontId="165" fillId="0" borderId="0" xfId="0" applyFont="1" applyProtection="1">
      <alignment vertical="top"/>
    </xf>
    <xf numFmtId="0" fontId="165" fillId="0" borderId="0" xfId="0" applyFont="1" applyAlignment="1" applyProtection="1">
      <alignment horizontal="right" vertical="top" shrinkToFit="1"/>
    </xf>
    <xf numFmtId="0" fontId="165" fillId="0" borderId="0" xfId="0" applyFont="1" applyAlignment="1" applyProtection="1">
      <alignment horizontal="right" vertical="top"/>
    </xf>
    <xf numFmtId="0" fontId="14" fillId="0" borderId="0" xfId="0" applyFont="1" applyAlignment="1" applyProtection="1">
      <alignment horizontal="center" vertical="top" shrinkToFit="1"/>
    </xf>
    <xf numFmtId="180" fontId="13" fillId="0" borderId="0" xfId="0" applyNumberFormat="1" applyFont="1" applyAlignment="1">
      <alignment horizontal="right" vertical="top" indent="1" shrinkToFit="1"/>
    </xf>
    <xf numFmtId="180" fontId="13" fillId="0" borderId="0" xfId="0" applyNumberFormat="1" applyFont="1" applyAlignment="1" applyProtection="1">
      <alignment horizontal="right" vertical="top" indent="1" shrinkToFit="1"/>
    </xf>
    <xf numFmtId="0" fontId="0" fillId="17" borderId="0" xfId="0" applyFill="1" applyBorder="1" applyAlignment="1">
      <alignment vertical="top" shrinkToFit="1"/>
    </xf>
    <xf numFmtId="200" fontId="14" fillId="0" borderId="0" xfId="0" applyNumberFormat="1" applyFont="1" applyAlignment="1" applyProtection="1">
      <alignment horizontal="center" vertical="top" shrinkToFit="1"/>
    </xf>
    <xf numFmtId="0" fontId="35" fillId="0" borderId="16" xfId="0" applyFont="1" applyFill="1" applyBorder="1" applyProtection="1">
      <alignment vertical="top"/>
      <protection locked="0"/>
    </xf>
    <xf numFmtId="0" fontId="167" fillId="15" borderId="0" xfId="0" applyFont="1" applyFill="1" applyAlignment="1">
      <alignment horizontal="left" vertical="top" indent="1"/>
    </xf>
    <xf numFmtId="0" fontId="0" fillId="0" borderId="0" xfId="0" applyProtection="1">
      <alignment vertical="top"/>
      <protection locked="0"/>
    </xf>
    <xf numFmtId="0" fontId="30" fillId="0" borderId="0" xfId="21" applyAlignment="1" applyProtection="1">
      <alignment horizontal="right" vertical="center"/>
      <protection locked="0"/>
    </xf>
    <xf numFmtId="0" fontId="0" fillId="2" borderId="0" xfId="0" applyFont="1" applyFill="1">
      <alignment vertical="top"/>
    </xf>
    <xf numFmtId="0" fontId="14" fillId="6" borderId="176" xfId="45" applyBorder="1" applyAlignment="1" applyProtection="1">
      <alignment horizontal="right" vertical="center" shrinkToFit="1"/>
      <protection locked="0"/>
    </xf>
    <xf numFmtId="199" fontId="14" fillId="6" borderId="5" xfId="45" applyNumberFormat="1" applyAlignment="1" applyProtection="1">
      <alignment horizontal="right" vertical="center" shrinkToFit="1"/>
      <protection locked="0"/>
    </xf>
    <xf numFmtId="1" fontId="15" fillId="0" borderId="0" xfId="0" applyNumberFormat="1" applyFont="1" applyBorder="1" applyAlignment="1">
      <alignment horizontal="right" vertical="top" indent="3"/>
    </xf>
    <xf numFmtId="1" fontId="71" fillId="0" borderId="0" xfId="7" applyNumberFormat="1" applyFont="1" applyBorder="1" applyAlignment="1" applyProtection="1">
      <alignment horizontal="right" vertical="top" shrinkToFit="1"/>
    </xf>
    <xf numFmtId="1" fontId="15" fillId="0" borderId="0" xfId="7" applyNumberFormat="1" applyFont="1" applyBorder="1" applyAlignment="1" applyProtection="1">
      <alignment horizontal="right" vertical="top" indent="3"/>
    </xf>
    <xf numFmtId="0" fontId="0" fillId="0" borderId="0" xfId="0" applyFill="1" applyAlignment="1">
      <alignment horizontal="right" vertical="top"/>
    </xf>
    <xf numFmtId="0" fontId="32" fillId="0" borderId="0" xfId="0" applyFont="1" applyFill="1" applyBorder="1" applyAlignment="1">
      <alignment horizontal="center" vertical="center"/>
    </xf>
    <xf numFmtId="0" fontId="23" fillId="0" borderId="0" xfId="0" applyFont="1" applyFill="1" applyBorder="1" applyProtection="1">
      <alignment vertical="top"/>
    </xf>
    <xf numFmtId="180" fontId="23" fillId="0" borderId="0" xfId="0" applyNumberFormat="1" applyFont="1" applyFill="1" applyBorder="1" applyAlignment="1" applyProtection="1">
      <alignment horizontal="right" vertical="center" indent="3"/>
    </xf>
    <xf numFmtId="0" fontId="0" fillId="0" borderId="0" xfId="0" applyFill="1" applyBorder="1" applyAlignment="1">
      <alignment vertical="top"/>
    </xf>
    <xf numFmtId="180" fontId="0" fillId="0" borderId="0" xfId="0" applyNumberFormat="1" applyFill="1" applyBorder="1" applyAlignment="1">
      <alignment horizontal="right" vertical="center" indent="3"/>
    </xf>
    <xf numFmtId="174" fontId="15" fillId="0" borderId="0" xfId="0" applyNumberFormat="1" applyFont="1" applyAlignment="1">
      <alignment horizontal="right" vertical="center" indent="3"/>
    </xf>
    <xf numFmtId="182" fontId="23" fillId="0" borderId="0" xfId="0" applyNumberFormat="1" applyFont="1" applyFill="1" applyBorder="1" applyAlignment="1" applyProtection="1">
      <alignment horizontal="right" vertical="center" indent="3"/>
    </xf>
    <xf numFmtId="168" fontId="14" fillId="0" borderId="0" xfId="4" applyNumberFormat="1" applyFont="1" applyFill="1" applyBorder="1">
      <alignment horizontal="right" indent="3"/>
      <protection locked="0"/>
    </xf>
    <xf numFmtId="168" fontId="23" fillId="0" borderId="0" xfId="0" applyNumberFormat="1" applyFont="1" applyFill="1" applyBorder="1" applyAlignment="1">
      <alignment horizontal="right" vertical="center" indent="3"/>
    </xf>
    <xf numFmtId="2" fontId="14" fillId="6" borderId="176" xfId="45" applyNumberFormat="1" applyBorder="1" applyAlignment="1" applyProtection="1">
      <alignment horizontal="right" vertical="center" shrinkToFit="1"/>
      <protection locked="0"/>
    </xf>
    <xf numFmtId="0" fontId="14" fillId="6" borderId="175" xfId="45" applyBorder="1" applyAlignment="1" applyProtection="1">
      <alignment horizontal="right" vertical="center" shrinkToFit="1"/>
      <protection locked="0"/>
    </xf>
    <xf numFmtId="0" fontId="104" fillId="0" borderId="115" xfId="44" applyBorder="1" applyAlignment="1">
      <alignment horizontal="left" vertical="top" wrapText="1" indent="1"/>
    </xf>
    <xf numFmtId="0" fontId="16" fillId="0" borderId="0" xfId="8" applyAlignment="1">
      <alignment vertical="center"/>
    </xf>
    <xf numFmtId="0" fontId="16" fillId="0" borderId="0" xfId="8" applyFill="1">
      <alignment vertical="top"/>
    </xf>
    <xf numFmtId="0" fontId="31" fillId="0" borderId="0" xfId="0" applyFont="1" applyBorder="1" applyAlignment="1">
      <alignment horizontal="left" vertical="top"/>
    </xf>
    <xf numFmtId="0" fontId="31" fillId="0" borderId="0" xfId="0" applyFont="1" applyBorder="1" applyAlignment="1">
      <alignment horizontal="right" vertical="top"/>
    </xf>
    <xf numFmtId="0" fontId="31" fillId="0" borderId="0" xfId="0" applyFont="1" applyAlignment="1">
      <alignment horizontal="left" shrinkToFit="1"/>
    </xf>
    <xf numFmtId="0" fontId="31" fillId="0" borderId="0" xfId="0" applyFont="1" applyAlignment="1">
      <alignment horizontal="right"/>
    </xf>
    <xf numFmtId="0" fontId="31" fillId="0" borderId="0" xfId="22" applyFont="1" applyAlignment="1">
      <alignment vertical="top"/>
    </xf>
    <xf numFmtId="0" fontId="31" fillId="0" borderId="0" xfId="22" applyFont="1" applyAlignment="1">
      <alignment horizontal="right" vertical="top" shrinkToFit="1"/>
    </xf>
    <xf numFmtId="0" fontId="31" fillId="0" borderId="0" xfId="0" applyFont="1" applyBorder="1">
      <alignment vertical="top"/>
    </xf>
    <xf numFmtId="0" fontId="31" fillId="0" borderId="0" xfId="0" applyFont="1" applyAlignment="1">
      <alignment horizontal="right" vertical="top" shrinkToFit="1"/>
    </xf>
    <xf numFmtId="0" fontId="31" fillId="0" borderId="0" xfId="0" applyFont="1" applyAlignment="1">
      <alignment horizontal="left" vertical="top" shrinkToFit="1"/>
    </xf>
    <xf numFmtId="0" fontId="114" fillId="0" borderId="147" xfId="37" applyFont="1" applyFill="1" applyAlignment="1"/>
    <xf numFmtId="0" fontId="133" fillId="0" borderId="147" xfId="34" applyFont="1" applyBorder="1" applyAlignment="1">
      <alignment textRotation="90"/>
    </xf>
    <xf numFmtId="0" fontId="0" fillId="2" borderId="0" xfId="0" applyFill="1">
      <alignment vertical="top"/>
    </xf>
    <xf numFmtId="0" fontId="0" fillId="0" borderId="0" xfId="0" applyFont="1" applyAlignment="1">
      <alignment horizontal="left" vertical="top"/>
    </xf>
    <xf numFmtId="0" fontId="93" fillId="0" borderId="0" xfId="0" quotePrefix="1" applyFont="1" applyAlignment="1">
      <alignment horizontal="center" vertical="top" shrinkToFit="1"/>
    </xf>
    <xf numFmtId="0" fontId="93" fillId="0" borderId="0" xfId="0" quotePrefix="1" applyFont="1" applyAlignment="1">
      <alignment horizontal="center" vertical="top"/>
    </xf>
    <xf numFmtId="0" fontId="93" fillId="0" borderId="0" xfId="7" quotePrefix="1" applyNumberFormat="1" applyFont="1" applyAlignment="1">
      <alignment horizontal="center" vertical="top" shrinkToFit="1"/>
    </xf>
    <xf numFmtId="0" fontId="18" fillId="30" borderId="115" xfId="1" applyFont="1" applyFill="1" applyBorder="1" applyAlignment="1">
      <alignment horizontal="left"/>
    </xf>
    <xf numFmtId="0" fontId="13" fillId="30" borderId="0" xfId="0" applyFont="1" applyFill="1" applyBorder="1" applyAlignment="1">
      <alignment horizontal="left"/>
    </xf>
    <xf numFmtId="0" fontId="13" fillId="0" borderId="0" xfId="0" applyFont="1" applyAlignment="1">
      <alignment vertical="top"/>
    </xf>
    <xf numFmtId="0" fontId="100" fillId="0" borderId="0" xfId="24" applyFont="1" applyAlignment="1">
      <alignment horizontal="left" vertical="top"/>
    </xf>
    <xf numFmtId="0" fontId="23" fillId="0" borderId="0" xfId="0" applyFont="1" applyAlignment="1">
      <alignment horizontal="left" vertical="top"/>
    </xf>
    <xf numFmtId="0" fontId="23" fillId="0" borderId="0" xfId="0" applyFont="1" applyBorder="1" applyAlignment="1">
      <alignment horizontal="left" vertical="top"/>
    </xf>
    <xf numFmtId="0" fontId="13" fillId="0" borderId="0" xfId="0" applyFont="1" applyBorder="1" applyAlignment="1">
      <alignment horizontal="left" vertical="top"/>
    </xf>
    <xf numFmtId="0" fontId="100" fillId="0" borderId="0" xfId="24" applyFont="1" applyAlignment="1">
      <alignment vertical="top"/>
    </xf>
    <xf numFmtId="0" fontId="13" fillId="0" borderId="7" xfId="0" applyFont="1" applyBorder="1" applyAlignment="1">
      <alignment horizontal="left" vertical="top"/>
    </xf>
    <xf numFmtId="0" fontId="13" fillId="0" borderId="0" xfId="0" applyFont="1" applyFill="1" applyAlignment="1">
      <alignment horizontal="left" vertical="top"/>
    </xf>
    <xf numFmtId="0" fontId="13" fillId="0" borderId="7" xfId="0" applyFont="1" applyFill="1" applyBorder="1" applyAlignment="1">
      <alignment horizontal="left" vertical="top"/>
    </xf>
    <xf numFmtId="0" fontId="25" fillId="0" borderId="0" xfId="0" applyFont="1" applyAlignment="1">
      <alignment horizontal="left" vertical="top"/>
    </xf>
    <xf numFmtId="0" fontId="13" fillId="0" borderId="0" xfId="0" applyFont="1" applyFill="1" applyBorder="1" applyAlignment="1">
      <alignment horizontal="left"/>
    </xf>
    <xf numFmtId="0" fontId="13" fillId="0" borderId="0" xfId="0" applyFont="1" applyBorder="1" applyAlignment="1">
      <alignment horizontal="left"/>
    </xf>
    <xf numFmtId="0" fontId="23" fillId="0" borderId="0" xfId="24" applyFont="1" applyAlignment="1">
      <alignment horizontal="left" vertical="top"/>
    </xf>
    <xf numFmtId="0" fontId="165" fillId="0" borderId="0" xfId="0" applyFont="1" applyAlignment="1">
      <alignment vertical="top"/>
    </xf>
    <xf numFmtId="0" fontId="100" fillId="0" borderId="0" xfId="24" applyFont="1" applyAlignment="1">
      <alignment horizontal="left"/>
    </xf>
    <xf numFmtId="0" fontId="37" fillId="0" borderId="0" xfId="0" applyFont="1" applyBorder="1" applyAlignment="1">
      <alignment horizontal="left"/>
    </xf>
    <xf numFmtId="0" fontId="168" fillId="0" borderId="0" xfId="0" applyFont="1" applyFill="1" applyBorder="1" applyAlignment="1">
      <alignment horizontal="left"/>
    </xf>
    <xf numFmtId="3" fontId="23" fillId="0" borderId="0" xfId="10" applyNumberFormat="1" applyFont="1" applyFill="1" applyBorder="1" applyAlignment="1">
      <alignment horizontal="right" vertical="top" indent="4"/>
    </xf>
    <xf numFmtId="3" fontId="13" fillId="0" borderId="0" xfId="0" applyNumberFormat="1" applyFont="1" applyFill="1" applyAlignment="1" applyProtection="1">
      <alignment horizontal="right" vertical="top" indent="4"/>
    </xf>
    <xf numFmtId="3" fontId="13" fillId="0" borderId="0" xfId="0" applyNumberFormat="1" applyFont="1" applyFill="1" applyAlignment="1">
      <alignment horizontal="right" vertical="top" indent="4"/>
    </xf>
    <xf numFmtId="3" fontId="17" fillId="0" borderId="0" xfId="0" applyNumberFormat="1" applyFont="1" applyAlignment="1" applyProtection="1">
      <alignment horizontal="right" vertical="top" indent="4" shrinkToFit="1"/>
    </xf>
    <xf numFmtId="3" fontId="17" fillId="0" borderId="238" xfId="0" applyNumberFormat="1" applyFont="1" applyBorder="1" applyAlignment="1">
      <alignment horizontal="right" vertical="top" indent="4"/>
    </xf>
    <xf numFmtId="0" fontId="17" fillId="20" borderId="0" xfId="0" applyFont="1" applyFill="1" applyBorder="1">
      <alignment vertical="top"/>
    </xf>
    <xf numFmtId="0" fontId="17" fillId="0" borderId="0" xfId="0" applyFont="1" applyAlignment="1" applyProtection="1">
      <alignment horizontal="right" vertical="top" shrinkToFit="1"/>
    </xf>
    <xf numFmtId="180" fontId="17" fillId="0" borderId="0" xfId="0" applyNumberFormat="1" applyFont="1" applyBorder="1" applyAlignment="1">
      <alignment horizontal="right" vertical="top" indent="3"/>
    </xf>
    <xf numFmtId="0" fontId="17" fillId="0" borderId="0" xfId="0" applyFont="1" applyProtection="1">
      <alignment vertical="top"/>
    </xf>
    <xf numFmtId="0" fontId="169" fillId="0" borderId="0" xfId="0" applyFont="1">
      <alignment vertical="top"/>
    </xf>
    <xf numFmtId="0" fontId="79" fillId="0" borderId="0" xfId="24" applyAlignment="1">
      <alignment horizontal="right" vertical="top" shrinkToFit="1"/>
    </xf>
    <xf numFmtId="180" fontId="79" fillId="0" borderId="0" xfId="24" applyNumberFormat="1" applyAlignment="1">
      <alignment horizontal="right" vertical="top" indent="3"/>
    </xf>
    <xf numFmtId="0" fontId="79" fillId="0" borderId="0" xfId="24" applyAlignment="1">
      <alignment horizontal="left"/>
    </xf>
    <xf numFmtId="180" fontId="17" fillId="0" borderId="148" xfId="23" applyNumberFormat="1" applyFont="1" applyBorder="1" applyAlignment="1">
      <alignment horizontal="right" vertical="top" indent="2"/>
    </xf>
    <xf numFmtId="180" fontId="17" fillId="0" borderId="0" xfId="0" applyNumberFormat="1" applyFont="1" applyFill="1" applyBorder="1" applyProtection="1">
      <alignment vertical="top"/>
    </xf>
    <xf numFmtId="0" fontId="17" fillId="17" borderId="148" xfId="0" applyFont="1" applyFill="1" applyBorder="1">
      <alignment vertical="top"/>
    </xf>
    <xf numFmtId="0" fontId="14" fillId="0" borderId="0" xfId="0" applyFont="1" applyAlignment="1" applyProtection="1">
      <alignment horizontal="right" vertical="top" indent="1" shrinkToFit="1"/>
    </xf>
    <xf numFmtId="180" fontId="14" fillId="6" borderId="5" xfId="4" applyNumberFormat="1" applyFont="1" applyAlignment="1">
      <alignment horizontal="right" indent="1" shrinkToFit="1"/>
      <protection locked="0"/>
    </xf>
    <xf numFmtId="200" fontId="14" fillId="0" borderId="0" xfId="0" applyNumberFormat="1" applyFont="1" applyAlignment="1" applyProtection="1">
      <alignment horizontal="right" vertical="top" indent="1" shrinkToFit="1"/>
    </xf>
    <xf numFmtId="180" fontId="13" fillId="0" borderId="148" xfId="23" applyNumberFormat="1" applyFont="1" applyBorder="1" applyAlignment="1">
      <alignment horizontal="right" vertical="top" indent="1"/>
    </xf>
    <xf numFmtId="180" fontId="13" fillId="0" borderId="0" xfId="0" applyNumberFormat="1" applyFont="1" applyFill="1" applyBorder="1" applyAlignment="1" applyProtection="1">
      <alignment horizontal="right" vertical="top" indent="1"/>
    </xf>
    <xf numFmtId="180" fontId="13" fillId="0" borderId="148" xfId="0" applyNumberFormat="1" applyFont="1" applyFill="1" applyBorder="1" applyAlignment="1" applyProtection="1">
      <alignment horizontal="right" vertical="top" indent="1"/>
    </xf>
    <xf numFmtId="200" fontId="13" fillId="0" borderId="0" xfId="0" applyNumberFormat="1" applyFont="1" applyFill="1" applyBorder="1" applyAlignment="1" applyProtection="1">
      <alignment horizontal="right" vertical="top" indent="1"/>
    </xf>
    <xf numFmtId="0" fontId="37" fillId="0" borderId="0" xfId="0" applyFont="1" applyAlignment="1">
      <alignment horizontal="right" vertical="top" indent="1"/>
    </xf>
    <xf numFmtId="180" fontId="37" fillId="0" borderId="0" xfId="0" applyNumberFormat="1" applyFont="1" applyAlignment="1">
      <alignment horizontal="right" vertical="top" indent="1"/>
    </xf>
    <xf numFmtId="200" fontId="37" fillId="0" borderId="0" xfId="0" applyNumberFormat="1" applyFont="1" applyAlignment="1">
      <alignment horizontal="right" vertical="top" indent="1"/>
    </xf>
    <xf numFmtId="180" fontId="14" fillId="6" borderId="5" xfId="20" applyNumberFormat="1" applyFont="1" applyAlignment="1">
      <alignment horizontal="right" vertical="top" indent="1"/>
      <protection locked="0"/>
    </xf>
    <xf numFmtId="188" fontId="14" fillId="0" borderId="0" xfId="0" applyNumberFormat="1" applyFont="1" applyAlignment="1">
      <alignment horizontal="right" vertical="top" indent="1"/>
    </xf>
    <xf numFmtId="188" fontId="14" fillId="6" borderId="5" xfId="4" applyNumberFormat="1" applyFont="1" applyAlignment="1">
      <alignment horizontal="right" indent="1" shrinkToFit="1"/>
      <protection locked="0"/>
    </xf>
    <xf numFmtId="0" fontId="14" fillId="0" borderId="0" xfId="0" applyFont="1" applyAlignment="1">
      <alignment horizontal="right" vertical="top" indent="1"/>
    </xf>
    <xf numFmtId="200" fontId="14" fillId="0" borderId="0" xfId="0" applyNumberFormat="1" applyFont="1" applyAlignment="1">
      <alignment horizontal="right" vertical="top" indent="1"/>
    </xf>
    <xf numFmtId="9" fontId="14" fillId="6" borderId="5" xfId="7" applyFont="1" applyFill="1" applyBorder="1" applyAlignment="1" applyProtection="1">
      <alignment horizontal="right" indent="1" shrinkToFit="1"/>
      <protection locked="0"/>
    </xf>
    <xf numFmtId="200" fontId="14" fillId="6" borderId="5" xfId="7" applyNumberFormat="1" applyFont="1" applyFill="1" applyBorder="1" applyAlignment="1" applyProtection="1">
      <alignment horizontal="right" indent="1" shrinkToFit="1"/>
      <protection locked="0"/>
    </xf>
    <xf numFmtId="190" fontId="13" fillId="0" borderId="0" xfId="0" applyNumberFormat="1" applyFont="1" applyAlignment="1">
      <alignment vertical="top" shrinkToFit="1"/>
    </xf>
    <xf numFmtId="190" fontId="13" fillId="0" borderId="0" xfId="0" applyNumberFormat="1" applyFont="1" applyBorder="1" applyAlignment="1">
      <alignment vertical="top" shrinkToFit="1"/>
    </xf>
    <xf numFmtId="0" fontId="37" fillId="0" borderId="129" xfId="0" applyFont="1" applyBorder="1" applyAlignment="1" applyProtection="1">
      <alignment vertical="top" shrinkToFit="1"/>
    </xf>
    <xf numFmtId="3" fontId="14" fillId="0" borderId="0" xfId="0" applyNumberFormat="1" applyFont="1" applyAlignment="1">
      <alignment horizontal="right" vertical="center" indent="3"/>
    </xf>
    <xf numFmtId="0" fontId="0" fillId="2" borderId="0" xfId="0" applyFill="1">
      <alignment vertical="top"/>
    </xf>
    <xf numFmtId="180" fontId="14" fillId="6" borderId="5" xfId="4" applyNumberFormat="1" applyFont="1" applyAlignment="1">
      <alignment horizontal="right" indent="2" shrinkToFit="1"/>
      <protection locked="0"/>
    </xf>
    <xf numFmtId="1" fontId="14" fillId="6" borderId="5" xfId="4" applyNumberFormat="1" applyFont="1" applyAlignment="1">
      <alignment horizontal="right" indent="3" shrinkToFit="1"/>
      <protection locked="0"/>
    </xf>
    <xf numFmtId="180" fontId="14" fillId="6" borderId="5" xfId="4" applyNumberFormat="1" applyFont="1" applyAlignment="1">
      <alignment horizontal="right" indent="1"/>
      <protection locked="0"/>
    </xf>
    <xf numFmtId="172" fontId="23" fillId="6" borderId="5" xfId="4" applyNumberFormat="1" applyFont="1" applyFill="1" applyAlignment="1">
      <alignment horizontal="center"/>
      <protection locked="0"/>
    </xf>
    <xf numFmtId="0" fontId="23" fillId="0" borderId="0" xfId="0" applyFont="1" applyAlignment="1">
      <alignment horizontal="center" vertical="top"/>
    </xf>
    <xf numFmtId="172" fontId="23" fillId="6" borderId="114" xfId="4" applyNumberFormat="1" applyFont="1" applyFill="1" applyBorder="1" applyAlignment="1">
      <alignment horizontal="center"/>
      <protection locked="0"/>
    </xf>
    <xf numFmtId="174" fontId="23" fillId="6" borderId="5" xfId="4" applyNumberFormat="1" applyFont="1" applyFill="1" applyAlignment="1">
      <alignment horizontal="right" indent="3"/>
      <protection locked="0"/>
    </xf>
    <xf numFmtId="0" fontId="23" fillId="6" borderId="5" xfId="4" applyFont="1" applyFill="1" applyAlignment="1">
      <alignment horizontal="right" indent="3"/>
      <protection locked="0"/>
    </xf>
    <xf numFmtId="172" fontId="23" fillId="6" borderId="5" xfId="4" applyNumberFormat="1" applyFont="1" applyFill="1" applyAlignment="1">
      <alignment horizontal="right" indent="3"/>
      <protection locked="0"/>
    </xf>
    <xf numFmtId="0" fontId="98" fillId="0" borderId="1" xfId="2" applyFont="1"/>
    <xf numFmtId="3" fontId="23" fillId="6" borderId="5" xfId="4" applyNumberFormat="1" applyFont="1" applyFill="1">
      <alignment horizontal="right" indent="3"/>
      <protection locked="0"/>
    </xf>
    <xf numFmtId="3" fontId="23" fillId="0" borderId="0" xfId="0" applyNumberFormat="1" applyFont="1" applyAlignment="1">
      <alignment horizontal="right" vertical="center" indent="3"/>
    </xf>
    <xf numFmtId="10" fontId="23" fillId="6" borderId="5" xfId="4" applyNumberFormat="1" applyFont="1" applyFill="1" applyAlignment="1">
      <alignment horizontal="right" indent="3"/>
      <protection locked="0"/>
    </xf>
    <xf numFmtId="1" fontId="23" fillId="6" borderId="5" xfId="4" applyNumberFormat="1" applyFont="1" applyFill="1">
      <alignment horizontal="right" indent="3"/>
      <protection locked="0"/>
    </xf>
    <xf numFmtId="170" fontId="23" fillId="6" borderId="5" xfId="4" applyNumberFormat="1" applyFont="1" applyFill="1" applyAlignment="1">
      <alignment horizontal="right" indent="3"/>
      <protection locked="0"/>
    </xf>
    <xf numFmtId="9" fontId="23" fillId="6" borderId="5" xfId="4" applyNumberFormat="1" applyFont="1" applyFill="1">
      <alignment horizontal="right" indent="3"/>
      <protection locked="0"/>
    </xf>
    <xf numFmtId="9" fontId="23" fillId="6" borderId="5" xfId="4" applyNumberFormat="1" applyFont="1" applyFill="1" applyAlignment="1">
      <alignment horizontal="right" indent="3"/>
      <protection locked="0"/>
    </xf>
    <xf numFmtId="180" fontId="23" fillId="6" borderId="5" xfId="4" applyNumberFormat="1" applyFont="1" applyFill="1" applyAlignment="1">
      <alignment horizontal="right" indent="3"/>
      <protection locked="0"/>
    </xf>
    <xf numFmtId="180" fontId="23" fillId="0" borderId="0" xfId="0" applyNumberFormat="1" applyFont="1" applyAlignment="1">
      <alignment horizontal="right" vertical="center" indent="3"/>
    </xf>
    <xf numFmtId="1" fontId="23" fillId="0" borderId="0" xfId="0" applyNumberFormat="1" applyFont="1" applyAlignment="1">
      <alignment horizontal="right" vertical="center" indent="3"/>
    </xf>
    <xf numFmtId="172" fontId="98" fillId="0" borderId="0" xfId="2" applyNumberFormat="1" applyFont="1" applyBorder="1" applyAlignment="1">
      <alignment horizontal="center"/>
    </xf>
    <xf numFmtId="172" fontId="98" fillId="0" borderId="1" xfId="2" applyNumberFormat="1" applyFont="1"/>
    <xf numFmtId="16" fontId="23" fillId="6" borderId="5" xfId="4" applyNumberFormat="1" applyFont="1" applyFill="1" applyAlignment="1">
      <alignment horizontal="center"/>
      <protection locked="0"/>
    </xf>
    <xf numFmtId="191" fontId="23" fillId="6" borderId="5" xfId="4" applyNumberFormat="1" applyFont="1" applyFill="1" applyAlignment="1">
      <alignment horizontal="center"/>
      <protection locked="0"/>
    </xf>
    <xf numFmtId="191" fontId="23" fillId="0" borderId="0" xfId="26" applyFont="1" applyAlignment="1">
      <alignment vertical="top"/>
    </xf>
    <xf numFmtId="1" fontId="23" fillId="6" borderId="5" xfId="4" applyNumberFormat="1" applyFont="1" applyFill="1" applyAlignment="1">
      <alignment horizontal="center"/>
      <protection locked="0"/>
    </xf>
    <xf numFmtId="1" fontId="23" fillId="6" borderId="5" xfId="4" applyNumberFormat="1" applyFont="1" applyFill="1" applyAlignment="1">
      <alignment horizontal="right" indent="3"/>
      <protection locked="0"/>
    </xf>
    <xf numFmtId="1" fontId="23" fillId="0" borderId="44" xfId="0" applyNumberFormat="1" applyFont="1" applyFill="1" applyBorder="1" applyAlignment="1">
      <alignment horizontal="center" vertical="top"/>
    </xf>
    <xf numFmtId="0" fontId="23" fillId="6" borderId="5" xfId="4" applyNumberFormat="1" applyFont="1" applyFill="1">
      <alignment horizontal="right" indent="3"/>
      <protection locked="0"/>
    </xf>
    <xf numFmtId="0" fontId="23" fillId="6" borderId="5" xfId="4" applyFont="1" applyFill="1" applyAlignment="1">
      <alignment horizontal="center"/>
      <protection locked="0"/>
    </xf>
    <xf numFmtId="0" fontId="23" fillId="6" borderId="5" xfId="4" applyFont="1" applyFill="1">
      <alignment horizontal="right" indent="3"/>
      <protection locked="0"/>
    </xf>
    <xf numFmtId="168" fontId="23" fillId="6" borderId="5" xfId="4" applyNumberFormat="1" applyFont="1" applyFill="1">
      <alignment horizontal="right" indent="3"/>
      <protection locked="0"/>
    </xf>
    <xf numFmtId="0" fontId="23" fillId="0" borderId="0" xfId="23" applyNumberFormat="1" applyFont="1" applyFill="1">
      <alignment horizontal="right" vertical="top" indent="3"/>
    </xf>
    <xf numFmtId="9" fontId="23" fillId="0" borderId="0" xfId="7" applyFont="1" applyAlignment="1">
      <alignment horizontal="center" vertical="top"/>
    </xf>
    <xf numFmtId="188" fontId="23" fillId="6" borderId="5" xfId="4" applyNumberFormat="1" applyFont="1" applyFill="1" applyAlignment="1">
      <alignment horizontal="right" indent="3"/>
      <protection locked="0"/>
    </xf>
    <xf numFmtId="188" fontId="23" fillId="0" borderId="0" xfId="0" applyNumberFormat="1" applyFont="1" applyAlignment="1">
      <alignment horizontal="right" vertical="center" indent="3"/>
    </xf>
    <xf numFmtId="188" fontId="23" fillId="6" borderId="5" xfId="4" applyNumberFormat="1" applyFont="1" applyFill="1">
      <alignment horizontal="right" indent="3"/>
      <protection locked="0"/>
    </xf>
    <xf numFmtId="174" fontId="23" fillId="0" borderId="0" xfId="0" applyNumberFormat="1" applyFont="1" applyAlignment="1">
      <alignment horizontal="right" vertical="center" indent="3"/>
    </xf>
    <xf numFmtId="174" fontId="23" fillId="6" borderId="5" xfId="4" applyNumberFormat="1" applyFont="1" applyFill="1">
      <alignment horizontal="right" indent="3"/>
      <protection locked="0"/>
    </xf>
    <xf numFmtId="180" fontId="23" fillId="6" borderId="5" xfId="4" applyNumberFormat="1" applyFont="1" applyFill="1">
      <alignment horizontal="right" indent="3"/>
      <protection locked="0"/>
    </xf>
    <xf numFmtId="182" fontId="23" fillId="6" borderId="5" xfId="4" applyNumberFormat="1" applyFont="1" applyFill="1" applyAlignment="1">
      <alignment horizontal="right" indent="3"/>
      <protection locked="0"/>
    </xf>
    <xf numFmtId="182" fontId="23" fillId="6" borderId="5" xfId="4" applyNumberFormat="1" applyFont="1" applyFill="1">
      <alignment horizontal="right" indent="3"/>
      <protection locked="0"/>
    </xf>
    <xf numFmtId="180" fontId="23" fillId="0" borderId="0" xfId="0" applyNumberFormat="1" applyFont="1">
      <alignment vertical="top"/>
    </xf>
    <xf numFmtId="180" fontId="23" fillId="0" borderId="44" xfId="4" applyNumberFormat="1" applyFont="1" applyFill="1" applyBorder="1">
      <alignment horizontal="right" indent="3"/>
      <protection locked="0"/>
    </xf>
    <xf numFmtId="180" fontId="23" fillId="0" borderId="0" xfId="0" applyNumberFormat="1" applyFont="1" applyFill="1" applyBorder="1">
      <alignment vertical="top"/>
    </xf>
    <xf numFmtId="180" fontId="23" fillId="6" borderId="5" xfId="4" applyNumberFormat="1" applyFont="1" applyFill="1" applyAlignment="1">
      <alignment horizontal="center"/>
      <protection locked="0"/>
    </xf>
    <xf numFmtId="0" fontId="11" fillId="0" borderId="0" xfId="0" applyFont="1" applyAlignment="1">
      <alignment horizontal="right" vertical="center" indent="3"/>
    </xf>
    <xf numFmtId="0" fontId="98" fillId="0" borderId="1" xfId="2" applyFont="1" applyAlignment="1">
      <alignment horizontal="right" vertical="center" indent="3"/>
    </xf>
    <xf numFmtId="0" fontId="100" fillId="0" borderId="0" xfId="0" applyFont="1" applyAlignment="1">
      <alignment horizontal="right" vertical="center" indent="3"/>
    </xf>
    <xf numFmtId="0" fontId="24" fillId="0" borderId="0" xfId="0" applyFont="1" applyBorder="1" applyAlignment="1">
      <alignment horizontal="right" vertical="center" indent="3"/>
    </xf>
    <xf numFmtId="180" fontId="23" fillId="0" borderId="0" xfId="0" applyNumberFormat="1" applyFont="1" applyAlignment="1" applyProtection="1">
      <alignment horizontal="right" vertical="center" indent="3"/>
    </xf>
    <xf numFmtId="172" fontId="98" fillId="0" borderId="1" xfId="2" applyNumberFormat="1" applyFont="1" applyAlignment="1">
      <alignment horizontal="right" vertical="center" indent="3"/>
    </xf>
    <xf numFmtId="0" fontId="100" fillId="0" borderId="0" xfId="0" applyFont="1" applyBorder="1" applyAlignment="1">
      <alignment horizontal="right" vertical="center" indent="3"/>
    </xf>
    <xf numFmtId="172" fontId="100" fillId="0" borderId="0" xfId="2" applyNumberFormat="1" applyFont="1" applyBorder="1" applyAlignment="1">
      <alignment horizontal="right" vertical="center" indent="3"/>
    </xf>
    <xf numFmtId="0" fontId="100" fillId="0" borderId="0" xfId="2" applyFont="1" applyBorder="1" applyAlignment="1">
      <alignment horizontal="right" vertical="center" indent="3"/>
    </xf>
    <xf numFmtId="3" fontId="23" fillId="6" borderId="5" xfId="4" applyNumberFormat="1" applyFont="1" applyFill="1" applyAlignment="1">
      <alignment horizontal="right" indent="3"/>
      <protection locked="0"/>
    </xf>
    <xf numFmtId="3" fontId="170" fillId="0" borderId="0" xfId="0" applyNumberFormat="1" applyFont="1" applyBorder="1" applyAlignment="1">
      <alignment horizontal="right" vertical="center" indent="3"/>
    </xf>
    <xf numFmtId="3" fontId="100" fillId="0" borderId="0" xfId="0" applyNumberFormat="1" applyFont="1" applyAlignment="1">
      <alignment horizontal="right" vertical="center" indent="3"/>
    </xf>
    <xf numFmtId="3" fontId="24" fillId="0" borderId="0" xfId="0" applyNumberFormat="1" applyFont="1" applyBorder="1" applyAlignment="1">
      <alignment horizontal="right" vertical="center" indent="3"/>
    </xf>
    <xf numFmtId="3" fontId="85" fillId="0" borderId="40" xfId="0" applyNumberFormat="1" applyFont="1" applyBorder="1" applyAlignment="1">
      <alignment horizontal="right" vertical="center" indent="3"/>
    </xf>
    <xf numFmtId="0" fontId="23" fillId="6" borderId="114" xfId="4" applyFont="1" applyFill="1" applyBorder="1" applyAlignment="1">
      <alignment horizontal="center"/>
      <protection locked="0"/>
    </xf>
    <xf numFmtId="3" fontId="23" fillId="6" borderId="5" xfId="4" applyNumberFormat="1" applyFont="1" applyFill="1" applyBorder="1" applyAlignment="1">
      <alignment horizontal="right" indent="3"/>
      <protection locked="0"/>
    </xf>
    <xf numFmtId="9" fontId="23" fillId="0" borderId="0" xfId="7" applyFont="1" applyBorder="1" applyAlignment="1">
      <alignment horizontal="right" vertical="center" indent="3"/>
    </xf>
    <xf numFmtId="3" fontId="23" fillId="0" borderId="0" xfId="0" applyNumberFormat="1" applyFont="1" applyFill="1" applyAlignment="1">
      <alignment horizontal="right" vertical="center" indent="3"/>
    </xf>
    <xf numFmtId="3" fontId="23" fillId="0" borderId="0" xfId="0" applyNumberFormat="1" applyFont="1" applyBorder="1" applyAlignment="1">
      <alignment horizontal="right" vertical="center" indent="3"/>
    </xf>
    <xf numFmtId="39" fontId="23" fillId="0" borderId="0" xfId="0" applyNumberFormat="1" applyFont="1" applyAlignment="1">
      <alignment horizontal="center" vertical="center"/>
    </xf>
    <xf numFmtId="3" fontId="23" fillId="0" borderId="40" xfId="0" applyNumberFormat="1" applyFont="1" applyBorder="1" applyAlignment="1">
      <alignment horizontal="right" vertical="center" indent="3"/>
    </xf>
    <xf numFmtId="179" fontId="13" fillId="0" borderId="0" xfId="0" applyNumberFormat="1" applyFont="1" applyFill="1" applyBorder="1" applyAlignment="1" applyProtection="1">
      <alignment horizontal="right" vertical="top"/>
    </xf>
    <xf numFmtId="3" fontId="0" fillId="0" borderId="0" xfId="0" applyNumberFormat="1" applyFill="1" applyBorder="1" applyAlignment="1" applyProtection="1">
      <alignment horizontal="center" vertical="top"/>
    </xf>
    <xf numFmtId="179" fontId="87" fillId="0" borderId="0" xfId="7" applyNumberFormat="1" applyFont="1" applyFill="1" applyBorder="1" applyAlignment="1" applyProtection="1">
      <alignment vertical="top" wrapText="1" shrinkToFit="1"/>
    </xf>
    <xf numFmtId="179" fontId="13" fillId="0" borderId="0" xfId="7" applyNumberFormat="1" applyFont="1" applyFill="1" applyBorder="1" applyAlignment="1" applyProtection="1">
      <alignment horizontal="right" vertical="top" shrinkToFit="1"/>
    </xf>
    <xf numFmtId="174" fontId="0" fillId="0" borderId="0" xfId="0" applyNumberFormat="1" applyFill="1" applyBorder="1" applyAlignment="1" applyProtection="1">
      <alignment horizontal="center" vertical="top"/>
    </xf>
    <xf numFmtId="168" fontId="71" fillId="0" borderId="0" xfId="7" applyNumberFormat="1" applyFont="1" applyFill="1" applyBorder="1" applyAlignment="1" applyProtection="1">
      <alignment horizontal="right" vertical="top" shrinkToFit="1"/>
    </xf>
    <xf numFmtId="168" fontId="15" fillId="0" borderId="0" xfId="7" applyNumberFormat="1" applyFont="1" applyFill="1" applyBorder="1" applyAlignment="1" applyProtection="1">
      <alignment horizontal="right" vertical="top" indent="3"/>
    </xf>
    <xf numFmtId="179" fontId="71" fillId="0" borderId="0" xfId="7" applyNumberFormat="1" applyFont="1" applyFill="1" applyBorder="1" applyAlignment="1" applyProtection="1">
      <alignment horizontal="right" vertical="top" shrinkToFit="1"/>
    </xf>
    <xf numFmtId="179" fontId="13" fillId="0" borderId="206" xfId="0" applyNumberFormat="1" applyFont="1" applyFill="1" applyBorder="1" applyAlignment="1" applyProtection="1">
      <alignment horizontal="right" vertical="top" shrinkToFit="1"/>
    </xf>
    <xf numFmtId="179" fontId="71" fillId="0" borderId="206" xfId="7" applyNumberFormat="1" applyFont="1" applyFill="1" applyBorder="1" applyAlignment="1" applyProtection="1">
      <alignment horizontal="right" vertical="top" shrinkToFit="1"/>
    </xf>
    <xf numFmtId="179" fontId="23" fillId="0" borderId="0" xfId="7" applyNumberFormat="1" applyFont="1" applyFill="1" applyBorder="1" applyAlignment="1">
      <alignment horizontal="right" vertical="top" shrinkToFit="1"/>
    </xf>
    <xf numFmtId="3" fontId="13" fillId="0" borderId="0" xfId="0" applyNumberFormat="1" applyFont="1" applyFill="1" applyBorder="1" applyAlignment="1">
      <alignment horizontal="right" vertical="top" indent="3"/>
    </xf>
    <xf numFmtId="179" fontId="23" fillId="0" borderId="0" xfId="7" applyNumberFormat="1" applyFont="1" applyFill="1" applyBorder="1" applyAlignment="1">
      <alignment horizontal="right" vertical="top"/>
    </xf>
    <xf numFmtId="174" fontId="71" fillId="0" borderId="0" xfId="7" applyNumberFormat="1" applyFont="1" applyFill="1" applyBorder="1" applyAlignment="1" applyProtection="1">
      <alignment horizontal="right" vertical="top" shrinkToFit="1"/>
    </xf>
    <xf numFmtId="168" fontId="15" fillId="0" borderId="0" xfId="0" applyNumberFormat="1" applyFont="1" applyFill="1" applyBorder="1" applyAlignment="1">
      <alignment horizontal="right" vertical="top" indent="3"/>
    </xf>
    <xf numFmtId="3" fontId="15" fillId="0" borderId="0" xfId="0" applyNumberFormat="1" applyFont="1" applyFill="1" applyBorder="1" applyAlignment="1">
      <alignment horizontal="right" vertical="top" indent="3"/>
    </xf>
    <xf numFmtId="3" fontId="15" fillId="0" borderId="0" xfId="7" applyNumberFormat="1" applyFont="1" applyFill="1" applyBorder="1" applyAlignment="1" applyProtection="1">
      <alignment horizontal="right" vertical="top" indent="3"/>
    </xf>
    <xf numFmtId="179" fontId="23" fillId="0" borderId="121" xfId="7" applyNumberFormat="1" applyFont="1" applyFill="1" applyBorder="1" applyAlignment="1">
      <alignment horizontal="right" vertical="top"/>
    </xf>
    <xf numFmtId="0" fontId="171" fillId="0" borderId="0" xfId="22" applyFont="1" applyAlignment="1">
      <alignment vertical="top"/>
    </xf>
    <xf numFmtId="0" fontId="171" fillId="0" borderId="0" xfId="22" applyFont="1" applyAlignment="1">
      <alignment horizontal="right" vertical="top"/>
    </xf>
    <xf numFmtId="0" fontId="17" fillId="20" borderId="6" xfId="0" applyFont="1" applyFill="1" applyBorder="1">
      <alignment vertical="top"/>
    </xf>
    <xf numFmtId="0" fontId="143" fillId="20" borderId="6" xfId="0" applyFont="1" applyFill="1" applyBorder="1" applyAlignment="1">
      <alignment horizontal="center" vertical="top"/>
    </xf>
    <xf numFmtId="0" fontId="17" fillId="0" borderId="0" xfId="0" applyFont="1" applyBorder="1" applyProtection="1">
      <alignment vertical="top"/>
    </xf>
    <xf numFmtId="180" fontId="17" fillId="0" borderId="128" xfId="0" applyNumberFormat="1" applyFont="1" applyBorder="1" applyAlignment="1">
      <alignment horizontal="right" vertical="top" indent="3"/>
    </xf>
    <xf numFmtId="0" fontId="17" fillId="0" borderId="0" xfId="0" applyFont="1" applyAlignment="1">
      <alignment horizontal="left" vertical="top"/>
    </xf>
    <xf numFmtId="190" fontId="17" fillId="0" borderId="0" xfId="0" applyNumberFormat="1" applyFont="1" applyBorder="1" applyAlignment="1" applyProtection="1">
      <alignment vertical="top" shrinkToFit="1"/>
    </xf>
    <xf numFmtId="168" fontId="23" fillId="0" borderId="0" xfId="25" applyNumberFormat="1" applyFont="1" applyFill="1" applyBorder="1" applyAlignment="1" applyProtection="1">
      <alignment horizontal="right" vertical="center" indent="3"/>
    </xf>
    <xf numFmtId="0" fontId="0" fillId="0" borderId="0" xfId="0" applyFill="1" applyAlignment="1">
      <alignment horizontal="right" vertical="center" indent="3"/>
    </xf>
    <xf numFmtId="0" fontId="142" fillId="20" borderId="6" xfId="0" applyFont="1" applyFill="1" applyBorder="1" applyAlignment="1">
      <alignment horizontal="center" vertical="top"/>
    </xf>
    <xf numFmtId="3" fontId="13" fillId="0" borderId="127" xfId="0" applyNumberFormat="1" applyFont="1" applyBorder="1" applyAlignment="1">
      <alignment horizontal="right" vertical="top" indent="3"/>
    </xf>
    <xf numFmtId="0" fontId="13" fillId="0" borderId="127" xfId="0" applyFont="1" applyBorder="1" applyAlignment="1" applyProtection="1">
      <alignment horizontal="right" vertical="top" indent="3" shrinkToFit="1"/>
    </xf>
    <xf numFmtId="173" fontId="13" fillId="0" borderId="0" xfId="0" applyNumberFormat="1" applyFont="1" applyFill="1" applyBorder="1" applyAlignment="1">
      <alignment horizontal="right" vertical="top" indent="4"/>
    </xf>
    <xf numFmtId="0" fontId="29" fillId="2" borderId="239" xfId="0" applyFont="1" applyFill="1" applyBorder="1" applyAlignment="1"/>
    <xf numFmtId="0" fontId="0" fillId="0" borderId="145" xfId="0" applyFont="1" applyBorder="1">
      <alignment vertical="top"/>
    </xf>
    <xf numFmtId="0" fontId="0" fillId="0" borderId="146" xfId="0" applyFont="1" applyBorder="1">
      <alignment vertical="top"/>
    </xf>
    <xf numFmtId="0" fontId="173" fillId="15" borderId="0" xfId="0" applyFont="1" applyFill="1" applyAlignment="1">
      <alignment horizontal="left" vertical="top" indent="1"/>
    </xf>
    <xf numFmtId="0" fontId="62" fillId="0" borderId="240" xfId="19" applyBorder="1" applyAlignment="1">
      <alignment vertical="top"/>
    </xf>
    <xf numFmtId="0" fontId="32" fillId="18" borderId="6" xfId="0" applyFont="1" applyFill="1" applyBorder="1" applyAlignment="1">
      <alignment horizontal="center" vertical="top"/>
    </xf>
    <xf numFmtId="201" fontId="122" fillId="0" borderId="0" xfId="0" applyNumberFormat="1" applyFont="1" applyAlignment="1">
      <alignment horizontal="left" vertical="top"/>
    </xf>
    <xf numFmtId="9" fontId="14" fillId="6" borderId="19" xfId="7" applyFont="1" applyFill="1" applyBorder="1" applyAlignment="1" applyProtection="1">
      <alignment horizontal="center" vertical="top"/>
      <protection locked="0"/>
    </xf>
    <xf numFmtId="0" fontId="27" fillId="0" borderId="0" xfId="3" applyBorder="1" applyAlignment="1">
      <alignment horizontal="right" vertical="top" indent="2"/>
    </xf>
    <xf numFmtId="9" fontId="39" fillId="6" borderId="172" xfId="4" applyNumberFormat="1" applyFont="1" applyBorder="1" applyAlignment="1">
      <alignment horizontal="right" vertical="top" indent="1"/>
      <protection locked="0"/>
    </xf>
    <xf numFmtId="180" fontId="17" fillId="0" borderId="0" xfId="3" applyNumberFormat="1" applyFont="1" applyBorder="1" applyAlignment="1">
      <alignment horizontal="right" vertical="top" shrinkToFit="1"/>
    </xf>
    <xf numFmtId="9" fontId="27" fillId="0" borderId="0" xfId="7" applyFont="1" applyBorder="1" applyAlignment="1">
      <alignment vertical="top"/>
    </xf>
    <xf numFmtId="180" fontId="27" fillId="0" borderId="0" xfId="3" applyNumberFormat="1" applyBorder="1" applyAlignment="1">
      <alignment horizontal="right" vertical="top" indent="2" shrinkToFit="1"/>
    </xf>
    <xf numFmtId="0" fontId="14" fillId="6" borderId="217" xfId="4" applyBorder="1" applyAlignment="1">
      <protection locked="0"/>
    </xf>
    <xf numFmtId="0" fontId="14" fillId="6" borderId="197" xfId="4" applyBorder="1" applyAlignment="1">
      <alignment vertical="top" wrapText="1"/>
      <protection locked="0"/>
    </xf>
    <xf numFmtId="180" fontId="14" fillId="6" borderId="19" xfId="4" applyNumberFormat="1" applyBorder="1" applyAlignment="1">
      <alignment horizontal="right" vertical="top" indent="2" shrinkToFit="1"/>
      <protection locked="0"/>
    </xf>
    <xf numFmtId="0" fontId="14" fillId="6" borderId="19" xfId="4" applyFont="1" applyBorder="1" applyAlignment="1">
      <alignment horizontal="center" vertical="top"/>
      <protection locked="0"/>
    </xf>
    <xf numFmtId="180" fontId="0" fillId="0" borderId="19" xfId="0" applyNumberFormat="1" applyFont="1" applyFill="1" applyBorder="1">
      <alignment vertical="top"/>
    </xf>
    <xf numFmtId="0" fontId="20" fillId="15" borderId="161" xfId="0" applyFont="1" applyFill="1" applyBorder="1" applyAlignment="1">
      <alignment horizontal="centerContinuous" vertical="top"/>
    </xf>
    <xf numFmtId="0" fontId="20" fillId="15" borderId="162" xfId="0" applyFont="1" applyFill="1" applyBorder="1" applyAlignment="1">
      <alignment horizontal="centerContinuous" vertical="top"/>
    </xf>
    <xf numFmtId="0" fontId="85" fillId="15" borderId="162" xfId="0" applyFont="1" applyFill="1" applyBorder="1" applyAlignment="1">
      <alignment horizontal="centerContinuous" vertical="top"/>
    </xf>
    <xf numFmtId="0" fontId="85" fillId="15" borderId="163" xfId="0" applyFont="1" applyFill="1" applyBorder="1" applyAlignment="1">
      <alignment horizontal="centerContinuous" vertical="top"/>
    </xf>
    <xf numFmtId="0" fontId="20" fillId="15" borderId="145" xfId="0" applyFont="1" applyFill="1" applyBorder="1" applyAlignment="1">
      <alignment horizontal="centerContinuous" vertical="top" wrapText="1"/>
    </xf>
    <xf numFmtId="0" fontId="122" fillId="15" borderId="0" xfId="0" applyFont="1" applyFill="1" applyBorder="1" applyAlignment="1">
      <alignment horizontal="centerContinuous" vertical="top" wrapText="1"/>
    </xf>
    <xf numFmtId="0" fontId="122" fillId="15" borderId="146" xfId="0" applyFont="1" applyFill="1" applyBorder="1" applyAlignment="1">
      <alignment horizontal="centerContinuous" vertical="top" wrapText="1"/>
    </xf>
    <xf numFmtId="0" fontId="85" fillId="15" borderId="245" xfId="0" applyFont="1" applyFill="1" applyBorder="1" applyAlignment="1">
      <alignment horizontal="centerContinuous" vertical="top"/>
    </xf>
    <xf numFmtId="0" fontId="85" fillId="15" borderId="246" xfId="0" applyFont="1" applyFill="1" applyBorder="1" applyAlignment="1">
      <alignment horizontal="centerContinuous" vertical="top"/>
    </xf>
    <xf numFmtId="0" fontId="132" fillId="15" borderId="244" xfId="0" applyFont="1" applyFill="1" applyBorder="1" applyAlignment="1">
      <alignment horizontal="centerContinuous" vertical="top"/>
    </xf>
    <xf numFmtId="180" fontId="14" fillId="6" borderId="19" xfId="4" applyNumberFormat="1" applyFont="1" applyFill="1" applyBorder="1" applyAlignment="1">
      <alignment horizontal="right" vertical="top" indent="1" shrinkToFit="1"/>
      <protection locked="0"/>
    </xf>
    <xf numFmtId="0" fontId="14" fillId="6" borderId="43" xfId="4" applyFont="1" applyFill="1" applyBorder="1" applyAlignment="1">
      <alignment vertical="top" wrapText="1"/>
      <protection locked="0"/>
    </xf>
    <xf numFmtId="180" fontId="14" fillId="6" borderId="247" xfId="4" applyNumberFormat="1" applyFont="1" applyFill="1" applyBorder="1" applyAlignment="1">
      <alignment horizontal="right" vertical="top" indent="2" shrinkToFit="1"/>
      <protection locked="0"/>
    </xf>
    <xf numFmtId="9" fontId="14" fillId="6" borderId="247" xfId="4" applyNumberFormat="1" applyFont="1" applyFill="1" applyBorder="1" applyAlignment="1">
      <alignment horizontal="right" vertical="top" indent="1"/>
      <protection locked="0"/>
    </xf>
    <xf numFmtId="0" fontId="14" fillId="6" borderId="247" xfId="4" applyFont="1" applyFill="1" applyBorder="1" applyAlignment="1">
      <alignment horizontal="center" vertical="top"/>
      <protection locked="0"/>
    </xf>
    <xf numFmtId="180" fontId="0" fillId="0" borderId="247" xfId="0" applyNumberFormat="1" applyFont="1" applyBorder="1">
      <alignment vertical="top"/>
    </xf>
    <xf numFmtId="0" fontId="14" fillId="6" borderId="248" xfId="4" applyFont="1" applyFill="1" applyBorder="1" applyAlignment="1">
      <alignment horizontal="center" vertical="top"/>
      <protection locked="0"/>
    </xf>
    <xf numFmtId="9" fontId="14" fillId="6" borderId="248" xfId="7" applyNumberFormat="1" applyFont="1" applyFill="1" applyBorder="1" applyAlignment="1">
      <alignment horizontal="center" vertical="top"/>
    </xf>
    <xf numFmtId="180" fontId="14" fillId="6" borderId="248" xfId="4" applyNumberFormat="1" applyFont="1" applyFill="1" applyBorder="1" applyAlignment="1">
      <alignment horizontal="right" vertical="top" indent="1" shrinkToFit="1"/>
      <protection locked="0"/>
    </xf>
    <xf numFmtId="0" fontId="14" fillId="6" borderId="248" xfId="4" applyFont="1" applyFill="1" applyBorder="1" applyAlignment="1">
      <protection locked="0"/>
    </xf>
    <xf numFmtId="9" fontId="0" fillId="0" borderId="18" xfId="7" applyFont="1" applyBorder="1" applyAlignment="1">
      <alignment horizontal="right" shrinkToFit="1"/>
    </xf>
    <xf numFmtId="180" fontId="0" fillId="0" borderId="0" xfId="3" applyNumberFormat="1" applyFont="1" applyBorder="1" applyAlignment="1">
      <alignment horizontal="right" vertical="top" shrinkToFit="1"/>
    </xf>
    <xf numFmtId="180" fontId="0" fillId="0" borderId="0" xfId="17" applyNumberFormat="1" applyFont="1" applyBorder="1">
      <alignment horizontal="right" vertical="top" indent="2"/>
    </xf>
    <xf numFmtId="180" fontId="0" fillId="0" borderId="0" xfId="17" applyNumberFormat="1" applyFont="1" applyAlignment="1">
      <alignment horizontal="right" vertical="top" indent="2" shrinkToFit="1"/>
    </xf>
    <xf numFmtId="0" fontId="93" fillId="0" borderId="91" xfId="0" applyFont="1" applyBorder="1">
      <alignment vertical="top"/>
    </xf>
    <xf numFmtId="0" fontId="14" fillId="6" borderId="96" xfId="4" applyFont="1" applyFill="1" applyBorder="1" applyAlignment="1">
      <alignment vertical="top" wrapText="1"/>
      <protection locked="0"/>
    </xf>
    <xf numFmtId="180" fontId="14" fillId="6" borderId="5" xfId="4" applyNumberFormat="1" applyFont="1" applyFill="1" applyBorder="1" applyAlignment="1">
      <alignment horizontal="right" vertical="top" indent="2" shrinkToFit="1"/>
      <protection locked="0"/>
    </xf>
    <xf numFmtId="9" fontId="14" fillId="6" borderId="5" xfId="4" applyNumberFormat="1" applyFont="1" applyFill="1" applyBorder="1" applyAlignment="1">
      <alignment horizontal="right" vertical="top" indent="1"/>
      <protection locked="0"/>
    </xf>
    <xf numFmtId="0" fontId="14" fillId="6" borderId="5" xfId="4" applyNumberFormat="1" applyFont="1" applyFill="1" applyBorder="1" applyAlignment="1">
      <alignment horizontal="center" vertical="top"/>
      <protection locked="0"/>
    </xf>
    <xf numFmtId="9" fontId="14" fillId="6" borderId="5" xfId="7" applyFont="1" applyFill="1" applyBorder="1" applyAlignment="1" applyProtection="1">
      <alignment horizontal="center" vertical="top"/>
      <protection locked="0"/>
    </xf>
    <xf numFmtId="180" fontId="14" fillId="6" borderId="5" xfId="4" applyNumberFormat="1" applyFont="1" applyFill="1" applyBorder="1" applyAlignment="1">
      <alignment horizontal="right" vertical="top" indent="1" shrinkToFit="1"/>
      <protection locked="0"/>
    </xf>
    <xf numFmtId="0" fontId="14" fillId="6" borderId="104" xfId="4" applyBorder="1" applyAlignment="1">
      <protection locked="0"/>
    </xf>
    <xf numFmtId="0" fontId="31" fillId="0" borderId="92" xfId="0" applyFont="1" applyFill="1" applyBorder="1">
      <alignment vertical="top"/>
    </xf>
    <xf numFmtId="0" fontId="40" fillId="6" borderId="217" xfId="4" applyFont="1" applyBorder="1" applyAlignment="1">
      <alignment horizontal="left" vertical="top"/>
      <protection locked="0"/>
    </xf>
    <xf numFmtId="0" fontId="40" fillId="6" borderId="104" xfId="4" applyFont="1" applyBorder="1" applyAlignment="1">
      <alignment horizontal="left" vertical="top"/>
      <protection locked="0"/>
    </xf>
    <xf numFmtId="181" fontId="23" fillId="6" borderId="114" xfId="4" applyNumberFormat="1" applyFont="1" applyFill="1" applyBorder="1" applyAlignment="1">
      <alignment horizontal="center"/>
      <protection locked="0"/>
    </xf>
    <xf numFmtId="181" fontId="23" fillId="0" borderId="0" xfId="0" applyNumberFormat="1" applyFont="1" applyAlignment="1">
      <alignment horizontal="center" vertical="top"/>
    </xf>
    <xf numFmtId="0" fontId="17" fillId="0" borderId="249" xfId="0" applyFont="1" applyBorder="1">
      <alignment vertical="top"/>
    </xf>
    <xf numFmtId="0" fontId="0" fillId="0" borderId="249" xfId="0" applyFont="1" applyFill="1" applyBorder="1" applyAlignment="1">
      <alignment horizontal="left" vertical="top"/>
    </xf>
    <xf numFmtId="0" fontId="93" fillId="0" borderId="0" xfId="22" applyFont="1" applyAlignment="1">
      <alignment horizontal="right" wrapText="1"/>
    </xf>
    <xf numFmtId="0" fontId="0" fillId="0" borderId="250" xfId="0" applyBorder="1" applyAlignment="1">
      <alignment horizontal="right" vertical="center" textRotation="90"/>
    </xf>
    <xf numFmtId="202" fontId="14" fillId="6" borderId="5" xfId="4" applyNumberFormat="1" applyFont="1" applyAlignment="1">
      <alignment horizontal="right" indent="1" shrinkToFit="1"/>
      <protection locked="0"/>
    </xf>
    <xf numFmtId="203" fontId="13" fillId="0" borderId="131" xfId="0" applyNumberFormat="1" applyFont="1" applyBorder="1" applyAlignment="1">
      <alignment horizontal="right" vertical="top" indent="3" shrinkToFit="1"/>
    </xf>
    <xf numFmtId="203" fontId="13" fillId="0" borderId="0" xfId="0" applyNumberFormat="1" applyFont="1" applyBorder="1" applyAlignment="1">
      <alignment horizontal="right" vertical="top" indent="3" shrinkToFit="1"/>
    </xf>
    <xf numFmtId="0" fontId="172" fillId="2" borderId="239" xfId="0" applyFont="1" applyFill="1" applyBorder="1" applyAlignment="1" applyProtection="1">
      <alignment horizontal="center" vertical="top"/>
      <protection locked="0"/>
    </xf>
    <xf numFmtId="0" fontId="29" fillId="0" borderId="0" xfId="0" applyFont="1" applyFill="1" applyBorder="1">
      <alignment vertical="top"/>
    </xf>
    <xf numFmtId="202" fontId="14" fillId="6" borderId="96" xfId="4" applyNumberFormat="1" applyFont="1" applyBorder="1" applyAlignment="1">
      <alignment horizontal="right" indent="1" shrinkToFit="1"/>
      <protection locked="0"/>
    </xf>
    <xf numFmtId="9" fontId="14" fillId="6" borderId="96" xfId="7" applyFont="1" applyFill="1" applyBorder="1" applyAlignment="1" applyProtection="1">
      <alignment horizontal="right" indent="1" shrinkToFit="1"/>
      <protection locked="0"/>
    </xf>
    <xf numFmtId="0" fontId="35" fillId="0" borderId="89" xfId="0" applyFont="1" applyFill="1" applyBorder="1" applyProtection="1">
      <alignment vertical="top"/>
      <protection locked="0"/>
    </xf>
    <xf numFmtId="0" fontId="24" fillId="15" borderId="0" xfId="0" applyFont="1" applyFill="1" applyBorder="1" applyAlignment="1" applyProtection="1">
      <alignment horizontal="right" vertical="top" shrinkToFit="1"/>
    </xf>
    <xf numFmtId="0" fontId="23" fillId="15" borderId="0" xfId="0" applyFont="1" applyFill="1" applyBorder="1" applyAlignment="1" applyProtection="1">
      <alignment horizontal="left" vertical="center" shrinkToFit="1"/>
    </xf>
    <xf numFmtId="189" fontId="23" fillId="15" borderId="0" xfId="0" applyNumberFormat="1" applyFont="1" applyFill="1" applyBorder="1" applyAlignment="1" applyProtection="1">
      <alignment vertical="top" wrapText="1"/>
    </xf>
    <xf numFmtId="0" fontId="23" fillId="15" borderId="0" xfId="0" applyFont="1" applyFill="1" applyBorder="1" applyAlignment="1" applyProtection="1">
      <alignment horizontal="right" vertical="top" shrinkToFit="1"/>
    </xf>
    <xf numFmtId="0" fontId="23" fillId="15" borderId="0" xfId="0" applyFont="1" applyFill="1" applyBorder="1" applyAlignment="1" applyProtection="1">
      <alignment horizontal="right"/>
    </xf>
    <xf numFmtId="0" fontId="24" fillId="15" borderId="0" xfId="2" applyFont="1" applyFill="1" applyBorder="1" applyAlignment="1" applyProtection="1">
      <alignment horizontal="right"/>
    </xf>
    <xf numFmtId="0" fontId="24" fillId="15" borderId="0" xfId="2" applyFont="1" applyFill="1" applyBorder="1" applyProtection="1"/>
    <xf numFmtId="0" fontId="79" fillId="15" borderId="0" xfId="24" applyFont="1" applyFill="1" applyBorder="1" applyAlignment="1">
      <alignment horizontal="right" vertical="top"/>
    </xf>
    <xf numFmtId="0" fontId="79" fillId="15" borderId="0" xfId="24" applyFont="1" applyFill="1" applyBorder="1">
      <alignment vertical="top"/>
    </xf>
    <xf numFmtId="0" fontId="24" fillId="15" borderId="0" xfId="3" applyFont="1" applyFill="1" applyBorder="1" applyAlignment="1" applyProtection="1">
      <alignment horizontal="right" vertical="top" shrinkToFit="1"/>
    </xf>
    <xf numFmtId="0" fontId="24" fillId="15" borderId="0" xfId="3" applyFont="1" applyFill="1" applyBorder="1" applyAlignment="1" applyProtection="1">
      <alignment vertical="top" shrinkToFit="1"/>
    </xf>
    <xf numFmtId="0" fontId="79" fillId="15" borderId="0" xfId="24" applyFont="1" applyFill="1" applyBorder="1" applyAlignment="1">
      <alignment horizontal="right" vertical="top" shrinkToFit="1"/>
    </xf>
    <xf numFmtId="0" fontId="85" fillId="15" borderId="0" xfId="0" applyFont="1" applyFill="1" applyBorder="1" applyAlignment="1" applyProtection="1">
      <alignment horizontal="right" vertical="top" shrinkToFit="1"/>
    </xf>
    <xf numFmtId="3" fontId="85" fillId="15" borderId="0" xfId="23" applyFont="1" applyFill="1" applyBorder="1">
      <alignment horizontal="right" vertical="top" indent="3"/>
    </xf>
    <xf numFmtId="1" fontId="23" fillId="15" borderId="0" xfId="0" applyNumberFormat="1" applyFont="1" applyFill="1" applyBorder="1" applyAlignment="1" applyProtection="1">
      <alignment horizontal="right" vertical="top" shrinkToFit="1"/>
    </xf>
    <xf numFmtId="3" fontId="23" fillId="15" borderId="0" xfId="23" applyFont="1" applyFill="1" applyBorder="1">
      <alignment horizontal="right" vertical="top" indent="3"/>
    </xf>
    <xf numFmtId="0" fontId="178" fillId="15" borderId="0" xfId="0" applyFont="1" applyFill="1" applyBorder="1" applyAlignment="1">
      <alignment horizontal="center" vertical="top"/>
    </xf>
    <xf numFmtId="3" fontId="107" fillId="15" borderId="0" xfId="8" applyNumberFormat="1" applyFont="1" applyFill="1" applyBorder="1" applyAlignment="1">
      <alignment horizontal="right" vertical="top" indent="4"/>
    </xf>
    <xf numFmtId="174" fontId="23" fillId="15" borderId="0" xfId="23" applyNumberFormat="1" applyFont="1" applyFill="1" applyBorder="1">
      <alignment horizontal="right" vertical="top" indent="3"/>
    </xf>
    <xf numFmtId="3" fontId="23" fillId="15" borderId="0" xfId="23" applyNumberFormat="1" applyFont="1" applyFill="1" applyBorder="1">
      <alignment horizontal="right" vertical="top" indent="3"/>
    </xf>
    <xf numFmtId="3" fontId="24" fillId="15" borderId="0" xfId="10" applyNumberFormat="1" applyFont="1" applyFill="1" applyBorder="1" applyAlignment="1" applyProtection="1">
      <alignment horizontal="center" vertical="top"/>
    </xf>
    <xf numFmtId="3" fontId="23" fillId="15" borderId="0" xfId="17" applyNumberFormat="1" applyFont="1" applyFill="1" applyBorder="1">
      <alignment horizontal="right" vertical="top" indent="2"/>
    </xf>
    <xf numFmtId="177" fontId="23" fillId="15" borderId="0" xfId="10" applyNumberFormat="1" applyFont="1" applyFill="1" applyBorder="1" applyAlignment="1">
      <alignment horizontal="center" vertical="top"/>
    </xf>
    <xf numFmtId="177" fontId="110" fillId="15" borderId="0" xfId="10" applyNumberFormat="1" applyFont="1" applyFill="1" applyBorder="1" applyAlignment="1">
      <alignment horizontal="center"/>
    </xf>
    <xf numFmtId="3" fontId="24" fillId="15" borderId="0" xfId="23" applyNumberFormat="1" applyFont="1" applyFill="1" applyBorder="1">
      <alignment horizontal="right" vertical="top" indent="3"/>
    </xf>
    <xf numFmtId="177" fontId="110" fillId="15" borderId="0" xfId="23" applyNumberFormat="1" applyFont="1" applyFill="1" applyBorder="1" applyAlignment="1">
      <alignment horizontal="right"/>
    </xf>
    <xf numFmtId="0" fontId="24" fillId="15" borderId="0" xfId="23" applyNumberFormat="1" applyFont="1" applyFill="1" applyBorder="1">
      <alignment horizontal="right" vertical="top" indent="3"/>
    </xf>
    <xf numFmtId="3" fontId="85" fillId="15" borderId="0" xfId="17" applyNumberFormat="1" applyFont="1" applyFill="1" applyBorder="1">
      <alignment horizontal="right" vertical="top" indent="2"/>
    </xf>
    <xf numFmtId="0" fontId="100" fillId="15" borderId="0" xfId="0" applyFont="1" applyFill="1" applyBorder="1">
      <alignment vertical="top"/>
    </xf>
    <xf numFmtId="189" fontId="85" fillId="15" borderId="0" xfId="0" applyNumberFormat="1" applyFont="1" applyFill="1" applyBorder="1">
      <alignment vertical="top"/>
    </xf>
    <xf numFmtId="3" fontId="23" fillId="15" borderId="0" xfId="0" applyNumberFormat="1" applyFont="1" applyFill="1" applyBorder="1">
      <alignment vertical="top"/>
    </xf>
    <xf numFmtId="0" fontId="85" fillId="15" borderId="0" xfId="0" applyFont="1" applyFill="1" applyBorder="1" applyProtection="1">
      <alignment vertical="top"/>
    </xf>
    <xf numFmtId="179" fontId="23" fillId="15" borderId="0" xfId="7" applyNumberFormat="1" applyFont="1" applyFill="1" applyBorder="1" applyAlignment="1" applyProtection="1">
      <alignment horizontal="right" vertical="top" shrinkToFit="1"/>
    </xf>
    <xf numFmtId="3" fontId="23" fillId="15" borderId="0" xfId="0" applyNumberFormat="1" applyFont="1" applyFill="1" applyBorder="1" applyAlignment="1" applyProtection="1">
      <alignment horizontal="center" vertical="top"/>
    </xf>
    <xf numFmtId="179" fontId="107" fillId="15" borderId="0" xfId="8" applyNumberFormat="1" applyFont="1" applyFill="1" applyBorder="1" applyAlignment="1" applyProtection="1">
      <alignment horizontal="right" vertical="top"/>
    </xf>
    <xf numFmtId="174" fontId="23" fillId="15" borderId="0" xfId="0" applyNumberFormat="1" applyFont="1" applyFill="1" applyBorder="1" applyAlignment="1" applyProtection="1">
      <alignment horizontal="center" vertical="top"/>
    </xf>
    <xf numFmtId="179" fontId="179" fillId="15" borderId="0" xfId="7" applyNumberFormat="1" applyFont="1" applyFill="1" applyBorder="1" applyAlignment="1" applyProtection="1">
      <alignment horizontal="right" vertical="top"/>
    </xf>
    <xf numFmtId="179" fontId="24" fillId="15" borderId="0" xfId="7" applyNumberFormat="1" applyFont="1" applyFill="1" applyBorder="1" applyAlignment="1" applyProtection="1">
      <alignment horizontal="right" vertical="top"/>
    </xf>
    <xf numFmtId="3" fontId="23" fillId="15" borderId="0" xfId="23" applyNumberFormat="1" applyFont="1" applyFill="1" applyBorder="1" applyAlignment="1">
      <alignment horizontal="center" vertical="top"/>
    </xf>
    <xf numFmtId="179" fontId="178" fillId="15" borderId="0" xfId="7" applyNumberFormat="1" applyFont="1" applyFill="1" applyBorder="1" applyAlignment="1" applyProtection="1">
      <alignment horizontal="right" vertical="top" shrinkToFit="1"/>
    </xf>
    <xf numFmtId="179" fontId="23" fillId="15" borderId="0" xfId="7" applyNumberFormat="1" applyFont="1" applyFill="1" applyBorder="1" applyAlignment="1" applyProtection="1">
      <alignment horizontal="right" vertical="top"/>
    </xf>
    <xf numFmtId="3" fontId="85" fillId="15" borderId="0" xfId="0" applyNumberFormat="1" applyFont="1" applyFill="1" applyBorder="1" applyAlignment="1" applyProtection="1">
      <alignment horizontal="center" vertical="top"/>
    </xf>
    <xf numFmtId="3" fontId="23" fillId="15" borderId="0" xfId="0" applyNumberFormat="1" applyFont="1" applyFill="1" applyBorder="1" applyProtection="1">
      <alignment vertical="top"/>
    </xf>
    <xf numFmtId="0" fontId="24" fillId="15" borderId="0" xfId="2" applyFont="1" applyFill="1" applyBorder="1" applyAlignment="1">
      <alignment horizontal="right"/>
    </xf>
    <xf numFmtId="0" fontId="24" fillId="15" borderId="0" xfId="2" applyFont="1" applyFill="1" applyBorder="1"/>
    <xf numFmtId="0" fontId="23" fillId="15" borderId="0" xfId="0" applyFont="1" applyFill="1" applyBorder="1" applyAlignment="1">
      <alignment horizontal="right" vertical="top" shrinkToFit="1"/>
    </xf>
    <xf numFmtId="173" fontId="23" fillId="15" borderId="0" xfId="0" applyNumberFormat="1" applyFont="1" applyFill="1" applyBorder="1" applyAlignment="1">
      <alignment horizontal="center" vertical="top"/>
    </xf>
    <xf numFmtId="3" fontId="23" fillId="15" borderId="0" xfId="0" applyNumberFormat="1" applyFont="1" applyFill="1" applyBorder="1" applyAlignment="1">
      <alignment horizontal="right" vertical="top" shrinkToFit="1"/>
    </xf>
    <xf numFmtId="180" fontId="23" fillId="15" borderId="0" xfId="0" applyNumberFormat="1" applyFont="1" applyFill="1" applyBorder="1" applyAlignment="1">
      <alignment horizontal="right" vertical="top" indent="3"/>
    </xf>
    <xf numFmtId="3" fontId="85" fillId="15" borderId="0" xfId="0" applyNumberFormat="1" applyFont="1" applyFill="1" applyBorder="1" applyAlignment="1">
      <alignment horizontal="right" vertical="top"/>
    </xf>
    <xf numFmtId="180" fontId="85" fillId="15" borderId="0" xfId="0" applyNumberFormat="1" applyFont="1" applyFill="1" applyBorder="1" applyAlignment="1">
      <alignment horizontal="right" vertical="top" indent="3" shrinkToFit="1"/>
    </xf>
    <xf numFmtId="3" fontId="23" fillId="15" borderId="0" xfId="0" applyNumberFormat="1" applyFont="1" applyFill="1" applyBorder="1" applyAlignment="1">
      <alignment horizontal="right" vertical="top"/>
    </xf>
    <xf numFmtId="180" fontId="23" fillId="15" borderId="0" xfId="0" applyNumberFormat="1" applyFont="1" applyFill="1" applyBorder="1" applyAlignment="1">
      <alignment horizontal="right" vertical="top" indent="3" shrinkToFit="1"/>
    </xf>
    <xf numFmtId="0" fontId="23" fillId="15" borderId="0" xfId="0" applyFont="1" applyFill="1" applyBorder="1" applyAlignment="1">
      <alignment horizontal="right" vertical="top"/>
    </xf>
    <xf numFmtId="3" fontId="23" fillId="15" borderId="0" xfId="0" applyNumberFormat="1" applyFont="1" applyFill="1" applyBorder="1" applyAlignment="1">
      <alignment horizontal="right" vertical="top" indent="4"/>
    </xf>
    <xf numFmtId="180" fontId="24" fillId="15" borderId="0" xfId="0" applyNumberFormat="1" applyFont="1" applyFill="1" applyBorder="1" applyAlignment="1">
      <alignment horizontal="right" indent="3"/>
    </xf>
    <xf numFmtId="3" fontId="85" fillId="15" borderId="0" xfId="0" applyNumberFormat="1" applyFont="1" applyFill="1" applyBorder="1" applyAlignment="1" applyProtection="1">
      <alignment horizontal="center" vertical="top" shrinkToFit="1"/>
    </xf>
    <xf numFmtId="0" fontId="24" fillId="15" borderId="0" xfId="0" applyFont="1" applyFill="1" applyBorder="1" applyAlignment="1">
      <alignment horizontal="right" vertical="top" shrinkToFit="1"/>
    </xf>
    <xf numFmtId="180" fontId="24" fillId="15" borderId="0" xfId="0" applyNumberFormat="1" applyFont="1" applyFill="1" applyBorder="1" applyAlignment="1">
      <alignment horizontal="right" vertical="top" indent="3"/>
    </xf>
    <xf numFmtId="180" fontId="79" fillId="15" borderId="0" xfId="24" applyNumberFormat="1" applyFont="1" applyFill="1" applyBorder="1" applyAlignment="1">
      <alignment horizontal="right" vertical="top" indent="3"/>
    </xf>
    <xf numFmtId="3" fontId="24" fillId="15" borderId="0" xfId="0" applyNumberFormat="1" applyFont="1" applyFill="1" applyBorder="1" applyAlignment="1">
      <alignment horizontal="right" vertical="top" indent="4"/>
    </xf>
    <xf numFmtId="3" fontId="23" fillId="15" borderId="0" xfId="10" applyNumberFormat="1" applyFont="1" applyFill="1" applyBorder="1" applyAlignment="1">
      <alignment horizontal="right" vertical="top" indent="4"/>
    </xf>
    <xf numFmtId="167" fontId="23" fillId="15" borderId="0" xfId="0" applyNumberFormat="1" applyFont="1" applyFill="1" applyBorder="1" applyAlignment="1">
      <alignment horizontal="center"/>
    </xf>
    <xf numFmtId="0" fontId="98" fillId="15" borderId="0" xfId="2" applyFont="1" applyFill="1" applyBorder="1"/>
    <xf numFmtId="167" fontId="98" fillId="15" borderId="0" xfId="2" applyNumberFormat="1" applyFont="1" applyFill="1" applyBorder="1"/>
    <xf numFmtId="3" fontId="24" fillId="15" borderId="0" xfId="0" applyNumberFormat="1" applyFont="1" applyFill="1" applyBorder="1" applyAlignment="1" applyProtection="1">
      <alignment horizontal="center" vertical="top"/>
    </xf>
    <xf numFmtId="0" fontId="85" fillId="15" borderId="0" xfId="24" applyFont="1" applyFill="1" applyBorder="1" applyAlignment="1">
      <alignment horizontal="right" vertical="top" shrinkToFit="1"/>
    </xf>
    <xf numFmtId="3" fontId="85" fillId="15" borderId="0" xfId="24" applyNumberFormat="1" applyFont="1" applyFill="1" applyBorder="1" applyAlignment="1">
      <alignment horizontal="center" vertical="top"/>
    </xf>
    <xf numFmtId="0" fontId="24" fillId="15" borderId="0" xfId="0" applyFont="1" applyFill="1" applyBorder="1" applyProtection="1">
      <alignment vertical="top"/>
    </xf>
    <xf numFmtId="3" fontId="101" fillId="15" borderId="0" xfId="0" applyNumberFormat="1" applyFont="1" applyFill="1" applyBorder="1" applyAlignment="1" applyProtection="1">
      <alignment horizontal="center" vertical="top"/>
    </xf>
    <xf numFmtId="0" fontId="23" fillId="15" borderId="0" xfId="0" applyFont="1" applyFill="1" applyBorder="1" applyAlignment="1" applyProtection="1">
      <alignment vertical="top" shrinkToFit="1"/>
    </xf>
    <xf numFmtId="188" fontId="85" fillId="15" borderId="0" xfId="0" applyNumberFormat="1" applyFont="1" applyFill="1" applyBorder="1" applyAlignment="1" applyProtection="1">
      <alignment horizontal="center" vertical="top" shrinkToFit="1"/>
    </xf>
    <xf numFmtId="9" fontId="23" fillId="15" borderId="0" xfId="0" applyNumberFormat="1" applyFont="1" applyFill="1" applyBorder="1" applyAlignment="1" applyProtection="1">
      <alignment vertical="top" shrinkToFit="1"/>
    </xf>
    <xf numFmtId="167" fontId="23" fillId="15" borderId="0" xfId="0" applyNumberFormat="1" applyFont="1" applyFill="1" applyBorder="1">
      <alignment vertical="top"/>
    </xf>
    <xf numFmtId="0" fontId="23" fillId="15" borderId="0" xfId="2" applyFont="1" applyFill="1" applyBorder="1"/>
    <xf numFmtId="0" fontId="180" fillId="15" borderId="0" xfId="0" applyFont="1" applyFill="1" applyBorder="1" applyAlignment="1">
      <alignment horizontal="right" vertical="top" shrinkToFit="1"/>
    </xf>
    <xf numFmtId="0" fontId="180" fillId="15" borderId="0" xfId="0" applyFont="1" applyFill="1" applyBorder="1">
      <alignment vertical="top"/>
    </xf>
    <xf numFmtId="180" fontId="23" fillId="15" borderId="0" xfId="17" applyNumberFormat="1" applyFont="1" applyFill="1" applyBorder="1" applyAlignment="1">
      <alignment horizontal="right" vertical="top" indent="2" shrinkToFit="1"/>
    </xf>
    <xf numFmtId="180" fontId="23" fillId="15" borderId="0" xfId="0" applyNumberFormat="1" applyFont="1" applyFill="1" applyBorder="1">
      <alignment vertical="top"/>
    </xf>
    <xf numFmtId="9" fontId="23" fillId="15" borderId="0" xfId="0" applyNumberFormat="1" applyFont="1" applyFill="1" applyBorder="1">
      <alignment vertical="top"/>
    </xf>
    <xf numFmtId="0" fontId="23" fillId="15" borderId="0" xfId="0" applyNumberFormat="1" applyFont="1" applyFill="1" applyBorder="1">
      <alignment vertical="top"/>
    </xf>
    <xf numFmtId="180" fontId="23" fillId="15" borderId="0" xfId="23" applyNumberFormat="1" applyFont="1" applyFill="1" applyBorder="1" applyAlignment="1">
      <alignment horizontal="right" vertical="top" indent="2"/>
    </xf>
    <xf numFmtId="0" fontId="23" fillId="15" borderId="0" xfId="0" applyFont="1" applyFill="1" applyBorder="1" applyAlignment="1">
      <alignment vertical="top" shrinkToFit="1"/>
    </xf>
    <xf numFmtId="3" fontId="23" fillId="15" borderId="0" xfId="0" applyNumberFormat="1" applyFont="1" applyFill="1" applyBorder="1" applyAlignment="1">
      <alignment vertical="top" shrinkToFit="1"/>
    </xf>
    <xf numFmtId="0" fontId="42" fillId="15" borderId="0" xfId="3" applyFont="1" applyFill="1" applyBorder="1" applyAlignment="1">
      <alignment horizontal="right" vertical="top"/>
    </xf>
    <xf numFmtId="0" fontId="42" fillId="15" borderId="0" xfId="3" applyFont="1" applyFill="1" applyBorder="1" applyAlignment="1">
      <alignment horizontal="left" vertical="top"/>
    </xf>
    <xf numFmtId="0" fontId="85" fillId="15" borderId="0" xfId="0" applyFont="1" applyFill="1" applyBorder="1" applyAlignment="1">
      <alignment horizontal="right" vertical="top" shrinkToFit="1"/>
    </xf>
    <xf numFmtId="180" fontId="101" fillId="15" borderId="0" xfId="0" applyNumberFormat="1" applyFont="1" applyFill="1" applyBorder="1" applyAlignment="1">
      <alignment horizontal="right" indent="3"/>
    </xf>
    <xf numFmtId="180" fontId="85" fillId="15" borderId="0" xfId="0" applyNumberFormat="1" applyFont="1" applyFill="1" applyBorder="1" applyAlignment="1">
      <alignment horizontal="right" vertical="top" indent="3"/>
    </xf>
    <xf numFmtId="0" fontId="23" fillId="15" borderId="0" xfId="0" applyFont="1" applyFill="1" applyBorder="1" applyAlignment="1">
      <alignment horizontal="center"/>
    </xf>
    <xf numFmtId="0" fontId="42" fillId="15" borderId="0" xfId="3" applyFont="1" applyFill="1" applyBorder="1" applyAlignment="1">
      <alignment horizontal="right" vertical="top" shrinkToFit="1"/>
    </xf>
    <xf numFmtId="0" fontId="42" fillId="15" borderId="0" xfId="3" applyFont="1" applyFill="1" applyBorder="1" applyAlignment="1">
      <alignment vertical="top"/>
    </xf>
    <xf numFmtId="0" fontId="79" fillId="15" borderId="0" xfId="3" applyFont="1" applyFill="1" applyBorder="1" applyAlignment="1">
      <alignment horizontal="right" vertical="top" shrinkToFit="1"/>
    </xf>
    <xf numFmtId="0" fontId="79" fillId="15" borderId="0" xfId="3" applyFont="1" applyFill="1" applyBorder="1" applyAlignment="1">
      <alignment vertical="top"/>
    </xf>
    <xf numFmtId="180" fontId="23" fillId="15" borderId="0" xfId="0" applyNumberFormat="1" applyFont="1" applyFill="1" applyBorder="1" applyAlignment="1">
      <alignment horizontal="right" indent="4"/>
    </xf>
    <xf numFmtId="180" fontId="23" fillId="15" borderId="0" xfId="0" applyNumberFormat="1" applyFont="1" applyFill="1" applyBorder="1" applyAlignment="1">
      <alignment horizontal="right" vertical="top" indent="4"/>
    </xf>
    <xf numFmtId="0" fontId="24" fillId="15" borderId="0" xfId="0" applyFont="1" applyFill="1" applyBorder="1">
      <alignment vertical="top"/>
    </xf>
    <xf numFmtId="0" fontId="24" fillId="15" borderId="0" xfId="0" applyNumberFormat="1" applyFont="1" applyFill="1" applyBorder="1" applyAlignment="1">
      <alignment horizontal="right" vertical="top" indent="4"/>
    </xf>
    <xf numFmtId="179" fontId="23" fillId="15" borderId="0" xfId="0" applyNumberFormat="1" applyFont="1" applyFill="1" applyBorder="1">
      <alignment vertical="top"/>
    </xf>
    <xf numFmtId="0" fontId="23" fillId="15" borderId="0" xfId="0" applyNumberFormat="1" applyFont="1" applyFill="1" applyBorder="1" applyAlignment="1">
      <alignment horizontal="right" vertical="top" indent="4"/>
    </xf>
    <xf numFmtId="179" fontId="24" fillId="15" borderId="0" xfId="0" applyNumberFormat="1" applyFont="1" applyFill="1" applyBorder="1">
      <alignment vertical="top"/>
    </xf>
    <xf numFmtId="180" fontId="24" fillId="15" borderId="0" xfId="0" applyNumberFormat="1" applyFont="1" applyFill="1" applyBorder="1" applyAlignment="1">
      <alignment horizontal="right" vertical="top" indent="4"/>
    </xf>
    <xf numFmtId="0" fontId="69" fillId="15" borderId="115" xfId="1" applyFont="1" applyFill="1" applyBorder="1" applyAlignment="1">
      <alignment horizontal="center" vertical="center" shrinkToFit="1"/>
    </xf>
    <xf numFmtId="0" fontId="69" fillId="15" borderId="115" xfId="1" applyFont="1" applyFill="1" applyBorder="1" applyAlignment="1">
      <alignment horizontal="center" vertical="center"/>
    </xf>
    <xf numFmtId="0" fontId="23" fillId="15" borderId="0" xfId="0" applyNumberFormat="1" applyFont="1" applyFill="1" applyAlignment="1" applyProtection="1">
      <alignment horizontal="center" vertical="center"/>
    </xf>
    <xf numFmtId="10" fontId="14" fillId="6" borderId="5" xfId="7" applyNumberFormat="1" applyFont="1" applyFill="1" applyBorder="1" applyAlignment="1" applyProtection="1">
      <alignment horizontal="right" indent="2" shrinkToFit="1"/>
      <protection locked="0"/>
    </xf>
    <xf numFmtId="10" fontId="13" fillId="0" borderId="0" xfId="0" applyNumberFormat="1" applyFont="1" applyFill="1" applyBorder="1" applyProtection="1">
      <alignment vertical="top"/>
    </xf>
    <xf numFmtId="204" fontId="13" fillId="0" borderId="0" xfId="0" applyNumberFormat="1" applyFont="1" applyBorder="1" applyAlignment="1">
      <alignment horizontal="right" indent="3"/>
    </xf>
    <xf numFmtId="204" fontId="13" fillId="0" borderId="0" xfId="0" applyNumberFormat="1" applyFont="1" applyAlignment="1">
      <alignment horizontal="right" vertical="top" indent="3"/>
    </xf>
    <xf numFmtId="204" fontId="13" fillId="0" borderId="0" xfId="0" applyNumberFormat="1" applyFont="1" applyBorder="1" applyAlignment="1">
      <alignment horizontal="right" vertical="top" indent="3"/>
    </xf>
    <xf numFmtId="0" fontId="0" fillId="0" borderId="0" xfId="0" applyAlignment="1">
      <alignment vertical="top" shrinkToFit="1"/>
    </xf>
    <xf numFmtId="0" fontId="0" fillId="0" borderId="148" xfId="0" applyBorder="1" applyAlignment="1">
      <alignment vertical="top" shrinkToFit="1"/>
    </xf>
    <xf numFmtId="0" fontId="0" fillId="0" borderId="0" xfId="0" applyFill="1" applyAlignment="1">
      <alignment vertical="top" shrinkToFit="1"/>
    </xf>
    <xf numFmtId="0" fontId="0" fillId="0" borderId="0" xfId="0" applyAlignment="1">
      <alignment horizontal="right" vertical="top" shrinkToFit="1"/>
    </xf>
    <xf numFmtId="168" fontId="0" fillId="0" borderId="0" xfId="30" applyNumberFormat="1" applyFont="1" applyAlignment="1">
      <alignment horizontal="right" vertical="top" shrinkToFit="1"/>
    </xf>
    <xf numFmtId="188" fontId="0" fillId="0" borderId="0" xfId="0" applyNumberFormat="1" applyAlignment="1">
      <alignment horizontal="right" vertical="top" shrinkToFit="1"/>
    </xf>
    <xf numFmtId="205" fontId="0" fillId="0" borderId="0" xfId="30" applyNumberFormat="1" applyFont="1" applyAlignment="1">
      <alignment horizontal="right" vertical="top" shrinkToFit="1"/>
    </xf>
    <xf numFmtId="205" fontId="17" fillId="0" borderId="228" xfId="30" applyNumberFormat="1" applyFont="1" applyBorder="1" applyAlignment="1">
      <alignment horizontal="right" vertical="top" shrinkToFit="1"/>
    </xf>
    <xf numFmtId="205" fontId="0" fillId="0" borderId="228" xfId="30" applyNumberFormat="1" applyFont="1" applyBorder="1" applyAlignment="1">
      <alignment horizontal="right" vertical="top" shrinkToFit="1"/>
    </xf>
    <xf numFmtId="205" fontId="17" fillId="0" borderId="0" xfId="30" applyNumberFormat="1" applyFont="1" applyBorder="1" applyAlignment="1">
      <alignment horizontal="right" vertical="top" shrinkToFit="1"/>
    </xf>
    <xf numFmtId="206" fontId="61" fillId="0" borderId="3" xfId="0" applyNumberFormat="1" applyFont="1" applyBorder="1" applyAlignment="1">
      <alignment horizontal="right" vertical="top" shrinkToFit="1"/>
    </xf>
    <xf numFmtId="206" fontId="79" fillId="0" borderId="0" xfId="24" applyNumberFormat="1" applyFont="1" applyAlignment="1">
      <alignment horizontal="right" vertical="top" shrinkToFit="1"/>
    </xf>
    <xf numFmtId="206" fontId="0" fillId="0" borderId="0" xfId="0" applyNumberFormat="1" applyFont="1" applyBorder="1" applyAlignment="1">
      <alignment horizontal="right" vertical="top" shrinkToFit="1"/>
    </xf>
    <xf numFmtId="206" fontId="0" fillId="0" borderId="0" xfId="0" applyNumberFormat="1" applyAlignment="1">
      <alignment vertical="top" shrinkToFit="1"/>
    </xf>
    <xf numFmtId="206" fontId="79" fillId="0" borderId="0" xfId="24" applyNumberFormat="1" applyAlignment="1">
      <alignment horizontal="right" vertical="top" shrinkToFit="1"/>
    </xf>
    <xf numFmtId="206" fontId="0" fillId="0" borderId="0" xfId="16" applyNumberFormat="1" applyFont="1" applyAlignment="1">
      <alignment horizontal="right" vertical="top" shrinkToFit="1"/>
    </xf>
    <xf numFmtId="206" fontId="0" fillId="0" borderId="0" xfId="0" applyNumberFormat="1" applyAlignment="1">
      <alignment horizontal="right" vertical="top" shrinkToFit="1"/>
    </xf>
    <xf numFmtId="206" fontId="61" fillId="0" borderId="3" xfId="0" applyNumberFormat="1" applyFont="1" applyBorder="1" applyAlignment="1">
      <alignment horizontal="right" vertical="center" shrinkToFit="1"/>
    </xf>
    <xf numFmtId="206" fontId="137" fillId="0" borderId="0" xfId="0" applyNumberFormat="1" applyFont="1" applyBorder="1" applyAlignment="1">
      <alignment horizontal="right" vertical="top" shrinkToFit="1"/>
    </xf>
    <xf numFmtId="206" fontId="7" fillId="0" borderId="0" xfId="0" applyNumberFormat="1" applyFont="1" applyBorder="1" applyAlignment="1">
      <alignment horizontal="right" vertical="top" shrinkToFit="1"/>
    </xf>
    <xf numFmtId="206" fontId="0" fillId="0" borderId="0" xfId="0" applyNumberFormat="1" applyFont="1" applyBorder="1" applyAlignment="1">
      <alignment horizontal="right" shrinkToFit="1"/>
    </xf>
    <xf numFmtId="206" fontId="0" fillId="0" borderId="0" xfId="0" applyNumberFormat="1" applyFont="1" applyFill="1" applyBorder="1" applyAlignment="1">
      <alignment horizontal="right" shrinkToFit="1"/>
    </xf>
    <xf numFmtId="206" fontId="13" fillId="0" borderId="0" xfId="0" applyNumberFormat="1" applyFont="1" applyBorder="1" applyAlignment="1">
      <alignment horizontal="right" shrinkToFit="1"/>
    </xf>
    <xf numFmtId="206" fontId="13" fillId="0" borderId="0" xfId="0" applyNumberFormat="1" applyFont="1" applyBorder="1" applyAlignment="1">
      <alignment shrinkToFit="1"/>
    </xf>
    <xf numFmtId="206" fontId="13" fillId="0" borderId="0" xfId="0" applyNumberFormat="1" applyFont="1" applyAlignment="1">
      <alignment vertical="top" shrinkToFit="1"/>
    </xf>
    <xf numFmtId="206" fontId="13" fillId="0" borderId="148" xfId="0" applyNumberFormat="1" applyFont="1" applyBorder="1" applyAlignment="1">
      <alignment vertical="top" shrinkToFit="1"/>
    </xf>
    <xf numFmtId="206" fontId="13" fillId="0" borderId="0" xfId="0" applyNumberFormat="1" applyFont="1" applyBorder="1" applyAlignment="1">
      <alignment horizontal="right" vertical="top"/>
    </xf>
    <xf numFmtId="206" fontId="13" fillId="0" borderId="0" xfId="0" applyNumberFormat="1" applyFont="1" applyBorder="1" applyAlignment="1">
      <alignment vertical="top"/>
    </xf>
    <xf numFmtId="206" fontId="13" fillId="0" borderId="0" xfId="0" applyNumberFormat="1" applyFont="1" applyAlignment="1">
      <alignment horizontal="right" vertical="top" shrinkToFit="1"/>
    </xf>
    <xf numFmtId="206" fontId="0" fillId="0" borderId="0" xfId="0" applyNumberFormat="1" applyAlignment="1">
      <alignment horizontal="right" vertical="top" indent="1" shrinkToFit="1"/>
    </xf>
    <xf numFmtId="206" fontId="13" fillId="0" borderId="148" xfId="0" applyNumberFormat="1" applyFont="1" applyBorder="1" applyAlignment="1">
      <alignment horizontal="right" vertical="top" shrinkToFit="1"/>
    </xf>
    <xf numFmtId="206" fontId="0" fillId="0" borderId="148" xfId="0" applyNumberFormat="1" applyBorder="1" applyAlignment="1">
      <alignment horizontal="right" vertical="top" indent="1" shrinkToFit="1"/>
    </xf>
    <xf numFmtId="173" fontId="0" fillId="0" borderId="0" xfId="0" applyNumberFormat="1" applyAlignment="1">
      <alignment vertical="top" shrinkToFit="1"/>
    </xf>
    <xf numFmtId="173" fontId="17" fillId="0" borderId="0" xfId="0" applyNumberFormat="1" applyFont="1" applyBorder="1" applyAlignment="1">
      <alignment vertical="top" shrinkToFit="1"/>
    </xf>
    <xf numFmtId="173" fontId="29" fillId="0" borderId="0" xfId="0" applyNumberFormat="1" applyFont="1" applyBorder="1" applyAlignment="1">
      <alignment horizontal="right" vertical="top" shrinkToFit="1"/>
    </xf>
    <xf numFmtId="173" fontId="13" fillId="0" borderId="0" xfId="0" applyNumberFormat="1" applyFont="1" applyBorder="1" applyAlignment="1">
      <alignment horizontal="center" vertical="top" shrinkToFit="1"/>
    </xf>
    <xf numFmtId="173" fontId="0" fillId="0" borderId="0" xfId="0" applyNumberFormat="1" applyFont="1" applyFill="1" applyAlignment="1">
      <alignment horizontal="right" vertical="top" shrinkToFit="1"/>
    </xf>
    <xf numFmtId="173" fontId="0" fillId="0" borderId="0" xfId="0" applyNumberFormat="1" applyFont="1" applyAlignment="1">
      <alignment horizontal="right" vertical="top" shrinkToFit="1"/>
    </xf>
    <xf numFmtId="173" fontId="0" fillId="0" borderId="0" xfId="30" applyNumberFormat="1" applyFont="1" applyAlignment="1">
      <alignment horizontal="right" vertical="top" shrinkToFit="1"/>
    </xf>
    <xf numFmtId="173" fontId="0" fillId="0" borderId="0" xfId="0" applyNumberFormat="1" applyAlignment="1">
      <alignment horizontal="right" vertical="top" shrinkToFit="1"/>
    </xf>
    <xf numFmtId="3" fontId="0" fillId="15" borderId="0" xfId="0" applyNumberFormat="1" applyFont="1" applyFill="1" applyBorder="1" applyAlignment="1" applyProtection="1">
      <alignment horizontal="center" vertical="top" shrinkToFit="1"/>
    </xf>
    <xf numFmtId="189" fontId="14" fillId="6" borderId="5" xfId="4" applyNumberFormat="1" applyFont="1" applyBorder="1" applyAlignment="1" applyProtection="1">
      <alignment horizontal="center" vertical="top"/>
      <protection locked="0"/>
    </xf>
    <xf numFmtId="207" fontId="13" fillId="0" borderId="131" xfId="0" applyNumberFormat="1" applyFont="1" applyBorder="1" applyAlignment="1">
      <alignment horizontal="right" vertical="top"/>
    </xf>
    <xf numFmtId="207" fontId="15" fillId="0" borderId="0" xfId="0" applyNumberFormat="1" applyFont="1" applyAlignment="1">
      <alignment horizontal="right" vertical="top"/>
    </xf>
    <xf numFmtId="207" fontId="13" fillId="0" borderId="0" xfId="0" applyNumberFormat="1" applyFont="1" applyAlignment="1">
      <alignment horizontal="right" vertical="top"/>
    </xf>
    <xf numFmtId="207" fontId="13" fillId="0" borderId="230" xfId="0" applyNumberFormat="1" applyFont="1" applyBorder="1" applyAlignment="1">
      <alignment horizontal="right" vertical="top"/>
    </xf>
    <xf numFmtId="3" fontId="24" fillId="15" borderId="0" xfId="0" applyNumberFormat="1" applyFont="1" applyFill="1" applyBorder="1" applyAlignment="1">
      <alignment vertical="top"/>
    </xf>
    <xf numFmtId="3" fontId="23" fillId="0" borderId="0" xfId="10" applyNumberFormat="1" applyFont="1" applyFill="1" applyBorder="1" applyAlignment="1">
      <alignment vertical="top"/>
    </xf>
    <xf numFmtId="3" fontId="23" fillId="0" borderId="130" xfId="10" applyNumberFormat="1" applyFont="1" applyFill="1" applyBorder="1" applyAlignment="1">
      <alignment vertical="top"/>
    </xf>
    <xf numFmtId="0" fontId="26" fillId="15" borderId="115" xfId="34" applyFill="1"/>
    <xf numFmtId="1" fontId="181" fillId="0" borderId="0" xfId="22" applyNumberFormat="1" applyFont="1" applyAlignment="1">
      <alignment horizontal="right" indent="3"/>
    </xf>
    <xf numFmtId="0" fontId="181" fillId="0" borderId="0" xfId="22" applyFont="1" applyAlignment="1">
      <alignment horizontal="right" indent="3"/>
    </xf>
    <xf numFmtId="0" fontId="93" fillId="0" borderId="0" xfId="0" applyFont="1" applyFill="1">
      <alignment vertical="top"/>
    </xf>
    <xf numFmtId="0" fontId="30" fillId="0" borderId="0" xfId="21" applyAlignment="1" applyProtection="1">
      <alignment horizontal="right"/>
      <protection locked="0"/>
    </xf>
    <xf numFmtId="0" fontId="30" fillId="0" borderId="0" xfId="21" applyFill="1" applyAlignment="1" applyProtection="1">
      <alignment horizontal="right"/>
      <protection locked="0"/>
    </xf>
    <xf numFmtId="0" fontId="16" fillId="0" borderId="0" xfId="8" applyProtection="1">
      <alignment vertical="top"/>
      <protection locked="0"/>
    </xf>
    <xf numFmtId="0" fontId="93" fillId="11" borderId="150" xfId="8" applyFont="1" applyFill="1" applyBorder="1" applyAlignment="1" applyProtection="1">
      <alignment horizontal="center" vertical="top"/>
      <protection locked="0"/>
    </xf>
    <xf numFmtId="0" fontId="23" fillId="24" borderId="150" xfId="8" applyFont="1" applyFill="1" applyBorder="1" applyAlignment="1" applyProtection="1">
      <alignment horizontal="center" vertical="top"/>
      <protection locked="0"/>
    </xf>
    <xf numFmtId="0" fontId="23" fillId="8" borderId="150" xfId="8" applyFont="1" applyFill="1" applyBorder="1" applyAlignment="1" applyProtection="1">
      <alignment horizontal="center" vertical="top"/>
      <protection locked="0"/>
    </xf>
    <xf numFmtId="0" fontId="93" fillId="25" borderId="150" xfId="8" applyFont="1" applyFill="1" applyBorder="1" applyAlignment="1" applyProtection="1">
      <alignment horizontal="center" vertical="top"/>
      <protection locked="0"/>
    </xf>
    <xf numFmtId="0" fontId="93" fillId="26" borderId="150" xfId="8" applyFont="1" applyFill="1" applyBorder="1" applyAlignment="1" applyProtection="1">
      <alignment horizontal="center" vertical="top"/>
      <protection locked="0"/>
    </xf>
    <xf numFmtId="0" fontId="16" fillId="0" borderId="0" xfId="8" applyFont="1" applyProtection="1">
      <alignment vertical="top"/>
      <protection locked="0"/>
    </xf>
    <xf numFmtId="0" fontId="16" fillId="20" borderId="0" xfId="8" applyFill="1" applyBorder="1" applyProtection="1">
      <alignment vertical="top"/>
      <protection locked="0"/>
    </xf>
    <xf numFmtId="0" fontId="30" fillId="0" borderId="0" xfId="8" applyFont="1" applyAlignment="1" applyProtection="1">
      <alignment horizontal="right" vertical="top"/>
      <protection locked="0"/>
    </xf>
    <xf numFmtId="0" fontId="30" fillId="0" borderId="0" xfId="21" applyAlignment="1" applyProtection="1">
      <alignment horizontal="right" vertical="top"/>
      <protection locked="0"/>
    </xf>
    <xf numFmtId="0" fontId="30" fillId="0" borderId="0" xfId="8" applyFont="1" applyFill="1" applyAlignment="1" applyProtection="1">
      <alignment horizontal="right" vertical="top"/>
      <protection locked="0"/>
    </xf>
    <xf numFmtId="0" fontId="88" fillId="0" borderId="0" xfId="8" applyFont="1" applyAlignment="1" applyProtection="1">
      <alignment horizontal="left" vertical="top"/>
      <protection locked="0"/>
    </xf>
    <xf numFmtId="0" fontId="16" fillId="0" borderId="0" xfId="8" applyAlignment="1" applyProtection="1">
      <alignment horizontal="left" vertical="center"/>
      <protection locked="0"/>
    </xf>
    <xf numFmtId="0" fontId="16" fillId="20" borderId="0" xfId="8" applyFill="1" applyBorder="1" applyAlignment="1" applyProtection="1">
      <alignment horizontal="left" vertical="top"/>
      <protection locked="0"/>
    </xf>
    <xf numFmtId="0" fontId="85" fillId="18" borderId="6" xfId="8" applyFont="1" applyFill="1" applyBorder="1" applyProtection="1">
      <alignment vertical="top"/>
      <protection locked="0"/>
    </xf>
    <xf numFmtId="0" fontId="140" fillId="0" borderId="115" xfId="34" applyFont="1" applyProtection="1">
      <protection locked="0"/>
    </xf>
    <xf numFmtId="0" fontId="88" fillId="2" borderId="0" xfId="8" applyFont="1" applyFill="1" applyBorder="1" applyAlignment="1" applyProtection="1">
      <alignment horizontal="right"/>
      <protection locked="0"/>
    </xf>
    <xf numFmtId="0" fontId="16" fillId="30" borderId="120" xfId="8" applyFill="1" applyBorder="1" applyAlignment="1" applyProtection="1">
      <alignment horizontal="left" vertical="top" indent="1"/>
      <protection locked="0"/>
    </xf>
    <xf numFmtId="0" fontId="16" fillId="31" borderId="120" xfId="8" applyFill="1" applyBorder="1" applyAlignment="1" applyProtection="1">
      <alignment horizontal="left" vertical="top" indent="1"/>
      <protection locked="0"/>
    </xf>
    <xf numFmtId="0" fontId="16" fillId="30" borderId="123" xfId="8" applyFill="1" applyBorder="1" applyAlignment="1" applyProtection="1">
      <alignment horizontal="left" vertical="top" indent="1"/>
      <protection locked="0"/>
    </xf>
    <xf numFmtId="0" fontId="16" fillId="21" borderId="0" xfId="8" applyFill="1" applyBorder="1" applyAlignment="1" applyProtection="1">
      <alignment horizontal="left"/>
      <protection locked="0"/>
    </xf>
    <xf numFmtId="0" fontId="136" fillId="2" borderId="0" xfId="8" applyFont="1" applyFill="1" applyBorder="1" applyAlignment="1" applyProtection="1">
      <alignment horizontal="left" indent="2"/>
      <protection locked="0"/>
    </xf>
    <xf numFmtId="0" fontId="136" fillId="2" borderId="0" xfId="8" applyFont="1" applyFill="1" applyAlignment="1" applyProtection="1">
      <alignment horizontal="left" indent="2"/>
      <protection locked="0"/>
    </xf>
    <xf numFmtId="0" fontId="0" fillId="0" borderId="0" xfId="0" applyAlignment="1" applyProtection="1">
      <alignment vertical="center"/>
      <protection locked="0"/>
    </xf>
    <xf numFmtId="0" fontId="16" fillId="0" borderId="0" xfId="8" applyAlignment="1" applyProtection="1">
      <alignment vertical="top" wrapText="1"/>
      <protection locked="0"/>
    </xf>
    <xf numFmtId="0" fontId="16" fillId="15" borderId="0" xfId="8" applyFill="1" applyBorder="1" applyAlignment="1" applyProtection="1">
      <alignment horizontal="left" vertical="center" wrapText="1"/>
      <protection locked="0"/>
    </xf>
    <xf numFmtId="0" fontId="16" fillId="15" borderId="0" xfId="8" applyFill="1" applyBorder="1" applyAlignment="1" applyProtection="1">
      <alignment horizontal="left" wrapText="1" indent="1"/>
      <protection locked="0"/>
    </xf>
    <xf numFmtId="0" fontId="16" fillId="15" borderId="0" xfId="8" applyFill="1" applyAlignment="1" applyProtection="1">
      <alignment horizontal="left" wrapText="1" indent="1"/>
      <protection locked="0"/>
    </xf>
    <xf numFmtId="0" fontId="30" fillId="0" borderId="0" xfId="21" applyAlignment="1" applyProtection="1">
      <alignment vertical="top"/>
      <protection locked="0"/>
    </xf>
    <xf numFmtId="0" fontId="30" fillId="0" borderId="0" xfId="21" applyAlignment="1" applyProtection="1">
      <alignment vertical="center"/>
      <protection locked="0"/>
    </xf>
    <xf numFmtId="180" fontId="0" fillId="6" borderId="5" xfId="4" applyNumberFormat="1" applyFont="1" applyAlignment="1">
      <alignment horizontal="right" indent="1" shrinkToFit="1"/>
      <protection locked="0"/>
    </xf>
    <xf numFmtId="1" fontId="181" fillId="0" borderId="0" xfId="22" applyNumberFormat="1" applyFont="1" applyFill="1" applyBorder="1" applyAlignment="1">
      <alignment horizontal="center"/>
    </xf>
    <xf numFmtId="0" fontId="181" fillId="0" borderId="0" xfId="22" applyFont="1" applyFill="1" applyAlignment="1">
      <alignment horizontal="center"/>
    </xf>
    <xf numFmtId="10" fontId="23" fillId="6" borderId="5" xfId="7" applyNumberFormat="1" applyFont="1" applyFill="1" applyBorder="1" applyAlignment="1" applyProtection="1">
      <alignment horizontal="right" indent="3"/>
      <protection locked="0"/>
    </xf>
    <xf numFmtId="14" fontId="122" fillId="0" borderId="0" xfId="0" applyNumberFormat="1" applyFont="1">
      <alignment vertical="top"/>
    </xf>
    <xf numFmtId="0" fontId="132" fillId="6" borderId="5" xfId="4" applyFont="1" applyAlignment="1">
      <protection locked="0"/>
    </xf>
    <xf numFmtId="0" fontId="0" fillId="0" borderId="0" xfId="0" applyAlignment="1">
      <alignment horizontal="justify" vertical="top" wrapText="1"/>
    </xf>
    <xf numFmtId="0" fontId="0" fillId="0" borderId="0" xfId="0" applyAlignment="1">
      <alignment horizontal="justify" vertical="center"/>
    </xf>
    <xf numFmtId="0" fontId="0" fillId="0" borderId="153" xfId="0" applyBorder="1" applyAlignment="1">
      <alignment horizontal="justify" vertical="center"/>
    </xf>
    <xf numFmtId="0" fontId="128" fillId="15" borderId="241" xfId="0" applyFont="1" applyFill="1" applyBorder="1" applyAlignment="1">
      <alignment horizontal="center" vertical="top" wrapText="1"/>
    </xf>
    <xf numFmtId="0" fontId="128" fillId="15" borderId="242" xfId="0" applyFont="1" applyFill="1" applyBorder="1" applyAlignment="1">
      <alignment horizontal="center" vertical="top" wrapText="1"/>
    </xf>
    <xf numFmtId="0" fontId="128" fillId="15" borderId="243" xfId="0" applyFont="1" applyFill="1" applyBorder="1" applyAlignment="1">
      <alignment horizontal="center" vertical="top" wrapText="1"/>
    </xf>
    <xf numFmtId="0" fontId="128" fillId="15" borderId="145" xfId="0" applyFont="1" applyFill="1" applyBorder="1" applyAlignment="1">
      <alignment horizontal="center" vertical="top" wrapText="1"/>
    </xf>
    <xf numFmtId="0" fontId="128" fillId="15" borderId="0" xfId="0" applyFont="1" applyFill="1" applyBorder="1" applyAlignment="1">
      <alignment horizontal="center" vertical="top" wrapText="1"/>
    </xf>
    <xf numFmtId="0" fontId="128" fillId="15" borderId="146" xfId="0" applyFont="1" applyFill="1" applyBorder="1" applyAlignment="1">
      <alignment horizontal="center" vertical="top" wrapText="1"/>
    </xf>
    <xf numFmtId="0" fontId="83" fillId="0" borderId="0" xfId="19" applyFont="1" applyFill="1" applyBorder="1" applyAlignment="1">
      <alignment horizontal="left" vertical="top" wrapText="1"/>
    </xf>
    <xf numFmtId="0" fontId="83" fillId="0" borderId="162" xfId="19" applyFont="1" applyFill="1" applyBorder="1" applyAlignment="1">
      <alignment horizontal="left" vertical="top" wrapText="1"/>
    </xf>
    <xf numFmtId="0" fontId="34" fillId="0" borderId="0" xfId="0" applyFont="1" applyAlignment="1">
      <alignment vertical="top" wrapText="1"/>
    </xf>
    <xf numFmtId="0" fontId="34" fillId="0" borderId="0" xfId="0" applyFont="1">
      <alignment vertical="top"/>
    </xf>
    <xf numFmtId="0" fontId="19" fillId="0" borderId="151" xfId="35" applyBorder="1" applyAlignment="1">
      <alignment vertical="center" wrapText="1"/>
    </xf>
    <xf numFmtId="0" fontId="19" fillId="0" borderId="119" xfId="35">
      <alignment horizontal="left" vertical="top" wrapText="1" indent="1"/>
    </xf>
    <xf numFmtId="206" fontId="0" fillId="0" borderId="0" xfId="0" applyNumberFormat="1" applyAlignment="1">
      <alignment horizontal="right" vertical="top" shrinkToFit="1"/>
    </xf>
    <xf numFmtId="180" fontId="0" fillId="0" borderId="0" xfId="0" applyNumberFormat="1" applyAlignment="1">
      <alignment horizontal="right" vertical="top" shrinkToFit="1"/>
    </xf>
    <xf numFmtId="206" fontId="29" fillId="0" borderId="249" xfId="0" applyNumberFormat="1" applyFont="1" applyBorder="1" applyAlignment="1">
      <alignment horizontal="right" vertical="top" shrinkToFit="1"/>
    </xf>
    <xf numFmtId="180" fontId="29" fillId="0" borderId="249" xfId="0" applyNumberFormat="1" applyFont="1" applyBorder="1" applyAlignment="1">
      <alignment horizontal="right" vertical="top" shrinkToFit="1"/>
    </xf>
    <xf numFmtId="206" fontId="0" fillId="0" borderId="251" xfId="0" applyNumberFormat="1" applyBorder="1" applyAlignment="1">
      <alignment horizontal="right" vertical="top" shrinkToFit="1"/>
    </xf>
    <xf numFmtId="180" fontId="0" fillId="0" borderId="251" xfId="0" applyNumberFormat="1" applyBorder="1" applyAlignment="1">
      <alignment horizontal="right" vertical="top" shrinkToFit="1"/>
    </xf>
    <xf numFmtId="0" fontId="27" fillId="0" borderId="1" xfId="3" applyBorder="1" applyAlignment="1">
      <alignment horizontal="right" textRotation="90"/>
    </xf>
    <xf numFmtId="0" fontId="27" fillId="0" borderId="1" xfId="3" applyBorder="1" applyAlignment="1">
      <alignment textRotation="90"/>
    </xf>
    <xf numFmtId="0" fontId="104" fillId="0" borderId="1" xfId="1" applyAlignment="1">
      <alignment wrapText="1"/>
    </xf>
    <xf numFmtId="0" fontId="104" fillId="0" borderId="115" xfId="41" applyAlignment="1">
      <alignment wrapText="1"/>
    </xf>
    <xf numFmtId="0" fontId="27" fillId="0" borderId="227" xfId="3" applyBorder="1" applyAlignment="1">
      <alignment horizontal="right" textRotation="90"/>
    </xf>
    <xf numFmtId="0" fontId="104" fillId="0" borderId="227" xfId="1" applyBorder="1" applyAlignment="1">
      <alignment wrapText="1"/>
    </xf>
    <xf numFmtId="0" fontId="27" fillId="0" borderId="227" xfId="3" applyBorder="1" applyAlignment="1">
      <alignment textRotation="90"/>
    </xf>
    <xf numFmtId="0" fontId="16" fillId="0" borderId="231" xfId="8" applyBorder="1" applyAlignment="1" applyProtection="1">
      <alignment horizontal="left" vertical="top" indent="2"/>
      <protection locked="0"/>
    </xf>
    <xf numFmtId="0" fontId="16" fillId="0" borderId="0" xfId="8" applyBorder="1" applyAlignment="1" applyProtection="1">
      <alignment horizontal="left" vertical="top" indent="2"/>
      <protection locked="0"/>
    </xf>
    <xf numFmtId="189" fontId="153" fillId="33" borderId="212" xfId="0" applyNumberFormat="1" applyFont="1" applyFill="1" applyBorder="1" applyAlignment="1">
      <alignment horizontal="center" vertical="center" wrapText="1" shrinkToFit="1"/>
    </xf>
    <xf numFmtId="189" fontId="153" fillId="33" borderId="213" xfId="0" applyNumberFormat="1" applyFont="1" applyFill="1" applyBorder="1" applyAlignment="1">
      <alignment horizontal="center" vertical="center" wrapText="1" shrinkToFit="1"/>
    </xf>
    <xf numFmtId="189" fontId="23" fillId="15" borderId="112" xfId="0" applyNumberFormat="1" applyFont="1" applyFill="1" applyBorder="1" applyAlignment="1" applyProtection="1">
      <alignment horizontal="center" vertical="center" wrapText="1" shrinkToFit="1"/>
    </xf>
    <xf numFmtId="189" fontId="23" fillId="15" borderId="209" xfId="0" applyNumberFormat="1" applyFont="1" applyFill="1" applyBorder="1" applyAlignment="1" applyProtection="1">
      <alignment horizontal="center" vertical="center" wrapText="1" shrinkToFit="1"/>
    </xf>
    <xf numFmtId="0" fontId="153" fillId="33" borderId="212" xfId="0" applyFont="1" applyFill="1" applyBorder="1" applyAlignment="1">
      <alignment horizontal="center" vertical="center" wrapText="1" shrinkToFit="1"/>
    </xf>
    <xf numFmtId="0" fontId="153" fillId="33" borderId="213" xfId="0" applyFont="1" applyFill="1" applyBorder="1" applyAlignment="1">
      <alignment horizontal="center" vertical="center" wrapText="1" shrinkToFit="1"/>
    </xf>
    <xf numFmtId="0" fontId="153" fillId="33" borderId="210" xfId="0" applyFont="1" applyFill="1" applyBorder="1" applyAlignment="1">
      <alignment horizontal="center" vertical="center" wrapText="1" shrinkToFit="1"/>
    </xf>
    <xf numFmtId="0" fontId="153" fillId="33" borderId="9" xfId="0" applyFont="1" applyFill="1" applyBorder="1" applyAlignment="1">
      <alignment horizontal="center" vertical="center" wrapText="1" shrinkToFit="1"/>
    </xf>
    <xf numFmtId="0" fontId="23" fillId="2" borderId="0" xfId="2" applyFont="1" applyFill="1" applyBorder="1" applyAlignment="1">
      <alignment horizontal="right" shrinkToFit="1"/>
    </xf>
    <xf numFmtId="189" fontId="166" fillId="0" borderId="214" xfId="0" applyNumberFormat="1" applyFont="1" applyBorder="1" applyAlignment="1">
      <alignment horizontal="left" vertical="top" wrapText="1" indent="1"/>
    </xf>
    <xf numFmtId="189" fontId="166" fillId="0" borderId="215" xfId="0" applyNumberFormat="1" applyFont="1" applyBorder="1" applyAlignment="1">
      <alignment horizontal="left" vertical="top" wrapText="1" indent="1"/>
    </xf>
    <xf numFmtId="189" fontId="166" fillId="0" borderId="211" xfId="0" applyNumberFormat="1" applyFont="1" applyBorder="1" applyAlignment="1">
      <alignment horizontal="left" vertical="top" wrapText="1" indent="1"/>
    </xf>
    <xf numFmtId="189" fontId="166" fillId="0" borderId="208" xfId="0" applyNumberFormat="1" applyFont="1" applyBorder="1" applyAlignment="1">
      <alignment horizontal="left" vertical="top" wrapText="1" indent="1"/>
    </xf>
    <xf numFmtId="0" fontId="16" fillId="0" borderId="0" xfId="8" applyAlignment="1" applyProtection="1">
      <alignment horizontal="left" vertical="top"/>
      <protection locked="0"/>
    </xf>
    <xf numFmtId="0" fontId="0" fillId="2" borderId="0" xfId="0" applyFill="1" applyBorder="1" applyAlignment="1">
      <alignment horizontal="right" vertical="top"/>
    </xf>
    <xf numFmtId="0" fontId="13" fillId="16" borderId="0" xfId="27" applyFont="1" applyBorder="1" applyAlignment="1">
      <alignment horizontal="center" vertical="top"/>
    </xf>
    <xf numFmtId="0" fontId="0" fillId="2" borderId="0" xfId="0" applyFont="1" applyFill="1" applyBorder="1" applyAlignment="1">
      <alignment horizontal="right" vertical="top" shrinkToFit="1"/>
    </xf>
    <xf numFmtId="0" fontId="0" fillId="2" borderId="0" xfId="0" applyFill="1">
      <alignment vertical="top"/>
    </xf>
    <xf numFmtId="0" fontId="0" fillId="2" borderId="0" xfId="0" applyFont="1" applyFill="1">
      <alignment vertical="top"/>
    </xf>
    <xf numFmtId="0" fontId="0" fillId="2" borderId="0" xfId="0" applyFont="1" applyFill="1" applyBorder="1">
      <alignment vertical="top"/>
    </xf>
    <xf numFmtId="0" fontId="23" fillId="2" borderId="0" xfId="0" applyFont="1" applyFill="1" applyAlignment="1">
      <alignment horizontal="left"/>
    </xf>
    <xf numFmtId="0" fontId="23" fillId="2" borderId="0" xfId="2" applyFont="1" applyFill="1" applyBorder="1"/>
    <xf numFmtId="0" fontId="0" fillId="2" borderId="0" xfId="0" applyFill="1" applyBorder="1" applyAlignment="1">
      <alignment horizontal="left" vertical="top"/>
    </xf>
    <xf numFmtId="0" fontId="0" fillId="2" borderId="0" xfId="0" applyFont="1" applyFill="1" applyAlignment="1">
      <alignment horizontal="right" vertical="center" wrapText="1"/>
    </xf>
    <xf numFmtId="0" fontId="0" fillId="2" borderId="0" xfId="0" applyFill="1" applyBorder="1" applyAlignment="1">
      <alignment vertical="top"/>
    </xf>
    <xf numFmtId="0" fontId="19" fillId="2" borderId="0" xfId="0" applyFont="1" applyFill="1" applyBorder="1" applyAlignment="1">
      <alignment horizontal="left" vertical="top"/>
    </xf>
    <xf numFmtId="0" fontId="0" fillId="2" borderId="0" xfId="0" applyFont="1" applyFill="1" applyAlignment="1">
      <alignment horizontal="left" vertical="top"/>
    </xf>
    <xf numFmtId="0" fontId="0" fillId="2" borderId="0" xfId="0" applyFill="1" applyAlignment="1">
      <alignment horizontal="left" vertical="top"/>
    </xf>
    <xf numFmtId="0" fontId="0" fillId="12" borderId="0" xfId="0" applyFill="1" applyBorder="1" applyAlignment="1">
      <alignment horizontal="left" vertical="center"/>
    </xf>
    <xf numFmtId="0" fontId="0" fillId="2" borderId="0" xfId="0" applyFont="1" applyFill="1" applyBorder="1" applyAlignment="1">
      <alignment horizontal="left" vertical="top"/>
    </xf>
    <xf numFmtId="0" fontId="51" fillId="0" borderId="0" xfId="0" applyFont="1" applyFill="1" applyBorder="1" applyAlignment="1" applyProtection="1"/>
    <xf numFmtId="0" fontId="0" fillId="0" borderId="21" xfId="0" applyFont="1" applyBorder="1" applyAlignment="1">
      <alignment horizontal="center" vertical="top" wrapText="1"/>
    </xf>
    <xf numFmtId="0" fontId="0" fillId="0" borderId="36" xfId="0" applyFont="1" applyBorder="1" applyAlignment="1">
      <alignment horizontal="center" vertical="top" wrapText="1"/>
    </xf>
    <xf numFmtId="0" fontId="0" fillId="0" borderId="24" xfId="0" applyFont="1" applyBorder="1" applyAlignment="1">
      <alignment horizontal="center" vertical="top" wrapText="1"/>
    </xf>
    <xf numFmtId="0" fontId="0" fillId="0" borderId="25" xfId="0" applyFont="1" applyBorder="1" applyAlignment="1">
      <alignment horizontal="center" vertical="top" wrapText="1"/>
    </xf>
    <xf numFmtId="0" fontId="0" fillId="0" borderId="21" xfId="0" applyBorder="1" applyAlignment="1">
      <alignment horizontal="center" vertical="top" wrapText="1"/>
    </xf>
    <xf numFmtId="0" fontId="0" fillId="0" borderId="36" xfId="0" applyBorder="1" applyAlignment="1">
      <alignment horizontal="center" vertical="top" wrapText="1"/>
    </xf>
    <xf numFmtId="0" fontId="0" fillId="0" borderId="24" xfId="0" applyBorder="1" applyAlignment="1">
      <alignment horizontal="center" vertical="top" wrapText="1"/>
    </xf>
    <xf numFmtId="0" fontId="0" fillId="0" borderId="25" xfId="0" applyBorder="1" applyAlignment="1">
      <alignment horizontal="center" vertical="top" wrapText="1"/>
    </xf>
    <xf numFmtId="0" fontId="55" fillId="0" borderId="0" xfId="0" applyFont="1" applyFill="1" applyBorder="1" applyAlignment="1" applyProtection="1">
      <alignment horizontal="center"/>
    </xf>
    <xf numFmtId="0" fontId="0" fillId="0" borderId="0" xfId="0" applyFill="1" applyBorder="1" applyAlignment="1" applyProtection="1"/>
    <xf numFmtId="2" fontId="0" fillId="0" borderId="54" xfId="0" applyNumberFormat="1" applyFont="1" applyFill="1" applyBorder="1" applyAlignment="1" applyProtection="1">
      <alignment horizontal="center"/>
    </xf>
    <xf numFmtId="2" fontId="0" fillId="0" borderId="53" xfId="0" applyNumberFormat="1" applyFont="1" applyFill="1" applyBorder="1" applyAlignment="1" applyProtection="1">
      <alignment horizontal="center"/>
    </xf>
    <xf numFmtId="2" fontId="0" fillId="0" borderId="52" xfId="0" applyNumberFormat="1" applyFont="1" applyFill="1" applyBorder="1" applyAlignment="1" applyProtection="1">
      <alignment horizontal="center"/>
    </xf>
    <xf numFmtId="2" fontId="0" fillId="0" borderId="51" xfId="0" applyNumberFormat="1" applyFont="1" applyFill="1" applyBorder="1" applyAlignment="1" applyProtection="1">
      <alignment horizontal="center"/>
    </xf>
    <xf numFmtId="2" fontId="0" fillId="0" borderId="50" xfId="0" applyNumberFormat="1" applyFont="1" applyFill="1" applyBorder="1" applyAlignment="1" applyProtection="1">
      <alignment horizontal="center"/>
    </xf>
    <xf numFmtId="0" fontId="16" fillId="0" borderId="230" xfId="8" applyBorder="1" applyAlignment="1">
      <alignment vertical="top" shrinkToFit="1"/>
    </xf>
    <xf numFmtId="0" fontId="32" fillId="0" borderId="0" xfId="0" applyFont="1" applyAlignment="1">
      <alignment horizontal="right" vertical="center" textRotation="90" wrapText="1"/>
    </xf>
    <xf numFmtId="0" fontId="32" fillId="0" borderId="0" xfId="0" applyFont="1" applyAlignment="1">
      <alignment horizontal="right" vertical="center" textRotation="90"/>
    </xf>
    <xf numFmtId="189" fontId="15" fillId="0" borderId="125" xfId="0" applyNumberFormat="1" applyFont="1" applyBorder="1" applyAlignment="1">
      <alignment horizontal="left" vertical="top" wrapText="1" indent="1"/>
    </xf>
    <xf numFmtId="189" fontId="15" fillId="0" borderId="126" xfId="0" applyNumberFormat="1" applyFont="1" applyBorder="1" applyAlignment="1">
      <alignment horizontal="left" vertical="top" wrapText="1" indent="1"/>
    </xf>
    <xf numFmtId="189" fontId="154" fillId="30" borderId="124" xfId="0" applyNumberFormat="1" applyFont="1" applyFill="1" applyBorder="1" applyAlignment="1">
      <alignment horizontal="center" vertical="center" wrapText="1" shrinkToFit="1"/>
    </xf>
    <xf numFmtId="189" fontId="154" fillId="15" borderId="124" xfId="0" applyNumberFormat="1" applyFont="1" applyFill="1" applyBorder="1" applyAlignment="1">
      <alignment horizontal="center" vertical="center" wrapText="1" shrinkToFit="1"/>
    </xf>
    <xf numFmtId="0" fontId="26" fillId="15" borderId="115" xfId="34" applyFill="1"/>
    <xf numFmtId="0" fontId="17" fillId="0" borderId="23" xfId="0" applyFont="1" applyBorder="1" applyAlignment="1">
      <alignment horizontal="center"/>
    </xf>
    <xf numFmtId="0" fontId="17" fillId="0" borderId="22" xfId="0" applyFont="1" applyBorder="1" applyAlignment="1">
      <alignment horizontal="center"/>
    </xf>
    <xf numFmtId="0" fontId="17" fillId="0" borderId="23" xfId="0" applyFont="1" applyFill="1" applyBorder="1" applyAlignment="1">
      <alignment horizontal="center"/>
    </xf>
    <xf numFmtId="0" fontId="17" fillId="0" borderId="22" xfId="0" applyFont="1" applyFill="1" applyBorder="1" applyAlignment="1">
      <alignment horizontal="center"/>
    </xf>
    <xf numFmtId="0" fontId="11" fillId="0" borderId="157" xfId="0" applyFont="1" applyBorder="1" applyAlignment="1">
      <alignment horizontal="center" vertical="top"/>
    </xf>
    <xf numFmtId="0" fontId="11" fillId="0" borderId="155" xfId="0" applyFont="1" applyBorder="1" applyAlignment="1">
      <alignment horizontal="center" vertical="top"/>
    </xf>
    <xf numFmtId="0" fontId="11" fillId="0" borderId="157" xfId="0" applyFont="1" applyBorder="1" applyAlignment="1">
      <alignment horizontal="right" vertical="top" indent="1"/>
    </xf>
    <xf numFmtId="0" fontId="11" fillId="0" borderId="155" xfId="0" applyFont="1" applyBorder="1" applyAlignment="1">
      <alignment horizontal="right" vertical="top" indent="1"/>
    </xf>
    <xf numFmtId="0" fontId="115" fillId="0" borderId="157" xfId="0" applyFont="1" applyBorder="1" applyAlignment="1">
      <alignment horizontal="center" vertical="top"/>
    </xf>
    <xf numFmtId="0" fontId="115" fillId="0" borderId="155" xfId="0" applyFont="1" applyBorder="1" applyAlignment="1">
      <alignment horizontal="center" vertical="top"/>
    </xf>
    <xf numFmtId="0" fontId="42" fillId="0" borderId="157" xfId="0" applyFont="1" applyBorder="1" applyAlignment="1">
      <alignment horizontal="center" vertical="top"/>
    </xf>
    <xf numFmtId="0" fontId="42" fillId="0" borderId="155" xfId="0" applyFont="1" applyBorder="1" applyAlignment="1">
      <alignment horizontal="center" vertical="top"/>
    </xf>
    <xf numFmtId="0" fontId="115" fillId="0" borderId="0" xfId="0" applyFont="1" applyAlignment="1">
      <alignment horizontal="right" vertical="top" indent="1"/>
    </xf>
    <xf numFmtId="0" fontId="42" fillId="0" borderId="157" xfId="0" applyFont="1" applyBorder="1" applyAlignment="1">
      <alignment horizontal="right" vertical="top" indent="1"/>
    </xf>
    <xf numFmtId="0" fontId="42" fillId="0" borderId="155" xfId="0" applyFont="1" applyBorder="1" applyAlignment="1">
      <alignment horizontal="right" vertical="top" indent="1"/>
    </xf>
    <xf numFmtId="0" fontId="115" fillId="0" borderId="157" xfId="0" applyFont="1" applyBorder="1" applyAlignment="1">
      <alignment horizontal="right" vertical="top" indent="1"/>
    </xf>
    <xf numFmtId="0" fontId="115" fillId="0" borderId="155" xfId="0" applyFont="1" applyBorder="1" applyAlignment="1">
      <alignment horizontal="right" vertical="top" indent="1"/>
    </xf>
    <xf numFmtId="9" fontId="85" fillId="0" borderId="0" xfId="7" applyFont="1" applyFill="1" applyAlignment="1">
      <alignment horizontal="center" vertical="top"/>
    </xf>
    <xf numFmtId="9" fontId="42" fillId="0" borderId="0" xfId="7" applyFont="1" applyFill="1" applyAlignment="1">
      <alignment horizontal="center" vertical="top"/>
    </xf>
    <xf numFmtId="3" fontId="85" fillId="15" borderId="0" xfId="0" applyNumberFormat="1" applyFont="1" applyFill="1" applyAlignment="1">
      <alignment horizontal="right" vertical="top"/>
    </xf>
  </cellXfs>
  <cellStyles count="49">
    <cellStyle name="20 % - Accent1" xfId="27" builtinId="30"/>
    <cellStyle name="À cacher" xfId="22" xr:uid="{00000000-0005-0000-0000-000001000000}"/>
    <cellStyle name="À éliminer" xfId="6" xr:uid="{00000000-0005-0000-0000-000002000000}"/>
    <cellStyle name="Avertissement" xfId="14" builtinId="11" customBuiltin="1"/>
    <cellStyle name="Calcul" xfId="15" builtinId="22" customBuiltin="1"/>
    <cellStyle name="Case [+]" xfId="21" xr:uid="{00000000-0005-0000-0000-000005000000}"/>
    <cellStyle name="Cellule liée" xfId="10" builtinId="24" customBuiltin="1"/>
    <cellStyle name="Cellule liée 2" xfId="25" xr:uid="{00000000-0005-0000-0000-000007000000}"/>
    <cellStyle name="Date" xfId="26" xr:uid="{00000000-0005-0000-0000-000008000000}"/>
    <cellStyle name="Entête" xfId="19" xr:uid="{00000000-0005-0000-0000-000009000000}"/>
    <cellStyle name="Entrée" xfId="4" builtinId="20" customBuiltin="1"/>
    <cellStyle name="Entrée 2" xfId="45" xr:uid="{00000000-0005-0000-0000-00000B000000}"/>
    <cellStyle name="Entrée formule" xfId="20" xr:uid="{00000000-0005-0000-0000-00000C000000}"/>
    <cellStyle name="Espace" xfId="24" xr:uid="{00000000-0005-0000-0000-00000D000000}"/>
    <cellStyle name="Explication Norme" xfId="35" xr:uid="{00000000-0005-0000-0000-00000E000000}"/>
    <cellStyle name="Formule" xfId="23" xr:uid="{00000000-0005-0000-0000-00000F000000}"/>
    <cellStyle name="Formule externe" xfId="17" xr:uid="{00000000-0005-0000-0000-000010000000}"/>
    <cellStyle name="Lien hypertexte" xfId="8" builtinId="8" customBuiltin="1"/>
    <cellStyle name="Lien hypertexte 2" xfId="39" xr:uid="{00000000-0005-0000-0000-000012000000}"/>
    <cellStyle name="Lien hypertexte visité" xfId="12" builtinId="9" customBuiltin="1"/>
    <cellStyle name="Milliers" xfId="42" builtinId="3"/>
    <cellStyle name="Monétaire" xfId="16" builtinId="4"/>
    <cellStyle name="Nb 0" xfId="28" xr:uid="{00000000-0005-0000-0000-000016000000}"/>
    <cellStyle name="Nb 0,0" xfId="30" xr:uid="{00000000-0005-0000-0000-000017000000}"/>
    <cellStyle name="Nb 0,0 %" xfId="31" xr:uid="{00000000-0005-0000-0000-000018000000}"/>
    <cellStyle name="Nb 0,00" xfId="29" xr:uid="{00000000-0005-0000-0000-000019000000}"/>
    <cellStyle name="Nb 0,00 $" xfId="32" xr:uid="{00000000-0005-0000-0000-00001A000000}"/>
    <cellStyle name="Normal" xfId="0" builtinId="0" customBuiltin="1"/>
    <cellStyle name="Normal 2" xfId="43" xr:uid="{00000000-0005-0000-0000-00001C000000}"/>
    <cellStyle name="Paragraphes" xfId="40" xr:uid="{00000000-0005-0000-0000-00001D000000}"/>
    <cellStyle name="Pourcentage" xfId="7" builtinId="5"/>
    <cellStyle name="Sortie" xfId="18" builtinId="21"/>
    <cellStyle name="Sous-élément" xfId="5" xr:uid="{00000000-0005-0000-0000-000020000000}"/>
    <cellStyle name="Texte explicatif" xfId="11" builtinId="53" customBuiltin="1"/>
    <cellStyle name="Texte explicatif 2" xfId="48" xr:uid="{00000000-0005-0000-0000-000022000000}"/>
    <cellStyle name="Titre" xfId="13" builtinId="15" customBuiltin="1"/>
    <cellStyle name="Titre 1" xfId="1" builtinId="16" customBuiltin="1"/>
    <cellStyle name="Titre 1 2" xfId="44" xr:uid="{00000000-0005-0000-0000-000025000000}"/>
    <cellStyle name="Titre 1 général" xfId="36" xr:uid="{00000000-0005-0000-0000-000026000000}"/>
    <cellStyle name="Titre 1 Végétal" xfId="41" xr:uid="{00000000-0005-0000-0000-000027000000}"/>
    <cellStyle name="Titre 2" xfId="2" builtinId="17" customBuiltin="1"/>
    <cellStyle name="Titre 2 2" xfId="47" xr:uid="{00000000-0005-0000-0000-000029000000}"/>
    <cellStyle name="Titre 2 général" xfId="33" xr:uid="{00000000-0005-0000-0000-00002A000000}"/>
    <cellStyle name="Titre 2 végétal" xfId="34" xr:uid="{00000000-0005-0000-0000-00002B000000}"/>
    <cellStyle name="Titre 3" xfId="3" builtinId="18" customBuiltin="1"/>
    <cellStyle name="Titre 3 2" xfId="46" xr:uid="{00000000-0005-0000-0000-00002D000000}"/>
    <cellStyle name="Titre 3 général" xfId="38" xr:uid="{00000000-0005-0000-0000-00002E000000}"/>
    <cellStyle name="Titre 3 végétal" xfId="37" xr:uid="{00000000-0005-0000-0000-00002F000000}"/>
    <cellStyle name="Titre 4" xfId="9" builtinId="19" customBuiltin="1"/>
  </cellStyles>
  <dxfs count="180">
    <dxf>
      <fill>
        <patternFill patternType="solid">
          <fgColor indexed="64"/>
          <bgColor rgb="FFFFFFCC"/>
        </patternFill>
      </fill>
      <alignment horizontal="general" vertical="top" textRotation="0" wrapText="1" indent="0" justifyLastLine="0" shrinkToFit="0" readingOrder="0"/>
      <border diagonalUp="0" diagonalDown="0">
        <left style="thin">
          <color theme="7" tint="-0.24994659260841701"/>
        </left>
        <right style="thin">
          <color theme="7" tint="-0.24994659260841701"/>
        </right>
        <top style="thin">
          <color theme="7" tint="-0.24994659260841701"/>
        </top>
        <bottom style="thin">
          <color theme="7" tint="-0.24994659260841701"/>
        </bottom>
        <vertical/>
        <horizontal/>
      </border>
    </dxf>
    <dxf>
      <alignment horizontal="general" vertical="top" textRotation="0" wrapText="1" indent="0" justifyLastLine="0" shrinkToFit="0" readingOrder="0"/>
    </dxf>
    <dxf>
      <alignment horizontal="general" vertical="top" textRotation="0" wrapText="0" indent="0" justifyLastLine="0" shrinkToFit="0" readingOrder="0"/>
    </dxf>
    <dxf>
      <fill>
        <patternFill patternType="solid">
          <bgColor theme="0" tint="-0.14999847407452621"/>
        </patternFill>
      </fill>
    </dxf>
    <dxf>
      <fill>
        <patternFill patternType="solid">
          <bgColor theme="0" tint="-0.14999847407452621"/>
        </patternFill>
      </fill>
    </dxf>
    <dxf>
      <alignment wrapText="1"/>
    </dxf>
    <dxf>
      <alignment wrapText="1"/>
    </dxf>
    <dxf>
      <alignment wrapText="0" indent="0"/>
    </dxf>
    <dxf>
      <alignment wrapText="0" indent="0"/>
    </dxf>
    <dxf>
      <font>
        <color theme="0"/>
      </font>
    </dxf>
    <dxf>
      <font>
        <b/>
        <i val="0"/>
        <color rgb="FFC00000"/>
      </font>
    </dxf>
    <dxf>
      <font>
        <b/>
        <i val="0"/>
        <color rgb="FFC00000"/>
      </font>
    </dxf>
    <dxf>
      <font>
        <color rgb="FFC00000"/>
      </font>
    </dxf>
    <dxf>
      <font>
        <color rgb="FFC00000"/>
      </font>
    </dxf>
    <dxf>
      <font>
        <b/>
        <i val="0"/>
        <color rgb="FFC00000"/>
      </font>
    </dxf>
    <dxf>
      <font>
        <b/>
        <i val="0"/>
        <color rgb="FFC00000"/>
      </font>
    </dxf>
    <dxf>
      <font>
        <b/>
        <i val="0"/>
        <color rgb="FFC00000"/>
      </font>
    </dxf>
    <dxf>
      <font>
        <b/>
        <i val="0"/>
        <color rgb="FFC00000"/>
      </font>
    </dxf>
    <dxf>
      <font>
        <color rgb="FFC00000"/>
      </font>
    </dxf>
    <dxf>
      <font>
        <b/>
        <i val="0"/>
        <color rgb="FFC00000"/>
      </font>
    </dxf>
    <dxf>
      <font>
        <b/>
        <i val="0"/>
        <color rgb="FFC00000"/>
      </font>
    </dxf>
    <dxf>
      <font>
        <b/>
        <i val="0"/>
        <color rgb="FFC00000"/>
      </font>
    </dxf>
    <dxf>
      <font>
        <b/>
        <i val="0"/>
        <color rgb="FFC00000"/>
      </font>
    </dxf>
    <dxf>
      <font>
        <b/>
        <i val="0"/>
        <color rgb="FFC00000"/>
      </font>
    </dxf>
    <dxf>
      <font>
        <b/>
        <i val="0"/>
        <color rgb="FFC00000"/>
      </font>
    </dxf>
    <dxf>
      <font>
        <b/>
        <i val="0"/>
        <color rgb="FFC00000"/>
      </font>
    </dxf>
    <dxf>
      <font>
        <b/>
        <i val="0"/>
        <color rgb="FFC00000"/>
      </font>
    </dxf>
    <dxf>
      <font>
        <b/>
        <i val="0"/>
        <color rgb="FFC00000"/>
      </font>
    </dxf>
    <dxf>
      <font>
        <b/>
        <i val="0"/>
        <color rgb="FFC00000"/>
      </font>
    </dxf>
    <dxf>
      <font>
        <b/>
        <i val="0"/>
        <color rgb="FFC00000"/>
      </font>
    </dxf>
    <dxf>
      <font>
        <color rgb="FFC00000"/>
      </font>
    </dxf>
    <dxf>
      <font>
        <color rgb="FFC00000"/>
      </font>
    </dxf>
    <dxf>
      <font>
        <b/>
        <i val="0"/>
        <color rgb="FFC00000"/>
      </font>
    </dxf>
    <dxf>
      <font>
        <b val="0"/>
        <i val="0"/>
        <strike val="0"/>
        <condense val="0"/>
        <extend val="0"/>
        <outline val="0"/>
        <shadow val="0"/>
        <u val="none"/>
        <vertAlign val="baseline"/>
        <sz val="10"/>
        <color rgb="FF0000FF"/>
        <name val="Segoe UI"/>
        <scheme val="minor"/>
      </font>
      <fill>
        <patternFill patternType="mediumGray">
          <fgColor rgb="FFFFFF99"/>
          <bgColor auto="1"/>
        </patternFill>
      </fill>
      <alignment horizontal="general" vertical="bottom" textRotation="0" wrapText="0" indent="0" justifyLastLine="0" shrinkToFit="0" readingOrder="0"/>
      <border diagonalUp="0" diagonalDown="0">
        <left style="thin">
          <color rgb="FF0070C0"/>
        </left>
        <right/>
        <top/>
        <bottom/>
        <vertical/>
        <horizontal/>
      </border>
    </dxf>
    <dxf>
      <font>
        <b/>
        <i val="0"/>
        <strike val="0"/>
        <condense val="0"/>
        <extend val="0"/>
        <outline val="0"/>
        <shadow val="0"/>
        <u val="none"/>
        <vertAlign val="baseline"/>
        <sz val="10"/>
        <color theme="0"/>
        <name val="Segoe UI"/>
        <scheme val="minor"/>
      </font>
      <fill>
        <patternFill patternType="solid">
          <fgColor theme="4"/>
          <bgColor theme="4"/>
        </patternFill>
      </fill>
      <border diagonalUp="0" diagonalDown="0" outline="0">
        <left/>
        <right/>
        <top/>
        <bottom/>
      </border>
    </dxf>
    <dxf>
      <font>
        <b val="0"/>
        <i val="0"/>
        <strike val="0"/>
        <condense val="0"/>
        <extend val="0"/>
        <outline val="0"/>
        <shadow val="0"/>
        <u val="none"/>
        <vertAlign val="baseline"/>
        <sz val="10"/>
        <color rgb="FF0000FF"/>
        <name val="Segoe UI"/>
        <scheme val="minor"/>
      </font>
      <numFmt numFmtId="180" formatCode="#,##0\ &quot;$&quot;"/>
      <fill>
        <patternFill patternType="mediumGray">
          <fgColor rgb="FFFFFF99"/>
          <bgColor auto="1"/>
        </patternFill>
      </fill>
      <alignment horizontal="right" vertical="top" textRotation="0" wrapText="0" indent="1" justifyLastLine="0" shrinkToFit="1" readingOrder="0"/>
      <border diagonalUp="0" diagonalDown="0">
        <left style="thin">
          <color rgb="FF0070C0"/>
        </left>
        <right/>
        <top/>
        <bottom/>
        <vertical/>
        <horizontal/>
      </border>
    </dxf>
    <dxf>
      <font>
        <b/>
        <i val="0"/>
        <strike val="0"/>
        <condense val="0"/>
        <extend val="0"/>
        <outline val="0"/>
        <shadow val="0"/>
        <u val="none"/>
        <vertAlign val="baseline"/>
        <sz val="10"/>
        <color theme="0"/>
        <name val="Segoe UI"/>
        <scheme val="minor"/>
      </font>
      <fill>
        <patternFill patternType="solid">
          <fgColor theme="4"/>
          <bgColor theme="4"/>
        </patternFill>
      </fill>
      <border diagonalUp="0" diagonalDown="0" outline="0">
        <left/>
        <right/>
        <top/>
        <bottom/>
      </border>
    </dxf>
    <dxf>
      <font>
        <b val="0"/>
        <i val="0"/>
        <strike val="0"/>
        <condense val="0"/>
        <extend val="0"/>
        <outline val="0"/>
        <shadow val="0"/>
        <u val="none"/>
        <vertAlign val="baseline"/>
        <sz val="10"/>
        <color rgb="FF0000FF"/>
        <name val="Segoe UI"/>
        <scheme val="minor"/>
      </font>
      <numFmt numFmtId="13" formatCode="0%"/>
      <fill>
        <patternFill patternType="mediumGray">
          <fgColor rgb="FFFFFF99"/>
          <bgColor auto="1"/>
        </patternFill>
      </fill>
      <alignment horizontal="center" vertical="top" textRotation="0" wrapText="0" indent="0" justifyLastLine="0" shrinkToFit="0" readingOrder="0"/>
      <border diagonalUp="0" diagonalDown="0">
        <left style="thin">
          <color rgb="FF0070C0"/>
        </left>
        <right/>
        <top/>
        <bottom/>
        <vertical/>
        <horizontal/>
      </border>
    </dxf>
    <dxf>
      <font>
        <b/>
        <i val="0"/>
        <strike val="0"/>
        <condense val="0"/>
        <extend val="0"/>
        <outline val="0"/>
        <shadow val="0"/>
        <u val="none"/>
        <vertAlign val="baseline"/>
        <sz val="10"/>
        <color theme="0"/>
        <name val="Segoe UI"/>
        <scheme val="minor"/>
      </font>
      <fill>
        <patternFill patternType="solid">
          <fgColor theme="4"/>
          <bgColor theme="4"/>
        </patternFill>
      </fill>
      <border diagonalUp="0" diagonalDown="0" outline="0">
        <left/>
        <right/>
        <top/>
        <bottom/>
      </border>
    </dxf>
    <dxf>
      <font>
        <b val="0"/>
        <i val="0"/>
        <strike val="0"/>
        <condense val="0"/>
        <extend val="0"/>
        <outline val="0"/>
        <shadow val="0"/>
        <u val="none"/>
        <vertAlign val="baseline"/>
        <sz val="10"/>
        <color rgb="FF0000FF"/>
        <name val="Segoe UI"/>
        <scheme val="minor"/>
      </font>
      <fill>
        <patternFill patternType="mediumGray">
          <fgColor rgb="FFFFFF99"/>
          <bgColor auto="1"/>
        </patternFill>
      </fill>
      <alignment horizontal="center" vertical="top" textRotation="0" wrapText="0" indent="0" justifyLastLine="0" shrinkToFit="0" readingOrder="0"/>
      <border diagonalUp="0" diagonalDown="0">
        <left style="thin">
          <color rgb="FF0070C0"/>
        </left>
        <right/>
        <top/>
        <bottom/>
        <vertical/>
        <horizontal/>
      </border>
    </dxf>
    <dxf>
      <font>
        <b/>
        <i val="0"/>
        <strike val="0"/>
        <condense val="0"/>
        <extend val="0"/>
        <outline val="0"/>
        <shadow val="0"/>
        <u val="none"/>
        <vertAlign val="baseline"/>
        <sz val="10"/>
        <color theme="0"/>
        <name val="Segoe UI"/>
        <scheme val="minor"/>
      </font>
      <fill>
        <patternFill patternType="solid">
          <fgColor theme="4"/>
          <bgColor theme="4"/>
        </patternFill>
      </fill>
      <border diagonalUp="0" diagonalDown="0" outline="0">
        <left/>
        <right/>
        <top/>
        <bottom/>
      </border>
    </dxf>
    <dxf>
      <font>
        <b val="0"/>
        <i val="0"/>
        <strike val="0"/>
        <condense val="0"/>
        <extend val="0"/>
        <outline val="0"/>
        <shadow val="0"/>
        <u val="none"/>
        <vertAlign val="baseline"/>
        <sz val="10"/>
        <color theme="1"/>
        <name val="Segoe UI"/>
        <scheme val="minor"/>
      </font>
      <numFmt numFmtId="180" formatCode="#,##0\ &quot;$&quot;"/>
      <border diagonalUp="0" diagonalDown="0">
        <left style="thin">
          <color rgb="FF0070C0"/>
        </left>
        <right/>
        <top style="thin">
          <color rgb="FF0070C0"/>
        </top>
        <bottom/>
        <vertical/>
        <horizontal/>
      </border>
    </dxf>
    <dxf>
      <font>
        <b/>
        <i val="0"/>
        <strike val="0"/>
        <condense val="0"/>
        <extend val="0"/>
        <outline val="0"/>
        <shadow val="0"/>
        <u val="none"/>
        <vertAlign val="baseline"/>
        <sz val="10"/>
        <color rgb="FF0000FF"/>
        <name val="Segoe UI"/>
        <scheme val="minor"/>
      </font>
      <numFmt numFmtId="180" formatCode="#,##0\ &quot;$&quot;"/>
      <fill>
        <patternFill patternType="mediumGray">
          <fgColor rgb="FFFFFF99"/>
          <bgColor auto="1"/>
        </patternFill>
      </fill>
      <alignment horizontal="right" vertical="top" textRotation="0" wrapText="0" indent="1" justifyLastLine="0" shrinkToFit="1" readingOrder="0"/>
      <border diagonalUp="0" diagonalDown="0" outline="0">
        <left style="thin">
          <color rgb="FF0070C0"/>
        </left>
        <right/>
        <top/>
        <bottom/>
      </border>
    </dxf>
    <dxf>
      <font>
        <b val="0"/>
        <i val="0"/>
        <strike val="0"/>
        <condense val="0"/>
        <extend val="0"/>
        <outline val="0"/>
        <shadow val="0"/>
        <u val="none"/>
        <vertAlign val="baseline"/>
        <sz val="10"/>
        <color rgb="FF0000FF"/>
        <name val="Segoe UI"/>
        <scheme val="minor"/>
      </font>
      <fill>
        <patternFill patternType="mediumGray">
          <fgColor rgb="FFFFFF99"/>
          <bgColor auto="1"/>
        </patternFill>
      </fill>
      <alignment horizontal="center" vertical="top" textRotation="0" wrapText="0" indent="0" justifyLastLine="0" shrinkToFit="0" readingOrder="0"/>
      <border diagonalUp="0" diagonalDown="0">
        <left style="thin">
          <color rgb="FF0070C0"/>
        </left>
        <right/>
        <top style="thin">
          <color rgb="FF0070C0"/>
        </top>
        <bottom/>
        <vertical/>
        <horizontal/>
      </border>
    </dxf>
    <dxf>
      <font>
        <b/>
        <i val="0"/>
        <strike val="0"/>
        <condense val="0"/>
        <extend val="0"/>
        <outline val="0"/>
        <shadow val="0"/>
        <u val="none"/>
        <vertAlign val="baseline"/>
        <sz val="10"/>
        <color rgb="FF0000FF"/>
        <name val="Segoe UI"/>
        <scheme val="minor"/>
      </font>
      <fill>
        <patternFill patternType="mediumGray">
          <fgColor rgb="FFFFFF99"/>
          <bgColor auto="1"/>
        </patternFill>
      </fill>
      <alignment horizontal="center" vertical="top" textRotation="0" wrapText="0" indent="0" justifyLastLine="0" shrinkToFit="0" readingOrder="0"/>
      <border diagonalUp="0" diagonalDown="0" outline="0">
        <left style="thin">
          <color rgb="FF0070C0"/>
        </left>
        <right/>
        <top/>
        <bottom/>
      </border>
    </dxf>
    <dxf>
      <font>
        <b val="0"/>
        <i val="0"/>
        <strike val="0"/>
        <condense val="0"/>
        <extend val="0"/>
        <outline val="0"/>
        <shadow val="0"/>
        <u val="none"/>
        <vertAlign val="baseline"/>
        <sz val="10"/>
        <color rgb="FF0000FF"/>
        <name val="Segoe UI"/>
        <scheme val="minor"/>
      </font>
      <numFmt numFmtId="13" formatCode="0%"/>
      <fill>
        <patternFill patternType="mediumGray">
          <fgColor rgb="FFFFFF99"/>
          <bgColor auto="1"/>
        </patternFill>
      </fill>
      <alignment horizontal="right" vertical="top" textRotation="0" wrapText="0" indent="1" justifyLastLine="0" shrinkToFit="0" readingOrder="0"/>
      <border diagonalUp="0" diagonalDown="0">
        <left style="thin">
          <color rgb="FF0070C0"/>
        </left>
        <right/>
        <top style="thin">
          <color rgb="FF0070C0"/>
        </top>
        <bottom/>
        <vertical/>
        <horizontal/>
      </border>
    </dxf>
    <dxf>
      <font>
        <b/>
        <i val="0"/>
        <strike val="0"/>
        <condense val="0"/>
        <extend val="0"/>
        <outline val="0"/>
        <shadow val="0"/>
        <u val="none"/>
        <vertAlign val="baseline"/>
        <sz val="10"/>
        <color rgb="FF0000FF"/>
        <name val="Segoe UI"/>
        <scheme val="minor"/>
      </font>
      <numFmt numFmtId="13" formatCode="0%"/>
      <fill>
        <patternFill patternType="mediumGray">
          <fgColor rgb="FFFFFF99"/>
          <bgColor auto="1"/>
        </patternFill>
      </fill>
      <alignment horizontal="right" vertical="top" textRotation="0" wrapText="0" indent="1" justifyLastLine="0" shrinkToFit="0" readingOrder="0"/>
      <border diagonalUp="0" diagonalDown="0" outline="0">
        <left style="thin">
          <color rgb="FF0070C0"/>
        </left>
        <right/>
        <top/>
        <bottom/>
      </border>
    </dxf>
    <dxf>
      <font>
        <b val="0"/>
        <i val="0"/>
        <strike val="0"/>
        <condense val="0"/>
        <extend val="0"/>
        <outline val="0"/>
        <shadow val="0"/>
        <u val="none"/>
        <vertAlign val="baseline"/>
        <sz val="10"/>
        <color rgb="FF0000FF"/>
        <name val="Segoe UI"/>
        <scheme val="minor"/>
      </font>
      <numFmt numFmtId="180" formatCode="#,##0\ &quot;$&quot;"/>
      <fill>
        <patternFill patternType="mediumGray">
          <fgColor rgb="FFFFFF99"/>
          <bgColor auto="1"/>
        </patternFill>
      </fill>
      <alignment horizontal="right" vertical="top" textRotation="0" wrapText="0" indent="2" justifyLastLine="0" shrinkToFit="1" readingOrder="0"/>
      <border diagonalUp="0" diagonalDown="0">
        <left style="thin">
          <color rgb="FF0070C0"/>
        </left>
        <right/>
        <top style="thin">
          <color rgb="FF0070C0"/>
        </top>
        <bottom/>
        <vertical/>
        <horizontal/>
      </border>
    </dxf>
    <dxf>
      <font>
        <b/>
        <i val="0"/>
        <strike val="0"/>
        <condense val="0"/>
        <extend val="0"/>
        <outline val="0"/>
        <shadow val="0"/>
        <u val="none"/>
        <vertAlign val="baseline"/>
        <sz val="10"/>
        <color rgb="FF0000FF"/>
        <name val="Segoe UI"/>
        <scheme val="minor"/>
      </font>
      <numFmt numFmtId="180" formatCode="#,##0\ &quot;$&quot;"/>
      <fill>
        <patternFill patternType="mediumGray">
          <fgColor rgb="FFFFFF99"/>
          <bgColor auto="1"/>
        </patternFill>
      </fill>
      <alignment horizontal="right" vertical="top" textRotation="0" wrapText="0" indent="2" justifyLastLine="0" shrinkToFit="1" readingOrder="0"/>
      <border diagonalUp="0" diagonalDown="0" outline="0">
        <left style="thin">
          <color rgb="FF0070C0"/>
        </left>
        <right/>
        <top/>
        <bottom/>
      </border>
    </dxf>
    <dxf>
      <font>
        <b val="0"/>
        <i val="0"/>
        <strike val="0"/>
        <condense val="0"/>
        <extend val="0"/>
        <outline val="0"/>
        <shadow val="0"/>
        <u val="none"/>
        <vertAlign val="baseline"/>
        <sz val="10"/>
        <color rgb="FF0000FF"/>
        <name val="Segoe UI"/>
        <scheme val="minor"/>
      </font>
      <fill>
        <patternFill patternType="mediumGray">
          <fgColor rgb="FFFFFF99"/>
          <bgColor auto="1"/>
        </patternFill>
      </fill>
      <alignment horizontal="general" vertical="top" textRotation="0" wrapText="1" indent="0" justifyLastLine="0" shrinkToFit="0" readingOrder="0"/>
      <border diagonalUp="0" diagonalDown="0">
        <left/>
        <right/>
        <top style="thin">
          <color rgb="FF0070C0"/>
        </top>
        <bottom/>
        <vertical/>
        <horizontal/>
      </border>
    </dxf>
    <dxf>
      <font>
        <b/>
        <i val="0"/>
        <strike val="0"/>
        <condense val="0"/>
        <extend val="0"/>
        <outline val="0"/>
        <shadow val="0"/>
        <u val="none"/>
        <vertAlign val="baseline"/>
        <sz val="10"/>
        <color rgb="FF0000FF"/>
        <name val="Segoe UI"/>
        <scheme val="minor"/>
      </font>
      <fill>
        <patternFill patternType="mediumGray">
          <fgColor rgb="FFFFFF99"/>
          <bgColor auto="1"/>
        </patternFill>
      </fill>
      <alignment horizontal="general" vertical="top" textRotation="0" wrapText="1" indent="0" justifyLastLine="0" shrinkToFit="0" readingOrder="0"/>
      <border diagonalUp="0" diagonalDown="0" outline="0">
        <left/>
        <right/>
        <top/>
        <bottom/>
      </border>
    </dxf>
    <dxf>
      <border outline="0">
        <left style="thin">
          <color rgb="FF0070C0"/>
        </left>
        <right style="thin">
          <color rgb="FF0070C0"/>
        </right>
        <top style="thin">
          <color rgb="FF0070C0"/>
        </top>
        <bottom style="thin">
          <color rgb="FF0070C0"/>
        </bottom>
      </border>
    </dxf>
    <dxf>
      <font>
        <b/>
        <i val="0"/>
        <strike val="0"/>
        <condense val="0"/>
        <extend val="0"/>
        <outline val="0"/>
        <shadow val="0"/>
        <u val="none"/>
        <vertAlign val="baseline"/>
        <sz val="10"/>
        <color theme="0"/>
        <name val="Segoe UI"/>
        <scheme val="minor"/>
      </font>
      <fill>
        <patternFill patternType="solid">
          <fgColor theme="4"/>
          <bgColor theme="4"/>
        </patternFill>
      </fill>
    </dxf>
    <dxf>
      <alignment horizontal="general" vertical="bottom" textRotation="0" wrapText="0" indent="0" justifyLastLine="0" shrinkToFit="0" readingOrder="0"/>
      <border diagonalUp="0" diagonalDown="0">
        <left style="thin">
          <color rgb="FF0070C0"/>
        </left>
        <right/>
        <top style="thin">
          <color rgb="FF0070C0"/>
        </top>
        <bottom style="thin">
          <color rgb="FF0070C0"/>
        </bottom>
        <vertical/>
        <horizontal/>
      </border>
    </dxf>
    <dxf>
      <alignment horizontal="general" vertical="bottom" textRotation="0" wrapText="0" indent="0" justifyLastLine="0" shrinkToFit="0" readingOrder="0"/>
      <border diagonalUp="0" diagonalDown="0" outline="0">
        <left style="thin">
          <color rgb="FF0070C0"/>
        </left>
        <right/>
        <top/>
        <bottom style="thin">
          <color rgb="FF0070C0"/>
        </bottom>
      </border>
    </dxf>
    <dxf>
      <font>
        <b val="0"/>
        <i val="0"/>
        <strike val="0"/>
        <condense val="0"/>
        <extend val="0"/>
        <outline val="0"/>
        <shadow val="0"/>
        <u val="none"/>
        <vertAlign val="baseline"/>
        <sz val="10"/>
        <color rgb="FF0000FF"/>
        <name val="Segoe UI"/>
        <scheme val="minor"/>
      </font>
      <numFmt numFmtId="180" formatCode="#,##0\ &quot;$&quot;"/>
      <fill>
        <patternFill patternType="mediumGray">
          <fgColor rgb="FFFFFF99"/>
          <bgColor auto="1"/>
        </patternFill>
      </fill>
      <alignment horizontal="right" vertical="top" textRotation="0" wrapText="0" indent="1" justifyLastLine="0" shrinkToFit="1" readingOrder="0"/>
      <border diagonalUp="0" diagonalDown="0">
        <left style="thin">
          <color rgb="FF0070C0"/>
        </left>
        <right style="thin">
          <color rgb="FF0070C0"/>
        </right>
        <top/>
        <bottom style="thin">
          <color rgb="FF0070C0"/>
        </bottom>
        <vertical/>
        <horizontal/>
      </border>
    </dxf>
    <dxf>
      <font>
        <b val="0"/>
        <i val="0"/>
        <strike val="0"/>
        <condense val="0"/>
        <extend val="0"/>
        <outline val="0"/>
        <shadow val="0"/>
        <u val="none"/>
        <vertAlign val="baseline"/>
        <sz val="10"/>
        <color rgb="FF0000FF"/>
        <name val="Segoe UI"/>
        <scheme val="minor"/>
      </font>
      <numFmt numFmtId="180" formatCode="#,##0\ &quot;$&quot;"/>
      <fill>
        <patternFill patternType="mediumGray">
          <fgColor rgb="FFFFFF99"/>
          <bgColor auto="1"/>
        </patternFill>
      </fill>
      <alignment horizontal="right" vertical="top" textRotation="0" wrapText="0" indent="1" justifyLastLine="0" shrinkToFit="1" readingOrder="0"/>
      <border diagonalUp="0" diagonalDown="0" outline="0">
        <left style="thin">
          <color rgb="FF0070C0"/>
        </left>
        <right style="thin">
          <color rgb="FF0070C0"/>
        </right>
        <top/>
        <bottom style="thin">
          <color rgb="FF0070C0"/>
        </bottom>
      </border>
    </dxf>
    <dxf>
      <font>
        <b val="0"/>
        <i val="0"/>
        <strike val="0"/>
        <condense val="0"/>
        <extend val="0"/>
        <outline val="0"/>
        <shadow val="0"/>
        <u val="none"/>
        <vertAlign val="baseline"/>
        <sz val="10"/>
        <color rgb="FF0000FF"/>
        <name val="Segoe UI"/>
        <scheme val="minor"/>
      </font>
      <fill>
        <patternFill patternType="mediumGray">
          <fgColor rgb="FFFFFF99"/>
          <bgColor auto="1"/>
        </patternFill>
      </fill>
      <alignment horizontal="center" vertical="top" textRotation="0" wrapText="0" indent="0" justifyLastLine="0" shrinkToFit="0" readingOrder="0"/>
      <border diagonalUp="0" diagonalDown="0">
        <left style="thin">
          <color rgb="FF0070C0"/>
        </left>
        <right style="thin">
          <color rgb="FF0070C0"/>
        </right>
        <top style="thin">
          <color rgb="FF0070C0"/>
        </top>
        <bottom style="thin">
          <color rgb="FF0070C0"/>
        </bottom>
        <vertical/>
        <horizontal/>
      </border>
      <protection locked="0" hidden="0"/>
    </dxf>
    <dxf>
      <font>
        <b val="0"/>
        <i val="0"/>
        <strike val="0"/>
        <condense val="0"/>
        <extend val="0"/>
        <outline val="0"/>
        <shadow val="0"/>
        <u val="none"/>
        <vertAlign val="baseline"/>
        <sz val="10"/>
        <color rgb="FF0000FF"/>
        <name val="Segoe UI"/>
        <scheme val="minor"/>
      </font>
      <fill>
        <patternFill patternType="mediumGray">
          <fgColor rgb="FFFFFF99"/>
          <bgColor auto="1"/>
        </patternFill>
      </fill>
      <alignment horizontal="center" vertical="top" textRotation="0" wrapText="0" indent="0" justifyLastLine="0" shrinkToFit="0" readingOrder="0"/>
      <border diagonalUp="0" diagonalDown="0" outline="0">
        <left style="thin">
          <color rgb="FF0070C0"/>
        </left>
        <right style="thin">
          <color rgb="FF0070C0"/>
        </right>
        <top/>
        <bottom style="thin">
          <color rgb="FF0070C0"/>
        </bottom>
      </border>
      <protection locked="0" hidden="0"/>
    </dxf>
    <dxf>
      <font>
        <b val="0"/>
        <i val="0"/>
        <strike val="0"/>
        <condense val="0"/>
        <extend val="0"/>
        <outline val="0"/>
        <shadow val="0"/>
        <u val="none"/>
        <vertAlign val="baseline"/>
        <sz val="10"/>
        <color rgb="FF0000FF"/>
        <name val="Segoe UI"/>
        <scheme val="minor"/>
      </font>
      <alignment horizontal="center" vertical="top" textRotation="0" wrapText="0" indent="0" justifyLastLine="0" shrinkToFit="0" readingOrder="0"/>
      <border diagonalUp="0" diagonalDown="0">
        <left style="thin">
          <color rgb="FF0070C0"/>
        </left>
        <right style="thin">
          <color rgb="FF0070C0"/>
        </right>
        <top style="thin">
          <color rgb="FF0070C0"/>
        </top>
        <bottom style="thin">
          <color rgb="FF0070C0"/>
        </bottom>
        <vertical/>
        <horizontal/>
      </border>
    </dxf>
    <dxf>
      <font>
        <b val="0"/>
        <i val="0"/>
        <strike val="0"/>
        <condense val="0"/>
        <extend val="0"/>
        <outline val="0"/>
        <shadow val="0"/>
        <u val="none"/>
        <vertAlign val="baseline"/>
        <sz val="10"/>
        <color rgb="FF0000FF"/>
        <name val="Segoe UI"/>
        <scheme val="minor"/>
      </font>
      <alignment horizontal="center" vertical="top" textRotation="0" wrapText="0" indent="0" justifyLastLine="0" shrinkToFit="0" readingOrder="0"/>
      <border diagonalUp="0" diagonalDown="0" outline="0">
        <left style="thin">
          <color rgb="FF0070C0"/>
        </left>
        <right style="thin">
          <color rgb="FF0070C0"/>
        </right>
        <top/>
        <bottom style="thin">
          <color rgb="FF0070C0"/>
        </bottom>
      </border>
    </dxf>
    <dxf>
      <font>
        <b val="0"/>
        <i val="0"/>
        <strike val="0"/>
        <condense val="0"/>
        <extend val="0"/>
        <outline val="0"/>
        <shadow val="0"/>
        <u val="none"/>
        <vertAlign val="baseline"/>
        <sz val="10"/>
        <color theme="1"/>
        <name val="Segoe UI"/>
        <scheme val="minor"/>
      </font>
      <numFmt numFmtId="180" formatCode="#,##0\ &quot;$&quot;"/>
      <fill>
        <patternFill patternType="none">
          <fgColor indexed="64"/>
          <bgColor indexed="65"/>
        </patternFill>
      </fill>
      <border diagonalUp="0" diagonalDown="0">
        <left style="thin">
          <color rgb="FF0070C0"/>
        </left>
        <right style="thin">
          <color rgb="FF0070C0"/>
        </right>
        <top style="thin">
          <color rgb="FF0070C0"/>
        </top>
        <bottom style="thin">
          <color rgb="FF0070C0"/>
        </bottom>
        <vertical/>
        <horizontal/>
      </border>
    </dxf>
    <dxf>
      <font>
        <b val="0"/>
        <i val="0"/>
        <strike val="0"/>
        <condense val="0"/>
        <extend val="0"/>
        <outline val="0"/>
        <shadow val="0"/>
        <u val="none"/>
        <vertAlign val="baseline"/>
        <sz val="10"/>
        <color theme="1"/>
        <name val="Segoe UI"/>
        <scheme val="minor"/>
      </font>
      <numFmt numFmtId="180" formatCode="#,##0\ &quot;$&quot;"/>
      <fill>
        <patternFill patternType="none">
          <fgColor indexed="64"/>
          <bgColor indexed="65"/>
        </patternFill>
      </fill>
      <border diagonalUp="0" diagonalDown="0" outline="0">
        <left style="thin">
          <color rgb="FF0070C0"/>
        </left>
        <right style="thin">
          <color rgb="FF0070C0"/>
        </right>
        <top/>
        <bottom style="thin">
          <color rgb="FF0070C0"/>
        </bottom>
      </border>
    </dxf>
    <dxf>
      <font>
        <b val="0"/>
        <i val="0"/>
        <strike val="0"/>
        <condense val="0"/>
        <extend val="0"/>
        <outline val="0"/>
        <shadow val="0"/>
        <u val="none"/>
        <vertAlign val="baseline"/>
        <sz val="10"/>
        <color rgb="FF0000FF"/>
        <name val="Segoe UI"/>
        <scheme val="minor"/>
      </font>
      <alignment horizontal="center" vertical="top" textRotation="0" wrapText="0" indent="0" justifyLastLine="0" shrinkToFit="0" readingOrder="0"/>
      <border diagonalUp="0" diagonalDown="0">
        <left style="thin">
          <color rgb="FF0070C0"/>
        </left>
        <right style="thin">
          <color rgb="FF0070C0"/>
        </right>
        <top style="thin">
          <color rgb="FF0070C0"/>
        </top>
        <bottom style="thin">
          <color rgb="FF0070C0"/>
        </bottom>
        <vertical/>
        <horizontal/>
      </border>
    </dxf>
    <dxf>
      <font>
        <b val="0"/>
        <i val="0"/>
        <strike val="0"/>
        <condense val="0"/>
        <extend val="0"/>
        <outline val="0"/>
        <shadow val="0"/>
        <u val="none"/>
        <vertAlign val="baseline"/>
        <sz val="10"/>
        <color rgb="FF0000FF"/>
        <name val="Segoe UI"/>
        <scheme val="minor"/>
      </font>
      <alignment horizontal="center" vertical="top" textRotation="0" wrapText="0" indent="0" justifyLastLine="0" shrinkToFit="0" readingOrder="0"/>
      <border diagonalUp="0" diagonalDown="0" outline="0">
        <left style="thin">
          <color rgb="FF0070C0"/>
        </left>
        <right style="thin">
          <color rgb="FF0070C0"/>
        </right>
        <top/>
        <bottom style="thin">
          <color rgb="FF0070C0"/>
        </bottom>
      </border>
    </dxf>
    <dxf>
      <numFmt numFmtId="13" formatCode="0%"/>
      <alignment horizontal="right" vertical="top" textRotation="0" wrapText="0" indent="1" justifyLastLine="0" shrinkToFit="0" readingOrder="0"/>
      <border diagonalUp="0" diagonalDown="0">
        <left style="thin">
          <color rgb="FF0070C0"/>
        </left>
        <right style="thin">
          <color rgb="FF0070C0"/>
        </right>
        <top style="thin">
          <color rgb="FF0070C0"/>
        </top>
        <bottom style="thin">
          <color rgb="FF0070C0"/>
        </bottom>
        <vertical/>
        <horizontal/>
      </border>
    </dxf>
    <dxf>
      <numFmt numFmtId="13" formatCode="0%"/>
      <alignment horizontal="right" vertical="top" textRotation="0" wrapText="0" indent="1" justifyLastLine="0" shrinkToFit="0" readingOrder="0"/>
      <border diagonalUp="0" diagonalDown="0" outline="0">
        <left style="thin">
          <color rgb="FF0070C0"/>
        </left>
        <right style="thin">
          <color rgb="FF0070C0"/>
        </right>
        <top/>
        <bottom style="thin">
          <color rgb="FF0070C0"/>
        </bottom>
      </border>
    </dxf>
    <dxf>
      <numFmt numFmtId="180" formatCode="#,##0\ &quot;$&quot;"/>
      <alignment horizontal="right" vertical="top" textRotation="0" wrapText="0" indent="2" justifyLastLine="0" shrinkToFit="1" readingOrder="0"/>
      <border diagonalUp="0" diagonalDown="0">
        <left style="thin">
          <color rgb="FF0070C0"/>
        </left>
        <right style="thin">
          <color rgb="FF0070C0"/>
        </right>
        <top style="thin">
          <color rgb="FF0070C0"/>
        </top>
        <bottom style="thin">
          <color rgb="FF0070C0"/>
        </bottom>
        <vertical/>
        <horizontal/>
      </border>
    </dxf>
    <dxf>
      <numFmt numFmtId="180" formatCode="#,##0\ &quot;$&quot;"/>
      <alignment horizontal="right" vertical="top" textRotation="0" wrapText="0" indent="2" justifyLastLine="0" shrinkToFit="1" readingOrder="0"/>
      <border diagonalUp="0" diagonalDown="0" outline="0">
        <left style="thin">
          <color rgb="FF0070C0"/>
        </left>
        <right style="thin">
          <color rgb="FF0070C0"/>
        </right>
        <top/>
        <bottom style="thin">
          <color rgb="FF0070C0"/>
        </bottom>
      </border>
    </dxf>
    <dxf>
      <alignment horizontal="general" vertical="top" textRotation="0" wrapText="1" indent="0" justifyLastLine="0" shrinkToFit="0" readingOrder="0"/>
      <border diagonalUp="0" diagonalDown="0">
        <left/>
        <right style="thin">
          <color rgb="FF0070C0"/>
        </right>
        <top style="thin">
          <color rgb="FF0070C0"/>
        </top>
        <bottom style="thin">
          <color rgb="FF0070C0"/>
        </bottom>
        <vertical/>
        <horizontal/>
      </border>
    </dxf>
    <dxf>
      <alignment horizontal="general" vertical="top" textRotation="0" wrapText="1" indent="0" justifyLastLine="0" shrinkToFit="0" readingOrder="0"/>
      <border diagonalUp="0" diagonalDown="0" outline="0">
        <left/>
        <right style="thin">
          <color rgb="FF0070C0"/>
        </right>
        <top/>
        <bottom style="thin">
          <color rgb="FF0070C0"/>
        </bottom>
      </border>
    </dxf>
    <dxf>
      <border outline="0">
        <bottom style="thin">
          <color rgb="FF0070C0"/>
        </bottom>
      </border>
    </dxf>
    <dxf>
      <border outline="0">
        <bottom style="thin">
          <color rgb="FF0070C0"/>
        </bottom>
      </border>
    </dxf>
    <dxf>
      <alignment horizontal="general" vertical="bottom" textRotation="0" wrapText="0" indent="0" justifyLastLine="0" shrinkToFit="0" readingOrder="0"/>
      <border diagonalUp="0" diagonalDown="0">
        <left style="thin">
          <color rgb="FF0070C0"/>
        </left>
        <right/>
        <top style="thin">
          <color rgb="FF0070C0"/>
        </top>
        <bottom style="thin">
          <color rgb="FF0070C0"/>
        </bottom>
        <vertical/>
        <horizontal/>
      </border>
    </dxf>
    <dxf>
      <alignment horizontal="general" vertical="bottom" textRotation="0" wrapText="0" indent="0" justifyLastLine="0" shrinkToFit="0" readingOrder="0"/>
      <border diagonalUp="0" diagonalDown="0" outline="0">
        <left style="thin">
          <color rgb="FF0070C0"/>
        </left>
        <right/>
        <top/>
        <bottom style="thin">
          <color rgb="FF0070C0"/>
        </bottom>
      </border>
    </dxf>
    <dxf>
      <font>
        <b val="0"/>
        <i val="0"/>
        <strike val="0"/>
        <condense val="0"/>
        <extend val="0"/>
        <outline val="0"/>
        <shadow val="0"/>
        <u val="none"/>
        <vertAlign val="baseline"/>
        <sz val="10"/>
        <color rgb="FF0000FF"/>
        <name val="Segoe UI"/>
        <scheme val="minor"/>
      </font>
      <numFmt numFmtId="180" formatCode="#,##0\ &quot;$&quot;"/>
      <fill>
        <patternFill patternType="mediumGray">
          <fgColor rgb="FFFFFF99"/>
          <bgColor auto="1"/>
        </patternFill>
      </fill>
      <alignment horizontal="right" vertical="top" textRotation="0" wrapText="0" indent="1" justifyLastLine="0" shrinkToFit="1" readingOrder="0"/>
      <border diagonalUp="0" diagonalDown="0">
        <left style="thin">
          <color rgb="FF0070C0"/>
        </left>
        <right style="thin">
          <color rgb="FF0070C0"/>
        </right>
        <top style="thin">
          <color rgb="FF0070C0"/>
        </top>
        <bottom style="thin">
          <color rgb="FF0070C0"/>
        </bottom>
        <vertical/>
        <horizontal/>
      </border>
    </dxf>
    <dxf>
      <font>
        <b val="0"/>
        <i val="0"/>
        <strike val="0"/>
        <condense val="0"/>
        <extend val="0"/>
        <outline val="0"/>
        <shadow val="0"/>
        <u val="none"/>
        <vertAlign val="baseline"/>
        <sz val="10"/>
        <color rgb="FF0000FF"/>
        <name val="Segoe UI"/>
        <scheme val="minor"/>
      </font>
      <numFmt numFmtId="180" formatCode="#,##0\ &quot;$&quot;"/>
      <fill>
        <patternFill patternType="mediumGray">
          <fgColor rgb="FFFFFF99"/>
          <bgColor auto="1"/>
        </patternFill>
      </fill>
      <alignment horizontal="right" vertical="top" textRotation="0" wrapText="0" indent="1" justifyLastLine="0" shrinkToFit="1" readingOrder="0"/>
      <border diagonalUp="0" diagonalDown="0" outline="0">
        <left style="thin">
          <color rgb="FF0070C0"/>
        </left>
        <right style="thin">
          <color rgb="FF0070C0"/>
        </right>
        <top/>
        <bottom style="thin">
          <color rgb="FF0070C0"/>
        </bottom>
      </border>
    </dxf>
    <dxf>
      <font>
        <b val="0"/>
        <i val="0"/>
        <strike val="0"/>
        <condense val="0"/>
        <extend val="0"/>
        <outline val="0"/>
        <shadow val="0"/>
        <u val="none"/>
        <vertAlign val="baseline"/>
        <sz val="10"/>
        <color rgb="FF0000FF"/>
        <name val="Segoe UI"/>
        <scheme val="minor"/>
      </font>
      <fill>
        <patternFill patternType="mediumGray">
          <fgColor rgb="FFFFFF99"/>
          <bgColor auto="1"/>
        </patternFill>
      </fill>
      <alignment horizontal="center" vertical="top" textRotation="0" wrapText="0" indent="0" justifyLastLine="0" shrinkToFit="0" readingOrder="0"/>
      <border diagonalUp="0" diagonalDown="0">
        <left style="thin">
          <color rgb="FF0070C0"/>
        </left>
        <right style="thin">
          <color rgb="FF0070C0"/>
        </right>
        <top style="thin">
          <color rgb="FF0070C0"/>
        </top>
        <bottom style="thin">
          <color rgb="FF0070C0"/>
        </bottom>
        <vertical/>
        <horizontal/>
      </border>
      <protection locked="0" hidden="0"/>
    </dxf>
    <dxf>
      <font>
        <b val="0"/>
        <i val="0"/>
        <strike val="0"/>
        <condense val="0"/>
        <extend val="0"/>
        <outline val="0"/>
        <shadow val="0"/>
        <u val="none"/>
        <vertAlign val="baseline"/>
        <sz val="10"/>
        <color rgb="FF0000FF"/>
        <name val="Segoe UI"/>
        <scheme val="minor"/>
      </font>
      <fill>
        <patternFill patternType="mediumGray">
          <fgColor rgb="FFFFFF99"/>
          <bgColor auto="1"/>
        </patternFill>
      </fill>
      <alignment horizontal="center" vertical="top" textRotation="0" wrapText="0" indent="0" justifyLastLine="0" shrinkToFit="0" readingOrder="0"/>
      <border diagonalUp="0" diagonalDown="0" outline="0">
        <left style="thin">
          <color rgb="FF0070C0"/>
        </left>
        <right style="thin">
          <color rgb="FF0070C0"/>
        </right>
        <top/>
        <bottom style="thin">
          <color rgb="FF0070C0"/>
        </bottom>
      </border>
      <protection locked="0" hidden="0"/>
    </dxf>
    <dxf>
      <font>
        <b val="0"/>
        <i val="0"/>
        <strike val="0"/>
        <condense val="0"/>
        <extend val="0"/>
        <outline val="0"/>
        <shadow val="0"/>
        <u val="none"/>
        <vertAlign val="baseline"/>
        <sz val="10"/>
        <color rgb="FF0000FF"/>
        <name val="Segoe UI"/>
        <scheme val="minor"/>
      </font>
      <numFmt numFmtId="0" formatCode="General"/>
      <fill>
        <patternFill patternType="mediumGray">
          <fgColor rgb="FFFFFF99"/>
          <bgColor auto="1"/>
        </patternFill>
      </fill>
      <alignment horizontal="center" vertical="top" textRotation="0" wrapText="0" indent="0" justifyLastLine="0" shrinkToFit="0" readingOrder="0"/>
      <border diagonalUp="0" diagonalDown="0" outline="0">
        <left style="thin">
          <color rgb="FF0070C0"/>
        </left>
        <right style="thin">
          <color rgb="FF0070C0"/>
        </right>
        <top style="thin">
          <color rgb="FF0070C0"/>
        </top>
        <bottom style="thin">
          <color rgb="FF0070C0"/>
        </bottom>
      </border>
    </dxf>
    <dxf>
      <font>
        <b val="0"/>
        <i val="0"/>
        <strike val="0"/>
        <condense val="0"/>
        <extend val="0"/>
        <outline val="0"/>
        <shadow val="0"/>
        <u val="none"/>
        <vertAlign val="baseline"/>
        <sz val="10"/>
        <color rgb="FF0000FF"/>
        <name val="Segoe UI"/>
        <scheme val="minor"/>
      </font>
      <fill>
        <patternFill patternType="mediumGray">
          <fgColor rgb="FFFFFF99"/>
          <bgColor auto="1"/>
        </patternFill>
      </fill>
      <alignment horizontal="center" vertical="top" textRotation="0" wrapText="0" indent="0" justifyLastLine="0" shrinkToFit="0" readingOrder="0"/>
      <border diagonalUp="0" diagonalDown="0" outline="0">
        <left style="thin">
          <color rgb="FF0070C0"/>
        </left>
        <right style="thin">
          <color rgb="FF0070C0"/>
        </right>
        <top/>
        <bottom style="thin">
          <color rgb="FF0070C0"/>
        </bottom>
      </border>
    </dxf>
    <dxf>
      <font>
        <b val="0"/>
        <i val="0"/>
        <strike val="0"/>
        <condense val="0"/>
        <extend val="0"/>
        <outline val="0"/>
        <shadow val="0"/>
        <u val="none"/>
        <vertAlign val="baseline"/>
        <sz val="10"/>
        <color theme="1"/>
        <name val="Segoe UI"/>
        <scheme val="minor"/>
      </font>
      <numFmt numFmtId="180" formatCode="#,##0\ &quot;$&quot;"/>
      <fill>
        <patternFill patternType="none">
          <fgColor indexed="64"/>
          <bgColor indexed="65"/>
        </patternFill>
      </fill>
      <border diagonalUp="0" diagonalDown="0">
        <left style="thin">
          <color rgb="FF0070C0"/>
        </left>
        <right style="thin">
          <color rgb="FF0070C0"/>
        </right>
        <top/>
        <bottom style="thin">
          <color rgb="FF0070C0"/>
        </bottom>
        <vertical/>
        <horizontal/>
      </border>
    </dxf>
    <dxf>
      <font>
        <b val="0"/>
        <i val="0"/>
        <strike val="0"/>
        <condense val="0"/>
        <extend val="0"/>
        <outline val="0"/>
        <shadow val="0"/>
        <u val="none"/>
        <vertAlign val="baseline"/>
        <sz val="10"/>
        <color theme="1"/>
        <name val="Segoe UI"/>
        <scheme val="minor"/>
      </font>
      <numFmt numFmtId="180" formatCode="#,##0\ &quot;$&quot;"/>
      <border diagonalUp="0" diagonalDown="0" outline="0">
        <left style="thin">
          <color rgb="FF0070C0"/>
        </left>
        <right style="thin">
          <color rgb="FF0070C0"/>
        </right>
        <top/>
        <bottom style="thin">
          <color rgb="FF0070C0"/>
        </bottom>
      </border>
    </dxf>
    <dxf>
      <font>
        <b val="0"/>
        <i val="0"/>
        <strike val="0"/>
        <condense val="0"/>
        <extend val="0"/>
        <outline val="0"/>
        <shadow val="0"/>
        <u val="none"/>
        <vertAlign val="baseline"/>
        <sz val="10"/>
        <color rgb="FF0000FF"/>
        <name val="Segoe UI"/>
        <scheme val="minor"/>
      </font>
      <numFmt numFmtId="0" formatCode="General"/>
      <fill>
        <patternFill patternType="mediumGray">
          <fgColor rgb="FFFFFF99"/>
          <bgColor auto="1"/>
        </patternFill>
      </fill>
      <alignment horizontal="center" vertical="top" textRotation="0" wrapText="0" indent="0" justifyLastLine="0" shrinkToFit="0" readingOrder="0"/>
      <border diagonalUp="0" diagonalDown="0" outline="0">
        <left style="thin">
          <color rgb="FF0070C0"/>
        </left>
        <right style="thin">
          <color rgb="FF0070C0"/>
        </right>
        <top style="thin">
          <color rgb="FF0070C0"/>
        </top>
        <bottom style="thin">
          <color rgb="FF0070C0"/>
        </bottom>
      </border>
    </dxf>
    <dxf>
      <font>
        <b val="0"/>
        <i val="0"/>
        <strike val="0"/>
        <condense val="0"/>
        <extend val="0"/>
        <outline val="0"/>
        <shadow val="0"/>
        <u val="none"/>
        <vertAlign val="baseline"/>
        <sz val="10"/>
        <color rgb="FF0000FF"/>
        <name val="Segoe UI"/>
        <scheme val="minor"/>
      </font>
      <fill>
        <patternFill patternType="mediumGray">
          <fgColor rgb="FFFFFF99"/>
          <bgColor auto="1"/>
        </patternFill>
      </fill>
      <alignment horizontal="center" vertical="top" textRotation="0" wrapText="0" indent="0" justifyLastLine="0" shrinkToFit="0" readingOrder="0"/>
      <border diagonalUp="0" diagonalDown="0" outline="0">
        <left style="thin">
          <color rgb="FF0070C0"/>
        </left>
        <right style="thin">
          <color rgb="FF0070C0"/>
        </right>
        <top/>
        <bottom style="thin">
          <color rgb="FF0070C0"/>
        </bottom>
      </border>
    </dxf>
    <dxf>
      <font>
        <b val="0"/>
        <i val="0"/>
        <strike val="0"/>
        <condense val="0"/>
        <extend val="0"/>
        <outline val="0"/>
        <shadow val="0"/>
        <u val="none"/>
        <vertAlign val="baseline"/>
        <sz val="10"/>
        <color rgb="FF0000FF"/>
        <name val="Segoe UI"/>
        <scheme val="minor"/>
      </font>
      <numFmt numFmtId="13" formatCode="0%"/>
      <fill>
        <patternFill patternType="mediumGray">
          <fgColor rgb="FFFFFF99"/>
          <bgColor auto="1"/>
        </patternFill>
      </fill>
      <alignment horizontal="right" vertical="top" textRotation="0" wrapText="0" indent="1" justifyLastLine="0" shrinkToFit="0" readingOrder="0"/>
      <border diagonalUp="0" diagonalDown="0">
        <left style="thin">
          <color rgb="FF0070C0"/>
        </left>
        <right style="thin">
          <color rgb="FF0070C0"/>
        </right>
        <top style="thin">
          <color rgb="FF0070C0"/>
        </top>
        <bottom style="thin">
          <color rgb="FF0070C0"/>
        </bottom>
        <vertical/>
        <horizontal/>
      </border>
    </dxf>
    <dxf>
      <font>
        <b val="0"/>
        <i val="0"/>
        <strike val="0"/>
        <condense val="0"/>
        <extend val="0"/>
        <outline val="0"/>
        <shadow val="0"/>
        <u val="none"/>
        <vertAlign val="baseline"/>
        <sz val="10"/>
        <color rgb="FF0000FF"/>
        <name val="Segoe UI"/>
        <scheme val="minor"/>
      </font>
      <numFmt numFmtId="13" formatCode="0%"/>
      <fill>
        <patternFill patternType="mediumGray">
          <fgColor rgb="FFFFFF99"/>
          <bgColor auto="1"/>
        </patternFill>
      </fill>
      <alignment horizontal="right" vertical="top" textRotation="0" wrapText="0" indent="1" justifyLastLine="0" shrinkToFit="0" readingOrder="0"/>
      <border diagonalUp="0" diagonalDown="0" outline="0">
        <left style="thin">
          <color rgb="FF0070C0"/>
        </left>
        <right style="thin">
          <color rgb="FF0070C0"/>
        </right>
        <top/>
        <bottom style="thin">
          <color rgb="FF0070C0"/>
        </bottom>
      </border>
    </dxf>
    <dxf>
      <font>
        <b val="0"/>
        <i val="0"/>
        <strike val="0"/>
        <condense val="0"/>
        <extend val="0"/>
        <outline val="0"/>
        <shadow val="0"/>
        <u val="none"/>
        <vertAlign val="baseline"/>
        <sz val="10"/>
        <color rgb="FF0000FF"/>
        <name val="Segoe UI"/>
        <scheme val="minor"/>
      </font>
      <numFmt numFmtId="180" formatCode="#,##0\ &quot;$&quot;"/>
      <fill>
        <patternFill patternType="mediumGray">
          <fgColor rgb="FFFFFF99"/>
          <bgColor auto="1"/>
        </patternFill>
      </fill>
      <alignment horizontal="right" vertical="top" textRotation="0" wrapText="0" indent="2" justifyLastLine="0" shrinkToFit="1" readingOrder="0"/>
      <border diagonalUp="0" diagonalDown="0">
        <left style="thin">
          <color rgb="FF0070C0"/>
        </left>
        <right style="thin">
          <color rgb="FF0070C0"/>
        </right>
        <top style="thin">
          <color rgb="FF0070C0"/>
        </top>
        <bottom style="thin">
          <color rgb="FF0070C0"/>
        </bottom>
        <vertical/>
        <horizontal/>
      </border>
    </dxf>
    <dxf>
      <font>
        <b val="0"/>
        <i val="0"/>
        <strike val="0"/>
        <condense val="0"/>
        <extend val="0"/>
        <outline val="0"/>
        <shadow val="0"/>
        <u val="none"/>
        <vertAlign val="baseline"/>
        <sz val="10"/>
        <color rgb="FF0000FF"/>
        <name val="Segoe UI"/>
        <scheme val="minor"/>
      </font>
      <numFmt numFmtId="180" formatCode="#,##0\ &quot;$&quot;"/>
      <fill>
        <patternFill patternType="mediumGray">
          <fgColor rgb="FFFFFF99"/>
          <bgColor auto="1"/>
        </patternFill>
      </fill>
      <alignment horizontal="right" vertical="top" textRotation="0" wrapText="0" indent="2" justifyLastLine="0" shrinkToFit="1" readingOrder="0"/>
      <border diagonalUp="0" diagonalDown="0" outline="0">
        <left style="thin">
          <color rgb="FF0070C0"/>
        </left>
        <right style="thin">
          <color rgb="FF0070C0"/>
        </right>
        <top/>
        <bottom style="thin">
          <color rgb="FF0070C0"/>
        </bottom>
      </border>
    </dxf>
    <dxf>
      <font>
        <b val="0"/>
        <i val="0"/>
        <strike val="0"/>
        <condense val="0"/>
        <extend val="0"/>
        <outline val="0"/>
        <shadow val="0"/>
        <u val="none"/>
        <vertAlign val="baseline"/>
        <sz val="10"/>
        <color rgb="FF0000FF"/>
        <name val="Segoe UI"/>
        <scheme val="minor"/>
      </font>
      <fill>
        <patternFill patternType="mediumGray">
          <fgColor rgb="FFFFFF99"/>
          <bgColor auto="1"/>
        </patternFill>
      </fill>
      <alignment horizontal="general" vertical="top" textRotation="0" wrapText="1" indent="0" justifyLastLine="0" shrinkToFit="0" readingOrder="0"/>
      <border diagonalUp="0" diagonalDown="0">
        <left/>
        <right style="thin">
          <color rgb="FF0070C0"/>
        </right>
        <top style="thin">
          <color rgb="FF0070C0"/>
        </top>
        <bottom style="thin">
          <color rgb="FF0070C0"/>
        </bottom>
        <vertical/>
        <horizontal/>
      </border>
    </dxf>
    <dxf>
      <font>
        <b val="0"/>
        <i val="0"/>
        <strike val="0"/>
        <condense val="0"/>
        <extend val="0"/>
        <outline val="0"/>
        <shadow val="0"/>
        <u val="none"/>
        <vertAlign val="baseline"/>
        <sz val="10"/>
        <color rgb="FF0000FF"/>
        <name val="Segoe UI"/>
        <scheme val="minor"/>
      </font>
      <fill>
        <patternFill patternType="mediumGray">
          <fgColor rgb="FFFFFF99"/>
          <bgColor auto="1"/>
        </patternFill>
      </fill>
      <alignment horizontal="general" vertical="top" textRotation="0" wrapText="1" indent="0" justifyLastLine="0" shrinkToFit="0" readingOrder="0"/>
      <border diagonalUp="0" diagonalDown="0" outline="0">
        <left/>
        <right style="thin">
          <color rgb="FF0070C0"/>
        </right>
        <top/>
        <bottom style="thin">
          <color rgb="FF0070C0"/>
        </bottom>
      </border>
    </dxf>
    <dxf>
      <border outline="0">
        <bottom style="thin">
          <color rgb="FF0070C0"/>
        </bottom>
      </border>
    </dxf>
    <dxf>
      <font>
        <color theme="0" tint="-0.34998626667073579"/>
      </font>
    </dxf>
    <dxf>
      <font>
        <b val="0"/>
        <i val="0"/>
        <color rgb="FF002060"/>
      </font>
    </dxf>
    <dxf>
      <font>
        <color theme="0" tint="-0.34998626667073579"/>
      </font>
    </dxf>
    <dxf>
      <font>
        <color theme="1"/>
      </font>
    </dxf>
    <dxf>
      <font>
        <b/>
        <i val="0"/>
      </font>
    </dxf>
    <dxf>
      <font>
        <color theme="1"/>
      </font>
    </dxf>
    <dxf>
      <font>
        <color rgb="FFC00000"/>
      </font>
    </dxf>
    <dxf>
      <font>
        <color rgb="FFC00000"/>
      </font>
    </dxf>
    <dxf>
      <font>
        <color rgb="FFC00000"/>
      </font>
    </dxf>
    <dxf>
      <font>
        <color theme="1"/>
      </font>
    </dxf>
    <dxf>
      <font>
        <color theme="1"/>
      </font>
    </dxf>
    <dxf>
      <font>
        <color rgb="FFC00000"/>
      </font>
    </dxf>
    <dxf>
      <font>
        <color rgb="FFC00000"/>
      </font>
    </dxf>
    <dxf>
      <font>
        <b/>
        <i val="0"/>
      </font>
    </dxf>
    <dxf>
      <font>
        <b val="0"/>
        <i val="0"/>
        <color rgb="FFC00000"/>
      </font>
    </dxf>
    <dxf>
      <font>
        <b val="0"/>
        <i val="0"/>
        <u/>
      </font>
    </dxf>
    <dxf>
      <font>
        <color rgb="FFC00000"/>
      </font>
    </dxf>
    <dxf>
      <font>
        <color rgb="FFC00000"/>
      </font>
    </dxf>
    <dxf>
      <font>
        <color theme="5"/>
      </font>
    </dxf>
    <dxf>
      <font>
        <b/>
        <i val="0"/>
      </font>
    </dxf>
    <dxf>
      <font>
        <b val="0"/>
        <i val="0"/>
        <color rgb="FFC00000"/>
      </font>
    </dxf>
    <dxf>
      <font>
        <b val="0"/>
        <i val="0"/>
        <color rgb="FFC00000"/>
      </font>
    </dxf>
    <dxf>
      <font>
        <b val="0"/>
        <i val="0"/>
        <color rgb="FFC00000"/>
      </font>
    </dxf>
    <dxf>
      <font>
        <b/>
        <i val="0"/>
        <color rgb="FFC00000"/>
      </font>
      <fill>
        <patternFill patternType="solid">
          <fgColor rgb="FFFFCCFF"/>
          <bgColor rgb="FFFFCCCC"/>
        </patternFill>
      </fill>
      <border>
        <left style="thin">
          <color rgb="FFFF0000"/>
        </left>
        <right style="thin">
          <color rgb="FFFF0000"/>
        </right>
        <top style="thin">
          <color rgb="FFFF0000"/>
        </top>
        <bottom style="thin">
          <color rgb="FFFF0000"/>
        </bottom>
      </border>
    </dxf>
    <dxf>
      <font>
        <color rgb="FFC00000"/>
      </font>
    </dxf>
    <dxf>
      <font>
        <color rgb="FFC00000"/>
      </font>
    </dxf>
    <dxf>
      <fill>
        <patternFill>
          <bgColor rgb="FFFFCCCC"/>
        </patternFill>
      </fill>
    </dxf>
    <dxf>
      <fill>
        <patternFill>
          <bgColor rgb="FFFFCCCC"/>
        </patternFill>
      </fill>
    </dxf>
    <dxf>
      <font>
        <color rgb="FF0000FF"/>
      </font>
    </dxf>
    <dxf>
      <font>
        <color rgb="FFC00000"/>
      </font>
    </dxf>
    <dxf>
      <font>
        <color rgb="FFC00000"/>
      </font>
    </dxf>
    <dxf>
      <font>
        <color rgb="FF0000FF"/>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C0000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C00000"/>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fill>
        <patternFill>
          <bgColor rgb="FFFFC7CE"/>
        </patternFill>
      </fill>
    </dxf>
    <dxf>
      <font>
        <color rgb="FF002060"/>
      </font>
    </dxf>
    <dxf>
      <font>
        <color theme="1" tint="0.499984740745262"/>
      </font>
    </dxf>
    <dxf>
      <font>
        <color theme="1" tint="0.34998626667073579"/>
      </font>
      <fill>
        <patternFill patternType="mediumGray">
          <fgColor theme="0" tint="-4.9989318521683403E-2"/>
          <bgColor theme="0" tint="-4.9989318521683403E-2"/>
        </patternFill>
      </fill>
    </dxf>
    <dxf>
      <font>
        <color theme="1"/>
      </font>
    </dxf>
    <dxf>
      <border>
        <top style="thin">
          <color theme="1" tint="0.499984740745262"/>
        </top>
        <bottom style="thin">
          <color theme="1" tint="0.499984740745262"/>
        </bottom>
      </border>
    </dxf>
    <dxf>
      <border>
        <top style="thin">
          <color theme="1" tint="0.499984740745262"/>
        </top>
        <bottom style="thin">
          <color theme="1" tint="0.499984740745262"/>
        </bottom>
      </border>
    </dxf>
    <dxf>
      <font>
        <b/>
        <color theme="1" tint="0.499984740745262"/>
      </font>
    </dxf>
    <dxf>
      <font>
        <b/>
        <i val="0"/>
        <color theme="1"/>
      </font>
    </dxf>
    <dxf>
      <font>
        <b/>
        <i val="0"/>
      </font>
    </dxf>
    <dxf>
      <font>
        <b/>
        <color theme="1" tint="0.499984740745262"/>
      </font>
    </dxf>
    <dxf>
      <font>
        <b/>
        <color theme="1"/>
      </font>
    </dxf>
    <dxf>
      <font>
        <b/>
        <i val="0"/>
      </font>
    </dxf>
    <dxf>
      <font>
        <b/>
        <i val="0"/>
      </font>
      <fill>
        <patternFill patternType="solid">
          <fgColor theme="0" tint="-0.14999847407452621"/>
          <bgColor theme="0" tint="-0.14999847407452621"/>
        </patternFill>
      </fill>
      <border>
        <left style="thin">
          <color theme="0" tint="-0.34998626667073579"/>
        </left>
        <right style="thin">
          <color theme="0" tint="-0.34998626667073579"/>
        </right>
        <top style="thin">
          <color theme="0" tint="-0.34998626667073579"/>
        </top>
        <bottom style="thin">
          <color theme="0" tint="-0.34998626667073579"/>
        </bottom>
        <vertical style="thin">
          <color theme="0" tint="-0.34998626667073579"/>
        </vertical>
        <horizontal style="thin">
          <color theme="0" tint="-0.34998626667073579"/>
        </horizontal>
      </border>
    </dxf>
    <dxf>
      <fill>
        <patternFill patternType="solid">
          <fgColor theme="0" tint="-0.14999847407452621"/>
          <bgColor theme="0" tint="-0.14999847407452621"/>
        </patternFill>
      </fill>
      <border>
        <top style="thin">
          <color theme="0" tint="-0.34998626667073579"/>
        </top>
        <bottom style="thin">
          <color theme="0" tint="-0.34998626667073579"/>
        </bottom>
      </border>
    </dxf>
    <dxf>
      <font>
        <b/>
        <color theme="1"/>
      </font>
      <fill>
        <patternFill patternType="solid">
          <fgColor theme="0"/>
          <bgColor theme="0"/>
        </patternFill>
      </fill>
      <border>
        <top style="thin">
          <color theme="1" tint="0.499984740745262"/>
        </top>
        <bottom style="thin">
          <color theme="1" tint="0.499984740745262"/>
        </bottom>
      </border>
    </dxf>
    <dxf>
      <font>
        <b/>
        <color theme="1"/>
      </font>
      <border>
        <top style="thin">
          <color theme="1" tint="0.499984740745262"/>
        </top>
        <bottom style="thin">
          <color theme="1" tint="0.499984740745262"/>
        </bottom>
      </border>
    </dxf>
    <dxf>
      <font>
        <color theme="1"/>
      </font>
      <border>
        <left style="medium">
          <color theme="0" tint="-0.14996795556505021"/>
        </left>
        <right style="medium">
          <color theme="0" tint="-0.14996795556505021"/>
        </right>
        <top style="medium">
          <color theme="0" tint="-0.14996795556505021"/>
        </top>
        <bottom style="medium">
          <color theme="0" tint="-0.14996795556505021"/>
        </bottom>
        <horizontal style="thin">
          <color theme="0" tint="-0.14999847407452621"/>
        </horizontal>
      </border>
    </dxf>
    <dxf>
      <border>
        <top style="double">
          <color theme="0" tint="-0.24994659260841701"/>
        </top>
      </border>
    </dxf>
    <dxf>
      <font>
        <color auto="1"/>
      </font>
      <fill>
        <patternFill>
          <bgColor theme="0" tint="-0.24994659260841701"/>
        </patternFill>
      </fill>
      <border>
        <bottom style="thick">
          <color theme="0" tint="-0.24994659260841701"/>
        </bottom>
      </border>
    </dxf>
    <dxf>
      <border>
        <left style="thick">
          <color theme="0" tint="-0.24994659260841701"/>
        </left>
        <right style="thick">
          <color theme="0" tint="-0.24994659260841701"/>
        </right>
        <top style="thick">
          <color theme="0" tint="-0.24994659260841701"/>
        </top>
        <bottom style="thick">
          <color theme="0" tint="-0.24994659260841701"/>
        </bottom>
        <vertical style="hair">
          <color theme="0" tint="-0.24994659260841701"/>
        </vertical>
        <horizontal style="thin">
          <color theme="0" tint="-0.24994659260841701"/>
        </horizontal>
      </border>
    </dxf>
    <dxf>
      <border>
        <top style="double">
          <color theme="4" tint="0.39994506668294322"/>
        </top>
      </border>
    </dxf>
    <dxf>
      <font>
        <color theme="1" tint="0.34998626667073579"/>
      </font>
      <border>
        <bottom style="medium">
          <color theme="4" tint="0.39994506668294322"/>
        </bottom>
      </border>
    </dxf>
    <dxf>
      <border>
        <bottom style="medium">
          <color theme="4" tint="0.39994506668294322"/>
        </bottom>
      </border>
    </dxf>
    <dxf>
      <border>
        <left style="medium">
          <color theme="4"/>
        </left>
        <right style="medium">
          <color theme="4"/>
        </right>
        <top style="medium">
          <color theme="4"/>
        </top>
        <bottom style="medium">
          <color theme="4"/>
        </bottom>
      </border>
    </dxf>
  </dxfs>
  <tableStyles count="4" defaultTableStyle="TableStyleMedium2" defaultPivotStyle="PivotStyleLight16">
    <tableStyle name="Investissements" pivot="0" count="1" xr9:uid="{00000000-0011-0000-FFFF-FFFF00000000}">
      <tableStyleElement type="wholeTable" dxfId="179"/>
    </tableStyle>
    <tableStyle name="Régies" pivot="0" count="3" xr9:uid="{00000000-0011-0000-FFFF-FFFF01000000}">
      <tableStyleElement type="wholeTable" dxfId="178"/>
      <tableStyleElement type="headerRow" dxfId="177"/>
      <tableStyleElement type="totalRow" dxfId="176"/>
    </tableStyle>
    <tableStyle name="Sobre" pivot="0" count="3" xr9:uid="{00000000-0011-0000-FFFF-FFFF02000000}">
      <tableStyleElement type="wholeTable" dxfId="175"/>
      <tableStyleElement type="headerRow" dxfId="174"/>
      <tableStyleElement type="totalRow" dxfId="173"/>
    </tableStyle>
    <tableStyle name="TCD" table="0" count="13" xr9:uid="{00000000-0011-0000-FFFF-FFFF03000000}">
      <tableStyleElement type="wholeTable" dxfId="172"/>
      <tableStyleElement type="headerRow" dxfId="171"/>
      <tableStyleElement type="totalRow" dxfId="170"/>
      <tableStyleElement type="firstRowStripe" dxfId="169"/>
      <tableStyleElement type="firstColumnStripe" dxfId="168"/>
      <tableStyleElement type="firstHeaderCell" dxfId="167"/>
      <tableStyleElement type="firstSubtotalRow" dxfId="166"/>
      <tableStyleElement type="secondSubtotalRow" dxfId="165"/>
      <tableStyleElement type="firstColumnSubheading" dxfId="164"/>
      <tableStyleElement type="firstRowSubheading" dxfId="163"/>
      <tableStyleElement type="secondRowSubheading" dxfId="162"/>
      <tableStyleElement type="pageFieldLabels" dxfId="161"/>
      <tableStyleElement type="pageFieldValues" dxfId="160"/>
    </tableStyle>
  </tableStyles>
  <colors>
    <mruColors>
      <color rgb="FF0000FF"/>
      <color rgb="FFEDF6FD"/>
      <color rgb="FFFFFFFF"/>
      <color rgb="FFDDDDDD"/>
      <color rgb="FFEAEAEA"/>
      <color rgb="FFFFFF99"/>
      <color rgb="FFDAECFA"/>
      <color rgb="FFFFCCCC"/>
      <color rgb="FF800000"/>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microsoft.com/office/2007/relationships/slicerCache" Target="slicerCaches/slicerCach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28" Type="http://schemas.microsoft.com/office/2006/relationships/vbaProject" Target="vbaProject.bin"/><Relationship Id="rId10" Type="http://schemas.openxmlformats.org/officeDocument/2006/relationships/worksheet" Target="worksheets/sheet10.xml"/><Relationship Id="rId19" Type="http://schemas.openxmlformats.org/officeDocument/2006/relationships/pivotCacheDefinition" Target="pivotCache/pivotCacheDefinition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3.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List" dx="22" fmlaRange="listeCulturesChamps" multiSel="4, 3, 2, 1" sel="0" seltype="multi" val="0"/>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CheckBox" fmlaLink="backupAutomatique"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CheckBox" checked="Checked" fmlaLink="$B$5" lockText="1"/>
</file>

<file path=xl/ctrlProps/ctrlProp20.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Drop" dropLines="15" dropStyle="combo" dx="22" fmlaRange="Description!TDM" noThreeD="1" sel="1" val="0"/>
</file>

<file path=xl/ctrlProps/ctrlProp25.xml><?xml version="1.0" encoding="utf-8"?>
<formControlPr xmlns="http://schemas.microsoft.com/office/spreadsheetml/2009/9/main" objectType="Drop" dropLines="21" dropStyle="combo" dx="22" fmlaRange="tdmLait" noThreeD="1" sel="1" val="0"/>
</file>

<file path=xl/ctrlProps/ctrlProp26.xml><?xml version="1.0" encoding="utf-8"?>
<formControlPr xmlns="http://schemas.microsoft.com/office/spreadsheetml/2009/9/main" objectType="Drop" dropLines="21" dropStyle="combo" dx="22" fmlaRange="tdmChamps" noThreeD="1" sel="1" val="0"/>
</file>

<file path=xl/ctrlProps/ctrlProp27.xml><?xml version="1.0" encoding="utf-8"?>
<formControlPr xmlns="http://schemas.microsoft.com/office/spreadsheetml/2009/9/main" objectType="CheckBox" checked="Checked" fmlaLink="recolterPailleBio"/>
</file>

<file path=xl/ctrlProps/ctrlProp28.xml><?xml version="1.0" encoding="utf-8"?>
<formControlPr xmlns="http://schemas.microsoft.com/office/spreadsheetml/2009/9/main" objectType="Drop" dropLines="21" dropStyle="combo" dx="22" fmlaRange="listeCulturesChamps" noThreeD="1" sel="0" val="0"/>
</file>

<file path=xl/ctrlProps/ctrlProp29.xml><?xml version="1.0" encoding="utf-8"?>
<formControlPr xmlns="http://schemas.microsoft.com/office/spreadsheetml/2009/9/main" objectType="CheckBox" checked="Checked" lockText="1"/>
</file>

<file path=xl/ctrlProps/ctrlProp3.xml><?xml version="1.0" encoding="utf-8"?>
<formControlPr xmlns="http://schemas.microsoft.com/office/spreadsheetml/2009/9/main" objectType="CheckBox" checked="Checked" fmlaLink="$B$6" lockText="1"/>
</file>

<file path=xl/ctrlProps/ctrlProp30.xml><?xml version="1.0" encoding="utf-8"?>
<formControlPr xmlns="http://schemas.microsoft.com/office/spreadsheetml/2009/9/main" objectType="Button" lockText="1"/>
</file>

<file path=xl/ctrlProps/ctrlProp31.xml><?xml version="1.0" encoding="utf-8"?>
<formControlPr xmlns="http://schemas.microsoft.com/office/spreadsheetml/2009/9/main" objectType="Button" lockText="1"/>
</file>

<file path=xl/ctrlProps/ctrlProp32.xml><?xml version="1.0" encoding="utf-8"?>
<formControlPr xmlns="http://schemas.microsoft.com/office/spreadsheetml/2009/9/main" objectType="Button" lockText="1"/>
</file>

<file path=xl/ctrlProps/ctrlProp33.xml><?xml version="1.0" encoding="utf-8"?>
<formControlPr xmlns="http://schemas.microsoft.com/office/spreadsheetml/2009/9/main" objectType="Button" lockText="1"/>
</file>

<file path=xl/ctrlProps/ctrlProp34.xml><?xml version="1.0" encoding="utf-8"?>
<formControlPr xmlns="http://schemas.microsoft.com/office/spreadsheetml/2009/9/main" objectType="Drop" dropLines="4" dropStyle="combo" dx="22" fmlaRange="listeComboAjouterLigne" noThreeD="1" sel="1" val="0"/>
</file>

<file path=xl/ctrlProps/ctrlProp35.xml><?xml version="1.0" encoding="utf-8"?>
<formControlPr xmlns="http://schemas.microsoft.com/office/spreadsheetml/2009/9/main" objectType="Button" lockText="1"/>
</file>

<file path=xl/ctrlProps/ctrlProp36.xml><?xml version="1.0" encoding="utf-8"?>
<formControlPr xmlns="http://schemas.microsoft.com/office/spreadsheetml/2009/9/main" objectType="Drop" dropLines="18" dropStyle="combo" dx="22" fmlaRange="Normes!TDM" noThreeD="1" sel="1" val="0"/>
</file>

<file path=xl/ctrlProps/ctrlProp37.xml><?xml version="1.0" encoding="utf-8"?>
<formControlPr xmlns="http://schemas.microsoft.com/office/spreadsheetml/2009/9/main" objectType="Button" lockText="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Spin" dx="22" fmlaLink="$C$95" max="20" min="3" page="10" val="9"/>
</file>

<file path=xl/ctrlProps/ctrlProp4.xml><?xml version="1.0" encoding="utf-8"?>
<formControlPr xmlns="http://schemas.microsoft.com/office/spreadsheetml/2009/9/main" objectType="CheckBox" checked="Checked" fmlaLink="$B$7" lockText="1"/>
</file>

<file path=xl/ctrlProps/ctrlProp40.xml><?xml version="1.0" encoding="utf-8"?>
<formControlPr xmlns="http://schemas.microsoft.com/office/spreadsheetml/2009/9/main" objectType="Spin" dx="22" fmlaLink="$C$94" max="10" page="10" val="6"/>
</file>

<file path=xl/ctrlProps/ctrlProp41.xml><?xml version="1.0" encoding="utf-8"?>
<formControlPr xmlns="http://schemas.microsoft.com/office/spreadsheetml/2009/9/main" objectType="Button" lockText="1"/>
</file>

<file path=xl/ctrlProps/ctrlProp42.xml><?xml version="1.0" encoding="utf-8"?>
<formControlPr xmlns="http://schemas.microsoft.com/office/spreadsheetml/2009/9/main" objectType="Button" lockText="1"/>
</file>

<file path=xl/ctrlProps/ctrlProp43.xml><?xml version="1.0" encoding="utf-8"?>
<formControlPr xmlns="http://schemas.microsoft.com/office/spreadsheetml/2009/9/main" objectType="Drop" dropLines="4" dropStyle="combo" dx="22" fmlaRange="O1:O4" noThreeD="1" sel="1" val="0"/>
</file>

<file path=xl/ctrlProps/ctrlProp44.xml><?xml version="1.0" encoding="utf-8"?>
<formControlPr xmlns="http://schemas.microsoft.com/office/spreadsheetml/2009/9/main" objectType="Button" lockText="1"/>
</file>

<file path=xl/ctrlProps/ctrlProp5.xml><?xml version="1.0" encoding="utf-8"?>
<formControlPr xmlns="http://schemas.microsoft.com/office/spreadsheetml/2009/9/main" objectType="CheckBox" checked="Checked" fmlaLink="$B$8" lockText="1"/>
</file>

<file path=xl/ctrlProps/ctrlProp6.xml><?xml version="1.0" encoding="utf-8"?>
<formControlPr xmlns="http://schemas.microsoft.com/office/spreadsheetml/2009/9/main" objectType="CheckBox" checked="Checked" fmlaLink="$B$9" lockText="1"/>
</file>

<file path=xl/ctrlProps/ctrlProp7.xml><?xml version="1.0" encoding="utf-8"?>
<formControlPr xmlns="http://schemas.microsoft.com/office/spreadsheetml/2009/9/main" objectType="Radio" checked="Checked" firstButton="1" fmlaLink="TypeDeFerme" lockText="1"/>
</file>

<file path=xl/ctrlProps/ctrlProp8.xml><?xml version="1.0" encoding="utf-8"?>
<formControlPr xmlns="http://schemas.microsoft.com/office/spreadsheetml/2009/9/main" objectType="Radio" lockText="1"/>
</file>

<file path=xl/ctrlProps/ctrlProp9.xml><?xml version="1.0" encoding="utf-8"?>
<formControlPr xmlns="http://schemas.microsoft.com/office/spreadsheetml/2009/9/main" objectType="List" dx="22" fmlaRange="listeCulturesDisponibles" multiSel="21, 10, 7, 6, 5, 4, 2, 1" sel="0" seltype="multi" val="0"/>
</file>

<file path=xl/drawings/_rels/drawing1.xml.rels><?xml version="1.0" encoding="UTF-8" standalone="yes"?>
<Relationships xmlns="http://schemas.openxmlformats.org/package/2006/relationships"><Relationship Id="rId2" Type="http://schemas.openxmlformats.org/officeDocument/2006/relationships/image" Target="file:///C:\Users\gmenard\C&#233;gep%20de%20Victoriaville\CETAB%20-%20Documents\Logos\Logos%20CETAB\logo%20cetab+cegep%20500px.png" TargetMode="External"/><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hyperlink" Target="#Champs!C381"/><Relationship Id="rId2" Type="http://schemas.openxmlformats.org/officeDocument/2006/relationships/image" Target="../media/image26.svg"/><Relationship Id="rId1" Type="http://schemas.openxmlformats.org/officeDocument/2006/relationships/image" Target="../media/image112.png"/><Relationship Id="rId5" Type="http://schemas.openxmlformats.org/officeDocument/2006/relationships/image" Target="../media/image114.svg"/><Relationship Id="rId4" Type="http://schemas.openxmlformats.org/officeDocument/2006/relationships/image" Target="../media/image113.png"/></Relationships>
</file>

<file path=xl/drawings/_rels/drawing11.xml.rels><?xml version="1.0" encoding="UTF-8" standalone="yes"?>
<Relationships xmlns="http://schemas.openxmlformats.org/package/2006/relationships"><Relationship Id="rId3" Type="http://schemas.openxmlformats.org/officeDocument/2006/relationships/image" Target="../media/image81.png"/><Relationship Id="rId2" Type="http://schemas.openxmlformats.org/officeDocument/2006/relationships/image" Target="../media/image116.svg"/><Relationship Id="rId1" Type="http://schemas.openxmlformats.org/officeDocument/2006/relationships/image" Target="../media/image115.png"/><Relationship Id="rId4" Type="http://schemas.openxmlformats.org/officeDocument/2006/relationships/image" Target="../media/image26.svg"/></Relationships>
</file>

<file path=xl/drawings/_rels/drawing12.xml.rels><?xml version="1.0" encoding="UTF-8" standalone="yes"?>
<Relationships xmlns="http://schemas.openxmlformats.org/package/2006/relationships"><Relationship Id="rId8" Type="http://schemas.openxmlformats.org/officeDocument/2006/relationships/image" Target="../media/image26.svg"/><Relationship Id="rId3" Type="http://schemas.openxmlformats.org/officeDocument/2006/relationships/image" Target="../media/image119.png"/><Relationship Id="rId7" Type="http://schemas.openxmlformats.org/officeDocument/2006/relationships/image" Target="../media/image123.png"/><Relationship Id="rId2" Type="http://schemas.openxmlformats.org/officeDocument/2006/relationships/image" Target="../media/image118.svg"/><Relationship Id="rId1" Type="http://schemas.openxmlformats.org/officeDocument/2006/relationships/image" Target="../media/image117.png"/><Relationship Id="rId6" Type="http://schemas.openxmlformats.org/officeDocument/2006/relationships/image" Target="../media/image122.svg"/><Relationship Id="rId5" Type="http://schemas.openxmlformats.org/officeDocument/2006/relationships/image" Target="../media/image121.png"/><Relationship Id="rId4" Type="http://schemas.openxmlformats.org/officeDocument/2006/relationships/image" Target="../media/image120.svg"/><Relationship Id="rId9" Type="http://schemas.openxmlformats.org/officeDocument/2006/relationships/image" Target="../media/image80.png"/></Relationships>
</file>

<file path=xl/drawings/_rels/drawing13.xml.rels><?xml version="1.0" encoding="UTF-8" standalone="yes"?>
<Relationships xmlns="http://schemas.openxmlformats.org/package/2006/relationships"><Relationship Id="rId2" Type="http://schemas.openxmlformats.org/officeDocument/2006/relationships/image" Target="../media/image125.svg"/><Relationship Id="rId1" Type="http://schemas.openxmlformats.org/officeDocument/2006/relationships/image" Target="../media/image124.png"/></Relationships>
</file>

<file path=xl/drawings/_rels/drawing2.xml.rels><?xml version="1.0" encoding="UTF-8" standalone="yes"?>
<Relationships xmlns="http://schemas.openxmlformats.org/package/2006/relationships"><Relationship Id="rId8" Type="http://schemas.openxmlformats.org/officeDocument/2006/relationships/image" Target="../media/image9.png"/><Relationship Id="rId13" Type="http://schemas.openxmlformats.org/officeDocument/2006/relationships/image" Target="../media/image14.svg"/><Relationship Id="rId18" Type="http://schemas.openxmlformats.org/officeDocument/2006/relationships/image" Target="../media/image19.png"/><Relationship Id="rId3" Type="http://schemas.openxmlformats.org/officeDocument/2006/relationships/image" Target="../media/image4.jpeg"/><Relationship Id="rId7" Type="http://schemas.openxmlformats.org/officeDocument/2006/relationships/image" Target="../media/image8.svg"/><Relationship Id="rId12" Type="http://schemas.openxmlformats.org/officeDocument/2006/relationships/image" Target="../media/image13.png"/><Relationship Id="rId17" Type="http://schemas.openxmlformats.org/officeDocument/2006/relationships/image" Target="../media/image18.svg"/><Relationship Id="rId2" Type="http://schemas.openxmlformats.org/officeDocument/2006/relationships/image" Target="../media/image3.png"/><Relationship Id="rId16" Type="http://schemas.openxmlformats.org/officeDocument/2006/relationships/image" Target="../media/image17.png"/><Relationship Id="rId1" Type="http://schemas.openxmlformats.org/officeDocument/2006/relationships/image" Target="../media/image2.png"/><Relationship Id="rId6" Type="http://schemas.openxmlformats.org/officeDocument/2006/relationships/image" Target="../media/image7.png"/><Relationship Id="rId11" Type="http://schemas.openxmlformats.org/officeDocument/2006/relationships/image" Target="../media/image12.svg"/><Relationship Id="rId5" Type="http://schemas.openxmlformats.org/officeDocument/2006/relationships/image" Target="../media/image6.svg"/><Relationship Id="rId15" Type="http://schemas.openxmlformats.org/officeDocument/2006/relationships/image" Target="../media/image16.svg"/><Relationship Id="rId10" Type="http://schemas.openxmlformats.org/officeDocument/2006/relationships/image" Target="../media/image11.png"/><Relationship Id="rId19" Type="http://schemas.openxmlformats.org/officeDocument/2006/relationships/image" Target="../media/image20.svg"/><Relationship Id="rId4" Type="http://schemas.openxmlformats.org/officeDocument/2006/relationships/image" Target="../media/image5.png"/><Relationship Id="rId9" Type="http://schemas.openxmlformats.org/officeDocument/2006/relationships/image" Target="../media/image10.svg"/><Relationship Id="rId14" Type="http://schemas.openxmlformats.org/officeDocument/2006/relationships/image" Target="../media/image15.png"/></Relationships>
</file>

<file path=xl/drawings/_rels/drawing3.xml.rels><?xml version="1.0" encoding="UTF-8" standalone="yes"?>
<Relationships xmlns="http://schemas.openxmlformats.org/package/2006/relationships"><Relationship Id="rId8" Type="http://schemas.openxmlformats.org/officeDocument/2006/relationships/image" Target="../media/image28.png"/><Relationship Id="rId13" Type="http://schemas.openxmlformats.org/officeDocument/2006/relationships/image" Target="../media/image33.svg"/><Relationship Id="rId18" Type="http://schemas.openxmlformats.org/officeDocument/2006/relationships/image" Target="../media/image38.png"/><Relationship Id="rId26" Type="http://schemas.openxmlformats.org/officeDocument/2006/relationships/image" Target="../media/image46.svg"/><Relationship Id="rId3" Type="http://schemas.openxmlformats.org/officeDocument/2006/relationships/image" Target="../media/image23.png"/><Relationship Id="rId21" Type="http://schemas.openxmlformats.org/officeDocument/2006/relationships/image" Target="../media/image41.png"/><Relationship Id="rId7" Type="http://schemas.openxmlformats.org/officeDocument/2006/relationships/image" Target="../media/image27.png"/><Relationship Id="rId12" Type="http://schemas.openxmlformats.org/officeDocument/2006/relationships/image" Target="../media/image32.png"/><Relationship Id="rId17" Type="http://schemas.openxmlformats.org/officeDocument/2006/relationships/image" Target="../media/image37.svg"/><Relationship Id="rId25" Type="http://schemas.openxmlformats.org/officeDocument/2006/relationships/image" Target="../media/image45.png"/><Relationship Id="rId2" Type="http://schemas.openxmlformats.org/officeDocument/2006/relationships/image" Target="../media/image22.svg"/><Relationship Id="rId16" Type="http://schemas.openxmlformats.org/officeDocument/2006/relationships/image" Target="../media/image36.png"/><Relationship Id="rId20" Type="http://schemas.openxmlformats.org/officeDocument/2006/relationships/image" Target="../media/image40.svg"/><Relationship Id="rId29" Type="http://schemas.openxmlformats.org/officeDocument/2006/relationships/image" Target="../media/image49.png"/><Relationship Id="rId1" Type="http://schemas.openxmlformats.org/officeDocument/2006/relationships/image" Target="../media/image21.png"/><Relationship Id="rId6" Type="http://schemas.openxmlformats.org/officeDocument/2006/relationships/image" Target="../media/image26.svg"/><Relationship Id="rId11" Type="http://schemas.openxmlformats.org/officeDocument/2006/relationships/image" Target="../media/image31.svg"/><Relationship Id="rId24" Type="http://schemas.openxmlformats.org/officeDocument/2006/relationships/image" Target="../media/image44.svg"/><Relationship Id="rId32" Type="http://schemas.openxmlformats.org/officeDocument/2006/relationships/image" Target="../media/image52.svg"/><Relationship Id="rId5" Type="http://schemas.openxmlformats.org/officeDocument/2006/relationships/image" Target="../media/image25.png"/><Relationship Id="rId15" Type="http://schemas.openxmlformats.org/officeDocument/2006/relationships/image" Target="../media/image35.svg"/><Relationship Id="rId23" Type="http://schemas.openxmlformats.org/officeDocument/2006/relationships/image" Target="../media/image43.png"/><Relationship Id="rId28" Type="http://schemas.openxmlformats.org/officeDocument/2006/relationships/image" Target="../media/image48.svg"/><Relationship Id="rId10" Type="http://schemas.openxmlformats.org/officeDocument/2006/relationships/image" Target="../media/image30.png"/><Relationship Id="rId19" Type="http://schemas.openxmlformats.org/officeDocument/2006/relationships/image" Target="../media/image39.png"/><Relationship Id="rId31" Type="http://schemas.openxmlformats.org/officeDocument/2006/relationships/image" Target="../media/image51.png"/><Relationship Id="rId4" Type="http://schemas.openxmlformats.org/officeDocument/2006/relationships/image" Target="../media/image24.svg"/><Relationship Id="rId9" Type="http://schemas.openxmlformats.org/officeDocument/2006/relationships/image" Target="../media/image29.svg"/><Relationship Id="rId14" Type="http://schemas.openxmlformats.org/officeDocument/2006/relationships/image" Target="../media/image34.png"/><Relationship Id="rId22" Type="http://schemas.openxmlformats.org/officeDocument/2006/relationships/image" Target="../media/image42.svg"/><Relationship Id="rId27" Type="http://schemas.openxmlformats.org/officeDocument/2006/relationships/image" Target="../media/image47.png"/><Relationship Id="rId30" Type="http://schemas.openxmlformats.org/officeDocument/2006/relationships/image" Target="../media/image50.svg"/></Relationships>
</file>

<file path=xl/drawings/_rels/drawing4.xml.rels><?xml version="1.0" encoding="UTF-8" standalone="yes"?>
<Relationships xmlns="http://schemas.openxmlformats.org/package/2006/relationships"><Relationship Id="rId2" Type="http://schemas.openxmlformats.org/officeDocument/2006/relationships/image" Target="../media/image54.svg"/><Relationship Id="rId1" Type="http://schemas.openxmlformats.org/officeDocument/2006/relationships/image" Target="../media/image53.png"/></Relationships>
</file>

<file path=xl/drawings/_rels/drawing5.xml.rels><?xml version="1.0" encoding="UTF-8" standalone="yes"?>
<Relationships xmlns="http://schemas.openxmlformats.org/package/2006/relationships"><Relationship Id="rId8" Type="http://schemas.openxmlformats.org/officeDocument/2006/relationships/image" Target="../media/image59.svg"/><Relationship Id="rId13" Type="http://schemas.openxmlformats.org/officeDocument/2006/relationships/image" Target="../media/image63.png"/><Relationship Id="rId18" Type="http://schemas.openxmlformats.org/officeDocument/2006/relationships/image" Target="../media/image66.svg"/><Relationship Id="rId26" Type="http://schemas.openxmlformats.org/officeDocument/2006/relationships/image" Target="../media/image74.png"/><Relationship Id="rId3" Type="http://schemas.openxmlformats.org/officeDocument/2006/relationships/image" Target="../media/image56.png"/><Relationship Id="rId21" Type="http://schemas.openxmlformats.org/officeDocument/2006/relationships/image" Target="../media/image69.png"/><Relationship Id="rId7" Type="http://schemas.openxmlformats.org/officeDocument/2006/relationships/image" Target="../media/image58.png"/><Relationship Id="rId12" Type="http://schemas.openxmlformats.org/officeDocument/2006/relationships/image" Target="../media/image62.svg"/><Relationship Id="rId17" Type="http://schemas.openxmlformats.org/officeDocument/2006/relationships/image" Target="../media/image65.png"/><Relationship Id="rId25" Type="http://schemas.openxmlformats.org/officeDocument/2006/relationships/image" Target="../media/image73.png"/><Relationship Id="rId2" Type="http://schemas.openxmlformats.org/officeDocument/2006/relationships/image" Target="../media/image29.svg"/><Relationship Id="rId16" Type="http://schemas.openxmlformats.org/officeDocument/2006/relationships/image" Target="../media/image44.svg"/><Relationship Id="rId20" Type="http://schemas.openxmlformats.org/officeDocument/2006/relationships/image" Target="../media/image68.png"/><Relationship Id="rId29" Type="http://schemas.openxmlformats.org/officeDocument/2006/relationships/image" Target="../media/image77.svg"/><Relationship Id="rId1" Type="http://schemas.openxmlformats.org/officeDocument/2006/relationships/image" Target="../media/image55.png"/><Relationship Id="rId6" Type="http://schemas.openxmlformats.org/officeDocument/2006/relationships/image" Target="../media/image48.svg"/><Relationship Id="rId11" Type="http://schemas.openxmlformats.org/officeDocument/2006/relationships/image" Target="../media/image61.png"/><Relationship Id="rId24" Type="http://schemas.openxmlformats.org/officeDocument/2006/relationships/image" Target="../media/image72.png"/><Relationship Id="rId5" Type="http://schemas.openxmlformats.org/officeDocument/2006/relationships/image" Target="../media/image57.png"/><Relationship Id="rId15" Type="http://schemas.openxmlformats.org/officeDocument/2006/relationships/image" Target="../media/image64.png"/><Relationship Id="rId23" Type="http://schemas.openxmlformats.org/officeDocument/2006/relationships/image" Target="../media/image71.png"/><Relationship Id="rId28" Type="http://schemas.openxmlformats.org/officeDocument/2006/relationships/image" Target="../media/image76.png"/><Relationship Id="rId10" Type="http://schemas.openxmlformats.org/officeDocument/2006/relationships/image" Target="../media/image46.svg"/><Relationship Id="rId19" Type="http://schemas.openxmlformats.org/officeDocument/2006/relationships/image" Target="../media/image67.png"/><Relationship Id="rId4" Type="http://schemas.openxmlformats.org/officeDocument/2006/relationships/image" Target="../media/image26.svg"/><Relationship Id="rId9" Type="http://schemas.openxmlformats.org/officeDocument/2006/relationships/image" Target="../media/image60.png"/><Relationship Id="rId14" Type="http://schemas.openxmlformats.org/officeDocument/2006/relationships/image" Target="../media/image42.svg"/><Relationship Id="rId22" Type="http://schemas.openxmlformats.org/officeDocument/2006/relationships/image" Target="../media/image70.svg"/><Relationship Id="rId27" Type="http://schemas.openxmlformats.org/officeDocument/2006/relationships/image" Target="../media/image75.svg"/></Relationships>
</file>

<file path=xl/drawings/_rels/drawing6.xml.rels><?xml version="1.0" encoding="UTF-8" standalone="yes"?>
<Relationships xmlns="http://schemas.openxmlformats.org/package/2006/relationships"><Relationship Id="rId2" Type="http://schemas.openxmlformats.org/officeDocument/2006/relationships/image" Target="../media/image29.svg"/><Relationship Id="rId1" Type="http://schemas.openxmlformats.org/officeDocument/2006/relationships/image" Target="../media/image78.png"/></Relationships>
</file>

<file path=xl/drawings/_rels/drawing7.xml.rels><?xml version="1.0" encoding="UTF-8" standalone="yes"?>
<Relationships xmlns="http://schemas.openxmlformats.org/package/2006/relationships"><Relationship Id="rId8" Type="http://schemas.openxmlformats.org/officeDocument/2006/relationships/image" Target="../media/image83.png"/><Relationship Id="rId13" Type="http://schemas.openxmlformats.org/officeDocument/2006/relationships/image" Target="../media/image88.svg"/><Relationship Id="rId18" Type="http://schemas.openxmlformats.org/officeDocument/2006/relationships/image" Target="../media/image93.svg"/><Relationship Id="rId26" Type="http://schemas.openxmlformats.org/officeDocument/2006/relationships/image" Target="../media/image100.png"/><Relationship Id="rId3" Type="http://schemas.openxmlformats.org/officeDocument/2006/relationships/image" Target="../media/image56.png"/><Relationship Id="rId21" Type="http://schemas.openxmlformats.org/officeDocument/2006/relationships/image" Target="../media/image96.png"/><Relationship Id="rId7" Type="http://schemas.openxmlformats.org/officeDocument/2006/relationships/image" Target="../media/image82.png"/><Relationship Id="rId12" Type="http://schemas.openxmlformats.org/officeDocument/2006/relationships/image" Target="../media/image87.png"/><Relationship Id="rId17" Type="http://schemas.openxmlformats.org/officeDocument/2006/relationships/image" Target="../media/image92.png"/><Relationship Id="rId25" Type="http://schemas.openxmlformats.org/officeDocument/2006/relationships/image" Target="../media/image99.svg"/><Relationship Id="rId2" Type="http://schemas.openxmlformats.org/officeDocument/2006/relationships/image" Target="../media/image37.svg"/><Relationship Id="rId16" Type="http://schemas.openxmlformats.org/officeDocument/2006/relationships/image" Target="../media/image91.svg"/><Relationship Id="rId20" Type="http://schemas.openxmlformats.org/officeDocument/2006/relationships/image" Target="../media/image95.svg"/><Relationship Id="rId29" Type="http://schemas.openxmlformats.org/officeDocument/2006/relationships/image" Target="../media/image103.svg"/><Relationship Id="rId1" Type="http://schemas.openxmlformats.org/officeDocument/2006/relationships/image" Target="../media/image79.png"/><Relationship Id="rId6" Type="http://schemas.openxmlformats.org/officeDocument/2006/relationships/image" Target="../media/image81.png"/><Relationship Id="rId11" Type="http://schemas.openxmlformats.org/officeDocument/2006/relationships/image" Target="../media/image86.svg"/><Relationship Id="rId24" Type="http://schemas.openxmlformats.org/officeDocument/2006/relationships/image" Target="../media/image98.png"/><Relationship Id="rId5" Type="http://schemas.openxmlformats.org/officeDocument/2006/relationships/image" Target="../media/image80.png"/><Relationship Id="rId15" Type="http://schemas.openxmlformats.org/officeDocument/2006/relationships/image" Target="../media/image90.png"/><Relationship Id="rId23" Type="http://schemas.openxmlformats.org/officeDocument/2006/relationships/hyperlink" Target="#Investissements!A1"/><Relationship Id="rId28" Type="http://schemas.openxmlformats.org/officeDocument/2006/relationships/image" Target="../media/image102.png"/><Relationship Id="rId10" Type="http://schemas.openxmlformats.org/officeDocument/2006/relationships/image" Target="../media/image85.png"/><Relationship Id="rId19" Type="http://schemas.openxmlformats.org/officeDocument/2006/relationships/image" Target="../media/image94.png"/><Relationship Id="rId4" Type="http://schemas.openxmlformats.org/officeDocument/2006/relationships/image" Target="../media/image26.svg"/><Relationship Id="rId9" Type="http://schemas.openxmlformats.org/officeDocument/2006/relationships/image" Target="../media/image84.svg"/><Relationship Id="rId14" Type="http://schemas.openxmlformats.org/officeDocument/2006/relationships/image" Target="../media/image89.png"/><Relationship Id="rId22" Type="http://schemas.openxmlformats.org/officeDocument/2006/relationships/image" Target="../media/image97.png"/><Relationship Id="rId27" Type="http://schemas.openxmlformats.org/officeDocument/2006/relationships/image" Target="../media/image101.svg"/></Relationships>
</file>

<file path=xl/drawings/_rels/drawing8.xml.rels><?xml version="1.0" encoding="UTF-8" standalone="yes"?>
<Relationships xmlns="http://schemas.openxmlformats.org/package/2006/relationships"><Relationship Id="rId8" Type="http://schemas.openxmlformats.org/officeDocument/2006/relationships/image" Target="../media/image26.svg"/><Relationship Id="rId13" Type="http://schemas.openxmlformats.org/officeDocument/2006/relationships/image" Target="../media/image37.svg"/><Relationship Id="rId3" Type="http://schemas.openxmlformats.org/officeDocument/2006/relationships/image" Target="../media/image105.png"/><Relationship Id="rId7" Type="http://schemas.openxmlformats.org/officeDocument/2006/relationships/image" Target="../media/image89.png"/><Relationship Id="rId12" Type="http://schemas.openxmlformats.org/officeDocument/2006/relationships/image" Target="../media/image109.png"/><Relationship Id="rId17" Type="http://schemas.openxmlformats.org/officeDocument/2006/relationships/image" Target="../media/image93.svg"/><Relationship Id="rId2" Type="http://schemas.openxmlformats.org/officeDocument/2006/relationships/image" Target="../media/image84.svg"/><Relationship Id="rId16" Type="http://schemas.openxmlformats.org/officeDocument/2006/relationships/image" Target="../media/image111.png"/><Relationship Id="rId1" Type="http://schemas.openxmlformats.org/officeDocument/2006/relationships/image" Target="../media/image104.png"/><Relationship Id="rId6" Type="http://schemas.openxmlformats.org/officeDocument/2006/relationships/image" Target="../media/image88.svg"/><Relationship Id="rId11" Type="http://schemas.openxmlformats.org/officeDocument/2006/relationships/image" Target="../media/image108.png"/><Relationship Id="rId5" Type="http://schemas.openxmlformats.org/officeDocument/2006/relationships/image" Target="../media/image106.png"/><Relationship Id="rId15" Type="http://schemas.openxmlformats.org/officeDocument/2006/relationships/image" Target="../media/image91.svg"/><Relationship Id="rId10" Type="http://schemas.openxmlformats.org/officeDocument/2006/relationships/image" Target="../media/image101.svg"/><Relationship Id="rId4" Type="http://schemas.openxmlformats.org/officeDocument/2006/relationships/image" Target="../media/image86.svg"/><Relationship Id="rId9" Type="http://schemas.openxmlformats.org/officeDocument/2006/relationships/image" Target="../media/image107.png"/><Relationship Id="rId14" Type="http://schemas.openxmlformats.org/officeDocument/2006/relationships/image" Target="../media/image110.png"/></Relationships>
</file>

<file path=xl/drawings/drawing1.xml><?xml version="1.0" encoding="utf-8"?>
<xdr:wsDr xmlns:xdr="http://schemas.openxmlformats.org/drawingml/2006/spreadsheetDrawing" xmlns:a="http://schemas.openxmlformats.org/drawingml/2006/main">
  <xdr:twoCellAnchor editAs="oneCell">
    <xdr:from>
      <xdr:col>1</xdr:col>
      <xdr:colOff>93519</xdr:colOff>
      <xdr:row>3</xdr:row>
      <xdr:rowOff>3198</xdr:rowOff>
    </xdr:from>
    <xdr:to>
      <xdr:col>8</xdr:col>
      <xdr:colOff>768951</xdr:colOff>
      <xdr:row>41</xdr:row>
      <xdr:rowOff>140464</xdr:rowOff>
    </xdr:to>
    <xdr:pic>
      <xdr:nvPicPr>
        <xdr:cNvPr id="14" name="Image 13">
          <a:extLst>
            <a:ext uri="{FF2B5EF4-FFF2-40B4-BE49-F238E27FC236}">
              <a16:creationId xmlns:a16="http://schemas.microsoft.com/office/drawing/2014/main" id="{00000000-0008-0000-0000-00000E000000}"/>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val="0"/>
            </a:ext>
          </a:extLst>
        </a:blip>
        <a:stretch>
          <a:fillRect/>
        </a:stretch>
      </xdr:blipFill>
      <xdr:spPr>
        <a:xfrm>
          <a:off x="188769" y="450873"/>
          <a:ext cx="5399832" cy="7252441"/>
        </a:xfrm>
        <a:prstGeom prst="rect">
          <a:avLst/>
        </a:prstGeom>
      </xdr:spPr>
    </xdr:pic>
    <xdr:clientData fPrintsWithSheet="0"/>
  </xdr:twoCellAnchor>
  <xdr:twoCellAnchor>
    <xdr:from>
      <xdr:col>2</xdr:col>
      <xdr:colOff>312420</xdr:colOff>
      <xdr:row>14</xdr:row>
      <xdr:rowOff>0</xdr:rowOff>
    </xdr:from>
    <xdr:to>
      <xdr:col>8</xdr:col>
      <xdr:colOff>381000</xdr:colOff>
      <xdr:row>19</xdr:row>
      <xdr:rowOff>22860</xdr:rowOff>
    </xdr:to>
    <xdr:sp macro="" textlink="$N$29">
      <xdr:nvSpPr>
        <xdr:cNvPr id="3" name="ZoneTexte 2">
          <a:extLst>
            <a:ext uri="{FF2B5EF4-FFF2-40B4-BE49-F238E27FC236}">
              <a16:creationId xmlns:a16="http://schemas.microsoft.com/office/drawing/2014/main" id="{00000000-0008-0000-0000-000003000000}"/>
            </a:ext>
          </a:extLst>
        </xdr:cNvPr>
        <xdr:cNvSpPr txBox="1"/>
      </xdr:nvSpPr>
      <xdr:spPr>
        <a:xfrm>
          <a:off x="569595" y="2933700"/>
          <a:ext cx="4697730" cy="832485"/>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fld id="{ECE1B67B-BDFB-4207-AAFA-155BE427498A}" type="TxLink">
            <a:rPr lang="fr-CA" sz="2000" b="1" i="0" u="none" strike="noStrike">
              <a:solidFill>
                <a:schemeClr val="tx2">
                  <a:lumMod val="75000"/>
                </a:schemeClr>
              </a:solidFill>
              <a:latin typeface="+mj-lt"/>
              <a:cs typeface="Arial"/>
            </a:rPr>
            <a:pPr algn="ctr"/>
            <a:t>Diagnostic de transition BIO 2018</a:t>
          </a:fld>
          <a:endParaRPr lang="fr-CA" sz="2000" b="1">
            <a:solidFill>
              <a:schemeClr val="tx2">
                <a:lumMod val="75000"/>
              </a:schemeClr>
            </a:solidFill>
            <a:latin typeface="+mj-lt"/>
          </a:endParaRPr>
        </a:p>
      </xdr:txBody>
    </xdr:sp>
    <xdr:clientData/>
  </xdr:twoCellAnchor>
  <xdr:twoCellAnchor>
    <xdr:from>
      <xdr:col>2</xdr:col>
      <xdr:colOff>659130</xdr:colOff>
      <xdr:row>20</xdr:row>
      <xdr:rowOff>40005</xdr:rowOff>
    </xdr:from>
    <xdr:to>
      <xdr:col>7</xdr:col>
      <xdr:colOff>777263</xdr:colOff>
      <xdr:row>21</xdr:row>
      <xdr:rowOff>144878</xdr:rowOff>
    </xdr:to>
    <xdr:sp macro="" textlink="NomProd">
      <xdr:nvSpPr>
        <xdr:cNvPr id="5" name="ZoneTexte 4">
          <a:extLst>
            <a:ext uri="{FF2B5EF4-FFF2-40B4-BE49-F238E27FC236}">
              <a16:creationId xmlns:a16="http://schemas.microsoft.com/office/drawing/2014/main" id="{00000000-0008-0000-0000-000005000000}"/>
            </a:ext>
          </a:extLst>
        </xdr:cNvPr>
        <xdr:cNvSpPr txBox="1"/>
      </xdr:nvSpPr>
      <xdr:spPr>
        <a:xfrm>
          <a:off x="916305" y="3964305"/>
          <a:ext cx="3966233" cy="285848"/>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fld id="{4AF00284-8B94-4BE3-ACF8-DD7E922F8EDA}" type="TxLink">
            <a:rPr lang="fr-CA" sz="1600" b="1" i="0" u="none" strike="noStrike">
              <a:solidFill>
                <a:schemeClr val="bg2">
                  <a:lumMod val="25000"/>
                </a:schemeClr>
              </a:solidFill>
              <a:latin typeface="+mj-lt"/>
              <a:cs typeface="Arial"/>
            </a:rPr>
            <a:pPr algn="ctr"/>
            <a:t>Ferme Bio_Excel Enr.</a:t>
          </a:fld>
          <a:endParaRPr lang="fr-CA" sz="1600" b="1">
            <a:solidFill>
              <a:schemeClr val="bg2">
                <a:lumMod val="25000"/>
              </a:schemeClr>
            </a:solidFill>
            <a:latin typeface="+mj-lt"/>
          </a:endParaRPr>
        </a:p>
      </xdr:txBody>
    </xdr:sp>
    <xdr:clientData/>
  </xdr:twoCellAnchor>
  <xdr:twoCellAnchor>
    <xdr:from>
      <xdr:col>4</xdr:col>
      <xdr:colOff>548812</xdr:colOff>
      <xdr:row>36</xdr:row>
      <xdr:rowOff>128155</xdr:rowOff>
    </xdr:from>
    <xdr:to>
      <xdr:col>8</xdr:col>
      <xdr:colOff>508854</xdr:colOff>
      <xdr:row>38</xdr:row>
      <xdr:rowOff>99579</xdr:rowOff>
    </xdr:to>
    <xdr:sp macro="" textlink="$N$32">
      <xdr:nvSpPr>
        <xdr:cNvPr id="6" name="ZoneTexte 5">
          <a:extLst>
            <a:ext uri="{FF2B5EF4-FFF2-40B4-BE49-F238E27FC236}">
              <a16:creationId xmlns:a16="http://schemas.microsoft.com/office/drawing/2014/main" id="{00000000-0008-0000-0000-000006000000}"/>
            </a:ext>
          </a:extLst>
        </xdr:cNvPr>
        <xdr:cNvSpPr txBox="1"/>
      </xdr:nvSpPr>
      <xdr:spPr>
        <a:xfrm>
          <a:off x="2367221" y="6605155"/>
          <a:ext cx="3077315" cy="317788"/>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fld id="{966DB2BC-3AEB-42CA-A67B-6136EADEED59}" type="TxLink">
            <a:rPr lang="fr-CA" sz="1200" b="1" i="0" u="none" strike="noStrike">
              <a:solidFill>
                <a:schemeClr val="bg2">
                  <a:lumMod val="25000"/>
                </a:schemeClr>
              </a:solidFill>
              <a:latin typeface="Arial"/>
              <a:cs typeface="Arial"/>
            </a:rPr>
            <a:pPr algn="r"/>
            <a:t>Mon conseiller</a:t>
          </a:fld>
          <a:endParaRPr lang="fr-CA" sz="1200" b="1">
            <a:solidFill>
              <a:schemeClr val="bg2">
                <a:lumMod val="25000"/>
              </a:schemeClr>
            </a:solidFill>
          </a:endParaRPr>
        </a:p>
      </xdr:txBody>
    </xdr:sp>
    <xdr:clientData/>
  </xdr:twoCellAnchor>
  <xdr:twoCellAnchor>
    <xdr:from>
      <xdr:col>4</xdr:col>
      <xdr:colOff>506903</xdr:colOff>
      <xdr:row>38</xdr:row>
      <xdr:rowOff>51954</xdr:rowOff>
    </xdr:from>
    <xdr:to>
      <xdr:col>8</xdr:col>
      <xdr:colOff>508855</xdr:colOff>
      <xdr:row>40</xdr:row>
      <xdr:rowOff>12418</xdr:rowOff>
    </xdr:to>
    <xdr:sp macro="" textlink="$N$30">
      <xdr:nvSpPr>
        <xdr:cNvPr id="7" name="ZoneTexte 6">
          <a:extLst>
            <a:ext uri="{FF2B5EF4-FFF2-40B4-BE49-F238E27FC236}">
              <a16:creationId xmlns:a16="http://schemas.microsoft.com/office/drawing/2014/main" id="{00000000-0008-0000-0000-000007000000}"/>
            </a:ext>
          </a:extLst>
        </xdr:cNvPr>
        <xdr:cNvSpPr txBox="1"/>
      </xdr:nvSpPr>
      <xdr:spPr>
        <a:xfrm>
          <a:off x="2325312" y="6875318"/>
          <a:ext cx="3119225" cy="306827"/>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fld id="{4BA84BC4-042A-4A99-BA90-EF30758995E7}" type="TxLink">
            <a:rPr lang="fr-CA" sz="1100" b="1" i="0" u="none" strike="noStrike">
              <a:solidFill>
                <a:schemeClr val="tx2">
                  <a:lumMod val="75000"/>
                </a:schemeClr>
              </a:solidFill>
              <a:latin typeface="Arial"/>
              <a:cs typeface="Arial"/>
            </a:rPr>
            <a:pPr algn="r"/>
            <a:t>6 oct. 2020</a:t>
          </a:fld>
          <a:endParaRPr lang="fr-CA" sz="1100" b="1">
            <a:solidFill>
              <a:schemeClr val="tx2">
                <a:lumMod val="75000"/>
              </a:schemeClr>
            </a:solidFill>
          </a:endParaRPr>
        </a:p>
      </xdr:txBody>
    </xdr:sp>
    <xdr:clientData/>
  </xdr:twoCellAnchor>
  <xdr:twoCellAnchor>
    <xdr:from>
      <xdr:col>2</xdr:col>
      <xdr:colOff>666750</xdr:colOff>
      <xdr:row>21</xdr:row>
      <xdr:rowOff>131445</xdr:rowOff>
    </xdr:from>
    <xdr:to>
      <xdr:col>7</xdr:col>
      <xdr:colOff>746795</xdr:colOff>
      <xdr:row>23</xdr:row>
      <xdr:rowOff>60960</xdr:rowOff>
    </xdr:to>
    <xdr:sp macro="" textlink="$N$6">
      <xdr:nvSpPr>
        <xdr:cNvPr id="8" name="ZoneTexte 7">
          <a:extLst>
            <a:ext uri="{FF2B5EF4-FFF2-40B4-BE49-F238E27FC236}">
              <a16:creationId xmlns:a16="http://schemas.microsoft.com/office/drawing/2014/main" id="{00000000-0008-0000-0000-000008000000}"/>
            </a:ext>
          </a:extLst>
        </xdr:cNvPr>
        <xdr:cNvSpPr txBox="1"/>
      </xdr:nvSpPr>
      <xdr:spPr>
        <a:xfrm>
          <a:off x="923925" y="4236720"/>
          <a:ext cx="3937670" cy="291465"/>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fld id="{4560F809-2B2C-462C-B7F0-E14F63EBA02E}" type="TxLink">
            <a:rPr lang="fr-CA" sz="1100" b="0" i="0" u="none" strike="noStrike">
              <a:solidFill>
                <a:schemeClr val="bg2">
                  <a:lumMod val="25000"/>
                </a:schemeClr>
              </a:solidFill>
              <a:latin typeface="+mn-lt"/>
              <a:cs typeface="Arial"/>
            </a:rPr>
            <a:pPr algn="ctr"/>
            <a:t>321 rue de la Campagne</a:t>
          </a:fld>
          <a:endParaRPr lang="fr-CA" sz="1100" b="0">
            <a:solidFill>
              <a:schemeClr val="bg2">
                <a:lumMod val="25000"/>
              </a:schemeClr>
            </a:solidFill>
            <a:latin typeface="+mn-lt"/>
          </a:endParaRPr>
        </a:p>
      </xdr:txBody>
    </xdr:sp>
    <xdr:clientData/>
  </xdr:twoCellAnchor>
  <xdr:twoCellAnchor>
    <xdr:from>
      <xdr:col>2</xdr:col>
      <xdr:colOff>380999</xdr:colOff>
      <xdr:row>26</xdr:row>
      <xdr:rowOff>160020</xdr:rowOff>
    </xdr:from>
    <xdr:to>
      <xdr:col>8</xdr:col>
      <xdr:colOff>411480</xdr:colOff>
      <xdr:row>36</xdr:row>
      <xdr:rowOff>0</xdr:rowOff>
    </xdr:to>
    <xdr:sp macro="" textlink="$M$20">
      <xdr:nvSpPr>
        <xdr:cNvPr id="9" name="ZoneTexte 8">
          <a:extLst>
            <a:ext uri="{FF2B5EF4-FFF2-40B4-BE49-F238E27FC236}">
              <a16:creationId xmlns:a16="http://schemas.microsoft.com/office/drawing/2014/main" id="{00000000-0008-0000-0000-000009000000}"/>
            </a:ext>
          </a:extLst>
        </xdr:cNvPr>
        <xdr:cNvSpPr txBox="1"/>
      </xdr:nvSpPr>
      <xdr:spPr>
        <a:xfrm>
          <a:off x="638174" y="5170170"/>
          <a:ext cx="4659631" cy="1600200"/>
        </a:xfrm>
        <a:prstGeom prst="rect">
          <a:avLst/>
        </a:prstGeom>
        <a:solidFill>
          <a:sysClr val="window" lastClr="FFFFFF">
            <a:alpha val="0"/>
          </a:sys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fld id="{3C250BDC-E91A-4337-8170-7DE355B3BCF8}" type="TxLink">
            <a:rPr lang="en-US" sz="1000" b="1" i="0" u="none" strike="noStrike">
              <a:solidFill>
                <a:srgbClr val="002060"/>
              </a:solidFill>
              <a:latin typeface="Arial"/>
              <a:cs typeface="Arial"/>
            </a:rPr>
            <a:pPr algn="l"/>
            <a:t> </a:t>
          </a:fld>
          <a:endParaRPr lang="en-US" b="1">
            <a:solidFill>
              <a:srgbClr val="002060"/>
            </a:solidFill>
          </a:endParaRPr>
        </a:p>
      </xdr:txBody>
    </xdr:sp>
    <xdr:clientData/>
  </xdr:twoCellAnchor>
  <xdr:twoCellAnchor>
    <xdr:from>
      <xdr:col>2</xdr:col>
      <xdr:colOff>657225</xdr:colOff>
      <xdr:row>23</xdr:row>
      <xdr:rowOff>34290</xdr:rowOff>
    </xdr:from>
    <xdr:to>
      <xdr:col>7</xdr:col>
      <xdr:colOff>737270</xdr:colOff>
      <xdr:row>24</xdr:row>
      <xdr:rowOff>123757</xdr:rowOff>
    </xdr:to>
    <xdr:sp macro="" textlink="$N$31">
      <xdr:nvSpPr>
        <xdr:cNvPr id="10" name="ZoneTexte 9">
          <a:extLst>
            <a:ext uri="{FF2B5EF4-FFF2-40B4-BE49-F238E27FC236}">
              <a16:creationId xmlns:a16="http://schemas.microsoft.com/office/drawing/2014/main" id="{00000000-0008-0000-0000-00000A000000}"/>
            </a:ext>
          </a:extLst>
        </xdr:cNvPr>
        <xdr:cNvSpPr txBox="1"/>
      </xdr:nvSpPr>
      <xdr:spPr>
        <a:xfrm>
          <a:off x="914400" y="4501515"/>
          <a:ext cx="3937670" cy="270442"/>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fld id="{034B7795-94D2-41B8-9C2F-41338B7C1F1B}" type="TxLink">
            <a:rPr lang="fr-CA" sz="1100" b="0" i="0" u="none" strike="noStrike">
              <a:solidFill>
                <a:schemeClr val="bg2">
                  <a:lumMod val="25000"/>
                </a:schemeClr>
              </a:solidFill>
              <a:latin typeface="+mn-lt"/>
              <a:cs typeface="Arial"/>
            </a:rPr>
            <a:pPr algn="ctr"/>
            <a:t>St-Foinfoin, H0H 0H0</a:t>
          </a:fld>
          <a:endParaRPr lang="fr-CA" sz="1100" b="0">
            <a:solidFill>
              <a:schemeClr val="bg2">
                <a:lumMod val="25000"/>
              </a:schemeClr>
            </a:solidFill>
            <a:latin typeface="+mn-lt"/>
          </a:endParaRPr>
        </a:p>
      </xdr:txBody>
    </xdr:sp>
    <xdr:clientData/>
  </xdr:twoCellAnchor>
  <xdr:twoCellAnchor>
    <xdr:from>
      <xdr:col>2</xdr:col>
      <xdr:colOff>674370</xdr:colOff>
      <xdr:row>24</xdr:row>
      <xdr:rowOff>87630</xdr:rowOff>
    </xdr:from>
    <xdr:to>
      <xdr:col>7</xdr:col>
      <xdr:colOff>781071</xdr:colOff>
      <xdr:row>26</xdr:row>
      <xdr:rowOff>6272</xdr:rowOff>
    </xdr:to>
    <xdr:sp macro="" textlink="$N$9">
      <xdr:nvSpPr>
        <xdr:cNvPr id="11" name="ZoneTexte 10">
          <a:extLst>
            <a:ext uri="{FF2B5EF4-FFF2-40B4-BE49-F238E27FC236}">
              <a16:creationId xmlns:a16="http://schemas.microsoft.com/office/drawing/2014/main" id="{00000000-0008-0000-0000-00000B000000}"/>
            </a:ext>
          </a:extLst>
        </xdr:cNvPr>
        <xdr:cNvSpPr txBox="1"/>
      </xdr:nvSpPr>
      <xdr:spPr>
        <a:xfrm>
          <a:off x="931545" y="4735830"/>
          <a:ext cx="3954801" cy="280592"/>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fld id="{431F56E7-3B28-4A81-80A9-6AFF3E1FC52B}" type="TxLink">
            <a:rPr lang="fr-CA" sz="1100" b="0" i="0" u="none" strike="noStrike">
              <a:solidFill>
                <a:schemeClr val="bg2">
                  <a:lumMod val="25000"/>
                </a:schemeClr>
              </a:solidFill>
              <a:latin typeface="+mn-lt"/>
              <a:cs typeface="Arial"/>
            </a:rPr>
            <a:pPr algn="ctr"/>
            <a:t>555-555-5555</a:t>
          </a:fld>
          <a:endParaRPr lang="fr-CA" sz="1100" b="0">
            <a:solidFill>
              <a:schemeClr val="bg2">
                <a:lumMod val="25000"/>
              </a:schemeClr>
            </a:solidFill>
            <a:latin typeface="+mn-lt"/>
          </a:endParaRPr>
        </a:p>
      </xdr:txBody>
    </xdr:sp>
    <xdr:clientData/>
  </xdr:twoCellAnchor>
  <xdr:twoCellAnchor>
    <xdr:from>
      <xdr:col>2</xdr:col>
      <xdr:colOff>563880</xdr:colOff>
      <xdr:row>28</xdr:row>
      <xdr:rowOff>87630</xdr:rowOff>
    </xdr:from>
    <xdr:to>
      <xdr:col>7</xdr:col>
      <xdr:colOff>672488</xdr:colOff>
      <xdr:row>30</xdr:row>
      <xdr:rowOff>49628</xdr:rowOff>
    </xdr:to>
    <xdr:sp macro="" textlink="N12">
      <xdr:nvSpPr>
        <xdr:cNvPr id="20" name="ZoneTexte 19">
          <a:extLst>
            <a:ext uri="{FF2B5EF4-FFF2-40B4-BE49-F238E27FC236}">
              <a16:creationId xmlns:a16="http://schemas.microsoft.com/office/drawing/2014/main" id="{00000000-0008-0000-0000-000014000000}"/>
            </a:ext>
          </a:extLst>
        </xdr:cNvPr>
        <xdr:cNvSpPr txBox="1"/>
      </xdr:nvSpPr>
      <xdr:spPr>
        <a:xfrm>
          <a:off x="821055" y="5440680"/>
          <a:ext cx="3966233" cy="285848"/>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fld id="{C9B5459F-75F3-4201-804D-E9CB6A46120C}" type="TxLink">
            <a:rPr lang="en-US" sz="1600" b="1" i="0" u="none" strike="noStrike">
              <a:solidFill>
                <a:srgbClr val="0E395A"/>
              </a:solidFill>
              <a:latin typeface="+mj-lt"/>
              <a:cs typeface="Arial"/>
            </a:rPr>
            <a:pPr algn="ctr"/>
            <a:t>Services Gestion CETAB+</a:t>
          </a:fld>
          <a:endParaRPr lang="fr-CA" sz="1600" b="1">
            <a:solidFill>
              <a:schemeClr val="bg2">
                <a:lumMod val="25000"/>
              </a:schemeClr>
            </a:solidFill>
            <a:latin typeface="+mj-lt"/>
          </a:endParaRPr>
        </a:p>
      </xdr:txBody>
    </xdr:sp>
    <xdr:clientData/>
  </xdr:twoCellAnchor>
  <mc:AlternateContent xmlns:mc="http://schemas.openxmlformats.org/markup-compatibility/2006">
    <mc:Choice xmlns:a14="http://schemas.microsoft.com/office/drawing/2010/main" Requires="a14">
      <xdr:twoCellAnchor editAs="oneCell">
        <xdr:from>
          <xdr:col>14</xdr:col>
          <xdr:colOff>285750</xdr:colOff>
          <xdr:row>3</xdr:row>
          <xdr:rowOff>0</xdr:rowOff>
        </xdr:from>
        <xdr:to>
          <xdr:col>16</xdr:col>
          <xdr:colOff>0</xdr:colOff>
          <xdr:row>4</xdr:row>
          <xdr:rowOff>85725</xdr:rowOff>
        </xdr:to>
        <xdr:sp macro="" textlink="">
          <xdr:nvSpPr>
            <xdr:cNvPr id="1025" name="Button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fr-CA" sz="900" b="0" i="0" u="none" strike="noStrike" baseline="0">
                  <a:solidFill>
                    <a:srgbClr val="000000"/>
                  </a:solidFill>
                  <a:latin typeface="Segoe UI"/>
                  <a:cs typeface="Segoe UI"/>
                </a:rPr>
                <a:t>Remplacer le logo</a:t>
              </a:r>
            </a:p>
          </xdr:txBody>
        </xdr:sp>
        <xdr:clientData fPrintsWithSheet="0"/>
      </xdr:twoCellAnchor>
    </mc:Choice>
    <mc:Fallback/>
  </mc:AlternateContent>
  <xdr:twoCellAnchor editAs="oneCell">
    <xdr:from>
      <xdr:col>2</xdr:col>
      <xdr:colOff>190500</xdr:colOff>
      <xdr:row>4</xdr:row>
      <xdr:rowOff>6350</xdr:rowOff>
    </xdr:from>
    <xdr:to>
      <xdr:col>4</xdr:col>
      <xdr:colOff>298450</xdr:colOff>
      <xdr:row>7</xdr:row>
      <xdr:rowOff>100711</xdr:rowOff>
    </xdr:to>
    <xdr:pic>
      <xdr:nvPicPr>
        <xdr:cNvPr id="1032" name="Logo">
          <a:extLst>
            <a:ext uri="{FF2B5EF4-FFF2-40B4-BE49-F238E27FC236}">
              <a16:creationId xmlns:a16="http://schemas.microsoft.com/office/drawing/2014/main" id="{00000000-0008-0000-0000-000008040000}"/>
            </a:ext>
          </a:extLst>
        </xdr:cNvPr>
        <xdr:cNvPicPr>
          <a:picLocks noChangeAspect="1"/>
        </xdr:cNvPicPr>
      </xdr:nvPicPr>
      <xdr:blipFill>
        <a:blip xmlns:r="http://schemas.openxmlformats.org/officeDocument/2006/relationships" r:link="rId2"/>
        <a:stretch>
          <a:fillRect/>
        </a:stretch>
      </xdr:blipFill>
      <xdr:spPr>
        <a:xfrm>
          <a:off x="381000" y="635000"/>
          <a:ext cx="1651000" cy="637286"/>
        </a:xfrm>
        <a:prstGeom prst="rect">
          <a:avLst/>
        </a:prstGeom>
      </xdr:spPr>
    </xdr:pic>
    <xdr:clientData fLocksWithSheet="0"/>
  </xdr:twoCellAnchor>
</xdr:wsDr>
</file>

<file path=xl/drawings/drawing10.xml><?xml version="1.0" encoding="utf-8"?>
<xdr:wsDr xmlns:xdr="http://schemas.openxmlformats.org/drawingml/2006/spreadsheetDrawing" xmlns:a="http://schemas.openxmlformats.org/drawingml/2006/main">
  <xdr:twoCellAnchor editAs="oneCell">
    <xdr:from>
      <xdr:col>9</xdr:col>
      <xdr:colOff>638175</xdr:colOff>
      <xdr:row>0</xdr:row>
      <xdr:rowOff>19050</xdr:rowOff>
    </xdr:from>
    <xdr:to>
      <xdr:col>12</xdr:col>
      <xdr:colOff>40350</xdr:colOff>
      <xdr:row>0</xdr:row>
      <xdr:rowOff>307050</xdr:rowOff>
    </xdr:to>
    <xdr:pic macro="[0]!aidescontext.Aide_Investissements">
      <xdr:nvPicPr>
        <xdr:cNvPr id="9" name="aide" descr="Aide">
          <a:extLst>
            <a:ext uri="{FF2B5EF4-FFF2-40B4-BE49-F238E27FC236}">
              <a16:creationId xmlns:a16="http://schemas.microsoft.com/office/drawing/2014/main" id="{00000000-0008-0000-0A00-000009000000}"/>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7943850" y="19050"/>
          <a:ext cx="288000" cy="288000"/>
        </a:xfrm>
        <a:prstGeom prst="rect">
          <a:avLst/>
        </a:prstGeom>
      </xdr:spPr>
    </xdr:pic>
    <xdr:clientData fPrintsWithSheet="0"/>
  </xdr:twoCellAnchor>
  <xdr:twoCellAnchor editAs="oneCell">
    <xdr:from>
      <xdr:col>0</xdr:col>
      <xdr:colOff>0</xdr:colOff>
      <xdr:row>0</xdr:row>
      <xdr:rowOff>0</xdr:rowOff>
    </xdr:from>
    <xdr:to>
      <xdr:col>1</xdr:col>
      <xdr:colOff>45675</xdr:colOff>
      <xdr:row>1</xdr:row>
      <xdr:rowOff>45675</xdr:rowOff>
    </xdr:to>
    <xdr:pic>
      <xdr:nvPicPr>
        <xdr:cNvPr id="11" name="tracteur" descr="Tracteur">
          <a:hlinkClick xmlns:r="http://schemas.openxmlformats.org/officeDocument/2006/relationships" r:id="rId3" tooltip="Cliquez pour retourner à la feuille Champs"/>
          <a:extLst>
            <a:ext uri="{FF2B5EF4-FFF2-40B4-BE49-F238E27FC236}">
              <a16:creationId xmlns:a16="http://schemas.microsoft.com/office/drawing/2014/main" id="{00000000-0008-0000-0A00-00000B000000}"/>
            </a:ext>
          </a:extLst>
        </xdr:cNvPr>
        <xdr:cNvPicPr>
          <a:picLocks noChangeAspect="1"/>
        </xdr:cNvPicPr>
      </xdr:nvPicPr>
      <xdr:blipFill>
        <a:blip xmlns:r="http://schemas.openxmlformats.org/officeDocument/2006/relationships" r:embed="rId4" cstate="screen">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0" y="0"/>
          <a:ext cx="360000" cy="360000"/>
        </a:xfrm>
        <a:prstGeom prst="rect">
          <a:avLst/>
        </a:prstGeom>
      </xdr:spPr>
    </xdr:pic>
    <xdr:clientData fPrintsWithSheet="0"/>
  </xdr:twoCellAnchor>
  <mc:AlternateContent xmlns:mc="http://schemas.openxmlformats.org/markup-compatibility/2006">
    <mc:Choice xmlns:a14="http://schemas.microsoft.com/office/drawing/2010/main" Requires="a14">
      <xdr:twoCellAnchor editAs="oneCell">
        <xdr:from>
          <xdr:col>3</xdr:col>
          <xdr:colOff>523875</xdr:colOff>
          <xdr:row>2</xdr:row>
          <xdr:rowOff>38100</xdr:rowOff>
        </xdr:from>
        <xdr:to>
          <xdr:col>7</xdr:col>
          <xdr:colOff>9525</xdr:colOff>
          <xdr:row>3</xdr:row>
          <xdr:rowOff>95250</xdr:rowOff>
        </xdr:to>
        <xdr:sp macro="" textlink="">
          <xdr:nvSpPr>
            <xdr:cNvPr id="26644" name="Button 20" hidden="1">
              <a:extLst>
                <a:ext uri="{63B3BB69-23CF-44E3-9099-C40C66FF867C}">
                  <a14:compatExt spid="_x0000_s26644"/>
                </a:ext>
                <a:ext uri="{FF2B5EF4-FFF2-40B4-BE49-F238E27FC236}">
                  <a16:creationId xmlns:a16="http://schemas.microsoft.com/office/drawing/2014/main" id="{00000000-0008-0000-0A00-00001468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fr-CA" sz="900" b="0" i="0" u="none" strike="noStrike" baseline="0">
                  <a:solidFill>
                    <a:srgbClr val="000000"/>
                  </a:solidFill>
                  <a:latin typeface="Segoe UI"/>
                  <a:cs typeface="Segoe UI"/>
                </a:rPr>
                <a:t>Générer la liste des investissements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4</xdr:row>
          <xdr:rowOff>123825</xdr:rowOff>
        </xdr:from>
        <xdr:to>
          <xdr:col>7</xdr:col>
          <xdr:colOff>9525</xdr:colOff>
          <xdr:row>6</xdr:row>
          <xdr:rowOff>0</xdr:rowOff>
        </xdr:to>
        <xdr:sp macro="" textlink="">
          <xdr:nvSpPr>
            <xdr:cNvPr id="26645" name="Button 21" hidden="1">
              <a:extLst>
                <a:ext uri="{63B3BB69-23CF-44E3-9099-C40C66FF867C}">
                  <a14:compatExt spid="_x0000_s26645"/>
                </a:ext>
                <a:ext uri="{FF2B5EF4-FFF2-40B4-BE49-F238E27FC236}">
                  <a16:creationId xmlns:a16="http://schemas.microsoft.com/office/drawing/2014/main" id="{00000000-0008-0000-0A00-00001568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fr-CA" sz="900" b="0" i="0" u="none" strike="noStrike" baseline="0">
                  <a:solidFill>
                    <a:srgbClr val="000000"/>
                  </a:solidFill>
                  <a:latin typeface="Segoe UI"/>
                  <a:cs typeface="Segoe UI"/>
                </a:rPr>
                <a:t>Ouvrir la liste de référence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552450</xdr:colOff>
          <xdr:row>4</xdr:row>
          <xdr:rowOff>123825</xdr:rowOff>
        </xdr:from>
        <xdr:to>
          <xdr:col>3</xdr:col>
          <xdr:colOff>714375</xdr:colOff>
          <xdr:row>6</xdr:row>
          <xdr:rowOff>0</xdr:rowOff>
        </xdr:to>
        <xdr:sp macro="" textlink="">
          <xdr:nvSpPr>
            <xdr:cNvPr id="26646" name="Button 22" hidden="1">
              <a:extLst>
                <a:ext uri="{63B3BB69-23CF-44E3-9099-C40C66FF867C}">
                  <a14:compatExt spid="_x0000_s26646"/>
                </a:ext>
                <a:ext uri="{FF2B5EF4-FFF2-40B4-BE49-F238E27FC236}">
                  <a16:creationId xmlns:a16="http://schemas.microsoft.com/office/drawing/2014/main" id="{00000000-0008-0000-0A00-00001668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fr-CA" sz="900" b="0" i="0" u="none" strike="noStrike" baseline="0">
                  <a:solidFill>
                    <a:srgbClr val="000000"/>
                  </a:solidFill>
                  <a:latin typeface="Segoe UI"/>
                  <a:cs typeface="Segoe UI"/>
                </a:rPr>
                <a:t>Vider les listes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1495425</xdr:colOff>
          <xdr:row>4</xdr:row>
          <xdr:rowOff>123825</xdr:rowOff>
        </xdr:from>
        <xdr:to>
          <xdr:col>2</xdr:col>
          <xdr:colOff>266700</xdr:colOff>
          <xdr:row>6</xdr:row>
          <xdr:rowOff>0</xdr:rowOff>
        </xdr:to>
        <xdr:sp macro="" textlink="">
          <xdr:nvSpPr>
            <xdr:cNvPr id="26647" name="Button 23" hidden="1">
              <a:extLst>
                <a:ext uri="{63B3BB69-23CF-44E3-9099-C40C66FF867C}">
                  <a14:compatExt spid="_x0000_s26647"/>
                </a:ext>
                <a:ext uri="{FF2B5EF4-FFF2-40B4-BE49-F238E27FC236}">
                  <a16:creationId xmlns:a16="http://schemas.microsoft.com/office/drawing/2014/main" id="{00000000-0008-0000-0A00-00001768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fr-CA" sz="900" b="0" i="0" u="none" strike="noStrike" baseline="0">
                  <a:solidFill>
                    <a:srgbClr val="000000"/>
                  </a:solidFill>
                  <a:latin typeface="Segoe UI"/>
                  <a:cs typeface="Segoe UI"/>
                </a:rPr>
                <a:t>Supprimer une ligne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4</xdr:row>
          <xdr:rowOff>123825</xdr:rowOff>
        </xdr:from>
        <xdr:to>
          <xdr:col>1</xdr:col>
          <xdr:colOff>1209675</xdr:colOff>
          <xdr:row>5</xdr:row>
          <xdr:rowOff>161925</xdr:rowOff>
        </xdr:to>
        <xdr:sp macro="" textlink="">
          <xdr:nvSpPr>
            <xdr:cNvPr id="26648" name="AjouterLigne" hidden="1">
              <a:extLst>
                <a:ext uri="{63B3BB69-23CF-44E3-9099-C40C66FF867C}">
                  <a14:compatExt spid="_x0000_s26648"/>
                </a:ext>
                <a:ext uri="{FF2B5EF4-FFF2-40B4-BE49-F238E27FC236}">
                  <a16:creationId xmlns:a16="http://schemas.microsoft.com/office/drawing/2014/main" id="{00000000-0008-0000-0A00-0000186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66675</xdr:colOff>
      <xdr:row>1</xdr:row>
      <xdr:rowOff>0</xdr:rowOff>
    </xdr:to>
    <xdr:pic>
      <xdr:nvPicPr>
        <xdr:cNvPr id="7" name="Graphique 6" descr="Marteau">
          <a:extLst>
            <a:ext uri="{FF2B5EF4-FFF2-40B4-BE49-F238E27FC236}">
              <a16:creationId xmlns:a16="http://schemas.microsoft.com/office/drawing/2014/main" id="{00000000-0008-0000-0B00-000007000000}"/>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0" y="0"/>
          <a:ext cx="361950" cy="361950"/>
        </a:xfrm>
        <a:prstGeom prst="rect">
          <a:avLst/>
        </a:prstGeom>
      </xdr:spPr>
    </xdr:pic>
    <xdr:clientData/>
  </xdr:twoCellAnchor>
  <xdr:twoCellAnchor editAs="oneCell">
    <xdr:from>
      <xdr:col>2</xdr:col>
      <xdr:colOff>200025</xdr:colOff>
      <xdr:row>2</xdr:row>
      <xdr:rowOff>0</xdr:rowOff>
    </xdr:from>
    <xdr:to>
      <xdr:col>2</xdr:col>
      <xdr:colOff>416025</xdr:colOff>
      <xdr:row>12</xdr:row>
      <xdr:rowOff>35025</xdr:rowOff>
    </xdr:to>
    <xdr:pic macro="[0]!aidescontext.Aide_Normes">
      <xdr:nvPicPr>
        <xdr:cNvPr id="3" name="Graphique 2" descr="Aide">
          <a:extLst>
            <a:ext uri="{FF2B5EF4-FFF2-40B4-BE49-F238E27FC236}">
              <a16:creationId xmlns:a16="http://schemas.microsoft.com/office/drawing/2014/main" id="{00000000-0008-0000-0B00-000003000000}"/>
            </a:ext>
          </a:extLst>
        </xdr:cNvPr>
        <xdr:cNvPicPr>
          <a:picLocks noChangeAspect="1"/>
        </xdr:cNvPicPr>
      </xdr:nvPicPr>
      <xdr:blipFill>
        <a:blip xmlns:r="http://schemas.openxmlformats.org/officeDocument/2006/relationships" r:embed="rId3" cstate="screen">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5534025" y="542925"/>
          <a:ext cx="216000" cy="216000"/>
        </a:xfrm>
        <a:prstGeom prst="rect">
          <a:avLst/>
        </a:prstGeom>
      </xdr:spPr>
    </xdr:pic>
    <xdr:clientData/>
  </xdr:twoCellAnchor>
  <xdr:twoCellAnchor editAs="oneCell">
    <xdr:from>
      <xdr:col>4</xdr:col>
      <xdr:colOff>190500</xdr:colOff>
      <xdr:row>210</xdr:row>
      <xdr:rowOff>0</xdr:rowOff>
    </xdr:from>
    <xdr:to>
      <xdr:col>5</xdr:col>
      <xdr:colOff>885825</xdr:colOff>
      <xdr:row>222</xdr:row>
      <xdr:rowOff>171450</xdr:rowOff>
    </xdr:to>
    <mc:AlternateContent xmlns:mc="http://schemas.openxmlformats.org/markup-compatibility/2006" xmlns:a14="http://schemas.microsoft.com/office/drawing/2010/main">
      <mc:Choice Requires="a14">
        <xdr:graphicFrame macro="">
          <xdr:nvGraphicFramePr>
            <xdr:cNvPr id="2" name="Conformité">
              <a:extLst>
                <a:ext uri="{FF2B5EF4-FFF2-40B4-BE49-F238E27FC236}">
                  <a16:creationId xmlns:a16="http://schemas.microsoft.com/office/drawing/2014/main" id="{00000000-0008-0000-0B00-000002000000}"/>
                </a:ext>
              </a:extLst>
            </xdr:cNvPr>
            <xdr:cNvGraphicFramePr/>
          </xdr:nvGraphicFramePr>
          <xdr:xfrm>
            <a:off x="0" y="0"/>
            <a:ext cx="0" cy="0"/>
          </xdr:xfrm>
          <a:graphic>
            <a:graphicData uri="http://schemas.microsoft.com/office/drawing/2010/slicer">
              <sle:slicer xmlns:sle="http://schemas.microsoft.com/office/drawing/2010/slicer" name="Conformité"/>
            </a:graphicData>
          </a:graphic>
        </xdr:graphicFrame>
      </mc:Choice>
      <mc:Fallback xmlns="">
        <xdr:sp macro="" textlink="">
          <xdr:nvSpPr>
            <xdr:cNvPr id="0" name=""/>
            <xdr:cNvSpPr>
              <a:spLocks noTextEdit="1"/>
            </xdr:cNvSpPr>
          </xdr:nvSpPr>
          <xdr:spPr>
            <a:xfrm>
              <a:off x="6362700" y="38261925"/>
              <a:ext cx="1828800" cy="2524125"/>
            </a:xfrm>
            <a:prstGeom prst="rect">
              <a:avLst/>
            </a:prstGeom>
            <a:solidFill>
              <a:prstClr val="white"/>
            </a:solidFill>
            <a:ln w="1">
              <a:solidFill>
                <a:prstClr val="green"/>
              </a:solidFill>
            </a:ln>
          </xdr:spPr>
          <xdr:txBody>
            <a:bodyPr vertOverflow="clip" horzOverflow="clip"/>
            <a:lstStyle/>
            <a:p>
              <a:r>
                <a:rPr lang="fr-CA" sz="1100"/>
                <a:t>Cette forme représente un segment. Les segments sont pris en charge dans Excel 2010 ou version ultérieure.
En revanche, si la forme a été modifiée dans une version précédente d’Excel, ou si le classeur a été enregistré dans Excel 2003 ou une version précédente, vous ne pouvez pas utiliser le segment.</a:t>
              </a:r>
            </a:p>
          </xdr:txBody>
        </xdr:sp>
      </mc:Fallback>
    </mc:AlternateContent>
    <xdr:clientData fLocksWithSheet="0" fPrintsWithSheet="0"/>
  </xdr:twoCellAnchor>
  <mc:AlternateContent xmlns:mc="http://schemas.openxmlformats.org/markup-compatibility/2006">
    <mc:Choice xmlns:a14="http://schemas.microsoft.com/office/drawing/2010/main" Requires="a14">
      <xdr:twoCellAnchor editAs="oneCell">
        <xdr:from>
          <xdr:col>5</xdr:col>
          <xdr:colOff>571500</xdr:colOff>
          <xdr:row>2</xdr:row>
          <xdr:rowOff>0</xdr:rowOff>
        </xdr:from>
        <xdr:to>
          <xdr:col>6</xdr:col>
          <xdr:colOff>1057275</xdr:colOff>
          <xdr:row>12</xdr:row>
          <xdr:rowOff>104775</xdr:rowOff>
        </xdr:to>
        <xdr:sp macro="" textlink="">
          <xdr:nvSpPr>
            <xdr:cNvPr id="69634" name="Button 2" hidden="1">
              <a:extLst>
                <a:ext uri="{63B3BB69-23CF-44E3-9099-C40C66FF867C}">
                  <a14:compatExt spid="_x0000_s69634"/>
                </a:ext>
                <a:ext uri="{FF2B5EF4-FFF2-40B4-BE49-F238E27FC236}">
                  <a16:creationId xmlns:a16="http://schemas.microsoft.com/office/drawing/2014/main" id="{00000000-0008-0000-0B00-0000021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fr-CA" sz="900" b="0" i="0" u="none" strike="noStrike" baseline="0">
                  <a:solidFill>
                    <a:srgbClr val="000000"/>
                  </a:solidFill>
                  <a:latin typeface="Segoe UI"/>
                  <a:cs typeface="Segoe UI"/>
                </a:rPr>
                <a:t>Réinitialiser les sélections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3667125</xdr:colOff>
          <xdr:row>0</xdr:row>
          <xdr:rowOff>104775</xdr:rowOff>
        </xdr:from>
        <xdr:to>
          <xdr:col>1</xdr:col>
          <xdr:colOff>5000625</xdr:colOff>
          <xdr:row>0</xdr:row>
          <xdr:rowOff>295275</xdr:rowOff>
        </xdr:to>
        <xdr:sp macro="" textlink="">
          <xdr:nvSpPr>
            <xdr:cNvPr id="69635" name="Drop Down 3" hidden="1">
              <a:extLst>
                <a:ext uri="{63B3BB69-23CF-44E3-9099-C40C66FF867C}">
                  <a14:compatExt spid="_x0000_s69635"/>
                </a:ext>
                <a:ext uri="{FF2B5EF4-FFF2-40B4-BE49-F238E27FC236}">
                  <a16:creationId xmlns:a16="http://schemas.microsoft.com/office/drawing/2014/main" id="{00000000-0008-0000-0B00-0000031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190500</xdr:colOff>
          <xdr:row>206</xdr:row>
          <xdr:rowOff>104775</xdr:rowOff>
        </xdr:from>
        <xdr:to>
          <xdr:col>5</xdr:col>
          <xdr:colOff>790575</xdr:colOff>
          <xdr:row>207</xdr:row>
          <xdr:rowOff>180975</xdr:rowOff>
        </xdr:to>
        <xdr:sp macro="" textlink="">
          <xdr:nvSpPr>
            <xdr:cNvPr id="69636" name="Button 4" hidden="1">
              <a:extLst>
                <a:ext uri="{63B3BB69-23CF-44E3-9099-C40C66FF867C}">
                  <a14:compatExt spid="_x0000_s69636"/>
                </a:ext>
                <a:ext uri="{FF2B5EF4-FFF2-40B4-BE49-F238E27FC236}">
                  <a16:creationId xmlns:a16="http://schemas.microsoft.com/office/drawing/2014/main" id="{00000000-0008-0000-0B00-0000041001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fr-CA" sz="1000" b="0" i="0" u="none" strike="noStrike" baseline="0">
                  <a:solidFill>
                    <a:srgbClr val="000000"/>
                  </a:solidFill>
                  <a:latin typeface="Segoe UI"/>
                  <a:cs typeface="Segoe UI"/>
                </a:rPr>
                <a:t>Mettre à jour le tableau</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666750</xdr:colOff>
          <xdr:row>2</xdr:row>
          <xdr:rowOff>0</xdr:rowOff>
        </xdr:from>
        <xdr:to>
          <xdr:col>5</xdr:col>
          <xdr:colOff>314325</xdr:colOff>
          <xdr:row>12</xdr:row>
          <xdr:rowOff>38100</xdr:rowOff>
        </xdr:to>
        <xdr:sp macro="" textlink="">
          <xdr:nvSpPr>
            <xdr:cNvPr id="69638" name="AfficherToutesExplications" hidden="1">
              <a:extLst>
                <a:ext uri="{63B3BB69-23CF-44E3-9099-C40C66FF867C}">
                  <a14:compatExt spid="_x0000_s69638"/>
                </a:ext>
                <a:ext uri="{FF2B5EF4-FFF2-40B4-BE49-F238E27FC236}">
                  <a16:creationId xmlns:a16="http://schemas.microsoft.com/office/drawing/2014/main" id="{00000000-0008-0000-0B00-000006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Afficher toutes les explications</a:t>
              </a:r>
            </a:p>
          </xdr:txBody>
        </xdr:sp>
        <xdr:clientData/>
      </xdr:twoCellAnchor>
    </mc:Choice>
    <mc:Fallback/>
  </mc:AlternateContent>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28575</xdr:colOff>
      <xdr:row>1</xdr:row>
      <xdr:rowOff>9525</xdr:rowOff>
    </xdr:to>
    <xdr:pic>
      <xdr:nvPicPr>
        <xdr:cNvPr id="18" name="checklist" descr="Liste de vérification">
          <a:extLst>
            <a:ext uri="{FF2B5EF4-FFF2-40B4-BE49-F238E27FC236}">
              <a16:creationId xmlns:a16="http://schemas.microsoft.com/office/drawing/2014/main" id="{00000000-0008-0000-0D00-000012000000}"/>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0" y="0"/>
          <a:ext cx="323850" cy="323850"/>
        </a:xfrm>
        <a:prstGeom prst="rect">
          <a:avLst/>
        </a:prstGeom>
      </xdr:spPr>
    </xdr:pic>
    <xdr:clientData/>
  </xdr:twoCellAnchor>
  <xdr:twoCellAnchor editAs="oneCell">
    <xdr:from>
      <xdr:col>0</xdr:col>
      <xdr:colOff>19050</xdr:colOff>
      <xdr:row>2</xdr:row>
      <xdr:rowOff>0</xdr:rowOff>
    </xdr:from>
    <xdr:to>
      <xdr:col>0</xdr:col>
      <xdr:colOff>266700</xdr:colOff>
      <xdr:row>3</xdr:row>
      <xdr:rowOff>0</xdr:rowOff>
    </xdr:to>
    <xdr:pic>
      <xdr:nvPicPr>
        <xdr:cNvPr id="3" name="Graphique 2" descr="Visage souriant blanc">
          <a:extLst>
            <a:ext uri="{FF2B5EF4-FFF2-40B4-BE49-F238E27FC236}">
              <a16:creationId xmlns:a16="http://schemas.microsoft.com/office/drawing/2014/main" id="{00000000-0008-0000-0D00-000003000000}"/>
            </a:ext>
          </a:extLst>
        </xdr:cNvPr>
        <xdr:cNvPicPr>
          <a:picLocks noChangeAspect="1"/>
        </xdr:cNvPicPr>
      </xdr:nvPicPr>
      <xdr:blipFill>
        <a:blip xmlns:r="http://schemas.openxmlformats.org/officeDocument/2006/relationships" r:embed="rId3" cstate="screen">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9050" y="742950"/>
          <a:ext cx="247650" cy="247650"/>
        </a:xfrm>
        <a:prstGeom prst="rect">
          <a:avLst/>
        </a:prstGeom>
      </xdr:spPr>
    </xdr:pic>
    <xdr:clientData/>
  </xdr:twoCellAnchor>
  <xdr:twoCellAnchor editAs="oneCell">
    <xdr:from>
      <xdr:col>0</xdr:col>
      <xdr:colOff>28575</xdr:colOff>
      <xdr:row>47</xdr:row>
      <xdr:rowOff>9525</xdr:rowOff>
    </xdr:from>
    <xdr:to>
      <xdr:col>0</xdr:col>
      <xdr:colOff>276225</xdr:colOff>
      <xdr:row>48</xdr:row>
      <xdr:rowOff>9525</xdr:rowOff>
    </xdr:to>
    <xdr:pic>
      <xdr:nvPicPr>
        <xdr:cNvPr id="8" name="Graphique 7" descr="Visage confus blanc">
          <a:extLst>
            <a:ext uri="{FF2B5EF4-FFF2-40B4-BE49-F238E27FC236}">
              <a16:creationId xmlns:a16="http://schemas.microsoft.com/office/drawing/2014/main" id="{00000000-0008-0000-0D00-000008000000}"/>
            </a:ext>
          </a:extLst>
        </xdr:cNvPr>
        <xdr:cNvPicPr>
          <a:picLocks noChangeAspect="1"/>
        </xdr:cNvPicPr>
      </xdr:nvPicPr>
      <xdr:blipFill>
        <a:blip xmlns:r="http://schemas.openxmlformats.org/officeDocument/2006/relationships" r:embed="rId5" cstate="screen">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28575" y="8362950"/>
          <a:ext cx="247650" cy="24765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3</xdr:col>
          <xdr:colOff>28575</xdr:colOff>
          <xdr:row>94</xdr:row>
          <xdr:rowOff>28575</xdr:rowOff>
        </xdr:from>
        <xdr:to>
          <xdr:col>3</xdr:col>
          <xdr:colOff>161925</xdr:colOff>
          <xdr:row>94</xdr:row>
          <xdr:rowOff>219075</xdr:rowOff>
        </xdr:to>
        <xdr:sp macro="" textlink="">
          <xdr:nvSpPr>
            <xdr:cNvPr id="49156" name="Compteur 4" hidden="1">
              <a:extLst>
                <a:ext uri="{63B3BB69-23CF-44E3-9099-C40C66FF867C}">
                  <a14:compatExt spid="_x0000_s49156"/>
                </a:ext>
                <a:ext uri="{FF2B5EF4-FFF2-40B4-BE49-F238E27FC236}">
                  <a16:creationId xmlns:a16="http://schemas.microsoft.com/office/drawing/2014/main" id="{00000000-0008-0000-0D00-000004C0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93</xdr:row>
          <xdr:rowOff>28575</xdr:rowOff>
        </xdr:from>
        <xdr:to>
          <xdr:col>3</xdr:col>
          <xdr:colOff>161925</xdr:colOff>
          <xdr:row>93</xdr:row>
          <xdr:rowOff>200025</xdr:rowOff>
        </xdr:to>
        <xdr:sp macro="" textlink="">
          <xdr:nvSpPr>
            <xdr:cNvPr id="49157" name="Spinner 5" hidden="1">
              <a:extLst>
                <a:ext uri="{63B3BB69-23CF-44E3-9099-C40C66FF867C}">
                  <a14:compatExt spid="_x0000_s49157"/>
                </a:ext>
                <a:ext uri="{FF2B5EF4-FFF2-40B4-BE49-F238E27FC236}">
                  <a16:creationId xmlns:a16="http://schemas.microsoft.com/office/drawing/2014/main" id="{00000000-0008-0000-0D00-000005C0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twoCellAnchor editAs="oneCell">
    <xdr:from>
      <xdr:col>14</xdr:col>
      <xdr:colOff>9525</xdr:colOff>
      <xdr:row>0</xdr:row>
      <xdr:rowOff>9525</xdr:rowOff>
    </xdr:from>
    <xdr:to>
      <xdr:col>15</xdr:col>
      <xdr:colOff>288000</xdr:colOff>
      <xdr:row>0</xdr:row>
      <xdr:rowOff>297525</xdr:rowOff>
    </xdr:to>
    <xdr:pic macro="[0]!aidescontext.Aide_Freinsetmotivations">
      <xdr:nvPicPr>
        <xdr:cNvPr id="9" name="aide" descr="Aide">
          <a:extLst>
            <a:ext uri="{FF2B5EF4-FFF2-40B4-BE49-F238E27FC236}">
              <a16:creationId xmlns:a16="http://schemas.microsoft.com/office/drawing/2014/main" id="{00000000-0008-0000-0D00-000009000000}"/>
            </a:ext>
          </a:extLst>
        </xdr:cNvPr>
        <xdr:cNvPicPr>
          <a:picLocks noChangeAspect="1"/>
        </xdr:cNvPicPr>
      </xdr:nvPicPr>
      <xdr:blipFill>
        <a:blip xmlns:r="http://schemas.openxmlformats.org/officeDocument/2006/relationships" r:embed="rId7" cstate="screen">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7077075" y="9525"/>
          <a:ext cx="288000" cy="288000"/>
        </a:xfrm>
        <a:prstGeom prst="rect">
          <a:avLst/>
        </a:prstGeom>
      </xdr:spPr>
    </xdr:pic>
    <xdr:clientData fPrintsWithSheet="0"/>
  </xdr:twoCellAnchor>
  <xdr:twoCellAnchor editAs="oneCell">
    <xdr:from>
      <xdr:col>4</xdr:col>
      <xdr:colOff>0</xdr:colOff>
      <xdr:row>93</xdr:row>
      <xdr:rowOff>0</xdr:rowOff>
    </xdr:from>
    <xdr:to>
      <xdr:col>4</xdr:col>
      <xdr:colOff>216000</xdr:colOff>
      <xdr:row>94</xdr:row>
      <xdr:rowOff>6450</xdr:rowOff>
    </xdr:to>
    <xdr:pic macro="[0]!aidescontext.Aide_FreinsMotivSynth">
      <xdr:nvPicPr>
        <xdr:cNvPr id="10" name="aide" descr="Aide">
          <a:extLst>
            <a:ext uri="{FF2B5EF4-FFF2-40B4-BE49-F238E27FC236}">
              <a16:creationId xmlns:a16="http://schemas.microsoft.com/office/drawing/2014/main" id="{00000000-0008-0000-0D00-00000A000000}"/>
            </a:ext>
          </a:extLst>
        </xdr:cNvPr>
        <xdr:cNvPicPr>
          <a:picLocks noChangeAspect="1"/>
        </xdr:cNvPicPr>
      </xdr:nvPicPr>
      <xdr:blipFill>
        <a:blip xmlns:r="http://schemas.openxmlformats.org/officeDocument/2006/relationships" r:embed="rId9" cstate="screen">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5010150" y="21278850"/>
          <a:ext cx="216000" cy="216000"/>
        </a:xfrm>
        <a:prstGeom prst="rect">
          <a:avLst/>
        </a:prstGeom>
      </xdr:spPr>
    </xdr:pic>
    <xdr:clientData fPrintsWithSheet="0"/>
  </xdr:twoCellAnchor>
  <mc:AlternateContent xmlns:mc="http://schemas.openxmlformats.org/markup-compatibility/2006">
    <mc:Choice xmlns:a14="http://schemas.microsoft.com/office/drawing/2010/main" Requires="a14">
      <xdr:twoCellAnchor>
        <xdr:from>
          <xdr:col>1</xdr:col>
          <xdr:colOff>266700</xdr:colOff>
          <xdr:row>93</xdr:row>
          <xdr:rowOff>38100</xdr:rowOff>
        </xdr:from>
        <xdr:to>
          <xdr:col>1</xdr:col>
          <xdr:colOff>1638300</xdr:colOff>
          <xdr:row>94</xdr:row>
          <xdr:rowOff>152400</xdr:rowOff>
        </xdr:to>
        <xdr:sp macro="" textlink="">
          <xdr:nvSpPr>
            <xdr:cNvPr id="49158" name="Button 6" hidden="1">
              <a:extLst>
                <a:ext uri="{63B3BB69-23CF-44E3-9099-C40C66FF867C}">
                  <a14:compatExt spid="_x0000_s49158"/>
                </a:ext>
                <a:ext uri="{FF2B5EF4-FFF2-40B4-BE49-F238E27FC236}">
                  <a16:creationId xmlns:a16="http://schemas.microsoft.com/office/drawing/2014/main" id="{00000000-0008-0000-0D00-000006C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fr-CA" sz="1000" b="0" i="0" u="none" strike="noStrike" baseline="0">
                  <a:solidFill>
                    <a:srgbClr val="000000"/>
                  </a:solidFill>
                  <a:latin typeface="Segoe UI"/>
                  <a:cs typeface="Segoe UI"/>
                </a:rPr>
                <a:t>Générer la synthèse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xdr:col>
          <xdr:colOff>66675</xdr:colOff>
          <xdr:row>0</xdr:row>
          <xdr:rowOff>38100</xdr:rowOff>
        </xdr:from>
        <xdr:to>
          <xdr:col>12</xdr:col>
          <xdr:colOff>200025</xdr:colOff>
          <xdr:row>0</xdr:row>
          <xdr:rowOff>266700</xdr:rowOff>
        </xdr:to>
        <xdr:sp macro="" textlink="">
          <xdr:nvSpPr>
            <xdr:cNvPr id="49159" name="Button 7" hidden="1">
              <a:extLst>
                <a:ext uri="{63B3BB69-23CF-44E3-9099-C40C66FF867C}">
                  <a14:compatExt spid="_x0000_s49159"/>
                </a:ext>
                <a:ext uri="{FF2B5EF4-FFF2-40B4-BE49-F238E27FC236}">
                  <a16:creationId xmlns:a16="http://schemas.microsoft.com/office/drawing/2014/main" id="{00000000-0008-0000-0D00-000007C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fr-CA" sz="1000" b="0" i="0" u="none" strike="noStrike" baseline="0">
                  <a:solidFill>
                    <a:srgbClr val="000000"/>
                  </a:solidFill>
                  <a:latin typeface="Segoe UI"/>
                  <a:cs typeface="Segoe UI"/>
                </a:rPr>
                <a:t>Réinitialiser les scores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3619500</xdr:colOff>
          <xdr:row>0</xdr:row>
          <xdr:rowOff>38100</xdr:rowOff>
        </xdr:from>
        <xdr:to>
          <xdr:col>4</xdr:col>
          <xdr:colOff>114300</xdr:colOff>
          <xdr:row>0</xdr:row>
          <xdr:rowOff>257175</xdr:rowOff>
        </xdr:to>
        <xdr:sp macro="" textlink="">
          <xdr:nvSpPr>
            <xdr:cNvPr id="49160" name="Drop Down 8" hidden="1">
              <a:extLst>
                <a:ext uri="{63B3BB69-23CF-44E3-9099-C40C66FF867C}">
                  <a14:compatExt spid="_x0000_s49160"/>
                </a:ext>
                <a:ext uri="{FF2B5EF4-FFF2-40B4-BE49-F238E27FC236}">
                  <a16:creationId xmlns:a16="http://schemas.microsoft.com/office/drawing/2014/main" id="{00000000-0008-0000-0D00-000008C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13.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0</xdr:col>
      <xdr:colOff>352425</xdr:colOff>
      <xdr:row>1</xdr:row>
      <xdr:rowOff>9525</xdr:rowOff>
    </xdr:to>
    <xdr:pic>
      <xdr:nvPicPr>
        <xdr:cNvPr id="3" name="Graphique 2" descr="Fax">
          <a:extLst>
            <a:ext uri="{FF2B5EF4-FFF2-40B4-BE49-F238E27FC236}">
              <a16:creationId xmlns:a16="http://schemas.microsoft.com/office/drawing/2014/main" id="{00000000-0008-0000-0E00-000003000000}"/>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8575" y="0"/>
          <a:ext cx="323850" cy="32385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xdr:col>
          <xdr:colOff>9525</xdr:colOff>
          <xdr:row>13</xdr:row>
          <xdr:rowOff>47625</xdr:rowOff>
        </xdr:from>
        <xdr:to>
          <xdr:col>3</xdr:col>
          <xdr:colOff>914400</xdr:colOff>
          <xdr:row>15</xdr:row>
          <xdr:rowOff>0</xdr:rowOff>
        </xdr:to>
        <xdr:sp macro="" textlink="">
          <xdr:nvSpPr>
            <xdr:cNvPr id="62467" name="Button 3" hidden="1">
              <a:extLst>
                <a:ext uri="{63B3BB69-23CF-44E3-9099-C40C66FF867C}">
                  <a14:compatExt spid="_x0000_s62467"/>
                </a:ext>
                <a:ext uri="{FF2B5EF4-FFF2-40B4-BE49-F238E27FC236}">
                  <a16:creationId xmlns:a16="http://schemas.microsoft.com/office/drawing/2014/main" id="{00000000-0008-0000-0E00-000003F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fr-CA" sz="1000" b="0" i="0" u="none" strike="noStrike" baseline="0">
                  <a:solidFill>
                    <a:srgbClr val="000000"/>
                  </a:solidFill>
                  <a:latin typeface="Segoe UI"/>
                  <a:cs typeface="Segoe UI"/>
                </a:rPr>
                <a:t>Imprimer le rapport</a:t>
              </a:r>
            </a:p>
          </xdr:txBody>
        </xdr:sp>
        <xdr:clientData/>
      </xdr:twoCellAnchor>
    </mc:Choice>
    <mc:Fallback/>
  </mc:AlternateContent>
  <xdr:twoCellAnchor>
    <xdr:from>
      <xdr:col>2</xdr:col>
      <xdr:colOff>0</xdr:colOff>
      <xdr:row>4</xdr:row>
      <xdr:rowOff>0</xdr:rowOff>
    </xdr:from>
    <xdr:to>
      <xdr:col>3</xdr:col>
      <xdr:colOff>0</xdr:colOff>
      <xdr:row>5</xdr:row>
      <xdr:rowOff>0</xdr:rowOff>
    </xdr:to>
    <xdr:sp macro="[0]!Impression.ClickMask1" textlink="">
      <xdr:nvSpPr>
        <xdr:cNvPr id="2" name="masque1">
          <a:extLst>
            <a:ext uri="{FF2B5EF4-FFF2-40B4-BE49-F238E27FC236}">
              <a16:creationId xmlns:a16="http://schemas.microsoft.com/office/drawing/2014/main" id="{00000000-0008-0000-0E00-000002000000}"/>
            </a:ext>
          </a:extLst>
        </xdr:cNvPr>
        <xdr:cNvSpPr/>
      </xdr:nvSpPr>
      <xdr:spPr>
        <a:xfrm>
          <a:off x="523875" y="771525"/>
          <a:ext cx="276225" cy="1809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CA" sz="1100"/>
        </a:p>
      </xdr:txBody>
    </xdr:sp>
    <xdr:clientData/>
  </xdr:twoCellAnchor>
  <xdr:twoCellAnchor>
    <xdr:from>
      <xdr:col>2</xdr:col>
      <xdr:colOff>0</xdr:colOff>
      <xdr:row>6</xdr:row>
      <xdr:rowOff>0</xdr:rowOff>
    </xdr:from>
    <xdr:to>
      <xdr:col>3</xdr:col>
      <xdr:colOff>0</xdr:colOff>
      <xdr:row>7</xdr:row>
      <xdr:rowOff>0</xdr:rowOff>
    </xdr:to>
    <xdr:sp macro="[0]!Impression.ClickMask2" textlink="">
      <xdr:nvSpPr>
        <xdr:cNvPr id="4" name="masque2">
          <a:extLst>
            <a:ext uri="{FF2B5EF4-FFF2-40B4-BE49-F238E27FC236}">
              <a16:creationId xmlns:a16="http://schemas.microsoft.com/office/drawing/2014/main" id="{00000000-0008-0000-0E00-000004000000}"/>
            </a:ext>
          </a:extLst>
        </xdr:cNvPr>
        <xdr:cNvSpPr/>
      </xdr:nvSpPr>
      <xdr:spPr>
        <a:xfrm>
          <a:off x="523875" y="1133475"/>
          <a:ext cx="276225" cy="1809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CA" sz="1100"/>
        </a:p>
      </xdr:txBody>
    </xdr:sp>
    <xdr:clientData/>
  </xdr:twoCellAnchor>
  <xdr:twoCellAnchor>
    <xdr:from>
      <xdr:col>2</xdr:col>
      <xdr:colOff>0</xdr:colOff>
      <xdr:row>7</xdr:row>
      <xdr:rowOff>0</xdr:rowOff>
    </xdr:from>
    <xdr:to>
      <xdr:col>3</xdr:col>
      <xdr:colOff>0</xdr:colOff>
      <xdr:row>8</xdr:row>
      <xdr:rowOff>0</xdr:rowOff>
    </xdr:to>
    <xdr:sp macro="[0]!Impression.ClickMask3" textlink="">
      <xdr:nvSpPr>
        <xdr:cNvPr id="5" name="masque3">
          <a:extLst>
            <a:ext uri="{FF2B5EF4-FFF2-40B4-BE49-F238E27FC236}">
              <a16:creationId xmlns:a16="http://schemas.microsoft.com/office/drawing/2014/main" id="{00000000-0008-0000-0E00-000005000000}"/>
            </a:ext>
          </a:extLst>
        </xdr:cNvPr>
        <xdr:cNvSpPr/>
      </xdr:nvSpPr>
      <xdr:spPr>
        <a:xfrm>
          <a:off x="523875" y="1314450"/>
          <a:ext cx="276225" cy="1809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CA" sz="1100"/>
        </a:p>
      </xdr:txBody>
    </xdr:sp>
    <xdr:clientData/>
  </xdr:twoCellAnchor>
  <xdr:twoCellAnchor>
    <xdr:from>
      <xdr:col>2</xdr:col>
      <xdr:colOff>0</xdr:colOff>
      <xdr:row>8</xdr:row>
      <xdr:rowOff>0</xdr:rowOff>
    </xdr:from>
    <xdr:to>
      <xdr:col>3</xdr:col>
      <xdr:colOff>0</xdr:colOff>
      <xdr:row>9</xdr:row>
      <xdr:rowOff>0</xdr:rowOff>
    </xdr:to>
    <xdr:sp macro="[0]!Impression.ClickMask4" textlink="">
      <xdr:nvSpPr>
        <xdr:cNvPr id="6" name="masque4">
          <a:extLst>
            <a:ext uri="{FF2B5EF4-FFF2-40B4-BE49-F238E27FC236}">
              <a16:creationId xmlns:a16="http://schemas.microsoft.com/office/drawing/2014/main" id="{00000000-0008-0000-0E00-000006000000}"/>
            </a:ext>
          </a:extLst>
        </xdr:cNvPr>
        <xdr:cNvSpPr/>
      </xdr:nvSpPr>
      <xdr:spPr>
        <a:xfrm>
          <a:off x="523875" y="1495425"/>
          <a:ext cx="276225" cy="1809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CA" sz="1100"/>
        </a:p>
      </xdr:txBody>
    </xdr:sp>
    <xdr:clientData/>
  </xdr:twoCellAnchor>
  <xdr:twoCellAnchor>
    <xdr:from>
      <xdr:col>2</xdr:col>
      <xdr:colOff>0</xdr:colOff>
      <xdr:row>9</xdr:row>
      <xdr:rowOff>0</xdr:rowOff>
    </xdr:from>
    <xdr:to>
      <xdr:col>3</xdr:col>
      <xdr:colOff>0</xdr:colOff>
      <xdr:row>10</xdr:row>
      <xdr:rowOff>0</xdr:rowOff>
    </xdr:to>
    <xdr:sp macro="[0]!Impression.ClickMask5" textlink="">
      <xdr:nvSpPr>
        <xdr:cNvPr id="7" name="masque5">
          <a:extLst>
            <a:ext uri="{FF2B5EF4-FFF2-40B4-BE49-F238E27FC236}">
              <a16:creationId xmlns:a16="http://schemas.microsoft.com/office/drawing/2014/main" id="{00000000-0008-0000-0E00-000007000000}"/>
            </a:ext>
          </a:extLst>
        </xdr:cNvPr>
        <xdr:cNvSpPr/>
      </xdr:nvSpPr>
      <xdr:spPr>
        <a:xfrm>
          <a:off x="523875" y="1676400"/>
          <a:ext cx="276225" cy="1809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CA" sz="1100"/>
        </a:p>
      </xdr:txBody>
    </xdr:sp>
    <xdr:clientData/>
  </xdr:twoCellAnchor>
  <xdr:twoCellAnchor>
    <xdr:from>
      <xdr:col>2</xdr:col>
      <xdr:colOff>0</xdr:colOff>
      <xdr:row>10</xdr:row>
      <xdr:rowOff>0</xdr:rowOff>
    </xdr:from>
    <xdr:to>
      <xdr:col>3</xdr:col>
      <xdr:colOff>0</xdr:colOff>
      <xdr:row>11</xdr:row>
      <xdr:rowOff>0</xdr:rowOff>
    </xdr:to>
    <xdr:sp macro="[0]!Impression.ClickMask6" textlink="">
      <xdr:nvSpPr>
        <xdr:cNvPr id="8" name="masque6">
          <a:extLst>
            <a:ext uri="{FF2B5EF4-FFF2-40B4-BE49-F238E27FC236}">
              <a16:creationId xmlns:a16="http://schemas.microsoft.com/office/drawing/2014/main" id="{00000000-0008-0000-0E00-000008000000}"/>
            </a:ext>
          </a:extLst>
        </xdr:cNvPr>
        <xdr:cNvSpPr/>
      </xdr:nvSpPr>
      <xdr:spPr>
        <a:xfrm>
          <a:off x="523875" y="1857375"/>
          <a:ext cx="276225" cy="1809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CA"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8505</xdr:colOff>
      <xdr:row>0</xdr:row>
      <xdr:rowOff>66675</xdr:rowOff>
    </xdr:from>
    <xdr:to>
      <xdr:col>4</xdr:col>
      <xdr:colOff>97693</xdr:colOff>
      <xdr:row>5</xdr:row>
      <xdr:rowOff>104775</xdr:rowOff>
    </xdr:to>
    <xdr:pic>
      <xdr:nvPicPr>
        <xdr:cNvPr id="3" name="Tran$itionBioExpress">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94255" y="66675"/>
          <a:ext cx="2984788" cy="942975"/>
        </a:xfrm>
        <a:prstGeom prst="rect">
          <a:avLst/>
        </a:prstGeom>
      </xdr:spPr>
    </xdr:pic>
    <xdr:clientData/>
  </xdr:twoCellAnchor>
  <xdr:twoCellAnchor editAs="oneCell">
    <xdr:from>
      <xdr:col>1</xdr:col>
      <xdr:colOff>47625</xdr:colOff>
      <xdr:row>18</xdr:row>
      <xdr:rowOff>74421</xdr:rowOff>
    </xdr:from>
    <xdr:to>
      <xdr:col>2</xdr:col>
      <xdr:colOff>724339</xdr:colOff>
      <xdr:row>22</xdr:row>
      <xdr:rowOff>102859</xdr:rowOff>
    </xdr:to>
    <xdr:pic>
      <xdr:nvPicPr>
        <xdr:cNvPr id="4" name="Logo CETAB+">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2" cstate="screen">
          <a:extLst>
            <a:ext uri="{28A0092B-C50C-407E-A947-70E740481C1C}">
              <a14:useLocalDpi xmlns:a14="http://schemas.microsoft.com/office/drawing/2010/main" val="0"/>
            </a:ext>
          </a:extLst>
        </a:blip>
        <a:stretch>
          <a:fillRect/>
        </a:stretch>
      </xdr:blipFill>
      <xdr:spPr>
        <a:xfrm>
          <a:off x="381000" y="3874896"/>
          <a:ext cx="1924489" cy="752338"/>
        </a:xfrm>
        <a:prstGeom prst="rect">
          <a:avLst/>
        </a:prstGeom>
      </xdr:spPr>
    </xdr:pic>
    <xdr:clientData/>
  </xdr:twoCellAnchor>
  <xdr:twoCellAnchor editAs="oneCell">
    <xdr:from>
      <xdr:col>1</xdr:col>
      <xdr:colOff>28575</xdr:colOff>
      <xdr:row>27</xdr:row>
      <xdr:rowOff>123825</xdr:rowOff>
    </xdr:from>
    <xdr:to>
      <xdr:col>5</xdr:col>
      <xdr:colOff>201971</xdr:colOff>
      <xdr:row>34</xdr:row>
      <xdr:rowOff>76200</xdr:rowOff>
    </xdr:to>
    <xdr:pic>
      <xdr:nvPicPr>
        <xdr:cNvPr id="6" name="Cultivons l'avenir">
          <a:extLst>
            <a:ext uri="{FF2B5EF4-FFF2-40B4-BE49-F238E27FC236}">
              <a16:creationId xmlns:a16="http://schemas.microsoft.com/office/drawing/2014/main" id="{00000000-0008-0000-0100-000006000000}"/>
            </a:ext>
          </a:extLst>
        </xdr:cNvPr>
        <xdr:cNvPicPr>
          <a:picLocks noChangeAspect="1"/>
        </xdr:cNvPicPr>
      </xdr:nvPicPr>
      <xdr:blipFill rotWithShape="1">
        <a:blip xmlns:r="http://schemas.openxmlformats.org/officeDocument/2006/relationships" r:embed="rId3" cstate="screen">
          <a:extLst>
            <a:ext uri="{28A0092B-C50C-407E-A947-70E740481C1C}">
              <a14:useLocalDpi xmlns:a14="http://schemas.microsoft.com/office/drawing/2010/main" val="0"/>
            </a:ext>
          </a:extLst>
        </a:blip>
        <a:srcRect l="2694" t="15515" r="4040" b="10361"/>
        <a:stretch/>
      </xdr:blipFill>
      <xdr:spPr>
        <a:xfrm>
          <a:off x="361950" y="5505450"/>
          <a:ext cx="3688121" cy="1238250"/>
        </a:xfrm>
        <a:prstGeom prst="rect">
          <a:avLst/>
        </a:prstGeom>
      </xdr:spPr>
    </xdr:pic>
    <xdr:clientData/>
  </xdr:twoCellAnchor>
  <xdr:twoCellAnchor editAs="oneCell">
    <xdr:from>
      <xdr:col>3</xdr:col>
      <xdr:colOff>390526</xdr:colOff>
      <xdr:row>18</xdr:row>
      <xdr:rowOff>60198</xdr:rowOff>
    </xdr:from>
    <xdr:to>
      <xdr:col>5</xdr:col>
      <xdr:colOff>291006</xdr:colOff>
      <xdr:row>25</xdr:row>
      <xdr:rowOff>76200</xdr:rowOff>
    </xdr:to>
    <xdr:pic>
      <xdr:nvPicPr>
        <xdr:cNvPr id="2" name="Graphiqu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2933701" y="3860673"/>
          <a:ext cx="1138730" cy="1320927"/>
        </a:xfrm>
        <a:prstGeom prst="rect">
          <a:avLst/>
        </a:prstGeom>
      </xdr:spPr>
    </xdr:pic>
    <xdr:clientData/>
  </xdr:twoCellAnchor>
  <xdr:twoCellAnchor editAs="oneCell">
    <xdr:from>
      <xdr:col>0</xdr:col>
      <xdr:colOff>28575</xdr:colOff>
      <xdr:row>10</xdr:row>
      <xdr:rowOff>0</xdr:rowOff>
    </xdr:from>
    <xdr:to>
      <xdr:col>0</xdr:col>
      <xdr:colOff>280575</xdr:colOff>
      <xdr:row>11</xdr:row>
      <xdr:rowOff>32925</xdr:rowOff>
    </xdr:to>
    <xdr:pic>
      <xdr:nvPicPr>
        <xdr:cNvPr id="20" name="Graphique 19" descr="Index pointant vers la droite">
          <a:extLst>
            <a:ext uri="{FF2B5EF4-FFF2-40B4-BE49-F238E27FC236}">
              <a16:creationId xmlns:a16="http://schemas.microsoft.com/office/drawing/2014/main" id="{00000000-0008-0000-0100-000014000000}"/>
            </a:ext>
          </a:extLst>
        </xdr:cNvPr>
        <xdr:cNvPicPr>
          <a:picLocks noChangeAspect="1"/>
        </xdr:cNvPicPr>
      </xdr:nvPicPr>
      <xdr:blipFill>
        <a:blip xmlns:r="http://schemas.openxmlformats.org/officeDocument/2006/relationships" r:embed="rId6" cstate="screen">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28575" y="1885950"/>
          <a:ext cx="252000" cy="252000"/>
        </a:xfrm>
        <a:prstGeom prst="rect">
          <a:avLst/>
        </a:prstGeom>
      </xdr:spPr>
    </xdr:pic>
    <xdr:clientData/>
  </xdr:twoCellAnchor>
  <xdr:twoCellAnchor editAs="oneCell">
    <xdr:from>
      <xdr:col>0</xdr:col>
      <xdr:colOff>9525</xdr:colOff>
      <xdr:row>15</xdr:row>
      <xdr:rowOff>0</xdr:rowOff>
    </xdr:from>
    <xdr:to>
      <xdr:col>0</xdr:col>
      <xdr:colOff>265043</xdr:colOff>
      <xdr:row>16</xdr:row>
      <xdr:rowOff>38100</xdr:rowOff>
    </xdr:to>
    <xdr:pic>
      <xdr:nvPicPr>
        <xdr:cNvPr id="21" name="Graphique 20" descr="Informations">
          <a:extLst>
            <a:ext uri="{FF2B5EF4-FFF2-40B4-BE49-F238E27FC236}">
              <a16:creationId xmlns:a16="http://schemas.microsoft.com/office/drawing/2014/main" id="{00000000-0008-0000-0100-000015000000}"/>
            </a:ext>
          </a:extLst>
        </xdr:cNvPr>
        <xdr:cNvPicPr>
          <a:picLocks noChangeAspect="1"/>
        </xdr:cNvPicPr>
      </xdr:nvPicPr>
      <xdr:blipFill>
        <a:blip xmlns:r="http://schemas.openxmlformats.org/officeDocument/2006/relationships" r:embed="rId8" cstate="screen">
          <a:extLst>
            <a:ext uri="{28A0092B-C50C-407E-A947-70E740481C1C}">
              <a14:useLocalDpi xmlns:a14="http://schemas.microsoft.com/office/drawing/2010/main" val="0"/>
            </a:ext>
            <a:ext uri="{96DAC541-7B7A-43D3-8B79-37D633B846F1}">
              <asvg:svgBlip xmlns:asvg="http://schemas.microsoft.com/office/drawing/2016/SVG/main" r:embed="rId9"/>
            </a:ext>
          </a:extLst>
        </a:blip>
        <a:stretch>
          <a:fillRect/>
        </a:stretch>
      </xdr:blipFill>
      <xdr:spPr>
        <a:xfrm>
          <a:off x="9525" y="3638550"/>
          <a:ext cx="257175" cy="257175"/>
        </a:xfrm>
        <a:prstGeom prst="rect">
          <a:avLst/>
        </a:prstGeom>
      </xdr:spPr>
    </xdr:pic>
    <xdr:clientData/>
  </xdr:twoCellAnchor>
  <xdr:twoCellAnchor editAs="oneCell">
    <xdr:from>
      <xdr:col>0</xdr:col>
      <xdr:colOff>9525</xdr:colOff>
      <xdr:row>76</xdr:row>
      <xdr:rowOff>0</xdr:rowOff>
    </xdr:from>
    <xdr:to>
      <xdr:col>0</xdr:col>
      <xdr:colOff>265043</xdr:colOff>
      <xdr:row>77</xdr:row>
      <xdr:rowOff>38100</xdr:rowOff>
    </xdr:to>
    <xdr:pic>
      <xdr:nvPicPr>
        <xdr:cNvPr id="22" name="Graphique 21" descr="Aide">
          <a:extLst>
            <a:ext uri="{FF2B5EF4-FFF2-40B4-BE49-F238E27FC236}">
              <a16:creationId xmlns:a16="http://schemas.microsoft.com/office/drawing/2014/main" id="{00000000-0008-0000-0100-000016000000}"/>
            </a:ext>
          </a:extLst>
        </xdr:cNvPr>
        <xdr:cNvPicPr>
          <a:picLocks noChangeAspect="1"/>
        </xdr:cNvPicPr>
      </xdr:nvPicPr>
      <xdr:blipFill>
        <a:blip xmlns:r="http://schemas.openxmlformats.org/officeDocument/2006/relationships" r:embed="rId10" cstate="screen">
          <a:extLst>
            <a:ext uri="{28A0092B-C50C-407E-A947-70E740481C1C}">
              <a14:useLocalDpi xmlns:a14="http://schemas.microsoft.com/office/drawing/2010/main" val="0"/>
            </a:ext>
            <a:ext uri="{96DAC541-7B7A-43D3-8B79-37D633B846F1}">
              <asvg:svgBlip xmlns:asvg="http://schemas.microsoft.com/office/drawing/2016/SVG/main" r:embed="rId11"/>
            </a:ext>
          </a:extLst>
        </a:blip>
        <a:stretch>
          <a:fillRect/>
        </a:stretch>
      </xdr:blipFill>
      <xdr:spPr>
        <a:xfrm>
          <a:off x="9525" y="7639050"/>
          <a:ext cx="257175" cy="257175"/>
        </a:xfrm>
        <a:prstGeom prst="rect">
          <a:avLst/>
        </a:prstGeom>
      </xdr:spPr>
    </xdr:pic>
    <xdr:clientData/>
  </xdr:twoCellAnchor>
  <xdr:twoCellAnchor editAs="oneCell">
    <xdr:from>
      <xdr:col>0</xdr:col>
      <xdr:colOff>0</xdr:colOff>
      <xdr:row>62</xdr:row>
      <xdr:rowOff>0</xdr:rowOff>
    </xdr:from>
    <xdr:to>
      <xdr:col>0</xdr:col>
      <xdr:colOff>252000</xdr:colOff>
      <xdr:row>63</xdr:row>
      <xdr:rowOff>32925</xdr:rowOff>
    </xdr:to>
    <xdr:pic>
      <xdr:nvPicPr>
        <xdr:cNvPr id="26" name="Graphique 25" descr="Livre de jeu">
          <a:extLst>
            <a:ext uri="{FF2B5EF4-FFF2-40B4-BE49-F238E27FC236}">
              <a16:creationId xmlns:a16="http://schemas.microsoft.com/office/drawing/2014/main" id="{00000000-0008-0000-0100-00001A000000}"/>
            </a:ext>
          </a:extLst>
        </xdr:cNvPr>
        <xdr:cNvPicPr>
          <a:picLocks noChangeAspect="1"/>
        </xdr:cNvPicPr>
      </xdr:nvPicPr>
      <xdr:blipFill>
        <a:blip xmlns:r="http://schemas.openxmlformats.org/officeDocument/2006/relationships" r:embed="rId12" cstate="screen">
          <a:extLst>
            <a:ext uri="{28A0092B-C50C-407E-A947-70E740481C1C}">
              <a14:useLocalDpi xmlns:a14="http://schemas.microsoft.com/office/drawing/2010/main" val="0"/>
            </a:ext>
            <a:ext uri="{96DAC541-7B7A-43D3-8B79-37D633B846F1}">
              <asvg:svgBlip xmlns:asvg="http://schemas.microsoft.com/office/drawing/2016/SVG/main" r:embed="rId13"/>
            </a:ext>
          </a:extLst>
        </a:blip>
        <a:stretch>
          <a:fillRect/>
        </a:stretch>
      </xdr:blipFill>
      <xdr:spPr>
        <a:xfrm>
          <a:off x="0" y="14306550"/>
          <a:ext cx="252000" cy="252000"/>
        </a:xfrm>
        <a:prstGeom prst="rect">
          <a:avLst/>
        </a:prstGeom>
      </xdr:spPr>
    </xdr:pic>
    <xdr:clientData/>
  </xdr:twoCellAnchor>
  <xdr:twoCellAnchor editAs="oneCell">
    <xdr:from>
      <xdr:col>0</xdr:col>
      <xdr:colOff>19050</xdr:colOff>
      <xdr:row>36</xdr:row>
      <xdr:rowOff>0</xdr:rowOff>
    </xdr:from>
    <xdr:to>
      <xdr:col>0</xdr:col>
      <xdr:colOff>271050</xdr:colOff>
      <xdr:row>37</xdr:row>
      <xdr:rowOff>32925</xdr:rowOff>
    </xdr:to>
    <xdr:pic>
      <xdr:nvPicPr>
        <xdr:cNvPr id="11" name="Graphique 10" descr="Avertissement">
          <a:extLst>
            <a:ext uri="{FF2B5EF4-FFF2-40B4-BE49-F238E27FC236}">
              <a16:creationId xmlns:a16="http://schemas.microsoft.com/office/drawing/2014/main" id="{00000000-0008-0000-0100-00000B000000}"/>
            </a:ext>
          </a:extLst>
        </xdr:cNvPr>
        <xdr:cNvPicPr>
          <a:picLocks noChangeAspect="1"/>
        </xdr:cNvPicPr>
      </xdr:nvPicPr>
      <xdr:blipFill>
        <a:blip xmlns:r="http://schemas.openxmlformats.org/officeDocument/2006/relationships" r:embed="rId14" cstate="screen">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19050" y="7820025"/>
          <a:ext cx="252000" cy="252000"/>
        </a:xfrm>
        <a:prstGeom prst="rect">
          <a:avLst/>
        </a:prstGeom>
      </xdr:spPr>
    </xdr:pic>
    <xdr:clientData/>
  </xdr:twoCellAnchor>
  <xdr:twoCellAnchor editAs="oneCell">
    <xdr:from>
      <xdr:col>0</xdr:col>
      <xdr:colOff>19050</xdr:colOff>
      <xdr:row>56</xdr:row>
      <xdr:rowOff>0</xdr:rowOff>
    </xdr:from>
    <xdr:to>
      <xdr:col>0</xdr:col>
      <xdr:colOff>271050</xdr:colOff>
      <xdr:row>57</xdr:row>
      <xdr:rowOff>32925</xdr:rowOff>
    </xdr:to>
    <xdr:pic>
      <xdr:nvPicPr>
        <xdr:cNvPr id="7" name="Graphique 6" descr="Ordinateur portable">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16" cstate="screen">
          <a:extLst>
            <a:ext uri="{28A0092B-C50C-407E-A947-70E740481C1C}">
              <a14:useLocalDpi xmlns:a14="http://schemas.microsoft.com/office/drawing/2010/main" val="0"/>
            </a:ext>
            <a:ext uri="{96DAC541-7B7A-43D3-8B79-37D633B846F1}">
              <asvg:svgBlip xmlns:asvg="http://schemas.microsoft.com/office/drawing/2016/SVG/main" r:embed="rId17"/>
            </a:ext>
          </a:extLst>
        </a:blip>
        <a:stretch>
          <a:fillRect/>
        </a:stretch>
      </xdr:blipFill>
      <xdr:spPr>
        <a:xfrm>
          <a:off x="19050" y="11477625"/>
          <a:ext cx="252000" cy="252000"/>
        </a:xfrm>
        <a:prstGeom prst="rect">
          <a:avLst/>
        </a:prstGeom>
      </xdr:spPr>
    </xdr:pic>
    <xdr:clientData/>
  </xdr:twoCellAnchor>
  <xdr:twoCellAnchor editAs="oneCell">
    <xdr:from>
      <xdr:col>1</xdr:col>
      <xdr:colOff>647700</xdr:colOff>
      <xdr:row>59</xdr:row>
      <xdr:rowOff>914399</xdr:rowOff>
    </xdr:from>
    <xdr:to>
      <xdr:col>1</xdr:col>
      <xdr:colOff>876301</xdr:colOff>
      <xdr:row>60</xdr:row>
      <xdr:rowOff>57150</xdr:rowOff>
    </xdr:to>
    <xdr:pic>
      <xdr:nvPicPr>
        <xdr:cNvPr id="8" name="Graphique 7" descr="Coffre-fort">
          <a:extLst>
            <a:ext uri="{FF2B5EF4-FFF2-40B4-BE49-F238E27FC236}">
              <a16:creationId xmlns:a16="http://schemas.microsoft.com/office/drawing/2014/main" id="{00000000-0008-0000-0100-000008000000}"/>
            </a:ext>
          </a:extLst>
        </xdr:cNvPr>
        <xdr:cNvPicPr>
          <a:picLocks noChangeAspect="1"/>
        </xdr:cNvPicPr>
      </xdr:nvPicPr>
      <xdr:blipFill>
        <a:blip xmlns:r="http://schemas.openxmlformats.org/officeDocument/2006/relationships" r:embed="rId18" cstate="screen">
          <a:extLst>
            <a:ext uri="{28A0092B-C50C-407E-A947-70E740481C1C}">
              <a14:useLocalDpi xmlns:a14="http://schemas.microsoft.com/office/drawing/2010/main" val="0"/>
            </a:ext>
            <a:ext uri="{96DAC541-7B7A-43D3-8B79-37D633B846F1}">
              <asvg:svgBlip xmlns:asvg="http://schemas.microsoft.com/office/drawing/2016/SVG/main" r:embed="rId19"/>
            </a:ext>
          </a:extLst>
        </a:blip>
        <a:stretch>
          <a:fillRect/>
        </a:stretch>
      </xdr:blipFill>
      <xdr:spPr>
        <a:xfrm>
          <a:off x="942975" y="14782799"/>
          <a:ext cx="228601" cy="22860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2</xdr:col>
      <xdr:colOff>0</xdr:colOff>
      <xdr:row>15</xdr:row>
      <xdr:rowOff>0</xdr:rowOff>
    </xdr:from>
    <xdr:to>
      <xdr:col>3</xdr:col>
      <xdr:colOff>0</xdr:colOff>
      <xdr:row>35</xdr:row>
      <xdr:rowOff>171450</xdr:rowOff>
    </xdr:to>
    <xdr:sp macro="" textlink="">
      <xdr:nvSpPr>
        <xdr:cNvPr id="48" name="masqueListeCulturesLait">
          <a:extLst>
            <a:ext uri="{FF2B5EF4-FFF2-40B4-BE49-F238E27FC236}">
              <a16:creationId xmlns:a16="http://schemas.microsoft.com/office/drawing/2014/main" id="{00000000-0008-0000-0200-000030000000}"/>
            </a:ext>
          </a:extLst>
        </xdr:cNvPr>
        <xdr:cNvSpPr/>
      </xdr:nvSpPr>
      <xdr:spPr>
        <a:xfrm>
          <a:off x="1733550" y="2933700"/>
          <a:ext cx="1438275" cy="3819525"/>
        </a:xfrm>
        <a:prstGeom prst="rect">
          <a:avLst/>
        </a:prstGeom>
        <a:solidFill>
          <a:srgbClr val="FFFFFF">
            <a:alpha val="40000"/>
          </a:srgb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CA" sz="1100"/>
        </a:p>
      </xdr:txBody>
    </xdr:sp>
    <xdr:clientData fPrintsWithSheet="0"/>
  </xdr:twoCellAnchor>
  <xdr:twoCellAnchor>
    <xdr:from>
      <xdr:col>1</xdr:col>
      <xdr:colOff>0</xdr:colOff>
      <xdr:row>15</xdr:row>
      <xdr:rowOff>9525</xdr:rowOff>
    </xdr:from>
    <xdr:to>
      <xdr:col>2</xdr:col>
      <xdr:colOff>0</xdr:colOff>
      <xdr:row>35</xdr:row>
      <xdr:rowOff>171449</xdr:rowOff>
    </xdr:to>
    <xdr:sp macro="" textlink="">
      <xdr:nvSpPr>
        <xdr:cNvPr id="19" name="masqueListeCulturesChamps">
          <a:extLst>
            <a:ext uri="{FF2B5EF4-FFF2-40B4-BE49-F238E27FC236}">
              <a16:creationId xmlns:a16="http://schemas.microsoft.com/office/drawing/2014/main" id="{00000000-0008-0000-0200-000013000000}"/>
            </a:ext>
          </a:extLst>
        </xdr:cNvPr>
        <xdr:cNvSpPr/>
      </xdr:nvSpPr>
      <xdr:spPr>
        <a:xfrm>
          <a:off x="295275" y="2952750"/>
          <a:ext cx="1447800" cy="3800474"/>
        </a:xfrm>
        <a:prstGeom prst="rect">
          <a:avLst/>
        </a:prstGeom>
        <a:solidFill>
          <a:srgbClr val="FFFFFF">
            <a:alpha val="40000"/>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CA" sz="1100"/>
        </a:p>
      </xdr:txBody>
    </xdr:sp>
    <xdr:clientData fPrintsWithSheet="0"/>
  </xdr:twoCellAnchor>
  <xdr:twoCellAnchor editAs="oneCell">
    <xdr:from>
      <xdr:col>7</xdr:col>
      <xdr:colOff>47625</xdr:colOff>
      <xdr:row>4</xdr:row>
      <xdr:rowOff>85725</xdr:rowOff>
    </xdr:from>
    <xdr:to>
      <xdr:col>7</xdr:col>
      <xdr:colOff>335625</xdr:colOff>
      <xdr:row>6</xdr:row>
      <xdr:rowOff>11775</xdr:rowOff>
    </xdr:to>
    <xdr:pic macro="[0]!config.cmdBackup_Click">
      <xdr:nvPicPr>
        <xdr:cNvPr id="15" name="Safe" descr="Coffre-fort">
          <a:extLst>
            <a:ext uri="{FF2B5EF4-FFF2-40B4-BE49-F238E27FC236}">
              <a16:creationId xmlns:a16="http://schemas.microsoft.com/office/drawing/2014/main" id="{00000000-0008-0000-0200-00000F000000}"/>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534150" y="1352550"/>
          <a:ext cx="288000" cy="288000"/>
        </a:xfrm>
        <a:prstGeom prst="rect">
          <a:avLst/>
        </a:prstGeom>
      </xdr:spPr>
    </xdr:pic>
    <xdr:clientData fPrintsWithSheet="0"/>
  </xdr:twoCellAnchor>
  <xdr:twoCellAnchor editAs="oneCell">
    <xdr:from>
      <xdr:col>7</xdr:col>
      <xdr:colOff>66675</xdr:colOff>
      <xdr:row>15</xdr:row>
      <xdr:rowOff>152400</xdr:rowOff>
    </xdr:from>
    <xdr:to>
      <xdr:col>7</xdr:col>
      <xdr:colOff>318675</xdr:colOff>
      <xdr:row>17</xdr:row>
      <xdr:rowOff>42450</xdr:rowOff>
    </xdr:to>
    <xdr:pic macro="[0]!ResetWorkbook">
      <xdr:nvPicPr>
        <xdr:cNvPr id="3" name="Efface" descr="Gomme">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3" cstate="screen">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6515100" y="3067050"/>
          <a:ext cx="252000" cy="252000"/>
        </a:xfrm>
        <a:prstGeom prst="rect">
          <a:avLst/>
        </a:prstGeom>
      </xdr:spPr>
    </xdr:pic>
    <xdr:clientData fPrintsWithSheet="0"/>
  </xdr:twoCellAnchor>
  <xdr:twoCellAnchor editAs="oneCell">
    <xdr:from>
      <xdr:col>9</xdr:col>
      <xdr:colOff>257175</xdr:colOff>
      <xdr:row>3</xdr:row>
      <xdr:rowOff>0</xdr:rowOff>
    </xdr:from>
    <xdr:to>
      <xdr:col>11</xdr:col>
      <xdr:colOff>18075</xdr:colOff>
      <xdr:row>3</xdr:row>
      <xdr:rowOff>180000</xdr:rowOff>
    </xdr:to>
    <xdr:pic macro="[0]!aidescontext.Aide_Autobackup">
      <xdr:nvPicPr>
        <xdr:cNvPr id="17" name="AideBackup" descr="Aide">
          <a:extLst>
            <a:ext uri="{FF2B5EF4-FFF2-40B4-BE49-F238E27FC236}">
              <a16:creationId xmlns:a16="http://schemas.microsoft.com/office/drawing/2014/main" id="{00000000-0008-0000-0200-000011000000}"/>
            </a:ext>
          </a:extLst>
        </xdr:cNvPr>
        <xdr:cNvPicPr>
          <a:picLocks noChangeAspect="1"/>
        </xdr:cNvPicPr>
      </xdr:nvPicPr>
      <xdr:blipFill>
        <a:blip xmlns:r="http://schemas.openxmlformats.org/officeDocument/2006/relationships" r:embed="rId5" cstate="screen">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8582025" y="685800"/>
          <a:ext cx="180000" cy="180000"/>
        </a:xfrm>
        <a:prstGeom prst="rect">
          <a:avLst/>
        </a:prstGeom>
      </xdr:spPr>
    </xdr:pic>
    <xdr:clientData fPrintsWithSheet="0"/>
  </xdr:twoCellAnchor>
  <xdr:twoCellAnchor editAs="oneCell">
    <xdr:from>
      <xdr:col>1</xdr:col>
      <xdr:colOff>1285875</xdr:colOff>
      <xdr:row>12</xdr:row>
      <xdr:rowOff>9525</xdr:rowOff>
    </xdr:from>
    <xdr:to>
      <xdr:col>2</xdr:col>
      <xdr:colOff>18075</xdr:colOff>
      <xdr:row>12</xdr:row>
      <xdr:rowOff>189525</xdr:rowOff>
    </xdr:to>
    <xdr:pic macro="[0]!aidescontext.Aide_ListesCulturesUtilisées">
      <xdr:nvPicPr>
        <xdr:cNvPr id="14" name="AideCultures" descr="Aide">
          <a:extLst>
            <a:ext uri="{FF2B5EF4-FFF2-40B4-BE49-F238E27FC236}">
              <a16:creationId xmlns:a16="http://schemas.microsoft.com/office/drawing/2014/main" id="{00000000-0008-0000-0200-00000E000000}"/>
            </a:ext>
          </a:extLst>
        </xdr:cNvPr>
        <xdr:cNvPicPr>
          <a:picLocks noChangeAspect="1"/>
        </xdr:cNvPicPr>
      </xdr:nvPicPr>
      <xdr:blipFill>
        <a:blip xmlns:r="http://schemas.openxmlformats.org/officeDocument/2006/relationships" r:embed="rId7" cstate="screen">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1581150" y="2381250"/>
          <a:ext cx="180000" cy="180000"/>
        </a:xfrm>
        <a:prstGeom prst="rect">
          <a:avLst/>
        </a:prstGeom>
      </xdr:spPr>
    </xdr:pic>
    <xdr:clientData fPrintsWithSheet="0"/>
  </xdr:twoCellAnchor>
  <mc:AlternateContent xmlns:mc="http://schemas.openxmlformats.org/markup-compatibility/2006">
    <mc:Choice xmlns:a14="http://schemas.microsoft.com/office/drawing/2010/main" Requires="a14">
      <xdr:twoCellAnchor editAs="oneCell">
        <xdr:from>
          <xdr:col>1</xdr:col>
          <xdr:colOff>9525</xdr:colOff>
          <xdr:row>4</xdr:row>
          <xdr:rowOff>9525</xdr:rowOff>
        </xdr:from>
        <xdr:to>
          <xdr:col>1</xdr:col>
          <xdr:colOff>1428750</xdr:colOff>
          <xdr:row>4</xdr:row>
          <xdr:rowOff>171450</xdr:rowOff>
        </xdr:to>
        <xdr:sp macro="" textlink="">
          <xdr:nvSpPr>
            <xdr:cNvPr id="8248" name="chkboxScenario1" hidden="1">
              <a:extLst>
                <a:ext uri="{63B3BB69-23CF-44E3-9099-C40C66FF867C}">
                  <a14:compatExt spid="_x0000_s8248"/>
                </a:ext>
                <a:ext uri="{FF2B5EF4-FFF2-40B4-BE49-F238E27FC236}">
                  <a16:creationId xmlns:a16="http://schemas.microsoft.com/office/drawing/2014/main" id="{00000000-0008-0000-0200-0000382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Scénario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5</xdr:row>
          <xdr:rowOff>9525</xdr:rowOff>
        </xdr:from>
        <xdr:to>
          <xdr:col>1</xdr:col>
          <xdr:colOff>1428750</xdr:colOff>
          <xdr:row>5</xdr:row>
          <xdr:rowOff>171450</xdr:rowOff>
        </xdr:to>
        <xdr:sp macro="" textlink="">
          <xdr:nvSpPr>
            <xdr:cNvPr id="8249" name="chkboxScenario2" hidden="1">
              <a:extLst>
                <a:ext uri="{63B3BB69-23CF-44E3-9099-C40C66FF867C}">
                  <a14:compatExt spid="_x0000_s8249"/>
                </a:ext>
                <a:ext uri="{FF2B5EF4-FFF2-40B4-BE49-F238E27FC236}">
                  <a16:creationId xmlns:a16="http://schemas.microsoft.com/office/drawing/2014/main" id="{00000000-0008-0000-0200-0000392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Scénario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6</xdr:row>
          <xdr:rowOff>9525</xdr:rowOff>
        </xdr:from>
        <xdr:to>
          <xdr:col>1</xdr:col>
          <xdr:colOff>1428750</xdr:colOff>
          <xdr:row>6</xdr:row>
          <xdr:rowOff>171450</xdr:rowOff>
        </xdr:to>
        <xdr:sp macro="" textlink="">
          <xdr:nvSpPr>
            <xdr:cNvPr id="8250" name="chkboxScenario3" hidden="1">
              <a:extLst>
                <a:ext uri="{63B3BB69-23CF-44E3-9099-C40C66FF867C}">
                  <a14:compatExt spid="_x0000_s8250"/>
                </a:ext>
                <a:ext uri="{FF2B5EF4-FFF2-40B4-BE49-F238E27FC236}">
                  <a16:creationId xmlns:a16="http://schemas.microsoft.com/office/drawing/2014/main" id="{00000000-0008-0000-0200-00003A2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Scénario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7</xdr:row>
          <xdr:rowOff>9525</xdr:rowOff>
        </xdr:from>
        <xdr:to>
          <xdr:col>1</xdr:col>
          <xdr:colOff>1428750</xdr:colOff>
          <xdr:row>7</xdr:row>
          <xdr:rowOff>171450</xdr:rowOff>
        </xdr:to>
        <xdr:sp macro="" textlink="">
          <xdr:nvSpPr>
            <xdr:cNvPr id="8251" name="chkboxScenario4" hidden="1">
              <a:extLst>
                <a:ext uri="{63B3BB69-23CF-44E3-9099-C40C66FF867C}">
                  <a14:compatExt spid="_x0000_s8251"/>
                </a:ext>
                <a:ext uri="{FF2B5EF4-FFF2-40B4-BE49-F238E27FC236}">
                  <a16:creationId xmlns:a16="http://schemas.microsoft.com/office/drawing/2014/main" id="{00000000-0008-0000-0200-00003B2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Scénario 4</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8</xdr:row>
          <xdr:rowOff>9525</xdr:rowOff>
        </xdr:from>
        <xdr:to>
          <xdr:col>1</xdr:col>
          <xdr:colOff>1428750</xdr:colOff>
          <xdr:row>8</xdr:row>
          <xdr:rowOff>180975</xdr:rowOff>
        </xdr:to>
        <xdr:sp macro="" textlink="">
          <xdr:nvSpPr>
            <xdr:cNvPr id="8252" name="chkboxScenario5" hidden="1">
              <a:extLst>
                <a:ext uri="{63B3BB69-23CF-44E3-9099-C40C66FF867C}">
                  <a14:compatExt spid="_x0000_s8252"/>
                </a:ext>
                <a:ext uri="{FF2B5EF4-FFF2-40B4-BE49-F238E27FC236}">
                  <a16:creationId xmlns:a16="http://schemas.microsoft.com/office/drawing/2014/main" id="{00000000-0008-0000-0200-00003C2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Scénario 5</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4</xdr:row>
          <xdr:rowOff>28575</xdr:rowOff>
        </xdr:from>
        <xdr:to>
          <xdr:col>5</xdr:col>
          <xdr:colOff>9525</xdr:colOff>
          <xdr:row>5</xdr:row>
          <xdr:rowOff>47625</xdr:rowOff>
        </xdr:to>
        <xdr:sp macro="" textlink="">
          <xdr:nvSpPr>
            <xdr:cNvPr id="8255" name="radioFermelaitiere" hidden="1">
              <a:extLst>
                <a:ext uri="{63B3BB69-23CF-44E3-9099-C40C66FF867C}">
                  <a14:compatExt spid="_x0000_s8255"/>
                </a:ext>
                <a:ext uri="{FF2B5EF4-FFF2-40B4-BE49-F238E27FC236}">
                  <a16:creationId xmlns:a16="http://schemas.microsoft.com/office/drawing/2014/main" id="{00000000-0008-0000-0200-00003F2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Ferme laitière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xdr:row>
          <xdr:rowOff>28575</xdr:rowOff>
        </xdr:from>
        <xdr:to>
          <xdr:col>5</xdr:col>
          <xdr:colOff>0</xdr:colOff>
          <xdr:row>6</xdr:row>
          <xdr:rowOff>66675</xdr:rowOff>
        </xdr:to>
        <xdr:sp macro="" textlink="">
          <xdr:nvSpPr>
            <xdr:cNvPr id="8256" name="radioFermedegrandescultures" hidden="1">
              <a:extLst>
                <a:ext uri="{63B3BB69-23CF-44E3-9099-C40C66FF867C}">
                  <a14:compatExt spid="_x0000_s8256"/>
                </a:ext>
                <a:ext uri="{FF2B5EF4-FFF2-40B4-BE49-F238E27FC236}">
                  <a16:creationId xmlns:a16="http://schemas.microsoft.com/office/drawing/2014/main" id="{00000000-0008-0000-0200-0000402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Ferme de grandes cultures</a:t>
              </a:r>
            </a:p>
          </xdr:txBody>
        </xdr:sp>
        <xdr:clientData fPrintsWithSheet="0"/>
      </xdr:twoCellAnchor>
    </mc:Choice>
    <mc:Fallback/>
  </mc:AlternateContent>
  <xdr:twoCellAnchor editAs="oneCell">
    <xdr:from>
      <xdr:col>4</xdr:col>
      <xdr:colOff>1440114</xdr:colOff>
      <xdr:row>6</xdr:row>
      <xdr:rowOff>85725</xdr:rowOff>
    </xdr:from>
    <xdr:to>
      <xdr:col>5</xdr:col>
      <xdr:colOff>297114</xdr:colOff>
      <xdr:row>8</xdr:row>
      <xdr:rowOff>85725</xdr:rowOff>
    </xdr:to>
    <xdr:pic>
      <xdr:nvPicPr>
        <xdr:cNvPr id="52" name="vache" descr="Vache">
          <a:extLst>
            <a:ext uri="{FF2B5EF4-FFF2-40B4-BE49-F238E27FC236}">
              <a16:creationId xmlns:a16="http://schemas.microsoft.com/office/drawing/2014/main" id="{00000000-0008-0000-0200-000034000000}"/>
            </a:ext>
          </a:extLst>
        </xdr:cNvPr>
        <xdr:cNvPicPr>
          <a:picLocks noChangeAspect="1"/>
        </xdr:cNvPicPr>
      </xdr:nvPicPr>
      <xdr:blipFill>
        <a:blip xmlns:r="http://schemas.openxmlformats.org/officeDocument/2006/relationships" r:embed="rId8" cstate="screen">
          <a:extLst>
            <a:ext uri="{28A0092B-C50C-407E-A947-70E740481C1C}">
              <a14:useLocalDpi xmlns:a14="http://schemas.microsoft.com/office/drawing/2010/main" val="0"/>
            </a:ext>
            <a:ext uri="{96DAC541-7B7A-43D3-8B79-37D633B846F1}">
              <asvg:svgBlip xmlns:asvg="http://schemas.microsoft.com/office/drawing/2016/SVG/main" r:embed="rId9"/>
            </a:ext>
          </a:extLst>
        </a:blip>
        <a:stretch>
          <a:fillRect/>
        </a:stretch>
      </xdr:blipFill>
      <xdr:spPr>
        <a:xfrm>
          <a:off x="5031039" y="1352550"/>
          <a:ext cx="361950" cy="361950"/>
        </a:xfrm>
        <a:prstGeom prst="rect">
          <a:avLst/>
        </a:prstGeom>
      </xdr:spPr>
    </xdr:pic>
    <xdr:clientData fPrintsWithSheet="0"/>
  </xdr:twoCellAnchor>
  <xdr:twoCellAnchor editAs="oneCell">
    <xdr:from>
      <xdr:col>4</xdr:col>
      <xdr:colOff>47625</xdr:colOff>
      <xdr:row>6</xdr:row>
      <xdr:rowOff>49575</xdr:rowOff>
    </xdr:from>
    <xdr:to>
      <xdr:col>4</xdr:col>
      <xdr:colOff>407625</xdr:colOff>
      <xdr:row>8</xdr:row>
      <xdr:rowOff>47625</xdr:rowOff>
    </xdr:to>
    <xdr:pic>
      <xdr:nvPicPr>
        <xdr:cNvPr id="5" name="grange" descr="Grange">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10" cstate="screen">
          <a:extLst>
            <a:ext uri="{28A0092B-C50C-407E-A947-70E740481C1C}">
              <a14:useLocalDpi xmlns:a14="http://schemas.microsoft.com/office/drawing/2010/main" val="0"/>
            </a:ext>
            <a:ext uri="{96DAC541-7B7A-43D3-8B79-37D633B846F1}">
              <asvg:svgBlip xmlns:asvg="http://schemas.microsoft.com/office/drawing/2016/SVG/main" r:embed="rId11"/>
            </a:ext>
          </a:extLst>
        </a:blip>
        <a:stretch>
          <a:fillRect/>
        </a:stretch>
      </xdr:blipFill>
      <xdr:spPr>
        <a:xfrm>
          <a:off x="3495675" y="1668825"/>
          <a:ext cx="360000" cy="360000"/>
        </a:xfrm>
        <a:prstGeom prst="rect">
          <a:avLst/>
        </a:prstGeom>
      </xdr:spPr>
    </xdr:pic>
    <xdr:clientData fPrintsWithSheet="0"/>
  </xdr:twoCellAnchor>
  <xdr:twoCellAnchor editAs="oneCell">
    <xdr:from>
      <xdr:col>4</xdr:col>
      <xdr:colOff>397488</xdr:colOff>
      <xdr:row>6</xdr:row>
      <xdr:rowOff>40050</xdr:rowOff>
    </xdr:from>
    <xdr:to>
      <xdr:col>4</xdr:col>
      <xdr:colOff>757488</xdr:colOff>
      <xdr:row>8</xdr:row>
      <xdr:rowOff>38100</xdr:rowOff>
    </xdr:to>
    <xdr:pic>
      <xdr:nvPicPr>
        <xdr:cNvPr id="7" name="silo" descr="Silo">
          <a:extLst>
            <a:ext uri="{FF2B5EF4-FFF2-40B4-BE49-F238E27FC236}">
              <a16:creationId xmlns:a16="http://schemas.microsoft.com/office/drawing/2014/main" id="{00000000-0008-0000-0200-000007000000}"/>
            </a:ext>
          </a:extLst>
        </xdr:cNvPr>
        <xdr:cNvPicPr>
          <a:picLocks noChangeAspect="1"/>
        </xdr:cNvPicPr>
      </xdr:nvPicPr>
      <xdr:blipFill>
        <a:blip xmlns:r="http://schemas.openxmlformats.org/officeDocument/2006/relationships" r:embed="rId12" cstate="screen">
          <a:extLst>
            <a:ext uri="{28A0092B-C50C-407E-A947-70E740481C1C}">
              <a14:useLocalDpi xmlns:a14="http://schemas.microsoft.com/office/drawing/2010/main" val="0"/>
            </a:ext>
            <a:ext uri="{96DAC541-7B7A-43D3-8B79-37D633B846F1}">
              <asvg:svgBlip xmlns:asvg="http://schemas.microsoft.com/office/drawing/2016/SVG/main" r:embed="rId13"/>
            </a:ext>
          </a:extLst>
        </a:blip>
        <a:stretch>
          <a:fillRect/>
        </a:stretch>
      </xdr:blipFill>
      <xdr:spPr>
        <a:xfrm>
          <a:off x="3845538" y="1659300"/>
          <a:ext cx="360000" cy="360000"/>
        </a:xfrm>
        <a:prstGeom prst="rect">
          <a:avLst/>
        </a:prstGeom>
      </xdr:spPr>
    </xdr:pic>
    <xdr:clientData fPrintsWithSheet="0"/>
  </xdr:twoCellAnchor>
  <xdr:twoCellAnchor editAs="oneCell">
    <xdr:from>
      <xdr:col>4</xdr:col>
      <xdr:colOff>728301</xdr:colOff>
      <xdr:row>6</xdr:row>
      <xdr:rowOff>87675</xdr:rowOff>
    </xdr:from>
    <xdr:to>
      <xdr:col>4</xdr:col>
      <xdr:colOff>1088301</xdr:colOff>
      <xdr:row>8</xdr:row>
      <xdr:rowOff>85725</xdr:rowOff>
    </xdr:to>
    <xdr:pic>
      <xdr:nvPicPr>
        <xdr:cNvPr id="9" name="tracteur" descr="Tracteur">
          <a:extLst>
            <a:ext uri="{FF2B5EF4-FFF2-40B4-BE49-F238E27FC236}">
              <a16:creationId xmlns:a16="http://schemas.microsoft.com/office/drawing/2014/main" id="{00000000-0008-0000-0200-000009000000}"/>
            </a:ext>
          </a:extLst>
        </xdr:cNvPr>
        <xdr:cNvPicPr>
          <a:picLocks noChangeAspect="1"/>
        </xdr:cNvPicPr>
      </xdr:nvPicPr>
      <xdr:blipFill>
        <a:blip xmlns:r="http://schemas.openxmlformats.org/officeDocument/2006/relationships" r:embed="rId14" cstate="screen">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4176351" y="1706925"/>
          <a:ext cx="360000" cy="360000"/>
        </a:xfrm>
        <a:prstGeom prst="rect">
          <a:avLst/>
        </a:prstGeom>
      </xdr:spPr>
    </xdr:pic>
    <xdr:clientData fPrintsWithSheet="0"/>
  </xdr:twoCellAnchor>
  <xdr:twoCellAnchor editAs="oneCell">
    <xdr:from>
      <xdr:col>4</xdr:col>
      <xdr:colOff>1066800</xdr:colOff>
      <xdr:row>6</xdr:row>
      <xdr:rowOff>49575</xdr:rowOff>
    </xdr:from>
    <xdr:to>
      <xdr:col>4</xdr:col>
      <xdr:colOff>1429391</xdr:colOff>
      <xdr:row>8</xdr:row>
      <xdr:rowOff>47625</xdr:rowOff>
    </xdr:to>
    <xdr:pic>
      <xdr:nvPicPr>
        <xdr:cNvPr id="59" name="plante2" descr="Plante">
          <a:extLst>
            <a:ext uri="{FF2B5EF4-FFF2-40B4-BE49-F238E27FC236}">
              <a16:creationId xmlns:a16="http://schemas.microsoft.com/office/drawing/2014/main" id="{00000000-0008-0000-0200-00003B000000}"/>
            </a:ext>
          </a:extLst>
        </xdr:cNvPr>
        <xdr:cNvPicPr>
          <a:picLocks noChangeAspect="1"/>
        </xdr:cNvPicPr>
      </xdr:nvPicPr>
      <xdr:blipFill>
        <a:blip xmlns:r="http://schemas.openxmlformats.org/officeDocument/2006/relationships" r:embed="rId16" cstate="screen">
          <a:extLst>
            <a:ext uri="{28A0092B-C50C-407E-A947-70E740481C1C}">
              <a14:useLocalDpi xmlns:a14="http://schemas.microsoft.com/office/drawing/2010/main" val="0"/>
            </a:ext>
            <a:ext uri="{96DAC541-7B7A-43D3-8B79-37D633B846F1}">
              <asvg:svgBlip xmlns:asvg="http://schemas.microsoft.com/office/drawing/2016/SVG/main" r:embed="rId17"/>
            </a:ext>
          </a:extLst>
        </a:blip>
        <a:stretch>
          <a:fillRect/>
        </a:stretch>
      </xdr:blipFill>
      <xdr:spPr>
        <a:xfrm>
          <a:off x="4657725" y="1316400"/>
          <a:ext cx="362591" cy="360000"/>
        </a:xfrm>
        <a:prstGeom prst="rect">
          <a:avLst/>
        </a:prstGeom>
      </xdr:spPr>
    </xdr:pic>
    <xdr:clientData fPrintsWithSheet="0"/>
  </xdr:twoCellAnchor>
  <xdr:twoCellAnchor editAs="oneCell">
    <xdr:from>
      <xdr:col>4</xdr:col>
      <xdr:colOff>1419225</xdr:colOff>
      <xdr:row>6</xdr:row>
      <xdr:rowOff>47625</xdr:rowOff>
    </xdr:from>
    <xdr:to>
      <xdr:col>5</xdr:col>
      <xdr:colOff>276866</xdr:colOff>
      <xdr:row>8</xdr:row>
      <xdr:rowOff>45675</xdr:rowOff>
    </xdr:to>
    <xdr:pic>
      <xdr:nvPicPr>
        <xdr:cNvPr id="62" name="plante1" descr="Plante" hidden="1">
          <a:extLst>
            <a:ext uri="{FF2B5EF4-FFF2-40B4-BE49-F238E27FC236}">
              <a16:creationId xmlns:a16="http://schemas.microsoft.com/office/drawing/2014/main" id="{00000000-0008-0000-0200-00003E000000}"/>
            </a:ext>
          </a:extLst>
        </xdr:cNvPr>
        <xdr:cNvPicPr>
          <a:picLocks noChangeAspect="1"/>
        </xdr:cNvPicPr>
      </xdr:nvPicPr>
      <xdr:blipFill>
        <a:blip xmlns:r="http://schemas.openxmlformats.org/officeDocument/2006/relationships" r:embed="rId18" cstate="screen">
          <a:extLst>
            <a:ext uri="{28A0092B-C50C-407E-A947-70E740481C1C}">
              <a14:useLocalDpi xmlns:a14="http://schemas.microsoft.com/office/drawing/2010/main" val="0"/>
            </a:ext>
            <a:ext uri="{96DAC541-7B7A-43D3-8B79-37D633B846F1}">
              <asvg:svgBlip xmlns:asvg="http://schemas.microsoft.com/office/drawing/2016/SVG/main" r:embed="rId17"/>
            </a:ext>
          </a:extLst>
        </a:blip>
        <a:stretch>
          <a:fillRect/>
        </a:stretch>
      </xdr:blipFill>
      <xdr:spPr>
        <a:xfrm>
          <a:off x="5010150" y="1314450"/>
          <a:ext cx="362591" cy="360000"/>
        </a:xfrm>
        <a:prstGeom prst="rect">
          <a:avLst/>
        </a:prstGeom>
      </xdr:spPr>
    </xdr:pic>
    <xdr:clientData fPrintsWithSheet="0"/>
  </xdr:twoCellAnchor>
  <xdr:twoCellAnchor editAs="oneCell">
    <xdr:from>
      <xdr:col>0</xdr:col>
      <xdr:colOff>0</xdr:colOff>
      <xdr:row>0</xdr:row>
      <xdr:rowOff>9525</xdr:rowOff>
    </xdr:from>
    <xdr:to>
      <xdr:col>0</xdr:col>
      <xdr:colOff>288000</xdr:colOff>
      <xdr:row>0</xdr:row>
      <xdr:rowOff>297525</xdr:rowOff>
    </xdr:to>
    <xdr:pic>
      <xdr:nvPicPr>
        <xdr:cNvPr id="71" name="gear" descr="Engrenage">
          <a:extLst>
            <a:ext uri="{FF2B5EF4-FFF2-40B4-BE49-F238E27FC236}">
              <a16:creationId xmlns:a16="http://schemas.microsoft.com/office/drawing/2014/main" id="{00000000-0008-0000-0200-000047000000}"/>
            </a:ext>
          </a:extLst>
        </xdr:cNvPr>
        <xdr:cNvPicPr>
          <a:picLocks noChangeAspect="1"/>
        </xdr:cNvPicPr>
      </xdr:nvPicPr>
      <xdr:blipFill>
        <a:blip xmlns:r="http://schemas.openxmlformats.org/officeDocument/2006/relationships" r:embed="rId19" cstate="screen">
          <a:extLst>
            <a:ext uri="{28A0092B-C50C-407E-A947-70E740481C1C}">
              <a14:useLocalDpi xmlns:a14="http://schemas.microsoft.com/office/drawing/2010/main" val="0"/>
            </a:ext>
            <a:ext uri="{96DAC541-7B7A-43D3-8B79-37D633B846F1}">
              <asvg:svgBlip xmlns:asvg="http://schemas.microsoft.com/office/drawing/2016/SVG/main" r:embed="rId20"/>
            </a:ext>
          </a:extLst>
        </a:blip>
        <a:stretch>
          <a:fillRect/>
        </a:stretch>
      </xdr:blipFill>
      <xdr:spPr>
        <a:xfrm>
          <a:off x="0" y="9525"/>
          <a:ext cx="288000" cy="288000"/>
        </a:xfrm>
        <a:prstGeom prst="rect">
          <a:avLst/>
        </a:prstGeom>
      </xdr:spPr>
    </xdr:pic>
    <xdr:clientData fPrintsWithSheet="0"/>
  </xdr:twoCellAnchor>
  <mc:AlternateContent xmlns:mc="http://schemas.openxmlformats.org/markup-compatibility/2006">
    <mc:Choice xmlns:a14="http://schemas.microsoft.com/office/drawing/2010/main" Requires="a14">
      <xdr:twoCellAnchor editAs="oneCell">
        <xdr:from>
          <xdr:col>7</xdr:col>
          <xdr:colOff>381000</xdr:colOff>
          <xdr:row>4</xdr:row>
          <xdr:rowOff>104775</xdr:rowOff>
        </xdr:from>
        <xdr:to>
          <xdr:col>9</xdr:col>
          <xdr:colOff>257175</xdr:colOff>
          <xdr:row>6</xdr:row>
          <xdr:rowOff>0</xdr:rowOff>
        </xdr:to>
        <xdr:sp macro="" textlink="">
          <xdr:nvSpPr>
            <xdr:cNvPr id="8262" name="Button 70" hidden="1">
              <a:extLst>
                <a:ext uri="{63B3BB69-23CF-44E3-9099-C40C66FF867C}">
                  <a14:compatExt spid="_x0000_s8262"/>
                </a:ext>
                <a:ext uri="{FF2B5EF4-FFF2-40B4-BE49-F238E27FC236}">
                  <a16:creationId xmlns:a16="http://schemas.microsoft.com/office/drawing/2014/main" id="{00000000-0008-0000-0200-00004620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fr-CA" sz="900" b="0" i="0" u="none" strike="noStrike" baseline="0">
                  <a:solidFill>
                    <a:srgbClr val="000000"/>
                  </a:solidFill>
                  <a:latin typeface="Segoe UI"/>
                  <a:cs typeface="Segoe UI"/>
                </a:rPr>
                <a:t>Faire une copie de sauvegarde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9</xdr:row>
          <xdr:rowOff>85725</xdr:rowOff>
        </xdr:from>
        <xdr:to>
          <xdr:col>9</xdr:col>
          <xdr:colOff>142875</xdr:colOff>
          <xdr:row>10</xdr:row>
          <xdr:rowOff>142875</xdr:rowOff>
        </xdr:to>
        <xdr:sp macro="" textlink="">
          <xdr:nvSpPr>
            <xdr:cNvPr id="8263" name="chkAutoBackup" hidden="1">
              <a:extLst>
                <a:ext uri="{63B3BB69-23CF-44E3-9099-C40C66FF867C}">
                  <a14:compatExt spid="_x0000_s8263"/>
                </a:ext>
                <a:ext uri="{FF2B5EF4-FFF2-40B4-BE49-F238E27FC236}">
                  <a16:creationId xmlns:a16="http://schemas.microsoft.com/office/drawing/2014/main" id="{00000000-0008-0000-0200-00004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Copie de sauvegarde automatique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381000</xdr:colOff>
          <xdr:row>15</xdr:row>
          <xdr:rowOff>142875</xdr:rowOff>
        </xdr:from>
        <xdr:to>
          <xdr:col>9</xdr:col>
          <xdr:colOff>238125</xdr:colOff>
          <xdr:row>17</xdr:row>
          <xdr:rowOff>38100</xdr:rowOff>
        </xdr:to>
        <xdr:sp macro="" textlink="">
          <xdr:nvSpPr>
            <xdr:cNvPr id="8265" name="Button 73" hidden="1">
              <a:extLst>
                <a:ext uri="{63B3BB69-23CF-44E3-9099-C40C66FF867C}">
                  <a14:compatExt spid="_x0000_s8265"/>
                </a:ext>
                <a:ext uri="{FF2B5EF4-FFF2-40B4-BE49-F238E27FC236}">
                  <a16:creationId xmlns:a16="http://schemas.microsoft.com/office/drawing/2014/main" id="{00000000-0008-0000-0200-00004920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fr-CA" sz="900" b="0" i="0" u="none" strike="noStrike" baseline="0">
                  <a:solidFill>
                    <a:srgbClr val="000000"/>
                  </a:solidFill>
                  <a:latin typeface="Segoe UI"/>
                  <a:cs typeface="Segoe UI"/>
                </a:rPr>
                <a:t>Réinitialiser le classeur</a:t>
              </a:r>
            </a:p>
          </xdr:txBody>
        </xdr:sp>
        <xdr:clientData fPrintsWithSheet="0"/>
      </xdr:twoCellAnchor>
    </mc:Choice>
    <mc:Fallback/>
  </mc:AlternateContent>
  <xdr:twoCellAnchor editAs="oneCell">
    <xdr:from>
      <xdr:col>7</xdr:col>
      <xdr:colOff>212700</xdr:colOff>
      <xdr:row>0</xdr:row>
      <xdr:rowOff>0</xdr:rowOff>
    </xdr:from>
    <xdr:to>
      <xdr:col>7</xdr:col>
      <xdr:colOff>1013885</xdr:colOff>
      <xdr:row>0</xdr:row>
      <xdr:rowOff>333375</xdr:rowOff>
    </xdr:to>
    <xdr:grpSp>
      <xdr:nvGrpSpPr>
        <xdr:cNvPr id="13" name="grpNewWindow">
          <a:extLst>
            <a:ext uri="{FF2B5EF4-FFF2-40B4-BE49-F238E27FC236}">
              <a16:creationId xmlns:a16="http://schemas.microsoft.com/office/drawing/2014/main" id="{00000000-0008-0000-0200-00000D000000}"/>
            </a:ext>
          </a:extLst>
        </xdr:cNvPr>
        <xdr:cNvGrpSpPr/>
      </xdr:nvGrpSpPr>
      <xdr:grpSpPr>
        <a:xfrm>
          <a:off x="6042000" y="0"/>
          <a:ext cx="801185" cy="333375"/>
          <a:chOff x="7162800" y="0"/>
          <a:chExt cx="801185" cy="333375"/>
        </a:xfrm>
      </xdr:grpSpPr>
      <xdr:grpSp>
        <xdr:nvGrpSpPr>
          <xdr:cNvPr id="10" name="Groupe 9">
            <a:extLst>
              <a:ext uri="{FF2B5EF4-FFF2-40B4-BE49-F238E27FC236}">
                <a16:creationId xmlns:a16="http://schemas.microsoft.com/office/drawing/2014/main" id="{00000000-0008-0000-0200-00000A000000}"/>
              </a:ext>
            </a:extLst>
          </xdr:cNvPr>
          <xdr:cNvGrpSpPr>
            <a:grpSpLocks noChangeAspect="1"/>
          </xdr:cNvGrpSpPr>
        </xdr:nvGrpSpPr>
        <xdr:grpSpPr>
          <a:xfrm>
            <a:off x="7162800" y="0"/>
            <a:ext cx="333375" cy="333375"/>
            <a:chOff x="6743700" y="3867150"/>
            <a:chExt cx="914400" cy="914400"/>
          </a:xfrm>
          <a:solidFill>
            <a:schemeClr val="accent1">
              <a:lumMod val="75000"/>
            </a:schemeClr>
          </a:solidFill>
        </xdr:grpSpPr>
        <xdr:pic macro="[0]!CreerNouvelleFenetre">
          <xdr:nvPicPr>
            <xdr:cNvPr id="4" name="Ecran" descr="Télévision">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21" cstate="screen">
              <a:extLst>
                <a:ext uri="{28A0092B-C50C-407E-A947-70E740481C1C}">
                  <a14:useLocalDpi xmlns:a14="http://schemas.microsoft.com/office/drawing/2010/main" val="0"/>
                </a:ext>
                <a:ext uri="{96DAC541-7B7A-43D3-8B79-37D633B846F1}">
                  <asvg:svgBlip xmlns:asvg="http://schemas.microsoft.com/office/drawing/2016/SVG/main" r:embed="rId22"/>
                </a:ext>
              </a:extLst>
            </a:blip>
            <a:stretch>
              <a:fillRect/>
            </a:stretch>
          </xdr:blipFill>
          <xdr:spPr>
            <a:xfrm>
              <a:off x="6743700" y="3867150"/>
              <a:ext cx="914400" cy="914400"/>
            </a:xfrm>
            <a:prstGeom prst="rect">
              <a:avLst/>
            </a:prstGeom>
          </xdr:spPr>
        </xdr:pic>
        <xdr:pic macro="[0]!CreerNouvelleFenetre">
          <xdr:nvPicPr>
            <xdr:cNvPr id="8" name="Plus" descr="Ajouter">
              <a:extLst>
                <a:ext uri="{FF2B5EF4-FFF2-40B4-BE49-F238E27FC236}">
                  <a16:creationId xmlns:a16="http://schemas.microsoft.com/office/drawing/2014/main" id="{00000000-0008-0000-0200-000008000000}"/>
                </a:ext>
              </a:extLst>
            </xdr:cNvPr>
            <xdr:cNvPicPr>
              <a:picLocks noChangeAspect="1"/>
            </xdr:cNvPicPr>
          </xdr:nvPicPr>
          <xdr:blipFill>
            <a:blip xmlns:r="http://schemas.openxmlformats.org/officeDocument/2006/relationships" r:embed="rId23" cstate="screen">
              <a:extLst>
                <a:ext uri="{28A0092B-C50C-407E-A947-70E740481C1C}">
                  <a14:useLocalDpi xmlns:a14="http://schemas.microsoft.com/office/drawing/2010/main" val="0"/>
                </a:ext>
                <a:ext uri="{96DAC541-7B7A-43D3-8B79-37D633B846F1}">
                  <asvg:svgBlip xmlns:asvg="http://schemas.microsoft.com/office/drawing/2016/SVG/main" r:embed="rId24"/>
                </a:ext>
              </a:extLst>
            </a:blip>
            <a:stretch>
              <a:fillRect/>
            </a:stretch>
          </xdr:blipFill>
          <xdr:spPr>
            <a:xfrm>
              <a:off x="7000875" y="4086225"/>
              <a:ext cx="400050" cy="400050"/>
            </a:xfrm>
            <a:prstGeom prst="rect">
              <a:avLst/>
            </a:prstGeom>
          </xdr:spPr>
        </xdr:pic>
      </xdr:grpSp>
      <xdr:sp macro="[0]!CreerNouvelleFenetre" textlink="">
        <xdr:nvSpPr>
          <xdr:cNvPr id="34" name="ZoneTexte 33">
            <a:extLst>
              <a:ext uri="{FF2B5EF4-FFF2-40B4-BE49-F238E27FC236}">
                <a16:creationId xmlns:a16="http://schemas.microsoft.com/office/drawing/2014/main" id="{00000000-0008-0000-0200-000022000000}"/>
              </a:ext>
            </a:extLst>
          </xdr:cNvPr>
          <xdr:cNvSpPr txBox="1"/>
        </xdr:nvSpPr>
        <xdr:spPr>
          <a:xfrm>
            <a:off x="7562850" y="28575"/>
            <a:ext cx="401135" cy="2730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t">
            <a:spAutoFit/>
          </a:bodyPr>
          <a:lstStyle/>
          <a:p>
            <a:r>
              <a:rPr lang="fr-CA" sz="800">
                <a:solidFill>
                  <a:schemeClr val="accent1">
                    <a:lumMod val="75000"/>
                  </a:schemeClr>
                </a:solidFill>
              </a:rPr>
              <a:t>Nouvelle</a:t>
            </a:r>
            <a:br>
              <a:rPr lang="fr-CA" sz="800">
                <a:solidFill>
                  <a:schemeClr val="accent1">
                    <a:lumMod val="75000"/>
                  </a:schemeClr>
                </a:solidFill>
              </a:rPr>
            </a:br>
            <a:r>
              <a:rPr lang="fr-CA" sz="800">
                <a:solidFill>
                  <a:schemeClr val="accent1">
                    <a:lumMod val="75000"/>
                  </a:schemeClr>
                </a:solidFill>
              </a:rPr>
              <a:t>fenêtre</a:t>
            </a:r>
          </a:p>
        </xdr:txBody>
      </xdr:sp>
    </xdr:grpSp>
    <xdr:clientData fPrintsWithSheet="0"/>
  </xdr:twoCellAnchor>
  <xdr:twoCellAnchor editAs="oneCell">
    <xdr:from>
      <xdr:col>4</xdr:col>
      <xdr:colOff>1173150</xdr:colOff>
      <xdr:row>0</xdr:row>
      <xdr:rowOff>0</xdr:rowOff>
    </xdr:from>
    <xdr:to>
      <xdr:col>6</xdr:col>
      <xdr:colOff>126485</xdr:colOff>
      <xdr:row>0</xdr:row>
      <xdr:rowOff>324000</xdr:rowOff>
    </xdr:to>
    <xdr:grpSp>
      <xdr:nvGrpSpPr>
        <xdr:cNvPr id="16" name="grpResetWorkbook">
          <a:extLst>
            <a:ext uri="{FF2B5EF4-FFF2-40B4-BE49-F238E27FC236}">
              <a16:creationId xmlns:a16="http://schemas.microsoft.com/office/drawing/2014/main" id="{00000000-0008-0000-0200-000010000000}"/>
            </a:ext>
          </a:extLst>
        </xdr:cNvPr>
        <xdr:cNvGrpSpPr/>
      </xdr:nvGrpSpPr>
      <xdr:grpSpPr>
        <a:xfrm>
          <a:off x="4745025" y="0"/>
          <a:ext cx="782135" cy="324000"/>
          <a:chOff x="5476875" y="476250"/>
          <a:chExt cx="782135" cy="324000"/>
        </a:xfrm>
      </xdr:grpSpPr>
      <xdr:pic macro="[0]!ResetWorkbook">
        <xdr:nvPicPr>
          <xdr:cNvPr id="37" name="Efface" descr="Gomme">
            <a:extLst>
              <a:ext uri="{FF2B5EF4-FFF2-40B4-BE49-F238E27FC236}">
                <a16:creationId xmlns:a16="http://schemas.microsoft.com/office/drawing/2014/main" id="{00000000-0008-0000-0200-000025000000}"/>
              </a:ext>
            </a:extLst>
          </xdr:cNvPr>
          <xdr:cNvPicPr>
            <a:picLocks noChangeAspect="1"/>
          </xdr:cNvPicPr>
        </xdr:nvPicPr>
        <xdr:blipFill>
          <a:blip xmlns:r="http://schemas.openxmlformats.org/officeDocument/2006/relationships" r:embed="rId25" cstate="screen">
            <a:extLst>
              <a:ext uri="{28A0092B-C50C-407E-A947-70E740481C1C}">
                <a14:useLocalDpi xmlns:a14="http://schemas.microsoft.com/office/drawing/2010/main" val="0"/>
              </a:ext>
              <a:ext uri="{96DAC541-7B7A-43D3-8B79-37D633B846F1}">
                <asvg:svgBlip xmlns:asvg="http://schemas.microsoft.com/office/drawing/2016/SVG/main" r:embed="rId26"/>
              </a:ext>
            </a:extLst>
          </a:blip>
          <a:stretch>
            <a:fillRect/>
          </a:stretch>
        </xdr:blipFill>
        <xdr:spPr>
          <a:xfrm>
            <a:off x="5476875" y="476250"/>
            <a:ext cx="324000" cy="324000"/>
          </a:xfrm>
          <a:prstGeom prst="rect">
            <a:avLst/>
          </a:prstGeom>
        </xdr:spPr>
      </xdr:pic>
      <xdr:sp macro="[0]!ResetWorkbook" textlink="">
        <xdr:nvSpPr>
          <xdr:cNvPr id="38" name="ZoneTexte 37">
            <a:extLst>
              <a:ext uri="{FF2B5EF4-FFF2-40B4-BE49-F238E27FC236}">
                <a16:creationId xmlns:a16="http://schemas.microsoft.com/office/drawing/2014/main" id="{00000000-0008-0000-0200-000026000000}"/>
              </a:ext>
            </a:extLst>
          </xdr:cNvPr>
          <xdr:cNvSpPr txBox="1"/>
        </xdr:nvSpPr>
        <xdr:spPr>
          <a:xfrm>
            <a:off x="5857875" y="501739"/>
            <a:ext cx="401135" cy="2730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t">
            <a:noAutofit/>
          </a:bodyPr>
          <a:lstStyle/>
          <a:p>
            <a:r>
              <a:rPr lang="fr-CA" sz="800">
                <a:solidFill>
                  <a:schemeClr val="accent1">
                    <a:lumMod val="75000"/>
                  </a:schemeClr>
                </a:solidFill>
              </a:rPr>
              <a:t>Réinitialiser</a:t>
            </a:r>
            <a:br>
              <a:rPr lang="fr-CA" sz="800">
                <a:solidFill>
                  <a:schemeClr val="accent1">
                    <a:lumMod val="75000"/>
                  </a:schemeClr>
                </a:solidFill>
              </a:rPr>
            </a:br>
            <a:r>
              <a:rPr lang="fr-CA" sz="800">
                <a:solidFill>
                  <a:schemeClr val="accent1">
                    <a:lumMod val="75000"/>
                  </a:schemeClr>
                </a:solidFill>
              </a:rPr>
              <a:t>le classeur</a:t>
            </a:r>
          </a:p>
        </xdr:txBody>
      </xdr:sp>
    </xdr:grpSp>
    <xdr:clientData fPrintsWithSheet="0"/>
  </xdr:twoCellAnchor>
  <xdr:twoCellAnchor editAs="oneCell">
    <xdr:from>
      <xdr:col>3</xdr:col>
      <xdr:colOff>323850</xdr:colOff>
      <xdr:row>0</xdr:row>
      <xdr:rowOff>0</xdr:rowOff>
    </xdr:from>
    <xdr:to>
      <xdr:col>4</xdr:col>
      <xdr:colOff>686885</xdr:colOff>
      <xdr:row>0</xdr:row>
      <xdr:rowOff>324000</xdr:rowOff>
    </xdr:to>
    <xdr:grpSp>
      <xdr:nvGrpSpPr>
        <xdr:cNvPr id="18" name="grpBackup">
          <a:extLst>
            <a:ext uri="{FF2B5EF4-FFF2-40B4-BE49-F238E27FC236}">
              <a16:creationId xmlns:a16="http://schemas.microsoft.com/office/drawing/2014/main" id="{00000000-0008-0000-0200-000012000000}"/>
            </a:ext>
          </a:extLst>
        </xdr:cNvPr>
        <xdr:cNvGrpSpPr/>
      </xdr:nvGrpSpPr>
      <xdr:grpSpPr>
        <a:xfrm>
          <a:off x="3495675" y="0"/>
          <a:ext cx="763085" cy="324000"/>
          <a:chOff x="5095875" y="504825"/>
          <a:chExt cx="763085" cy="324000"/>
        </a:xfrm>
      </xdr:grpSpPr>
      <xdr:sp macro="[0]!config.cmdBackup_Click" textlink="">
        <xdr:nvSpPr>
          <xdr:cNvPr id="41" name="ZoneTexte 40">
            <a:extLst>
              <a:ext uri="{FF2B5EF4-FFF2-40B4-BE49-F238E27FC236}">
                <a16:creationId xmlns:a16="http://schemas.microsoft.com/office/drawing/2014/main" id="{00000000-0008-0000-0200-000029000000}"/>
              </a:ext>
            </a:extLst>
          </xdr:cNvPr>
          <xdr:cNvSpPr txBox="1"/>
        </xdr:nvSpPr>
        <xdr:spPr>
          <a:xfrm>
            <a:off x="5457825" y="530314"/>
            <a:ext cx="401135" cy="2730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t">
            <a:noAutofit/>
          </a:bodyPr>
          <a:lstStyle/>
          <a:p>
            <a:r>
              <a:rPr lang="fr-CA" sz="800">
                <a:solidFill>
                  <a:schemeClr val="accent1">
                    <a:lumMod val="75000"/>
                  </a:schemeClr>
                </a:solidFill>
              </a:rPr>
              <a:t>Copie de </a:t>
            </a:r>
          </a:p>
          <a:p>
            <a:r>
              <a:rPr lang="fr-CA" sz="800">
                <a:solidFill>
                  <a:schemeClr val="accent1">
                    <a:lumMod val="75000"/>
                  </a:schemeClr>
                </a:solidFill>
              </a:rPr>
              <a:t>sauvegarde</a:t>
            </a:r>
          </a:p>
        </xdr:txBody>
      </xdr:sp>
      <xdr:pic macro="[0]!config.cmdBackup_Click">
        <xdr:nvPicPr>
          <xdr:cNvPr id="42" name="Safe" descr="Coffre-fort">
            <a:extLst>
              <a:ext uri="{FF2B5EF4-FFF2-40B4-BE49-F238E27FC236}">
                <a16:creationId xmlns:a16="http://schemas.microsoft.com/office/drawing/2014/main" id="{00000000-0008-0000-0200-00002A000000}"/>
              </a:ext>
            </a:extLst>
          </xdr:cNvPr>
          <xdr:cNvPicPr>
            <a:picLocks noChangeAspect="1"/>
          </xdr:cNvPicPr>
        </xdr:nvPicPr>
        <xdr:blipFill>
          <a:blip xmlns:r="http://schemas.openxmlformats.org/officeDocument/2006/relationships" r:embed="rId27" cstate="screen">
            <a:extLst>
              <a:ext uri="{28A0092B-C50C-407E-A947-70E740481C1C}">
                <a14:useLocalDpi xmlns:a14="http://schemas.microsoft.com/office/drawing/2010/main" val="0"/>
              </a:ext>
              <a:ext uri="{96DAC541-7B7A-43D3-8B79-37D633B846F1}">
                <asvg:svgBlip xmlns:asvg="http://schemas.microsoft.com/office/drawing/2016/SVG/main" r:embed="rId28"/>
              </a:ext>
            </a:extLst>
          </a:blip>
          <a:stretch>
            <a:fillRect/>
          </a:stretch>
        </xdr:blipFill>
        <xdr:spPr>
          <a:xfrm>
            <a:off x="5095875" y="504825"/>
            <a:ext cx="324000" cy="324000"/>
          </a:xfrm>
          <a:prstGeom prst="rect">
            <a:avLst/>
          </a:prstGeom>
        </xdr:spPr>
      </xdr:pic>
    </xdr:grpSp>
    <xdr:clientData fPrintsWithSheet="0"/>
  </xdr:twoCellAnchor>
  <mc:AlternateContent xmlns:mc="http://schemas.openxmlformats.org/markup-compatibility/2006">
    <mc:Choice xmlns:a14="http://schemas.microsoft.com/office/drawing/2010/main" Requires="a14">
      <xdr:twoCellAnchor>
        <xdr:from>
          <xdr:col>1</xdr:col>
          <xdr:colOff>657225</xdr:colOff>
          <xdr:row>9</xdr:row>
          <xdr:rowOff>66675</xdr:rowOff>
        </xdr:from>
        <xdr:to>
          <xdr:col>2</xdr:col>
          <xdr:colOff>733425</xdr:colOff>
          <xdr:row>10</xdr:row>
          <xdr:rowOff>152400</xdr:rowOff>
        </xdr:to>
        <xdr:sp macro="" textlink="">
          <xdr:nvSpPr>
            <xdr:cNvPr id="8270" name="Button 78" hidden="1">
              <a:extLst>
                <a:ext uri="{63B3BB69-23CF-44E3-9099-C40C66FF867C}">
                  <a14:compatExt spid="_x0000_s8270"/>
                </a:ext>
                <a:ext uri="{FF2B5EF4-FFF2-40B4-BE49-F238E27FC236}">
                  <a16:creationId xmlns:a16="http://schemas.microsoft.com/office/drawing/2014/main" id="{00000000-0008-0000-0200-00004E20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fr-CA" sz="900" b="0" i="0" u="none" strike="noStrike" baseline="0">
                  <a:solidFill>
                    <a:srgbClr val="000000"/>
                  </a:solidFill>
                  <a:latin typeface="Segoe UI"/>
                  <a:cs typeface="Segoe UI"/>
                </a:rPr>
                <a:t>Description des scénarios...</a:t>
              </a:r>
            </a:p>
          </xdr:txBody>
        </xdr:sp>
        <xdr:clientData fPrintsWithSheet="0"/>
      </xdr:twoCellAnchor>
    </mc:Choice>
    <mc:Fallback/>
  </mc:AlternateContent>
  <xdr:twoCellAnchor editAs="oneCell">
    <xdr:from>
      <xdr:col>8</xdr:col>
      <xdr:colOff>314330</xdr:colOff>
      <xdr:row>0</xdr:row>
      <xdr:rowOff>0</xdr:rowOff>
    </xdr:from>
    <xdr:to>
      <xdr:col>11</xdr:col>
      <xdr:colOff>14511</xdr:colOff>
      <xdr:row>0</xdr:row>
      <xdr:rowOff>304800</xdr:rowOff>
    </xdr:to>
    <xdr:grpSp>
      <xdr:nvGrpSpPr>
        <xdr:cNvPr id="44" name="grpDevMode">
          <a:extLst>
            <a:ext uri="{FF2B5EF4-FFF2-40B4-BE49-F238E27FC236}">
              <a16:creationId xmlns:a16="http://schemas.microsoft.com/office/drawing/2014/main" id="{00000000-0008-0000-0200-00002C000000}"/>
            </a:ext>
          </a:extLst>
        </xdr:cNvPr>
        <xdr:cNvGrpSpPr/>
      </xdr:nvGrpSpPr>
      <xdr:grpSpPr>
        <a:xfrm>
          <a:off x="7239005" y="0"/>
          <a:ext cx="909856" cy="304800"/>
          <a:chOff x="8472450" y="0"/>
          <a:chExt cx="905089" cy="304800"/>
        </a:xfrm>
      </xdr:grpSpPr>
      <xdr:pic macro="[0]!ToggleModeDeveloppeur">
        <xdr:nvPicPr>
          <xdr:cNvPr id="45" name="tools" descr="Outils">
            <a:extLst>
              <a:ext uri="{FF2B5EF4-FFF2-40B4-BE49-F238E27FC236}">
                <a16:creationId xmlns:a16="http://schemas.microsoft.com/office/drawing/2014/main" id="{00000000-0008-0000-0200-00002D000000}"/>
              </a:ext>
            </a:extLst>
          </xdr:cNvPr>
          <xdr:cNvPicPr>
            <a:picLocks noChangeAspect="1"/>
          </xdr:cNvPicPr>
        </xdr:nvPicPr>
        <xdr:blipFill>
          <a:blip xmlns:r="http://schemas.openxmlformats.org/officeDocument/2006/relationships" r:embed="rId29" cstate="screen">
            <a:extLst>
              <a:ext uri="{28A0092B-C50C-407E-A947-70E740481C1C}">
                <a14:useLocalDpi xmlns:a14="http://schemas.microsoft.com/office/drawing/2010/main" val="0"/>
              </a:ext>
              <a:ext uri="{96DAC541-7B7A-43D3-8B79-37D633B846F1}">
                <asvg:svgBlip xmlns:asvg="http://schemas.microsoft.com/office/drawing/2016/SVG/main" r:embed="rId30"/>
              </a:ext>
            </a:extLst>
          </a:blip>
          <a:stretch>
            <a:fillRect/>
          </a:stretch>
        </xdr:blipFill>
        <xdr:spPr>
          <a:xfrm>
            <a:off x="8472450" y="0"/>
            <a:ext cx="304800" cy="304800"/>
          </a:xfrm>
          <a:prstGeom prst="rect">
            <a:avLst/>
          </a:prstGeom>
          <a:solidFill>
            <a:schemeClr val="accent1">
              <a:lumMod val="75000"/>
            </a:schemeClr>
          </a:solidFill>
        </xdr:spPr>
      </xdr:pic>
      <xdr:sp macro="[0]!ToggleModeDeveloppeur" textlink="">
        <xdr:nvSpPr>
          <xdr:cNvPr id="46" name="txtModeDeveloppeur">
            <a:extLst>
              <a:ext uri="{FF2B5EF4-FFF2-40B4-BE49-F238E27FC236}">
                <a16:creationId xmlns:a16="http://schemas.microsoft.com/office/drawing/2014/main" id="{00000000-0008-0000-0200-00002E000000}"/>
              </a:ext>
            </a:extLst>
          </xdr:cNvPr>
          <xdr:cNvSpPr txBox="1"/>
        </xdr:nvSpPr>
        <xdr:spPr>
          <a:xfrm>
            <a:off x="8810625" y="19050"/>
            <a:ext cx="566914" cy="2730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t">
            <a:spAutoFit/>
          </a:bodyPr>
          <a:lstStyle/>
          <a:p>
            <a:r>
              <a:rPr lang="fr-CA" sz="800">
                <a:solidFill>
                  <a:schemeClr val="accent1">
                    <a:lumMod val="75000"/>
                  </a:schemeClr>
                </a:solidFill>
              </a:rPr>
              <a:t>Mode </a:t>
            </a:r>
            <a:br>
              <a:rPr lang="fr-CA" sz="800">
                <a:solidFill>
                  <a:schemeClr val="accent1">
                    <a:lumMod val="75000"/>
                  </a:schemeClr>
                </a:solidFill>
              </a:rPr>
            </a:br>
            <a:r>
              <a:rPr lang="fr-CA" sz="800">
                <a:solidFill>
                  <a:schemeClr val="accent1">
                    <a:lumMod val="75000"/>
                  </a:schemeClr>
                </a:solidFill>
              </a:rPr>
              <a:t>développeur</a:t>
            </a:r>
          </a:p>
        </xdr:txBody>
      </xdr:sp>
    </xdr:grpSp>
    <xdr:clientData fPrintsWithSheet="0"/>
  </xdr:twoCellAnchor>
  <xdr:twoCellAnchor>
    <xdr:from>
      <xdr:col>0</xdr:col>
      <xdr:colOff>0</xdr:colOff>
      <xdr:row>0</xdr:row>
      <xdr:rowOff>0</xdr:rowOff>
    </xdr:from>
    <xdr:to>
      <xdr:col>11</xdr:col>
      <xdr:colOff>104774</xdr:colOff>
      <xdr:row>36</xdr:row>
      <xdr:rowOff>0</xdr:rowOff>
    </xdr:to>
    <xdr:sp macro="" textlink="">
      <xdr:nvSpPr>
        <xdr:cNvPr id="6" name="CacheFeuille" hidden="1">
          <a:extLst>
            <a:ext uri="{FF2B5EF4-FFF2-40B4-BE49-F238E27FC236}">
              <a16:creationId xmlns:a16="http://schemas.microsoft.com/office/drawing/2014/main" id="{00000000-0008-0000-0200-000006000000}"/>
            </a:ext>
          </a:extLst>
        </xdr:cNvPr>
        <xdr:cNvSpPr/>
      </xdr:nvSpPr>
      <xdr:spPr>
        <a:xfrm>
          <a:off x="0" y="0"/>
          <a:ext cx="8239124" cy="6753225"/>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CA" sz="1100"/>
        </a:p>
      </xdr:txBody>
    </xdr:sp>
    <xdr:clientData fPrintsWithSheet="0"/>
  </xdr:twoCellAnchor>
  <mc:AlternateContent xmlns:mc="http://schemas.openxmlformats.org/markup-compatibility/2006">
    <mc:Choice xmlns:a14="http://schemas.microsoft.com/office/drawing/2010/main" Requires="a14">
      <xdr:twoCellAnchor editAs="oneCell">
        <xdr:from>
          <xdr:col>2</xdr:col>
          <xdr:colOff>9525</xdr:colOff>
          <xdr:row>15</xdr:row>
          <xdr:rowOff>9525</xdr:rowOff>
        </xdr:from>
        <xdr:to>
          <xdr:col>2</xdr:col>
          <xdr:colOff>1428750</xdr:colOff>
          <xdr:row>35</xdr:row>
          <xdr:rowOff>180975</xdr:rowOff>
        </xdr:to>
        <xdr:sp macro="" textlink="">
          <xdr:nvSpPr>
            <xdr:cNvPr id="8261" name="listboxCulturesLait" hidden="1">
              <a:extLst>
                <a:ext uri="{63B3BB69-23CF-44E3-9099-C40C66FF867C}">
                  <a14:compatExt spid="_x0000_s8261"/>
                </a:ext>
                <a:ext uri="{FF2B5EF4-FFF2-40B4-BE49-F238E27FC236}">
                  <a16:creationId xmlns:a16="http://schemas.microsoft.com/office/drawing/2014/main" id="{00000000-0008-0000-0200-000045200000}"/>
                </a:ext>
              </a:extLst>
            </xdr:cNvPr>
            <xdr:cNvSpPr/>
          </xdr:nvSpPr>
          <xdr:spPr bwMode="auto">
            <a:xfrm>
              <a:off x="0" y="0"/>
              <a:ext cx="0" cy="0"/>
            </a:xfrm>
            <a:prstGeom prst="rect">
              <a:avLst/>
            </a:prstGeom>
            <a:noFill/>
            <a:ln w="9525">
              <a:miter lim="800000"/>
              <a:headEnd/>
              <a:tailEnd/>
            </a:ln>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15</xdr:row>
          <xdr:rowOff>9525</xdr:rowOff>
        </xdr:from>
        <xdr:to>
          <xdr:col>1</xdr:col>
          <xdr:colOff>1428750</xdr:colOff>
          <xdr:row>35</xdr:row>
          <xdr:rowOff>180975</xdr:rowOff>
        </xdr:to>
        <xdr:sp macro="" textlink="">
          <xdr:nvSpPr>
            <xdr:cNvPr id="8258" name="listboxCulturesChamps" hidden="1">
              <a:extLst>
                <a:ext uri="{63B3BB69-23CF-44E3-9099-C40C66FF867C}">
                  <a14:compatExt spid="_x0000_s8258"/>
                </a:ext>
                <a:ext uri="{FF2B5EF4-FFF2-40B4-BE49-F238E27FC236}">
                  <a16:creationId xmlns:a16="http://schemas.microsoft.com/office/drawing/2014/main" id="{00000000-0008-0000-0200-00004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9525</xdr:colOff>
          <xdr:row>14</xdr:row>
          <xdr:rowOff>9525</xdr:rowOff>
        </xdr:from>
        <xdr:to>
          <xdr:col>2</xdr:col>
          <xdr:colOff>1438275</xdr:colOff>
          <xdr:row>14</xdr:row>
          <xdr:rowOff>180975</xdr:rowOff>
        </xdr:to>
        <xdr:sp macro="" textlink="">
          <xdr:nvSpPr>
            <xdr:cNvPr id="8267" name="AppliquerCulturesLait" hidden="1">
              <a:extLst>
                <a:ext uri="{63B3BB69-23CF-44E3-9099-C40C66FF867C}">
                  <a14:compatExt spid="_x0000_s8267"/>
                </a:ext>
                <a:ext uri="{FF2B5EF4-FFF2-40B4-BE49-F238E27FC236}">
                  <a16:creationId xmlns:a16="http://schemas.microsoft.com/office/drawing/2014/main" id="{00000000-0008-0000-0200-00004B2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fr-CA" sz="1000" b="0" i="0" u="none" strike="noStrike" baseline="0">
                  <a:solidFill>
                    <a:srgbClr val="000000"/>
                  </a:solidFill>
                  <a:latin typeface="Segoe UI"/>
                  <a:cs typeface="Segoe UI"/>
                </a:rPr>
                <a:t>Appliquer</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xdr:colOff>
          <xdr:row>14</xdr:row>
          <xdr:rowOff>9525</xdr:rowOff>
        </xdr:from>
        <xdr:to>
          <xdr:col>1</xdr:col>
          <xdr:colOff>1438275</xdr:colOff>
          <xdr:row>14</xdr:row>
          <xdr:rowOff>180975</xdr:rowOff>
        </xdr:to>
        <xdr:sp macro="" textlink="">
          <xdr:nvSpPr>
            <xdr:cNvPr id="8266" name="AppliquerCulturesChamps" hidden="1">
              <a:extLst>
                <a:ext uri="{63B3BB69-23CF-44E3-9099-C40C66FF867C}">
                  <a14:compatExt spid="_x0000_s8266"/>
                </a:ext>
                <a:ext uri="{FF2B5EF4-FFF2-40B4-BE49-F238E27FC236}">
                  <a16:creationId xmlns:a16="http://schemas.microsoft.com/office/drawing/2014/main" id="{00000000-0008-0000-0200-00004A2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fr-CA" sz="1000" b="0" i="0" u="none" strike="noStrike" baseline="0">
                  <a:solidFill>
                    <a:srgbClr val="000000"/>
                  </a:solidFill>
                  <a:latin typeface="Segoe UI"/>
                  <a:cs typeface="Segoe UI"/>
                </a:rPr>
                <a:t>Appliquer</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14</xdr:row>
          <xdr:rowOff>9525</xdr:rowOff>
        </xdr:from>
        <xdr:to>
          <xdr:col>1</xdr:col>
          <xdr:colOff>1438275</xdr:colOff>
          <xdr:row>14</xdr:row>
          <xdr:rowOff>180975</xdr:rowOff>
        </xdr:to>
        <xdr:sp macro="" textlink="">
          <xdr:nvSpPr>
            <xdr:cNvPr id="8268" name="ModifierCulturesChamps" hidden="1">
              <a:extLst>
                <a:ext uri="{63B3BB69-23CF-44E3-9099-C40C66FF867C}">
                  <a14:compatExt spid="_x0000_s8268"/>
                </a:ext>
                <a:ext uri="{FF2B5EF4-FFF2-40B4-BE49-F238E27FC236}">
                  <a16:creationId xmlns:a16="http://schemas.microsoft.com/office/drawing/2014/main" id="{00000000-0008-0000-0200-00004C2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fr-CA" sz="1000" b="0" i="0" u="none" strike="noStrike" baseline="0">
                  <a:solidFill>
                    <a:srgbClr val="000000"/>
                  </a:solidFill>
                  <a:latin typeface="Segoe UI"/>
                  <a:cs typeface="Segoe UI"/>
                </a:rPr>
                <a:t>Modifier</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14</xdr:row>
          <xdr:rowOff>9525</xdr:rowOff>
        </xdr:from>
        <xdr:to>
          <xdr:col>2</xdr:col>
          <xdr:colOff>1438275</xdr:colOff>
          <xdr:row>14</xdr:row>
          <xdr:rowOff>180975</xdr:rowOff>
        </xdr:to>
        <xdr:sp macro="" textlink="">
          <xdr:nvSpPr>
            <xdr:cNvPr id="8269" name="ModifierCulturesLait" hidden="1">
              <a:extLst>
                <a:ext uri="{63B3BB69-23CF-44E3-9099-C40C66FF867C}">
                  <a14:compatExt spid="_x0000_s8269"/>
                </a:ext>
                <a:ext uri="{FF2B5EF4-FFF2-40B4-BE49-F238E27FC236}">
                  <a16:creationId xmlns:a16="http://schemas.microsoft.com/office/drawing/2014/main" id="{00000000-0008-0000-0200-00004D2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fr-CA" sz="1000" b="0" i="0" u="none" strike="noStrike" baseline="0">
                  <a:solidFill>
                    <a:srgbClr val="000000"/>
                  </a:solidFill>
                  <a:latin typeface="Segoe UI"/>
                  <a:cs typeface="Segoe UI"/>
                </a:rPr>
                <a:t>Modifier</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4</xdr:col>
          <xdr:colOff>9525</xdr:colOff>
          <xdr:row>17</xdr:row>
          <xdr:rowOff>57150</xdr:rowOff>
        </xdr:from>
        <xdr:to>
          <xdr:col>5</xdr:col>
          <xdr:colOff>9525</xdr:colOff>
          <xdr:row>19</xdr:row>
          <xdr:rowOff>95250</xdr:rowOff>
        </xdr:to>
        <xdr:sp macro="" textlink="">
          <xdr:nvSpPr>
            <xdr:cNvPr id="8271" name="AppliquerSelectionsCultures" hidden="1">
              <a:extLst>
                <a:ext uri="{63B3BB69-23CF-44E3-9099-C40C66FF867C}">
                  <a14:compatExt spid="_x0000_s8271"/>
                </a:ext>
                <a:ext uri="{FF2B5EF4-FFF2-40B4-BE49-F238E27FC236}">
                  <a16:creationId xmlns:a16="http://schemas.microsoft.com/office/drawing/2014/main" id="{00000000-0008-0000-0200-00004F20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fr-CA" sz="900" b="1" i="0" u="none" strike="noStrike" baseline="0">
                  <a:solidFill>
                    <a:srgbClr val="000080"/>
                  </a:solidFill>
                  <a:latin typeface="Segoe UI"/>
                  <a:cs typeface="Segoe UI"/>
                </a:rPr>
                <a:t>Appliquer les sélections </a:t>
              </a:r>
            </a:p>
            <a:p>
              <a:pPr algn="ctr" rtl="0">
                <a:defRPr sz="1000"/>
              </a:pPr>
              <a:r>
                <a:rPr lang="fr-CA" sz="900" b="1" i="0" u="none" strike="noStrike" baseline="0">
                  <a:solidFill>
                    <a:srgbClr val="000080"/>
                  </a:solidFill>
                  <a:latin typeface="Segoe UI"/>
                  <a:cs typeface="Segoe UI"/>
                </a:rPr>
                <a:t>aux feuilles de travail</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381000</xdr:colOff>
          <xdr:row>21</xdr:row>
          <xdr:rowOff>104775</xdr:rowOff>
        </xdr:from>
        <xdr:to>
          <xdr:col>9</xdr:col>
          <xdr:colOff>238125</xdr:colOff>
          <xdr:row>23</xdr:row>
          <xdr:rowOff>0</xdr:rowOff>
        </xdr:to>
        <xdr:sp macro="" textlink="">
          <xdr:nvSpPr>
            <xdr:cNvPr id="8272" name="ImportOuvrir" hidden="1">
              <a:extLst>
                <a:ext uri="{63B3BB69-23CF-44E3-9099-C40C66FF867C}">
                  <a14:compatExt spid="_x0000_s8272"/>
                </a:ext>
                <a:ext uri="{FF2B5EF4-FFF2-40B4-BE49-F238E27FC236}">
                  <a16:creationId xmlns:a16="http://schemas.microsoft.com/office/drawing/2014/main" id="{00000000-0008-0000-0200-00005020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fr-CA" sz="900" b="0" i="0" u="none" strike="noStrike" baseline="0">
                  <a:solidFill>
                    <a:srgbClr val="000000"/>
                  </a:solidFill>
                  <a:latin typeface="Segoe UI"/>
                  <a:cs typeface="Segoe UI"/>
                </a:rPr>
                <a:t>Ouvrir un classeur...</a:t>
              </a:r>
            </a:p>
          </xdr:txBody>
        </xdr:sp>
        <xdr:clientData fPrintsWithSheet="0"/>
      </xdr:twoCellAnchor>
    </mc:Choice>
    <mc:Fallback/>
  </mc:AlternateContent>
  <xdr:twoCellAnchor editAs="oneCell">
    <xdr:from>
      <xdr:col>7</xdr:col>
      <xdr:colOff>76200</xdr:colOff>
      <xdr:row>21</xdr:row>
      <xdr:rowOff>152400</xdr:rowOff>
    </xdr:from>
    <xdr:to>
      <xdr:col>7</xdr:col>
      <xdr:colOff>328200</xdr:colOff>
      <xdr:row>23</xdr:row>
      <xdr:rowOff>42450</xdr:rowOff>
    </xdr:to>
    <xdr:pic macro="[0]!ImportData">
      <xdr:nvPicPr>
        <xdr:cNvPr id="12" name="import" descr="Partager">
          <a:extLst>
            <a:ext uri="{FF2B5EF4-FFF2-40B4-BE49-F238E27FC236}">
              <a16:creationId xmlns:a16="http://schemas.microsoft.com/office/drawing/2014/main" id="{00000000-0008-0000-0200-00000C000000}"/>
            </a:ext>
          </a:extLst>
        </xdr:cNvPr>
        <xdr:cNvPicPr>
          <a:picLocks noChangeAspect="1"/>
        </xdr:cNvPicPr>
      </xdr:nvPicPr>
      <xdr:blipFill>
        <a:blip xmlns:r="http://schemas.openxmlformats.org/officeDocument/2006/relationships" r:embed="rId31" cstate="screen">
          <a:extLst>
            <a:ext uri="{28A0092B-C50C-407E-A947-70E740481C1C}">
              <a14:useLocalDpi xmlns:a14="http://schemas.microsoft.com/office/drawing/2010/main" val="0"/>
            </a:ext>
            <a:ext uri="{96DAC541-7B7A-43D3-8B79-37D633B846F1}">
              <asvg:svgBlip xmlns:asvg="http://schemas.microsoft.com/office/drawing/2016/SVG/main" r:embed="rId32"/>
            </a:ext>
          </a:extLst>
        </a:blip>
        <a:stretch>
          <a:fillRect/>
        </a:stretch>
      </xdr:blipFill>
      <xdr:spPr>
        <a:xfrm>
          <a:off x="5905500" y="4010025"/>
          <a:ext cx="252000" cy="252000"/>
        </a:xfrm>
        <a:prstGeom prst="rect">
          <a:avLst/>
        </a:prstGeom>
      </xdr:spPr>
    </xdr:pic>
    <xdr:clientData fPrintsWithSheet="0"/>
  </xdr:twoCellAnchor>
  <mc:AlternateContent xmlns:mc="http://schemas.openxmlformats.org/markup-compatibility/2006">
    <mc:Choice xmlns:a14="http://schemas.microsoft.com/office/drawing/2010/main" Requires="a14">
      <xdr:twoCellAnchor editAs="oneCell">
        <xdr:from>
          <xdr:col>7</xdr:col>
          <xdr:colOff>381000</xdr:colOff>
          <xdr:row>23</xdr:row>
          <xdr:rowOff>66675</xdr:rowOff>
        </xdr:from>
        <xdr:to>
          <xdr:col>9</xdr:col>
          <xdr:colOff>247650</xdr:colOff>
          <xdr:row>24</xdr:row>
          <xdr:rowOff>133350</xdr:rowOff>
        </xdr:to>
        <xdr:sp macro="" textlink="">
          <xdr:nvSpPr>
            <xdr:cNvPr id="8273" name="Importer" hidden="1">
              <a:extLst>
                <a:ext uri="{63B3BB69-23CF-44E3-9099-C40C66FF867C}">
                  <a14:compatExt spid="_x0000_s8273"/>
                </a:ext>
                <a:ext uri="{FF2B5EF4-FFF2-40B4-BE49-F238E27FC236}">
                  <a16:creationId xmlns:a16="http://schemas.microsoft.com/office/drawing/2014/main" id="{00000000-0008-0000-0200-00005120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fr-CA" sz="900" b="0" i="0" u="none" strike="noStrike" baseline="0">
                  <a:solidFill>
                    <a:srgbClr val="000000"/>
                  </a:solidFill>
                  <a:latin typeface="Segoe UI"/>
                  <a:cs typeface="Segoe UI"/>
                </a:rPr>
                <a:t>Importer</a:t>
              </a:r>
            </a:p>
          </xdr:txBody>
        </xdr:sp>
        <xdr:clientData fPrintsWithSheet="0"/>
      </xdr:twoCellAnchor>
    </mc:Choice>
    <mc:Fallback/>
  </mc:AlternateContent>
  <xdr:twoCellAnchor>
    <xdr:from>
      <xdr:col>2</xdr:col>
      <xdr:colOff>12700</xdr:colOff>
      <xdr:row>12</xdr:row>
      <xdr:rowOff>171449</xdr:rowOff>
    </xdr:from>
    <xdr:to>
      <xdr:col>3</xdr:col>
      <xdr:colOff>19050</xdr:colOff>
      <xdr:row>36</xdr:row>
      <xdr:rowOff>9524</xdr:rowOff>
    </xdr:to>
    <xdr:sp macro="" textlink="">
      <xdr:nvSpPr>
        <xdr:cNvPr id="2" name="masqueListboxCulturesLait" hidden="1">
          <a:extLst>
            <a:ext uri="{FF2B5EF4-FFF2-40B4-BE49-F238E27FC236}">
              <a16:creationId xmlns:a16="http://schemas.microsoft.com/office/drawing/2014/main" id="{00000000-0008-0000-0200-000002000000}"/>
            </a:ext>
          </a:extLst>
        </xdr:cNvPr>
        <xdr:cNvSpPr/>
      </xdr:nvSpPr>
      <xdr:spPr>
        <a:xfrm>
          <a:off x="1746250" y="2543174"/>
          <a:ext cx="1444625" cy="4238625"/>
        </a:xfrm>
        <a:prstGeom prst="rect">
          <a:avLst/>
        </a:prstGeom>
        <a:solidFill>
          <a:srgbClr val="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CA" sz="1100"/>
        </a:p>
      </xdr:txBody>
    </xdr:sp>
    <xdr:clientData/>
  </xdr:twoCellAnchor>
  <xdr:twoCellAnchor editAs="oneCell">
    <xdr:from>
      <xdr:col>7</xdr:col>
      <xdr:colOff>381000</xdr:colOff>
      <xdr:row>23</xdr:row>
      <xdr:rowOff>66675</xdr:rowOff>
    </xdr:from>
    <xdr:to>
      <xdr:col>9</xdr:col>
      <xdr:colOff>247650</xdr:colOff>
      <xdr:row>24</xdr:row>
      <xdr:rowOff>133350</xdr:rowOff>
    </xdr:to>
    <xdr:sp macro="" textlink="">
      <xdr:nvSpPr>
        <xdr:cNvPr id="11" name="masqueBoutonImporter">
          <a:extLst>
            <a:ext uri="{FF2B5EF4-FFF2-40B4-BE49-F238E27FC236}">
              <a16:creationId xmlns:a16="http://schemas.microsoft.com/office/drawing/2014/main" id="{00000000-0008-0000-0200-00000B000000}"/>
            </a:ext>
          </a:extLst>
        </xdr:cNvPr>
        <xdr:cNvSpPr/>
      </xdr:nvSpPr>
      <xdr:spPr>
        <a:xfrm>
          <a:off x="6210300" y="4286250"/>
          <a:ext cx="1752600" cy="247650"/>
        </a:xfrm>
        <a:prstGeom prst="rect">
          <a:avLst/>
        </a:prstGeom>
        <a:solidFill>
          <a:srgbClr val="EAEAEA">
            <a:alpha val="50196"/>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CA" sz="1100"/>
        </a:p>
      </xdr:txBody>
    </xdr:sp>
    <xdr:clientData fPrintsWithSheet="0"/>
  </xdr:twoCellAnchor>
  <xdr:twoCellAnchor editAs="oneCell">
    <xdr:from>
      <xdr:col>9</xdr:col>
      <xdr:colOff>247650</xdr:colOff>
      <xdr:row>20</xdr:row>
      <xdr:rowOff>9525</xdr:rowOff>
    </xdr:from>
    <xdr:to>
      <xdr:col>11</xdr:col>
      <xdr:colOff>8550</xdr:colOff>
      <xdr:row>20</xdr:row>
      <xdr:rowOff>189525</xdr:rowOff>
    </xdr:to>
    <xdr:pic macro="[0]!aidescontext.Aide_Config_ImportData">
      <xdr:nvPicPr>
        <xdr:cNvPr id="53" name="AideBackup" descr="Aide">
          <a:extLst>
            <a:ext uri="{FF2B5EF4-FFF2-40B4-BE49-F238E27FC236}">
              <a16:creationId xmlns:a16="http://schemas.microsoft.com/office/drawing/2014/main" id="{00000000-0008-0000-0200-000035000000}"/>
            </a:ext>
          </a:extLst>
        </xdr:cNvPr>
        <xdr:cNvPicPr>
          <a:picLocks noChangeAspect="1"/>
        </xdr:cNvPicPr>
      </xdr:nvPicPr>
      <xdr:blipFill>
        <a:blip xmlns:r="http://schemas.openxmlformats.org/officeDocument/2006/relationships" r:embed="rId5" cstate="screen">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7962900" y="3857625"/>
          <a:ext cx="180000" cy="180000"/>
        </a:xfrm>
        <a:prstGeom prst="rect">
          <a:avLst/>
        </a:prstGeom>
      </xdr:spPr>
    </xdr:pic>
    <xdr:clientData fPrintsWithSheet="0"/>
  </xdr:twoCellAnchor>
</xdr:wsDr>
</file>

<file path=xl/drawings/drawing4.xml><?xml version="1.0" encoding="utf-8"?>
<xdr:wsDr xmlns:xdr="http://schemas.openxmlformats.org/drawingml/2006/spreadsheetDrawing" xmlns:a="http://schemas.openxmlformats.org/drawingml/2006/main">
  <xdr:twoCellAnchor editAs="oneCell">
    <xdr:from>
      <xdr:col>1</xdr:col>
      <xdr:colOff>11206</xdr:colOff>
      <xdr:row>5</xdr:row>
      <xdr:rowOff>1681</xdr:rowOff>
    </xdr:from>
    <xdr:to>
      <xdr:col>3</xdr:col>
      <xdr:colOff>2849266</xdr:colOff>
      <xdr:row>15</xdr:row>
      <xdr:rowOff>3175</xdr:rowOff>
    </xdr:to>
    <xdr:sp macro="" textlink="" fLocksText="0">
      <xdr:nvSpPr>
        <xdr:cNvPr id="2" name="ZoneTexte 1">
          <a:extLst>
            <a:ext uri="{FF2B5EF4-FFF2-40B4-BE49-F238E27FC236}">
              <a16:creationId xmlns:a16="http://schemas.microsoft.com/office/drawing/2014/main" id="{00000000-0008-0000-0300-000002000000}"/>
            </a:ext>
          </a:extLst>
        </xdr:cNvPr>
        <xdr:cNvSpPr txBox="1"/>
      </xdr:nvSpPr>
      <xdr:spPr>
        <a:xfrm>
          <a:off x="277906" y="1735231"/>
          <a:ext cx="5847960" cy="181124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CA">
            <a:effectLst/>
          </a:endParaRPr>
        </a:p>
      </xdr:txBody>
    </xdr:sp>
    <xdr:clientData/>
  </xdr:twoCellAnchor>
  <xdr:twoCellAnchor editAs="oneCell">
    <xdr:from>
      <xdr:col>1</xdr:col>
      <xdr:colOff>0</xdr:colOff>
      <xdr:row>19</xdr:row>
      <xdr:rowOff>38100</xdr:rowOff>
    </xdr:from>
    <xdr:to>
      <xdr:col>3</xdr:col>
      <xdr:colOff>2857500</xdr:colOff>
      <xdr:row>29</xdr:row>
      <xdr:rowOff>560</xdr:rowOff>
    </xdr:to>
    <xdr:sp macro="" textlink="" fLocksText="0">
      <xdr:nvSpPr>
        <xdr:cNvPr id="3" name="ZoneTexte 2">
          <a:extLst>
            <a:ext uri="{FF2B5EF4-FFF2-40B4-BE49-F238E27FC236}">
              <a16:creationId xmlns:a16="http://schemas.microsoft.com/office/drawing/2014/main" id="{00000000-0008-0000-0300-000003000000}"/>
            </a:ext>
          </a:extLst>
        </xdr:cNvPr>
        <xdr:cNvSpPr txBox="1"/>
      </xdr:nvSpPr>
      <xdr:spPr>
        <a:xfrm>
          <a:off x="276225" y="3000375"/>
          <a:ext cx="5953125" cy="122928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lang="fr-CA" sz="1100"/>
        </a:p>
      </xdr:txBody>
    </xdr:sp>
    <xdr:clientData/>
  </xdr:twoCellAnchor>
  <xdr:twoCellAnchor editAs="oneCell">
    <xdr:from>
      <xdr:col>1</xdr:col>
      <xdr:colOff>0</xdr:colOff>
      <xdr:row>45</xdr:row>
      <xdr:rowOff>180975</xdr:rowOff>
    </xdr:from>
    <xdr:to>
      <xdr:col>3</xdr:col>
      <xdr:colOff>2857500</xdr:colOff>
      <xdr:row>56</xdr:row>
      <xdr:rowOff>560</xdr:rowOff>
    </xdr:to>
    <xdr:sp macro="" textlink="">
      <xdr:nvSpPr>
        <xdr:cNvPr id="4" name="ZoneTexte 3">
          <a:extLst>
            <a:ext uri="{FF2B5EF4-FFF2-40B4-BE49-F238E27FC236}">
              <a16:creationId xmlns:a16="http://schemas.microsoft.com/office/drawing/2014/main" id="{00000000-0008-0000-0300-000004000000}"/>
            </a:ext>
          </a:extLst>
        </xdr:cNvPr>
        <xdr:cNvSpPr txBox="1"/>
      </xdr:nvSpPr>
      <xdr:spPr>
        <a:xfrm>
          <a:off x="276225" y="8305800"/>
          <a:ext cx="5953125" cy="181983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CA" sz="1100"/>
        </a:p>
      </xdr:txBody>
    </xdr:sp>
    <xdr:clientData/>
  </xdr:twoCellAnchor>
  <xdr:twoCellAnchor editAs="oneCell">
    <xdr:from>
      <xdr:col>1</xdr:col>
      <xdr:colOff>0</xdr:colOff>
      <xdr:row>62</xdr:row>
      <xdr:rowOff>19051</xdr:rowOff>
    </xdr:from>
    <xdr:to>
      <xdr:col>2</xdr:col>
      <xdr:colOff>560</xdr:colOff>
      <xdr:row>72</xdr:row>
      <xdr:rowOff>561</xdr:rowOff>
    </xdr:to>
    <xdr:sp macro="" textlink="" fLocksText="0">
      <xdr:nvSpPr>
        <xdr:cNvPr id="5" name="ZoneTexte 4">
          <a:extLst>
            <a:ext uri="{FF2B5EF4-FFF2-40B4-BE49-F238E27FC236}">
              <a16:creationId xmlns:a16="http://schemas.microsoft.com/office/drawing/2014/main" id="{00000000-0008-0000-0300-000005000000}"/>
            </a:ext>
          </a:extLst>
        </xdr:cNvPr>
        <xdr:cNvSpPr txBox="1"/>
      </xdr:nvSpPr>
      <xdr:spPr>
        <a:xfrm>
          <a:off x="276225" y="11410951"/>
          <a:ext cx="2962835" cy="17912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CA" sz="1100"/>
        </a:p>
      </xdr:txBody>
    </xdr:sp>
    <xdr:clientData/>
  </xdr:twoCellAnchor>
  <xdr:twoCellAnchor editAs="oneCell">
    <xdr:from>
      <xdr:col>1</xdr:col>
      <xdr:colOff>47625</xdr:colOff>
      <xdr:row>33</xdr:row>
      <xdr:rowOff>1</xdr:rowOff>
    </xdr:from>
    <xdr:to>
      <xdr:col>4</xdr:col>
      <xdr:colOff>28575</xdr:colOff>
      <xdr:row>42</xdr:row>
      <xdr:rowOff>123825</xdr:rowOff>
    </xdr:to>
    <xdr:sp macro="" textlink="" fLocksText="0">
      <xdr:nvSpPr>
        <xdr:cNvPr id="6" name="ZoneTexte 5">
          <a:extLst>
            <a:ext uri="{FF2B5EF4-FFF2-40B4-BE49-F238E27FC236}">
              <a16:creationId xmlns:a16="http://schemas.microsoft.com/office/drawing/2014/main" id="{00000000-0008-0000-0300-000006000000}"/>
            </a:ext>
          </a:extLst>
        </xdr:cNvPr>
        <xdr:cNvSpPr txBox="1"/>
      </xdr:nvSpPr>
      <xdr:spPr>
        <a:xfrm>
          <a:off x="314325" y="6000751"/>
          <a:ext cx="5867400" cy="1752599"/>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lang="fr-CA" sz="1100"/>
        </a:p>
      </xdr:txBody>
    </xdr:sp>
    <xdr:clientData/>
  </xdr:twoCellAnchor>
  <xdr:twoCellAnchor editAs="oneCell">
    <xdr:from>
      <xdr:col>3</xdr:col>
      <xdr:colOff>0</xdr:colOff>
      <xdr:row>62</xdr:row>
      <xdr:rowOff>19051</xdr:rowOff>
    </xdr:from>
    <xdr:to>
      <xdr:col>4</xdr:col>
      <xdr:colOff>560</xdr:colOff>
      <xdr:row>72</xdr:row>
      <xdr:rowOff>561</xdr:rowOff>
    </xdr:to>
    <xdr:sp macro="" textlink="" fLocksText="0">
      <xdr:nvSpPr>
        <xdr:cNvPr id="7" name="ZoneTexte 6">
          <a:extLst>
            <a:ext uri="{FF2B5EF4-FFF2-40B4-BE49-F238E27FC236}">
              <a16:creationId xmlns:a16="http://schemas.microsoft.com/office/drawing/2014/main" id="{00000000-0008-0000-0300-000007000000}"/>
            </a:ext>
          </a:extLst>
        </xdr:cNvPr>
        <xdr:cNvSpPr txBox="1"/>
      </xdr:nvSpPr>
      <xdr:spPr>
        <a:xfrm>
          <a:off x="3371850" y="11410951"/>
          <a:ext cx="2877110" cy="17912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CA" sz="1100"/>
        </a:p>
      </xdr:txBody>
    </xdr:sp>
    <xdr:clientData/>
  </xdr:twoCellAnchor>
  <xdr:twoCellAnchor editAs="oneCell">
    <xdr:from>
      <xdr:col>1</xdr:col>
      <xdr:colOff>0</xdr:colOff>
      <xdr:row>78</xdr:row>
      <xdr:rowOff>1</xdr:rowOff>
    </xdr:from>
    <xdr:to>
      <xdr:col>2</xdr:col>
      <xdr:colOff>560</xdr:colOff>
      <xdr:row>88</xdr:row>
      <xdr:rowOff>561</xdr:rowOff>
    </xdr:to>
    <xdr:sp macro="" textlink="" fLocksText="0">
      <xdr:nvSpPr>
        <xdr:cNvPr id="8" name="ZoneTexte 7">
          <a:extLst>
            <a:ext uri="{FF2B5EF4-FFF2-40B4-BE49-F238E27FC236}">
              <a16:creationId xmlns:a16="http://schemas.microsoft.com/office/drawing/2014/main" id="{00000000-0008-0000-0300-000008000000}"/>
            </a:ext>
          </a:extLst>
        </xdr:cNvPr>
        <xdr:cNvSpPr txBox="1"/>
      </xdr:nvSpPr>
      <xdr:spPr>
        <a:xfrm>
          <a:off x="276225" y="14106526"/>
          <a:ext cx="2962835" cy="181031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CA" sz="1100"/>
        </a:p>
      </xdr:txBody>
    </xdr:sp>
    <xdr:clientData/>
  </xdr:twoCellAnchor>
  <xdr:twoCellAnchor editAs="oneCell">
    <xdr:from>
      <xdr:col>3</xdr:col>
      <xdr:colOff>0</xdr:colOff>
      <xdr:row>78</xdr:row>
      <xdr:rowOff>1</xdr:rowOff>
    </xdr:from>
    <xdr:to>
      <xdr:col>4</xdr:col>
      <xdr:colOff>560</xdr:colOff>
      <xdr:row>88</xdr:row>
      <xdr:rowOff>561</xdr:rowOff>
    </xdr:to>
    <xdr:sp macro="" textlink="" fLocksText="0">
      <xdr:nvSpPr>
        <xdr:cNvPr id="9" name="ZoneTexte 8">
          <a:extLst>
            <a:ext uri="{FF2B5EF4-FFF2-40B4-BE49-F238E27FC236}">
              <a16:creationId xmlns:a16="http://schemas.microsoft.com/office/drawing/2014/main" id="{00000000-0008-0000-0300-000009000000}"/>
            </a:ext>
          </a:extLst>
        </xdr:cNvPr>
        <xdr:cNvSpPr txBox="1"/>
      </xdr:nvSpPr>
      <xdr:spPr>
        <a:xfrm>
          <a:off x="3371850" y="14106526"/>
          <a:ext cx="2877110" cy="181031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CA" sz="1100"/>
        </a:p>
      </xdr:txBody>
    </xdr:sp>
    <xdr:clientData/>
  </xdr:twoCellAnchor>
  <xdr:twoCellAnchor editAs="oneCell">
    <xdr:from>
      <xdr:col>1</xdr:col>
      <xdr:colOff>0</xdr:colOff>
      <xdr:row>106</xdr:row>
      <xdr:rowOff>171450</xdr:rowOff>
    </xdr:from>
    <xdr:to>
      <xdr:col>2</xdr:col>
      <xdr:colOff>560</xdr:colOff>
      <xdr:row>116</xdr:row>
      <xdr:rowOff>560</xdr:rowOff>
    </xdr:to>
    <xdr:sp macro="" textlink="" fLocksText="0">
      <xdr:nvSpPr>
        <xdr:cNvPr id="12" name="ZoneTexte 11">
          <a:extLst>
            <a:ext uri="{FF2B5EF4-FFF2-40B4-BE49-F238E27FC236}">
              <a16:creationId xmlns:a16="http://schemas.microsoft.com/office/drawing/2014/main" id="{00000000-0008-0000-0300-00000C000000}"/>
            </a:ext>
          </a:extLst>
        </xdr:cNvPr>
        <xdr:cNvSpPr txBox="1"/>
      </xdr:nvSpPr>
      <xdr:spPr>
        <a:xfrm>
          <a:off x="276225" y="16811625"/>
          <a:ext cx="2962835" cy="181983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CA" sz="1100"/>
        </a:p>
      </xdr:txBody>
    </xdr:sp>
    <xdr:clientData/>
  </xdr:twoCellAnchor>
  <xdr:twoCellAnchor editAs="oneCell">
    <xdr:from>
      <xdr:col>3</xdr:col>
      <xdr:colOff>0</xdr:colOff>
      <xdr:row>106</xdr:row>
      <xdr:rowOff>171450</xdr:rowOff>
    </xdr:from>
    <xdr:to>
      <xdr:col>4</xdr:col>
      <xdr:colOff>560</xdr:colOff>
      <xdr:row>116</xdr:row>
      <xdr:rowOff>560</xdr:rowOff>
    </xdr:to>
    <xdr:sp macro="" textlink="" fLocksText="0">
      <xdr:nvSpPr>
        <xdr:cNvPr id="13" name="ZoneTexte 12">
          <a:extLst>
            <a:ext uri="{FF2B5EF4-FFF2-40B4-BE49-F238E27FC236}">
              <a16:creationId xmlns:a16="http://schemas.microsoft.com/office/drawing/2014/main" id="{00000000-0008-0000-0300-00000D000000}"/>
            </a:ext>
          </a:extLst>
        </xdr:cNvPr>
        <xdr:cNvSpPr txBox="1"/>
      </xdr:nvSpPr>
      <xdr:spPr>
        <a:xfrm>
          <a:off x="3371850" y="16811625"/>
          <a:ext cx="2877110" cy="181983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CA" sz="1100"/>
        </a:p>
      </xdr:txBody>
    </xdr:sp>
    <xdr:clientData/>
  </xdr:twoCellAnchor>
  <xdr:twoCellAnchor editAs="oneCell">
    <xdr:from>
      <xdr:col>1</xdr:col>
      <xdr:colOff>0</xdr:colOff>
      <xdr:row>121</xdr:row>
      <xdr:rowOff>171450</xdr:rowOff>
    </xdr:from>
    <xdr:to>
      <xdr:col>2</xdr:col>
      <xdr:colOff>560</xdr:colOff>
      <xdr:row>131</xdr:row>
      <xdr:rowOff>560</xdr:rowOff>
    </xdr:to>
    <xdr:sp macro="" textlink="" fLocksText="0">
      <xdr:nvSpPr>
        <xdr:cNvPr id="14" name="ZoneTexte 13">
          <a:extLst>
            <a:ext uri="{FF2B5EF4-FFF2-40B4-BE49-F238E27FC236}">
              <a16:creationId xmlns:a16="http://schemas.microsoft.com/office/drawing/2014/main" id="{00000000-0008-0000-0300-00000E000000}"/>
            </a:ext>
          </a:extLst>
        </xdr:cNvPr>
        <xdr:cNvSpPr txBox="1"/>
      </xdr:nvSpPr>
      <xdr:spPr>
        <a:xfrm>
          <a:off x="276225" y="19707225"/>
          <a:ext cx="2962835" cy="181983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CA" sz="1100"/>
        </a:p>
      </xdr:txBody>
    </xdr:sp>
    <xdr:clientData/>
  </xdr:twoCellAnchor>
  <xdr:twoCellAnchor editAs="oneCell">
    <xdr:from>
      <xdr:col>3</xdr:col>
      <xdr:colOff>0</xdr:colOff>
      <xdr:row>121</xdr:row>
      <xdr:rowOff>171450</xdr:rowOff>
    </xdr:from>
    <xdr:to>
      <xdr:col>4</xdr:col>
      <xdr:colOff>560</xdr:colOff>
      <xdr:row>131</xdr:row>
      <xdr:rowOff>560</xdr:rowOff>
    </xdr:to>
    <xdr:sp macro="" textlink="" fLocksText="0">
      <xdr:nvSpPr>
        <xdr:cNvPr id="15" name="ZoneTexte 14">
          <a:extLst>
            <a:ext uri="{FF2B5EF4-FFF2-40B4-BE49-F238E27FC236}">
              <a16:creationId xmlns:a16="http://schemas.microsoft.com/office/drawing/2014/main" id="{00000000-0008-0000-0300-00000F000000}"/>
            </a:ext>
          </a:extLst>
        </xdr:cNvPr>
        <xdr:cNvSpPr txBox="1"/>
      </xdr:nvSpPr>
      <xdr:spPr>
        <a:xfrm>
          <a:off x="3371850" y="19707225"/>
          <a:ext cx="2877110" cy="181983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CA" sz="1100"/>
        </a:p>
      </xdr:txBody>
    </xdr:sp>
    <xdr:clientData/>
  </xdr:twoCellAnchor>
  <xdr:twoCellAnchor editAs="oneCell">
    <xdr:from>
      <xdr:col>0</xdr:col>
      <xdr:colOff>0</xdr:colOff>
      <xdr:row>0</xdr:row>
      <xdr:rowOff>0</xdr:rowOff>
    </xdr:from>
    <xdr:to>
      <xdr:col>1</xdr:col>
      <xdr:colOff>28575</xdr:colOff>
      <xdr:row>0</xdr:row>
      <xdr:rowOff>295275</xdr:rowOff>
    </xdr:to>
    <xdr:pic>
      <xdr:nvPicPr>
        <xdr:cNvPr id="19" name="Graphique 18" descr="Document">
          <a:extLst>
            <a:ext uri="{FF2B5EF4-FFF2-40B4-BE49-F238E27FC236}">
              <a16:creationId xmlns:a16="http://schemas.microsoft.com/office/drawing/2014/main" id="{00000000-0008-0000-0300-000013000000}"/>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0" y="0"/>
          <a:ext cx="295275" cy="295275"/>
        </a:xfrm>
        <a:prstGeom prst="rect">
          <a:avLst/>
        </a:prstGeom>
      </xdr:spPr>
    </xdr:pic>
    <xdr:clientData fPrintsWithSheet="0"/>
  </xdr:twoCellAnchor>
  <xdr:twoCellAnchor editAs="oneCell">
    <xdr:from>
      <xdr:col>1</xdr:col>
      <xdr:colOff>0</xdr:colOff>
      <xdr:row>137</xdr:row>
      <xdr:rowOff>0</xdr:rowOff>
    </xdr:from>
    <xdr:to>
      <xdr:col>2</xdr:col>
      <xdr:colOff>560</xdr:colOff>
      <xdr:row>146</xdr:row>
      <xdr:rowOff>10085</xdr:rowOff>
    </xdr:to>
    <xdr:sp macro="" textlink="" fLocksText="0">
      <xdr:nvSpPr>
        <xdr:cNvPr id="18" name="ZoneTexte 17">
          <a:extLst>
            <a:ext uri="{FF2B5EF4-FFF2-40B4-BE49-F238E27FC236}">
              <a16:creationId xmlns:a16="http://schemas.microsoft.com/office/drawing/2014/main" id="{00000000-0008-0000-0300-000012000000}"/>
            </a:ext>
          </a:extLst>
        </xdr:cNvPr>
        <xdr:cNvSpPr txBox="1"/>
      </xdr:nvSpPr>
      <xdr:spPr>
        <a:xfrm>
          <a:off x="276225" y="22612350"/>
          <a:ext cx="2962835" cy="181983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CA" sz="1100"/>
        </a:p>
      </xdr:txBody>
    </xdr:sp>
    <xdr:clientData/>
  </xdr:twoCellAnchor>
  <xdr:twoCellAnchor editAs="oneCell">
    <xdr:from>
      <xdr:col>3</xdr:col>
      <xdr:colOff>0</xdr:colOff>
      <xdr:row>137</xdr:row>
      <xdr:rowOff>0</xdr:rowOff>
    </xdr:from>
    <xdr:to>
      <xdr:col>4</xdr:col>
      <xdr:colOff>560</xdr:colOff>
      <xdr:row>146</xdr:row>
      <xdr:rowOff>10085</xdr:rowOff>
    </xdr:to>
    <xdr:sp macro="" textlink="" fLocksText="0">
      <xdr:nvSpPr>
        <xdr:cNvPr id="20" name="ZoneTexte 19">
          <a:extLst>
            <a:ext uri="{FF2B5EF4-FFF2-40B4-BE49-F238E27FC236}">
              <a16:creationId xmlns:a16="http://schemas.microsoft.com/office/drawing/2014/main" id="{00000000-0008-0000-0300-000014000000}"/>
            </a:ext>
          </a:extLst>
        </xdr:cNvPr>
        <xdr:cNvSpPr txBox="1"/>
      </xdr:nvSpPr>
      <xdr:spPr>
        <a:xfrm>
          <a:off x="3371850" y="22612350"/>
          <a:ext cx="2877110" cy="181983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CA" sz="1100"/>
        </a:p>
      </xdr:txBody>
    </xdr:sp>
    <xdr:clientData/>
  </xdr:twoCellAnchor>
  <xdr:twoCellAnchor editAs="oneCell">
    <xdr:from>
      <xdr:col>1</xdr:col>
      <xdr:colOff>0</xdr:colOff>
      <xdr:row>93</xdr:row>
      <xdr:rowOff>0</xdr:rowOff>
    </xdr:from>
    <xdr:to>
      <xdr:col>2</xdr:col>
      <xdr:colOff>560</xdr:colOff>
      <xdr:row>102</xdr:row>
      <xdr:rowOff>10085</xdr:rowOff>
    </xdr:to>
    <xdr:sp macro="" textlink="" fLocksText="0">
      <xdr:nvSpPr>
        <xdr:cNvPr id="23" name="RotationActuel">
          <a:extLst>
            <a:ext uri="{FF2B5EF4-FFF2-40B4-BE49-F238E27FC236}">
              <a16:creationId xmlns:a16="http://schemas.microsoft.com/office/drawing/2014/main" id="{00000000-0008-0000-0300-000017000000}"/>
            </a:ext>
          </a:extLst>
        </xdr:cNvPr>
        <xdr:cNvSpPr txBox="1"/>
      </xdr:nvSpPr>
      <xdr:spPr>
        <a:xfrm>
          <a:off x="266700" y="24060150"/>
          <a:ext cx="2877110" cy="16388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CA" sz="1100"/>
        </a:p>
      </xdr:txBody>
    </xdr:sp>
    <xdr:clientData/>
  </xdr:twoCellAnchor>
  <xdr:twoCellAnchor editAs="oneCell">
    <xdr:from>
      <xdr:col>3</xdr:col>
      <xdr:colOff>0</xdr:colOff>
      <xdr:row>93</xdr:row>
      <xdr:rowOff>0</xdr:rowOff>
    </xdr:from>
    <xdr:to>
      <xdr:col>4</xdr:col>
      <xdr:colOff>560</xdr:colOff>
      <xdr:row>102</xdr:row>
      <xdr:rowOff>10085</xdr:rowOff>
    </xdr:to>
    <xdr:sp macro="" textlink="" fLocksText="0">
      <xdr:nvSpPr>
        <xdr:cNvPr id="24" name="RotationFutur">
          <a:extLst>
            <a:ext uri="{FF2B5EF4-FFF2-40B4-BE49-F238E27FC236}">
              <a16:creationId xmlns:a16="http://schemas.microsoft.com/office/drawing/2014/main" id="{00000000-0008-0000-0300-000018000000}"/>
            </a:ext>
          </a:extLst>
        </xdr:cNvPr>
        <xdr:cNvSpPr txBox="1"/>
      </xdr:nvSpPr>
      <xdr:spPr>
        <a:xfrm>
          <a:off x="3276600" y="24060150"/>
          <a:ext cx="2877110" cy="16388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CA" sz="1100"/>
        </a:p>
      </xdr:txBody>
    </xdr:sp>
    <xdr:clientData/>
  </xdr:twoCellAnchor>
  <mc:AlternateContent xmlns:mc="http://schemas.openxmlformats.org/markup-compatibility/2006">
    <mc:Choice xmlns:a14="http://schemas.microsoft.com/office/drawing/2010/main" Requires="a14">
      <xdr:twoCellAnchor editAs="oneCell">
        <xdr:from>
          <xdr:col>4</xdr:col>
          <xdr:colOff>38100</xdr:colOff>
          <xdr:row>0</xdr:row>
          <xdr:rowOff>38100</xdr:rowOff>
        </xdr:from>
        <xdr:to>
          <xdr:col>6</xdr:col>
          <xdr:colOff>647700</xdr:colOff>
          <xdr:row>0</xdr:row>
          <xdr:rowOff>295275</xdr:rowOff>
        </xdr:to>
        <xdr:sp macro="" textlink="">
          <xdr:nvSpPr>
            <xdr:cNvPr id="61444" name="EffacerTextes" hidden="1">
              <a:extLst>
                <a:ext uri="{63B3BB69-23CF-44E3-9099-C40C66FF867C}">
                  <a14:compatExt spid="_x0000_s61444"/>
                </a:ext>
                <a:ext uri="{FF2B5EF4-FFF2-40B4-BE49-F238E27FC236}">
                  <a16:creationId xmlns:a16="http://schemas.microsoft.com/office/drawing/2014/main" id="{00000000-0008-0000-0300-000004F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fr-CA" sz="1000" b="0" i="0" u="none" strike="noStrike" baseline="0">
                  <a:solidFill>
                    <a:srgbClr val="000000"/>
                  </a:solidFill>
                  <a:latin typeface="Segoe UI"/>
                  <a:cs typeface="Segoe UI"/>
                </a:rPr>
                <a:t>Effacer tous les textes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1590675</xdr:colOff>
          <xdr:row>0</xdr:row>
          <xdr:rowOff>66675</xdr:rowOff>
        </xdr:from>
        <xdr:to>
          <xdr:col>4</xdr:col>
          <xdr:colOff>66675</xdr:colOff>
          <xdr:row>0</xdr:row>
          <xdr:rowOff>295275</xdr:rowOff>
        </xdr:to>
        <xdr:sp macro="" textlink="">
          <xdr:nvSpPr>
            <xdr:cNvPr id="61445" name="AfficherTousLesGuides" hidden="1">
              <a:extLst>
                <a:ext uri="{63B3BB69-23CF-44E3-9099-C40C66FF867C}">
                  <a14:compatExt spid="_x0000_s61445"/>
                </a:ext>
                <a:ext uri="{FF2B5EF4-FFF2-40B4-BE49-F238E27FC236}">
                  <a16:creationId xmlns:a16="http://schemas.microsoft.com/office/drawing/2014/main" id="{00000000-0008-0000-0300-000005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Afficher tous les guides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123825</xdr:colOff>
          <xdr:row>0</xdr:row>
          <xdr:rowOff>66675</xdr:rowOff>
        </xdr:from>
        <xdr:to>
          <xdr:col>3</xdr:col>
          <xdr:colOff>1476375</xdr:colOff>
          <xdr:row>0</xdr:row>
          <xdr:rowOff>238125</xdr:rowOff>
        </xdr:to>
        <xdr:sp macro="" textlink="">
          <xdr:nvSpPr>
            <xdr:cNvPr id="61446" name="Drop Down 6" hidden="1">
              <a:extLst>
                <a:ext uri="{63B3BB69-23CF-44E3-9099-C40C66FF867C}">
                  <a14:compatExt spid="_x0000_s61446"/>
                </a:ext>
                <a:ext uri="{FF2B5EF4-FFF2-40B4-BE49-F238E27FC236}">
                  <a16:creationId xmlns:a16="http://schemas.microsoft.com/office/drawing/2014/main" id="{00000000-0008-0000-0300-000006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xdr:oneCellAnchor>
    <xdr:from>
      <xdr:col>0</xdr:col>
      <xdr:colOff>66675</xdr:colOff>
      <xdr:row>0</xdr:row>
      <xdr:rowOff>19050</xdr:rowOff>
    </xdr:from>
    <xdr:ext cx="361950" cy="361950"/>
    <xdr:pic>
      <xdr:nvPicPr>
        <xdr:cNvPr id="10" name="vache" descr="Vache">
          <a:extLst>
            <a:ext uri="{FF2B5EF4-FFF2-40B4-BE49-F238E27FC236}">
              <a16:creationId xmlns:a16="http://schemas.microsoft.com/office/drawing/2014/main" id="{00000000-0008-0000-0500-00000A000000}"/>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6675" y="19050"/>
          <a:ext cx="361950" cy="361950"/>
        </a:xfrm>
        <a:prstGeom prst="rect">
          <a:avLst/>
        </a:prstGeom>
      </xdr:spPr>
    </xdr:pic>
    <xdr:clientData/>
  </xdr:oneCellAnchor>
  <xdr:oneCellAnchor>
    <xdr:from>
      <xdr:col>17</xdr:col>
      <xdr:colOff>0</xdr:colOff>
      <xdr:row>21</xdr:row>
      <xdr:rowOff>0</xdr:rowOff>
    </xdr:from>
    <xdr:ext cx="216000" cy="216000"/>
    <xdr:pic macro="[0]!aidescontext.Aide_Lait_Systèmedeproduction">
      <xdr:nvPicPr>
        <xdr:cNvPr id="13" name="Graphique 12" descr="Aide">
          <a:extLst>
            <a:ext uri="{FF2B5EF4-FFF2-40B4-BE49-F238E27FC236}">
              <a16:creationId xmlns:a16="http://schemas.microsoft.com/office/drawing/2014/main" id="{00000000-0008-0000-0500-00000D000000}"/>
            </a:ext>
          </a:extLst>
        </xdr:cNvPr>
        <xdr:cNvPicPr>
          <a:picLocks noChangeAspect="1"/>
        </xdr:cNvPicPr>
      </xdr:nvPicPr>
      <xdr:blipFill>
        <a:blip xmlns:r="http://schemas.openxmlformats.org/officeDocument/2006/relationships" r:embed="rId3" cstate="screen">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1287125" y="1628775"/>
          <a:ext cx="216000" cy="216000"/>
        </a:xfrm>
        <a:prstGeom prst="rect">
          <a:avLst/>
        </a:prstGeom>
      </xdr:spPr>
    </xdr:pic>
    <xdr:clientData fPrintsWithSheet="0"/>
  </xdr:oneCellAnchor>
  <xdr:oneCellAnchor>
    <xdr:from>
      <xdr:col>17</xdr:col>
      <xdr:colOff>0</xdr:colOff>
      <xdr:row>34</xdr:row>
      <xdr:rowOff>0</xdr:rowOff>
    </xdr:from>
    <xdr:ext cx="216000" cy="216000"/>
    <xdr:pic macro="[0]!aidescontext.Aide_Lait_Production">
      <xdr:nvPicPr>
        <xdr:cNvPr id="14" name="Graphique 13" descr="Aide">
          <a:extLst>
            <a:ext uri="{FF2B5EF4-FFF2-40B4-BE49-F238E27FC236}">
              <a16:creationId xmlns:a16="http://schemas.microsoft.com/office/drawing/2014/main" id="{00000000-0008-0000-0500-00000E000000}"/>
            </a:ext>
          </a:extLst>
        </xdr:cNvPr>
        <xdr:cNvPicPr>
          <a:picLocks noChangeAspect="1"/>
        </xdr:cNvPicPr>
      </xdr:nvPicPr>
      <xdr:blipFill>
        <a:blip xmlns:r="http://schemas.openxmlformats.org/officeDocument/2006/relationships" r:embed="rId3" cstate="screen">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1287125" y="4229100"/>
          <a:ext cx="216000" cy="216000"/>
        </a:xfrm>
        <a:prstGeom prst="rect">
          <a:avLst/>
        </a:prstGeom>
      </xdr:spPr>
    </xdr:pic>
    <xdr:clientData fPrintsWithSheet="0"/>
  </xdr:oneCellAnchor>
  <xdr:oneCellAnchor>
    <xdr:from>
      <xdr:col>17</xdr:col>
      <xdr:colOff>0</xdr:colOff>
      <xdr:row>48</xdr:row>
      <xdr:rowOff>0</xdr:rowOff>
    </xdr:from>
    <xdr:ext cx="216000" cy="216000"/>
    <xdr:pic macro="[0]!aidescontext.Aide_Lait_Remplacement">
      <xdr:nvPicPr>
        <xdr:cNvPr id="15" name="Graphique 14" descr="Aide">
          <a:extLst>
            <a:ext uri="{FF2B5EF4-FFF2-40B4-BE49-F238E27FC236}">
              <a16:creationId xmlns:a16="http://schemas.microsoft.com/office/drawing/2014/main" id="{00000000-0008-0000-0500-00000F000000}"/>
            </a:ext>
          </a:extLst>
        </xdr:cNvPr>
        <xdr:cNvPicPr>
          <a:picLocks noChangeAspect="1"/>
        </xdr:cNvPicPr>
      </xdr:nvPicPr>
      <xdr:blipFill>
        <a:blip xmlns:r="http://schemas.openxmlformats.org/officeDocument/2006/relationships" r:embed="rId3" cstate="screen">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1287125" y="6838950"/>
          <a:ext cx="216000" cy="216000"/>
        </a:xfrm>
        <a:prstGeom prst="rect">
          <a:avLst/>
        </a:prstGeom>
      </xdr:spPr>
    </xdr:pic>
    <xdr:clientData fPrintsWithSheet="0"/>
  </xdr:oneCellAnchor>
  <xdr:oneCellAnchor>
    <xdr:from>
      <xdr:col>17</xdr:col>
      <xdr:colOff>0</xdr:colOff>
      <xdr:row>62</xdr:row>
      <xdr:rowOff>0</xdr:rowOff>
    </xdr:from>
    <xdr:ext cx="216000" cy="216000"/>
    <xdr:pic macro="[0]!aidescontext.Aide_Lait_AlimentationPâturages">
      <xdr:nvPicPr>
        <xdr:cNvPr id="16" name="Graphique 15" descr="Aide">
          <a:extLst>
            <a:ext uri="{FF2B5EF4-FFF2-40B4-BE49-F238E27FC236}">
              <a16:creationId xmlns:a16="http://schemas.microsoft.com/office/drawing/2014/main" id="{00000000-0008-0000-0500-000010000000}"/>
            </a:ext>
          </a:extLst>
        </xdr:cNvPr>
        <xdr:cNvPicPr>
          <a:picLocks noChangeAspect="1"/>
        </xdr:cNvPicPr>
      </xdr:nvPicPr>
      <xdr:blipFill>
        <a:blip xmlns:r="http://schemas.openxmlformats.org/officeDocument/2006/relationships" r:embed="rId3" cstate="screen">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1287125" y="9791700"/>
          <a:ext cx="216000" cy="216000"/>
        </a:xfrm>
        <a:prstGeom prst="rect">
          <a:avLst/>
        </a:prstGeom>
      </xdr:spPr>
    </xdr:pic>
    <xdr:clientData fPrintsWithSheet="0"/>
  </xdr:oneCellAnchor>
  <xdr:oneCellAnchor>
    <xdr:from>
      <xdr:col>17</xdr:col>
      <xdr:colOff>0</xdr:colOff>
      <xdr:row>89</xdr:row>
      <xdr:rowOff>0</xdr:rowOff>
    </xdr:from>
    <xdr:ext cx="216000" cy="216000"/>
    <xdr:pic macro="[0]!aidescontext.Aide_Lait_AlimentationFoinEtc">
      <xdr:nvPicPr>
        <xdr:cNvPr id="17" name="Graphique 16" descr="Aide">
          <a:extLst>
            <a:ext uri="{FF2B5EF4-FFF2-40B4-BE49-F238E27FC236}">
              <a16:creationId xmlns:a16="http://schemas.microsoft.com/office/drawing/2014/main" id="{00000000-0008-0000-0500-000011000000}"/>
            </a:ext>
          </a:extLst>
        </xdr:cNvPr>
        <xdr:cNvPicPr>
          <a:picLocks noChangeAspect="1"/>
        </xdr:cNvPicPr>
      </xdr:nvPicPr>
      <xdr:blipFill>
        <a:blip xmlns:r="http://schemas.openxmlformats.org/officeDocument/2006/relationships" r:embed="rId3" cstate="screen">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1287125" y="6629400"/>
          <a:ext cx="216000" cy="216000"/>
        </a:xfrm>
        <a:prstGeom prst="rect">
          <a:avLst/>
        </a:prstGeom>
      </xdr:spPr>
    </xdr:pic>
    <xdr:clientData fPrintsWithSheet="0"/>
  </xdr:oneCellAnchor>
  <xdr:oneCellAnchor>
    <xdr:from>
      <xdr:col>17</xdr:col>
      <xdr:colOff>0</xdr:colOff>
      <xdr:row>113</xdr:row>
      <xdr:rowOff>0</xdr:rowOff>
    </xdr:from>
    <xdr:ext cx="216000" cy="216000"/>
    <xdr:pic macro="[0]!aidescontext.Aide_Lait_AlimentationConcentrés">
      <xdr:nvPicPr>
        <xdr:cNvPr id="18" name="Graphique 17" descr="Aide">
          <a:extLst>
            <a:ext uri="{FF2B5EF4-FFF2-40B4-BE49-F238E27FC236}">
              <a16:creationId xmlns:a16="http://schemas.microsoft.com/office/drawing/2014/main" id="{00000000-0008-0000-0500-000012000000}"/>
            </a:ext>
          </a:extLst>
        </xdr:cNvPr>
        <xdr:cNvPicPr>
          <a:picLocks noChangeAspect="1"/>
        </xdr:cNvPicPr>
      </xdr:nvPicPr>
      <xdr:blipFill>
        <a:blip xmlns:r="http://schemas.openxmlformats.org/officeDocument/2006/relationships" r:embed="rId3" cstate="screen">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1287125" y="7972425"/>
          <a:ext cx="216000" cy="216000"/>
        </a:xfrm>
        <a:prstGeom prst="rect">
          <a:avLst/>
        </a:prstGeom>
      </xdr:spPr>
    </xdr:pic>
    <xdr:clientData fPrintsWithSheet="0"/>
  </xdr:oneCellAnchor>
  <xdr:oneCellAnchor>
    <xdr:from>
      <xdr:col>17</xdr:col>
      <xdr:colOff>0</xdr:colOff>
      <xdr:row>194</xdr:row>
      <xdr:rowOff>0</xdr:rowOff>
    </xdr:from>
    <xdr:ext cx="216000" cy="216000"/>
    <xdr:pic macro="[0]!aidescontext.Aide_Lait_Santéetreproduction">
      <xdr:nvPicPr>
        <xdr:cNvPr id="19" name="Graphique 18" descr="Aide">
          <a:extLst>
            <a:ext uri="{FF2B5EF4-FFF2-40B4-BE49-F238E27FC236}">
              <a16:creationId xmlns:a16="http://schemas.microsoft.com/office/drawing/2014/main" id="{00000000-0008-0000-0500-000013000000}"/>
            </a:ext>
          </a:extLst>
        </xdr:cNvPr>
        <xdr:cNvPicPr>
          <a:picLocks noChangeAspect="1"/>
        </xdr:cNvPicPr>
      </xdr:nvPicPr>
      <xdr:blipFill>
        <a:blip xmlns:r="http://schemas.openxmlformats.org/officeDocument/2006/relationships" r:embed="rId3" cstate="screen">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1287125" y="8953500"/>
          <a:ext cx="216000" cy="216000"/>
        </a:xfrm>
        <a:prstGeom prst="rect">
          <a:avLst/>
        </a:prstGeom>
      </xdr:spPr>
    </xdr:pic>
    <xdr:clientData fPrintsWithSheet="0"/>
  </xdr:oneCellAnchor>
  <xdr:oneCellAnchor>
    <xdr:from>
      <xdr:col>17</xdr:col>
      <xdr:colOff>0</xdr:colOff>
      <xdr:row>199</xdr:row>
      <xdr:rowOff>0</xdr:rowOff>
    </xdr:from>
    <xdr:ext cx="216000" cy="216000"/>
    <xdr:pic macro="[0]!aidescontext.Aide_Lait_Litière">
      <xdr:nvPicPr>
        <xdr:cNvPr id="20" name="Graphique 19" descr="Aide">
          <a:extLst>
            <a:ext uri="{FF2B5EF4-FFF2-40B4-BE49-F238E27FC236}">
              <a16:creationId xmlns:a16="http://schemas.microsoft.com/office/drawing/2014/main" id="{00000000-0008-0000-0500-000014000000}"/>
            </a:ext>
          </a:extLst>
        </xdr:cNvPr>
        <xdr:cNvPicPr>
          <a:picLocks noChangeAspect="1"/>
        </xdr:cNvPicPr>
      </xdr:nvPicPr>
      <xdr:blipFill>
        <a:blip xmlns:r="http://schemas.openxmlformats.org/officeDocument/2006/relationships" r:embed="rId3" cstate="screen">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1287125" y="9572625"/>
          <a:ext cx="216000" cy="216000"/>
        </a:xfrm>
        <a:prstGeom prst="rect">
          <a:avLst/>
        </a:prstGeom>
      </xdr:spPr>
    </xdr:pic>
    <xdr:clientData fPrintsWithSheet="0"/>
  </xdr:oneCellAnchor>
  <xdr:oneCellAnchor>
    <xdr:from>
      <xdr:col>17</xdr:col>
      <xdr:colOff>0</xdr:colOff>
      <xdr:row>209</xdr:row>
      <xdr:rowOff>0</xdr:rowOff>
    </xdr:from>
    <xdr:ext cx="216000" cy="216000"/>
    <xdr:pic macro="[0]!aidescontext.Aide_Lait_CoûtsDesFourrageEtc">
      <xdr:nvPicPr>
        <xdr:cNvPr id="22" name="Graphique 21" descr="Aide">
          <a:extLst>
            <a:ext uri="{FF2B5EF4-FFF2-40B4-BE49-F238E27FC236}">
              <a16:creationId xmlns:a16="http://schemas.microsoft.com/office/drawing/2014/main" id="{00000000-0008-0000-0500-000016000000}"/>
            </a:ext>
          </a:extLst>
        </xdr:cNvPr>
        <xdr:cNvPicPr>
          <a:picLocks noChangeAspect="1"/>
        </xdr:cNvPicPr>
      </xdr:nvPicPr>
      <xdr:blipFill>
        <a:blip xmlns:r="http://schemas.openxmlformats.org/officeDocument/2006/relationships" r:embed="rId3" cstate="screen">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1287125" y="10172700"/>
          <a:ext cx="216000" cy="216000"/>
        </a:xfrm>
        <a:prstGeom prst="rect">
          <a:avLst/>
        </a:prstGeom>
      </xdr:spPr>
    </xdr:pic>
    <xdr:clientData fPrintsWithSheet="0"/>
  </xdr:oneCellAnchor>
  <xdr:oneCellAnchor>
    <xdr:from>
      <xdr:col>17</xdr:col>
      <xdr:colOff>0</xdr:colOff>
      <xdr:row>237</xdr:row>
      <xdr:rowOff>0</xdr:rowOff>
    </xdr:from>
    <xdr:ext cx="216000" cy="216000"/>
    <xdr:pic macro="[0]!aidescontext.Aide_Lait_Maindoeuvre">
      <xdr:nvPicPr>
        <xdr:cNvPr id="23" name="Graphique 22" descr="Aide">
          <a:extLst>
            <a:ext uri="{FF2B5EF4-FFF2-40B4-BE49-F238E27FC236}">
              <a16:creationId xmlns:a16="http://schemas.microsoft.com/office/drawing/2014/main" id="{00000000-0008-0000-0500-000017000000}"/>
            </a:ext>
          </a:extLst>
        </xdr:cNvPr>
        <xdr:cNvPicPr>
          <a:picLocks noChangeAspect="1"/>
        </xdr:cNvPicPr>
      </xdr:nvPicPr>
      <xdr:blipFill>
        <a:blip xmlns:r="http://schemas.openxmlformats.org/officeDocument/2006/relationships" r:embed="rId3" cstate="screen">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1287125" y="10953750"/>
          <a:ext cx="216000" cy="216000"/>
        </a:xfrm>
        <a:prstGeom prst="rect">
          <a:avLst/>
        </a:prstGeom>
      </xdr:spPr>
    </xdr:pic>
    <xdr:clientData fPrintsWithSheet="0"/>
  </xdr:oneCellAnchor>
  <xdr:oneCellAnchor>
    <xdr:from>
      <xdr:col>17</xdr:col>
      <xdr:colOff>0</xdr:colOff>
      <xdr:row>246</xdr:row>
      <xdr:rowOff>0</xdr:rowOff>
    </xdr:from>
    <xdr:ext cx="216000" cy="216000"/>
    <xdr:pic macro="[0]!aidescontext.Aide_Lait_Investissements">
      <xdr:nvPicPr>
        <xdr:cNvPr id="24" name="Graphique 23" descr="Aide">
          <a:extLst>
            <a:ext uri="{FF2B5EF4-FFF2-40B4-BE49-F238E27FC236}">
              <a16:creationId xmlns:a16="http://schemas.microsoft.com/office/drawing/2014/main" id="{00000000-0008-0000-0500-000018000000}"/>
            </a:ext>
          </a:extLst>
        </xdr:cNvPr>
        <xdr:cNvPicPr>
          <a:picLocks noChangeAspect="1"/>
        </xdr:cNvPicPr>
      </xdr:nvPicPr>
      <xdr:blipFill>
        <a:blip xmlns:r="http://schemas.openxmlformats.org/officeDocument/2006/relationships" r:embed="rId3" cstate="screen">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1287125" y="11572875"/>
          <a:ext cx="216000" cy="216000"/>
        </a:xfrm>
        <a:prstGeom prst="rect">
          <a:avLst/>
        </a:prstGeom>
      </xdr:spPr>
    </xdr:pic>
    <xdr:clientData fPrintsWithSheet="0"/>
  </xdr:oneCellAnchor>
  <xdr:oneCellAnchor>
    <xdr:from>
      <xdr:col>17</xdr:col>
      <xdr:colOff>0</xdr:colOff>
      <xdr:row>272</xdr:row>
      <xdr:rowOff>0</xdr:rowOff>
    </xdr:from>
    <xdr:ext cx="216000" cy="216000"/>
    <xdr:pic macro="[0]!aidescontext.Aide_Lait_Résultatstechniques">
      <xdr:nvPicPr>
        <xdr:cNvPr id="25" name="Graphique 24" descr="Aide">
          <a:extLst>
            <a:ext uri="{FF2B5EF4-FFF2-40B4-BE49-F238E27FC236}">
              <a16:creationId xmlns:a16="http://schemas.microsoft.com/office/drawing/2014/main" id="{00000000-0008-0000-0500-000019000000}"/>
            </a:ext>
          </a:extLst>
        </xdr:cNvPr>
        <xdr:cNvPicPr>
          <a:picLocks noChangeAspect="1"/>
        </xdr:cNvPicPr>
      </xdr:nvPicPr>
      <xdr:blipFill>
        <a:blip xmlns:r="http://schemas.openxmlformats.org/officeDocument/2006/relationships" r:embed="rId3" cstate="screen">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1287125" y="12011025"/>
          <a:ext cx="216000" cy="216000"/>
        </a:xfrm>
        <a:prstGeom prst="rect">
          <a:avLst/>
        </a:prstGeom>
      </xdr:spPr>
    </xdr:pic>
    <xdr:clientData fPrintsWithSheet="0"/>
  </xdr:oneCellAnchor>
  <xdr:oneCellAnchor>
    <xdr:from>
      <xdr:col>17</xdr:col>
      <xdr:colOff>0</xdr:colOff>
      <xdr:row>292</xdr:row>
      <xdr:rowOff>0</xdr:rowOff>
    </xdr:from>
    <xdr:ext cx="216000" cy="216000"/>
    <xdr:pic macro="[0]!aidescontext.Aide_Lait_SommaireducomptedexploitationÉtable">
      <xdr:nvPicPr>
        <xdr:cNvPr id="26" name="Graphique 25" descr="Aide">
          <a:extLst>
            <a:ext uri="{FF2B5EF4-FFF2-40B4-BE49-F238E27FC236}">
              <a16:creationId xmlns:a16="http://schemas.microsoft.com/office/drawing/2014/main" id="{00000000-0008-0000-0500-00001A000000}"/>
            </a:ext>
          </a:extLst>
        </xdr:cNvPr>
        <xdr:cNvPicPr>
          <a:picLocks noChangeAspect="1"/>
        </xdr:cNvPicPr>
      </xdr:nvPicPr>
      <xdr:blipFill>
        <a:blip xmlns:r="http://schemas.openxmlformats.org/officeDocument/2006/relationships" r:embed="rId3" cstate="screen">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1287125" y="13716000"/>
          <a:ext cx="216000" cy="216000"/>
        </a:xfrm>
        <a:prstGeom prst="rect">
          <a:avLst/>
        </a:prstGeom>
      </xdr:spPr>
    </xdr:pic>
    <xdr:clientData fPrintsWithSheet="0"/>
  </xdr:oneCellAnchor>
  <xdr:oneCellAnchor>
    <xdr:from>
      <xdr:col>17</xdr:col>
      <xdr:colOff>0</xdr:colOff>
      <xdr:row>347</xdr:row>
      <xdr:rowOff>0</xdr:rowOff>
    </xdr:from>
    <xdr:ext cx="216000" cy="216000"/>
    <xdr:pic macro="[0]!aidescontext.Aide_Lait_Céréalesproduitesàlaferme">
      <xdr:nvPicPr>
        <xdr:cNvPr id="27" name="Graphique 26" descr="Aide">
          <a:extLst>
            <a:ext uri="{FF2B5EF4-FFF2-40B4-BE49-F238E27FC236}">
              <a16:creationId xmlns:a16="http://schemas.microsoft.com/office/drawing/2014/main" id="{00000000-0008-0000-0500-00001B000000}"/>
            </a:ext>
          </a:extLst>
        </xdr:cNvPr>
        <xdr:cNvPicPr>
          <a:picLocks noChangeAspect="1"/>
        </xdr:cNvPicPr>
      </xdr:nvPicPr>
      <xdr:blipFill>
        <a:blip xmlns:r="http://schemas.openxmlformats.org/officeDocument/2006/relationships" r:embed="rId3" cstate="screen">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1287125" y="53759100"/>
          <a:ext cx="216000" cy="216000"/>
        </a:xfrm>
        <a:prstGeom prst="rect">
          <a:avLst/>
        </a:prstGeom>
      </xdr:spPr>
    </xdr:pic>
    <xdr:clientData fPrintsWithSheet="0"/>
  </xdr:oneCellAnchor>
  <xdr:oneCellAnchor>
    <xdr:from>
      <xdr:col>3</xdr:col>
      <xdr:colOff>979594</xdr:colOff>
      <xdr:row>1</xdr:row>
      <xdr:rowOff>27034</xdr:rowOff>
    </xdr:from>
    <xdr:ext cx="342015" cy="342000"/>
    <xdr:pic macro="[0]!config.cmdBackup_Click">
      <xdr:nvPicPr>
        <xdr:cNvPr id="29" name="backup" descr="Coffre-fort">
          <a:extLst>
            <a:ext uri="{FF2B5EF4-FFF2-40B4-BE49-F238E27FC236}">
              <a16:creationId xmlns:a16="http://schemas.microsoft.com/office/drawing/2014/main" id="{00000000-0008-0000-0500-00001D000000}"/>
            </a:ext>
          </a:extLst>
        </xdr:cNvPr>
        <xdr:cNvPicPr>
          <a:picLocks noChangeAspect="1"/>
        </xdr:cNvPicPr>
      </xdr:nvPicPr>
      <xdr:blipFill>
        <a:blip xmlns:r="http://schemas.openxmlformats.org/officeDocument/2006/relationships" r:embed="rId5" cstate="screen">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2429051" y="341773"/>
          <a:ext cx="342015" cy="342000"/>
        </a:xfrm>
        <a:prstGeom prst="rect">
          <a:avLst/>
        </a:prstGeom>
      </xdr:spPr>
    </xdr:pic>
    <xdr:clientData fPrintsWithSheet="0"/>
  </xdr:oneCellAnchor>
  <xdr:oneCellAnchor>
    <xdr:from>
      <xdr:col>2</xdr:col>
      <xdr:colOff>747499</xdr:colOff>
      <xdr:row>1</xdr:row>
      <xdr:rowOff>37685</xdr:rowOff>
    </xdr:from>
    <xdr:ext cx="354872" cy="324000"/>
    <xdr:grpSp>
      <xdr:nvGrpSpPr>
        <xdr:cNvPr id="31" name="resetSheet">
          <a:extLst>
            <a:ext uri="{FF2B5EF4-FFF2-40B4-BE49-F238E27FC236}">
              <a16:creationId xmlns:a16="http://schemas.microsoft.com/office/drawing/2014/main" id="{00000000-0008-0000-0500-00001F000000}"/>
            </a:ext>
          </a:extLst>
        </xdr:cNvPr>
        <xdr:cNvGrpSpPr>
          <a:grpSpLocks noChangeAspect="1"/>
        </xdr:cNvGrpSpPr>
      </xdr:nvGrpSpPr>
      <xdr:grpSpPr>
        <a:xfrm>
          <a:off x="1285381" y="351450"/>
          <a:ext cx="354872" cy="324000"/>
          <a:chOff x="2438400" y="876300"/>
          <a:chExt cx="914400" cy="914400"/>
        </a:xfrm>
        <a:solidFill>
          <a:schemeClr val="accent1">
            <a:lumMod val="75000"/>
          </a:schemeClr>
        </a:solidFill>
      </xdr:grpSpPr>
      <xdr:pic macro="[0]!Lait.ResetScenarios">
        <xdr:nvPicPr>
          <xdr:cNvPr id="33" name="feuille" descr="Papier">
            <a:extLst>
              <a:ext uri="{FF2B5EF4-FFF2-40B4-BE49-F238E27FC236}">
                <a16:creationId xmlns:a16="http://schemas.microsoft.com/office/drawing/2014/main" id="{00000000-0008-0000-0500-000021000000}"/>
              </a:ext>
            </a:extLst>
          </xdr:cNvPr>
          <xdr:cNvPicPr>
            <a:picLocks noChangeAspect="1"/>
          </xdr:cNvPicPr>
        </xdr:nvPicPr>
        <xdr:blipFill>
          <a:blip xmlns:r="http://schemas.openxmlformats.org/officeDocument/2006/relationships" r:embed="rId7" cstate="screen">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2438400" y="876300"/>
            <a:ext cx="914400" cy="914400"/>
          </a:xfrm>
          <a:prstGeom prst="rect">
            <a:avLst/>
          </a:prstGeom>
        </xdr:spPr>
      </xdr:pic>
      <xdr:pic macro="[0]!Lait.ResetScenarios">
        <xdr:nvPicPr>
          <xdr:cNvPr id="34" name="efface" descr="Gomme">
            <a:extLst>
              <a:ext uri="{FF2B5EF4-FFF2-40B4-BE49-F238E27FC236}">
                <a16:creationId xmlns:a16="http://schemas.microsoft.com/office/drawing/2014/main" id="{00000000-0008-0000-0500-000022000000}"/>
              </a:ext>
            </a:extLst>
          </xdr:cNvPr>
          <xdr:cNvPicPr>
            <a:picLocks noChangeAspect="1"/>
          </xdr:cNvPicPr>
        </xdr:nvPicPr>
        <xdr:blipFill>
          <a:blip xmlns:r="http://schemas.openxmlformats.org/officeDocument/2006/relationships" r:embed="rId9" cstate="screen">
            <a:extLst>
              <a:ext uri="{28A0092B-C50C-407E-A947-70E740481C1C}">
                <a14:useLocalDpi xmlns:a14="http://schemas.microsoft.com/office/drawing/2010/main" val="0"/>
              </a:ext>
              <a:ext uri="{96DAC541-7B7A-43D3-8B79-37D633B846F1}">
                <asvg:svgBlip xmlns:asvg="http://schemas.microsoft.com/office/drawing/2016/SVG/main" r:embed="rId10"/>
              </a:ext>
            </a:extLst>
          </a:blip>
          <a:stretch>
            <a:fillRect/>
          </a:stretch>
        </xdr:blipFill>
        <xdr:spPr>
          <a:xfrm>
            <a:off x="2647950" y="1200150"/>
            <a:ext cx="485775" cy="485775"/>
          </a:xfrm>
          <a:prstGeom prst="rect">
            <a:avLst/>
          </a:prstGeom>
        </xdr:spPr>
      </xdr:pic>
    </xdr:grpSp>
    <xdr:clientData fPrintsWithSheet="0"/>
  </xdr:oneCellAnchor>
  <xdr:oneCellAnchor>
    <xdr:from>
      <xdr:col>2</xdr:col>
      <xdr:colOff>476249</xdr:colOff>
      <xdr:row>1</xdr:row>
      <xdr:rowOff>47210</xdr:rowOff>
    </xdr:from>
    <xdr:ext cx="180008" cy="180000"/>
    <xdr:pic macro="[0]!aidescontext.Aide_Controles">
      <xdr:nvPicPr>
        <xdr:cNvPr id="32" name="aideMenu" descr="Aide">
          <a:extLst>
            <a:ext uri="{FF2B5EF4-FFF2-40B4-BE49-F238E27FC236}">
              <a16:creationId xmlns:a16="http://schemas.microsoft.com/office/drawing/2014/main" id="{00000000-0008-0000-0500-000020000000}"/>
            </a:ext>
          </a:extLst>
        </xdr:cNvPr>
        <xdr:cNvPicPr>
          <a:picLocks noChangeAspect="1"/>
        </xdr:cNvPicPr>
      </xdr:nvPicPr>
      <xdr:blipFill>
        <a:blip xmlns:r="http://schemas.openxmlformats.org/officeDocument/2006/relationships" r:embed="rId11" cstate="screen">
          <a:extLst>
            <a:ext uri="{28A0092B-C50C-407E-A947-70E740481C1C}">
              <a14:useLocalDpi xmlns:a14="http://schemas.microsoft.com/office/drawing/2010/main" val="0"/>
            </a:ext>
            <a:ext uri="{96DAC541-7B7A-43D3-8B79-37D633B846F1}">
              <asvg:svgBlip xmlns:asvg="http://schemas.microsoft.com/office/drawing/2016/SVG/main" r:embed="rId12"/>
            </a:ext>
          </a:extLst>
        </a:blip>
        <a:stretch>
          <a:fillRect/>
        </a:stretch>
      </xdr:blipFill>
      <xdr:spPr>
        <a:xfrm>
          <a:off x="1039466" y="361949"/>
          <a:ext cx="180008" cy="180000"/>
        </a:xfrm>
        <a:prstGeom prst="rect">
          <a:avLst/>
        </a:prstGeom>
      </xdr:spPr>
    </xdr:pic>
    <xdr:clientData fPrintsWithSheet="0"/>
  </xdr:oneCellAnchor>
  <xdr:twoCellAnchor editAs="oneCell">
    <xdr:from>
      <xdr:col>3</xdr:col>
      <xdr:colOff>1524000</xdr:colOff>
      <xdr:row>1</xdr:row>
      <xdr:rowOff>28575</xdr:rowOff>
    </xdr:from>
    <xdr:to>
      <xdr:col>4</xdr:col>
      <xdr:colOff>76350</xdr:colOff>
      <xdr:row>1</xdr:row>
      <xdr:rowOff>352575</xdr:rowOff>
    </xdr:to>
    <xdr:grpSp>
      <xdr:nvGrpSpPr>
        <xdr:cNvPr id="38" name="AjouterFenetre">
          <a:extLst>
            <a:ext uri="{FF2B5EF4-FFF2-40B4-BE49-F238E27FC236}">
              <a16:creationId xmlns:a16="http://schemas.microsoft.com/office/drawing/2014/main" id="{00000000-0008-0000-0500-000026000000}"/>
            </a:ext>
          </a:extLst>
        </xdr:cNvPr>
        <xdr:cNvGrpSpPr>
          <a:grpSpLocks/>
        </xdr:cNvGrpSpPr>
      </xdr:nvGrpSpPr>
      <xdr:grpSpPr>
        <a:xfrm>
          <a:off x="2958353" y="342340"/>
          <a:ext cx="322879" cy="324000"/>
          <a:chOff x="6743700" y="3867150"/>
          <a:chExt cx="914400" cy="914400"/>
        </a:xfrm>
        <a:solidFill>
          <a:schemeClr val="accent1">
            <a:lumMod val="75000"/>
          </a:schemeClr>
        </a:solidFill>
      </xdr:grpSpPr>
      <xdr:pic macro="[0]!CreerNouvelleFenetre">
        <xdr:nvPicPr>
          <xdr:cNvPr id="39" name="Ecran" descr="Télévision">
            <a:extLst>
              <a:ext uri="{FF2B5EF4-FFF2-40B4-BE49-F238E27FC236}">
                <a16:creationId xmlns:a16="http://schemas.microsoft.com/office/drawing/2014/main" id="{00000000-0008-0000-0500-000027000000}"/>
              </a:ext>
            </a:extLst>
          </xdr:cNvPr>
          <xdr:cNvPicPr>
            <a:picLocks noChangeAspect="1"/>
          </xdr:cNvPicPr>
        </xdr:nvPicPr>
        <xdr:blipFill>
          <a:blip xmlns:r="http://schemas.openxmlformats.org/officeDocument/2006/relationships" r:embed="rId13" cstate="screen">
            <a:extLst>
              <a:ext uri="{28A0092B-C50C-407E-A947-70E740481C1C}">
                <a14:useLocalDpi xmlns:a14="http://schemas.microsoft.com/office/drawing/2010/main" val="0"/>
              </a:ext>
              <a:ext uri="{96DAC541-7B7A-43D3-8B79-37D633B846F1}">
                <asvg:svgBlip xmlns:asvg="http://schemas.microsoft.com/office/drawing/2016/SVG/main" r:embed="rId14"/>
              </a:ext>
            </a:extLst>
          </a:blip>
          <a:stretch>
            <a:fillRect/>
          </a:stretch>
        </xdr:blipFill>
        <xdr:spPr>
          <a:xfrm>
            <a:off x="6743700" y="3867150"/>
            <a:ext cx="914400" cy="914400"/>
          </a:xfrm>
          <a:prstGeom prst="rect">
            <a:avLst/>
          </a:prstGeom>
        </xdr:spPr>
      </xdr:pic>
      <xdr:pic macro="[0]!CreerNouvelleFenetre">
        <xdr:nvPicPr>
          <xdr:cNvPr id="40" name="Plus" descr="Ajouter">
            <a:extLst>
              <a:ext uri="{FF2B5EF4-FFF2-40B4-BE49-F238E27FC236}">
                <a16:creationId xmlns:a16="http://schemas.microsoft.com/office/drawing/2014/main" id="{00000000-0008-0000-0500-000028000000}"/>
              </a:ext>
            </a:extLst>
          </xdr:cNvPr>
          <xdr:cNvPicPr>
            <a:picLocks noChangeAspect="1"/>
          </xdr:cNvPicPr>
        </xdr:nvPicPr>
        <xdr:blipFill>
          <a:blip xmlns:r="http://schemas.openxmlformats.org/officeDocument/2006/relationships" r:embed="rId15" cstate="screen">
            <a:extLst>
              <a:ext uri="{28A0092B-C50C-407E-A947-70E740481C1C}">
                <a14:useLocalDpi xmlns:a14="http://schemas.microsoft.com/office/drawing/2010/main" val="0"/>
              </a:ext>
              <a:ext uri="{96DAC541-7B7A-43D3-8B79-37D633B846F1}">
                <asvg:svgBlip xmlns:asvg="http://schemas.microsoft.com/office/drawing/2016/SVG/main" r:embed="rId16"/>
              </a:ext>
            </a:extLst>
          </a:blip>
          <a:stretch>
            <a:fillRect/>
          </a:stretch>
        </xdr:blipFill>
        <xdr:spPr>
          <a:xfrm>
            <a:off x="7000875" y="4086225"/>
            <a:ext cx="400050" cy="400050"/>
          </a:xfrm>
          <a:prstGeom prst="rect">
            <a:avLst/>
          </a:prstGeom>
        </xdr:spPr>
      </xdr:pic>
    </xdr:grpSp>
    <xdr:clientData fPrintsWithSheet="0"/>
  </xdr:twoCellAnchor>
  <xdr:twoCellAnchor editAs="oneCell">
    <xdr:from>
      <xdr:col>7</xdr:col>
      <xdr:colOff>9525</xdr:colOff>
      <xdr:row>1</xdr:row>
      <xdr:rowOff>19050</xdr:rowOff>
    </xdr:from>
    <xdr:to>
      <xdr:col>7</xdr:col>
      <xdr:colOff>189525</xdr:colOff>
      <xdr:row>1</xdr:row>
      <xdr:rowOff>210480</xdr:rowOff>
    </xdr:to>
    <xdr:pic macro="[0]!OuvrirFormDescrScenario1">
      <xdr:nvPicPr>
        <xdr:cNvPr id="46" name="crayon1" descr="Crayon">
          <a:extLst>
            <a:ext uri="{FF2B5EF4-FFF2-40B4-BE49-F238E27FC236}">
              <a16:creationId xmlns:a16="http://schemas.microsoft.com/office/drawing/2014/main" id="{00000000-0008-0000-0500-00002E000000}"/>
            </a:ext>
          </a:extLst>
        </xdr:cNvPr>
        <xdr:cNvPicPr>
          <a:picLocks noChangeAspect="1"/>
        </xdr:cNvPicPr>
      </xdr:nvPicPr>
      <xdr:blipFill>
        <a:blip xmlns:r="http://schemas.openxmlformats.org/officeDocument/2006/relationships" r:embed="rId17" cstate="screen">
          <a:extLst>
            <a:ext uri="{28A0092B-C50C-407E-A947-70E740481C1C}">
              <a14:useLocalDpi xmlns:a14="http://schemas.microsoft.com/office/drawing/2010/main" val="0"/>
            </a:ext>
            <a:ext uri="{96DAC541-7B7A-43D3-8B79-37D633B846F1}">
              <asvg:svgBlip xmlns:asvg="http://schemas.microsoft.com/office/drawing/2016/SVG/main" r:embed="rId18"/>
            </a:ext>
          </a:extLst>
        </a:blip>
        <a:stretch>
          <a:fillRect/>
        </a:stretch>
      </xdr:blipFill>
      <xdr:spPr>
        <a:xfrm>
          <a:off x="5610225" y="333375"/>
          <a:ext cx="180000" cy="180000"/>
        </a:xfrm>
        <a:prstGeom prst="rect">
          <a:avLst/>
        </a:prstGeom>
      </xdr:spPr>
    </xdr:pic>
    <xdr:clientData fPrintsWithSheet="0"/>
  </xdr:twoCellAnchor>
  <xdr:twoCellAnchor editAs="oneCell">
    <xdr:from>
      <xdr:col>9</xdr:col>
      <xdr:colOff>0</xdr:colOff>
      <xdr:row>1</xdr:row>
      <xdr:rowOff>9525</xdr:rowOff>
    </xdr:from>
    <xdr:to>
      <xdr:col>9</xdr:col>
      <xdr:colOff>172380</xdr:colOff>
      <xdr:row>1</xdr:row>
      <xdr:rowOff>189525</xdr:rowOff>
    </xdr:to>
    <xdr:pic macro="[0]!OuvrirFormDescrScenario2">
      <xdr:nvPicPr>
        <xdr:cNvPr id="47" name="crayon2" descr="Crayon">
          <a:extLst>
            <a:ext uri="{FF2B5EF4-FFF2-40B4-BE49-F238E27FC236}">
              <a16:creationId xmlns:a16="http://schemas.microsoft.com/office/drawing/2014/main" id="{00000000-0008-0000-0500-00002F000000}"/>
            </a:ext>
          </a:extLst>
        </xdr:cNvPr>
        <xdr:cNvPicPr>
          <a:picLocks noChangeAspect="1"/>
        </xdr:cNvPicPr>
      </xdr:nvPicPr>
      <xdr:blipFill>
        <a:blip xmlns:r="http://schemas.openxmlformats.org/officeDocument/2006/relationships" r:embed="rId19" cstate="screen">
          <a:extLst>
            <a:ext uri="{28A0092B-C50C-407E-A947-70E740481C1C}">
              <a14:useLocalDpi xmlns:a14="http://schemas.microsoft.com/office/drawing/2010/main" val="0"/>
            </a:ext>
            <a:ext uri="{96DAC541-7B7A-43D3-8B79-37D633B846F1}">
              <asvg:svgBlip xmlns:asvg="http://schemas.microsoft.com/office/drawing/2016/SVG/main" r:embed="rId18"/>
            </a:ext>
          </a:extLst>
        </a:blip>
        <a:stretch>
          <a:fillRect/>
        </a:stretch>
      </xdr:blipFill>
      <xdr:spPr>
        <a:xfrm>
          <a:off x="7019925" y="323850"/>
          <a:ext cx="180000" cy="180000"/>
        </a:xfrm>
        <a:prstGeom prst="rect">
          <a:avLst/>
        </a:prstGeom>
      </xdr:spPr>
    </xdr:pic>
    <xdr:clientData fPrintsWithSheet="0"/>
  </xdr:twoCellAnchor>
  <xdr:twoCellAnchor editAs="oneCell">
    <xdr:from>
      <xdr:col>11</xdr:col>
      <xdr:colOff>9525</xdr:colOff>
      <xdr:row>1</xdr:row>
      <xdr:rowOff>9525</xdr:rowOff>
    </xdr:from>
    <xdr:to>
      <xdr:col>11</xdr:col>
      <xdr:colOff>189525</xdr:colOff>
      <xdr:row>1</xdr:row>
      <xdr:rowOff>189525</xdr:rowOff>
    </xdr:to>
    <xdr:pic macro="[0]!OuvrirFormDescrScenario3">
      <xdr:nvPicPr>
        <xdr:cNvPr id="48" name="crayon1" descr="Crayon">
          <a:extLst>
            <a:ext uri="{FF2B5EF4-FFF2-40B4-BE49-F238E27FC236}">
              <a16:creationId xmlns:a16="http://schemas.microsoft.com/office/drawing/2014/main" id="{00000000-0008-0000-0500-000030000000}"/>
            </a:ext>
          </a:extLst>
        </xdr:cNvPr>
        <xdr:cNvPicPr>
          <a:picLocks noChangeAspect="1"/>
        </xdr:cNvPicPr>
      </xdr:nvPicPr>
      <xdr:blipFill>
        <a:blip xmlns:r="http://schemas.openxmlformats.org/officeDocument/2006/relationships" r:embed="rId20" cstate="screen">
          <a:extLst>
            <a:ext uri="{28A0092B-C50C-407E-A947-70E740481C1C}">
              <a14:useLocalDpi xmlns:a14="http://schemas.microsoft.com/office/drawing/2010/main" val="0"/>
            </a:ext>
            <a:ext uri="{96DAC541-7B7A-43D3-8B79-37D633B846F1}">
              <asvg:svgBlip xmlns:asvg="http://schemas.microsoft.com/office/drawing/2016/SVG/main" r:embed="rId18"/>
            </a:ext>
          </a:extLst>
        </a:blip>
        <a:stretch>
          <a:fillRect/>
        </a:stretch>
      </xdr:blipFill>
      <xdr:spPr>
        <a:xfrm>
          <a:off x="8448675" y="323850"/>
          <a:ext cx="180000" cy="180000"/>
        </a:xfrm>
        <a:prstGeom prst="rect">
          <a:avLst/>
        </a:prstGeom>
      </xdr:spPr>
    </xdr:pic>
    <xdr:clientData fPrintsWithSheet="0"/>
  </xdr:twoCellAnchor>
  <xdr:twoCellAnchor editAs="oneCell">
    <xdr:from>
      <xdr:col>13</xdr:col>
      <xdr:colOff>9525</xdr:colOff>
      <xdr:row>1</xdr:row>
      <xdr:rowOff>9525</xdr:rowOff>
    </xdr:from>
    <xdr:to>
      <xdr:col>13</xdr:col>
      <xdr:colOff>189525</xdr:colOff>
      <xdr:row>1</xdr:row>
      <xdr:rowOff>189525</xdr:rowOff>
    </xdr:to>
    <xdr:pic macro="[0]!OuvrirFormDescrScenario4">
      <xdr:nvPicPr>
        <xdr:cNvPr id="49" name="crayon1" descr="Crayon">
          <a:extLst>
            <a:ext uri="{FF2B5EF4-FFF2-40B4-BE49-F238E27FC236}">
              <a16:creationId xmlns:a16="http://schemas.microsoft.com/office/drawing/2014/main" id="{00000000-0008-0000-0500-000031000000}"/>
            </a:ext>
          </a:extLst>
        </xdr:cNvPr>
        <xdr:cNvPicPr>
          <a:picLocks noChangeAspect="1"/>
        </xdr:cNvPicPr>
      </xdr:nvPicPr>
      <xdr:blipFill>
        <a:blip xmlns:r="http://schemas.openxmlformats.org/officeDocument/2006/relationships" r:embed="rId20" cstate="screen">
          <a:extLst>
            <a:ext uri="{28A0092B-C50C-407E-A947-70E740481C1C}">
              <a14:useLocalDpi xmlns:a14="http://schemas.microsoft.com/office/drawing/2010/main" val="0"/>
            </a:ext>
            <a:ext uri="{96DAC541-7B7A-43D3-8B79-37D633B846F1}">
              <asvg:svgBlip xmlns:asvg="http://schemas.microsoft.com/office/drawing/2016/SVG/main" r:embed="rId18"/>
            </a:ext>
          </a:extLst>
        </a:blip>
        <a:stretch>
          <a:fillRect/>
        </a:stretch>
      </xdr:blipFill>
      <xdr:spPr>
        <a:xfrm>
          <a:off x="9867900" y="323850"/>
          <a:ext cx="180000" cy="180000"/>
        </a:xfrm>
        <a:prstGeom prst="rect">
          <a:avLst/>
        </a:prstGeom>
      </xdr:spPr>
    </xdr:pic>
    <xdr:clientData fPrintsWithSheet="0"/>
  </xdr:twoCellAnchor>
  <xdr:twoCellAnchor editAs="oneCell">
    <xdr:from>
      <xdr:col>15</xdr:col>
      <xdr:colOff>9525</xdr:colOff>
      <xdr:row>1</xdr:row>
      <xdr:rowOff>9525</xdr:rowOff>
    </xdr:from>
    <xdr:to>
      <xdr:col>15</xdr:col>
      <xdr:colOff>189525</xdr:colOff>
      <xdr:row>1</xdr:row>
      <xdr:rowOff>189525</xdr:rowOff>
    </xdr:to>
    <xdr:pic macro="[0]!OuvrirFormDescrScenario5">
      <xdr:nvPicPr>
        <xdr:cNvPr id="50" name="crayon1" descr="Crayon">
          <a:extLst>
            <a:ext uri="{FF2B5EF4-FFF2-40B4-BE49-F238E27FC236}">
              <a16:creationId xmlns:a16="http://schemas.microsoft.com/office/drawing/2014/main" id="{00000000-0008-0000-0500-000032000000}"/>
            </a:ext>
          </a:extLst>
        </xdr:cNvPr>
        <xdr:cNvPicPr>
          <a:picLocks noChangeAspect="1"/>
        </xdr:cNvPicPr>
      </xdr:nvPicPr>
      <xdr:blipFill>
        <a:blip xmlns:r="http://schemas.openxmlformats.org/officeDocument/2006/relationships" r:embed="rId20" cstate="screen">
          <a:extLst>
            <a:ext uri="{28A0092B-C50C-407E-A947-70E740481C1C}">
              <a14:useLocalDpi xmlns:a14="http://schemas.microsoft.com/office/drawing/2010/main" val="0"/>
            </a:ext>
            <a:ext uri="{96DAC541-7B7A-43D3-8B79-37D633B846F1}">
              <asvg:svgBlip xmlns:asvg="http://schemas.microsoft.com/office/drawing/2016/SVG/main" r:embed="rId18"/>
            </a:ext>
          </a:extLst>
        </a:blip>
        <a:stretch>
          <a:fillRect/>
        </a:stretch>
      </xdr:blipFill>
      <xdr:spPr>
        <a:xfrm>
          <a:off x="11287125" y="323850"/>
          <a:ext cx="180000" cy="180000"/>
        </a:xfrm>
        <a:prstGeom prst="rect">
          <a:avLst/>
        </a:prstGeom>
      </xdr:spPr>
    </xdr:pic>
    <xdr:clientData fPrintsWithSheet="0"/>
  </xdr:twoCellAnchor>
  <xdr:twoCellAnchor editAs="oneCell">
    <xdr:from>
      <xdr:col>7</xdr:col>
      <xdr:colOff>9525</xdr:colOff>
      <xdr:row>1</xdr:row>
      <xdr:rowOff>190500</xdr:rowOff>
    </xdr:from>
    <xdr:to>
      <xdr:col>7</xdr:col>
      <xdr:colOff>189525</xdr:colOff>
      <xdr:row>1</xdr:row>
      <xdr:rowOff>362880</xdr:rowOff>
    </xdr:to>
    <xdr:pic macro="[0]!Lait.resetScenario1">
      <xdr:nvPicPr>
        <xdr:cNvPr id="3" name="efface1" descr="Gomme">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21" cstate="screen">
          <a:extLst>
            <a:ext uri="{28A0092B-C50C-407E-A947-70E740481C1C}">
              <a14:useLocalDpi xmlns:a14="http://schemas.microsoft.com/office/drawing/2010/main" val="0"/>
            </a:ext>
            <a:ext uri="{96DAC541-7B7A-43D3-8B79-37D633B846F1}">
              <asvg:svgBlip xmlns:asvg="http://schemas.microsoft.com/office/drawing/2016/SVG/main" r:embed="rId22"/>
            </a:ext>
          </a:extLst>
        </a:blip>
        <a:stretch>
          <a:fillRect/>
        </a:stretch>
      </xdr:blipFill>
      <xdr:spPr>
        <a:xfrm>
          <a:off x="5610225" y="504825"/>
          <a:ext cx="180000" cy="180000"/>
        </a:xfrm>
        <a:prstGeom prst="rect">
          <a:avLst/>
        </a:prstGeom>
      </xdr:spPr>
    </xdr:pic>
    <xdr:clientData fPrintsWithSheet="0"/>
  </xdr:twoCellAnchor>
  <xdr:twoCellAnchor editAs="oneCell">
    <xdr:from>
      <xdr:col>9</xdr:col>
      <xdr:colOff>0</xdr:colOff>
      <xdr:row>1</xdr:row>
      <xdr:rowOff>190500</xdr:rowOff>
    </xdr:from>
    <xdr:to>
      <xdr:col>9</xdr:col>
      <xdr:colOff>172380</xdr:colOff>
      <xdr:row>1</xdr:row>
      <xdr:rowOff>362880</xdr:rowOff>
    </xdr:to>
    <xdr:pic macro="[0]!Lait.resetScenario2">
      <xdr:nvPicPr>
        <xdr:cNvPr id="41" name="efface1" descr="Gomme">
          <a:extLst>
            <a:ext uri="{FF2B5EF4-FFF2-40B4-BE49-F238E27FC236}">
              <a16:creationId xmlns:a16="http://schemas.microsoft.com/office/drawing/2014/main" id="{00000000-0008-0000-0500-000029000000}"/>
            </a:ext>
          </a:extLst>
        </xdr:cNvPr>
        <xdr:cNvPicPr>
          <a:picLocks noChangeAspect="1"/>
        </xdr:cNvPicPr>
      </xdr:nvPicPr>
      <xdr:blipFill>
        <a:blip xmlns:r="http://schemas.openxmlformats.org/officeDocument/2006/relationships" r:embed="rId23" cstate="screen">
          <a:extLst>
            <a:ext uri="{28A0092B-C50C-407E-A947-70E740481C1C}">
              <a14:useLocalDpi xmlns:a14="http://schemas.microsoft.com/office/drawing/2010/main" val="0"/>
            </a:ext>
            <a:ext uri="{96DAC541-7B7A-43D3-8B79-37D633B846F1}">
              <asvg:svgBlip xmlns:asvg="http://schemas.microsoft.com/office/drawing/2016/SVG/main" r:embed="rId22"/>
            </a:ext>
          </a:extLst>
        </a:blip>
        <a:stretch>
          <a:fillRect/>
        </a:stretch>
      </xdr:blipFill>
      <xdr:spPr>
        <a:xfrm>
          <a:off x="5610225" y="504825"/>
          <a:ext cx="180000" cy="180000"/>
        </a:xfrm>
        <a:prstGeom prst="rect">
          <a:avLst/>
        </a:prstGeom>
      </xdr:spPr>
    </xdr:pic>
    <xdr:clientData fPrintsWithSheet="0"/>
  </xdr:twoCellAnchor>
  <xdr:twoCellAnchor editAs="oneCell">
    <xdr:from>
      <xdr:col>11</xdr:col>
      <xdr:colOff>0</xdr:colOff>
      <xdr:row>1</xdr:row>
      <xdr:rowOff>200025</xdr:rowOff>
    </xdr:from>
    <xdr:to>
      <xdr:col>11</xdr:col>
      <xdr:colOff>172380</xdr:colOff>
      <xdr:row>2</xdr:row>
      <xdr:rowOff>19980</xdr:rowOff>
    </xdr:to>
    <xdr:pic macro="[0]!Lait.resetScenario3">
      <xdr:nvPicPr>
        <xdr:cNvPr id="42" name="efface1" descr="Gomme">
          <a:extLst>
            <a:ext uri="{FF2B5EF4-FFF2-40B4-BE49-F238E27FC236}">
              <a16:creationId xmlns:a16="http://schemas.microsoft.com/office/drawing/2014/main" id="{00000000-0008-0000-0500-00002A000000}"/>
            </a:ext>
          </a:extLst>
        </xdr:cNvPr>
        <xdr:cNvPicPr>
          <a:picLocks noChangeAspect="1"/>
        </xdr:cNvPicPr>
      </xdr:nvPicPr>
      <xdr:blipFill>
        <a:blip xmlns:r="http://schemas.openxmlformats.org/officeDocument/2006/relationships" r:embed="rId24" cstate="screen">
          <a:extLst>
            <a:ext uri="{28A0092B-C50C-407E-A947-70E740481C1C}">
              <a14:useLocalDpi xmlns:a14="http://schemas.microsoft.com/office/drawing/2010/main" val="0"/>
            </a:ext>
            <a:ext uri="{96DAC541-7B7A-43D3-8B79-37D633B846F1}">
              <asvg:svgBlip xmlns:asvg="http://schemas.microsoft.com/office/drawing/2016/SVG/main" r:embed="rId22"/>
            </a:ext>
          </a:extLst>
        </a:blip>
        <a:stretch>
          <a:fillRect/>
        </a:stretch>
      </xdr:blipFill>
      <xdr:spPr>
        <a:xfrm>
          <a:off x="7029450" y="514350"/>
          <a:ext cx="180000" cy="180000"/>
        </a:xfrm>
        <a:prstGeom prst="rect">
          <a:avLst/>
        </a:prstGeom>
      </xdr:spPr>
    </xdr:pic>
    <xdr:clientData fPrintsWithSheet="0"/>
  </xdr:twoCellAnchor>
  <xdr:twoCellAnchor editAs="oneCell">
    <xdr:from>
      <xdr:col>13</xdr:col>
      <xdr:colOff>0</xdr:colOff>
      <xdr:row>1</xdr:row>
      <xdr:rowOff>190500</xdr:rowOff>
    </xdr:from>
    <xdr:to>
      <xdr:col>13</xdr:col>
      <xdr:colOff>172380</xdr:colOff>
      <xdr:row>1</xdr:row>
      <xdr:rowOff>362880</xdr:rowOff>
    </xdr:to>
    <xdr:pic macro="[0]!Lait.resetScenario4">
      <xdr:nvPicPr>
        <xdr:cNvPr id="43" name="efface1" descr="Gomme">
          <a:extLst>
            <a:ext uri="{FF2B5EF4-FFF2-40B4-BE49-F238E27FC236}">
              <a16:creationId xmlns:a16="http://schemas.microsoft.com/office/drawing/2014/main" id="{00000000-0008-0000-0500-00002B000000}"/>
            </a:ext>
          </a:extLst>
        </xdr:cNvPr>
        <xdr:cNvPicPr>
          <a:picLocks noChangeAspect="1"/>
        </xdr:cNvPicPr>
      </xdr:nvPicPr>
      <xdr:blipFill>
        <a:blip xmlns:r="http://schemas.openxmlformats.org/officeDocument/2006/relationships" r:embed="rId23" cstate="screen">
          <a:extLst>
            <a:ext uri="{28A0092B-C50C-407E-A947-70E740481C1C}">
              <a14:useLocalDpi xmlns:a14="http://schemas.microsoft.com/office/drawing/2010/main" val="0"/>
            </a:ext>
            <a:ext uri="{96DAC541-7B7A-43D3-8B79-37D633B846F1}">
              <asvg:svgBlip xmlns:asvg="http://schemas.microsoft.com/office/drawing/2016/SVG/main" r:embed="rId22"/>
            </a:ext>
          </a:extLst>
        </a:blip>
        <a:stretch>
          <a:fillRect/>
        </a:stretch>
      </xdr:blipFill>
      <xdr:spPr>
        <a:xfrm>
          <a:off x="8448675" y="504825"/>
          <a:ext cx="180000" cy="180000"/>
        </a:xfrm>
        <a:prstGeom prst="rect">
          <a:avLst/>
        </a:prstGeom>
      </xdr:spPr>
    </xdr:pic>
    <xdr:clientData fPrintsWithSheet="0"/>
  </xdr:twoCellAnchor>
  <xdr:twoCellAnchor editAs="oneCell">
    <xdr:from>
      <xdr:col>15</xdr:col>
      <xdr:colOff>19050</xdr:colOff>
      <xdr:row>1</xdr:row>
      <xdr:rowOff>200025</xdr:rowOff>
    </xdr:from>
    <xdr:to>
      <xdr:col>15</xdr:col>
      <xdr:colOff>210480</xdr:colOff>
      <xdr:row>2</xdr:row>
      <xdr:rowOff>19980</xdr:rowOff>
    </xdr:to>
    <xdr:pic macro="[0]!Lait.resetScenario5">
      <xdr:nvPicPr>
        <xdr:cNvPr id="44" name="efface1" descr="Gomme">
          <a:extLst>
            <a:ext uri="{FF2B5EF4-FFF2-40B4-BE49-F238E27FC236}">
              <a16:creationId xmlns:a16="http://schemas.microsoft.com/office/drawing/2014/main" id="{00000000-0008-0000-0500-00002C000000}"/>
            </a:ext>
          </a:extLst>
        </xdr:cNvPr>
        <xdr:cNvPicPr>
          <a:picLocks noChangeAspect="1"/>
        </xdr:cNvPicPr>
      </xdr:nvPicPr>
      <xdr:blipFill>
        <a:blip xmlns:r="http://schemas.openxmlformats.org/officeDocument/2006/relationships" r:embed="rId25" cstate="screen">
          <a:extLst>
            <a:ext uri="{28A0092B-C50C-407E-A947-70E740481C1C}">
              <a14:useLocalDpi xmlns:a14="http://schemas.microsoft.com/office/drawing/2010/main" val="0"/>
            </a:ext>
            <a:ext uri="{96DAC541-7B7A-43D3-8B79-37D633B846F1}">
              <asvg:svgBlip xmlns:asvg="http://schemas.microsoft.com/office/drawing/2016/SVG/main" r:embed="rId22"/>
            </a:ext>
          </a:extLst>
        </a:blip>
        <a:stretch>
          <a:fillRect/>
        </a:stretch>
      </xdr:blipFill>
      <xdr:spPr>
        <a:xfrm>
          <a:off x="9886950" y="514350"/>
          <a:ext cx="180000" cy="180000"/>
        </a:xfrm>
        <a:prstGeom prst="rect">
          <a:avLst/>
        </a:prstGeom>
      </xdr:spPr>
    </xdr:pic>
    <xdr:clientData fPrintsWithSheet="0"/>
  </xdr:twoCellAnchor>
  <mc:AlternateContent xmlns:mc="http://schemas.openxmlformats.org/markup-compatibility/2006">
    <mc:Choice xmlns:a14="http://schemas.microsoft.com/office/drawing/2010/main" Requires="a14">
      <xdr:twoCellAnchor editAs="oneCell">
        <xdr:from>
          <xdr:col>3</xdr:col>
          <xdr:colOff>1438275</xdr:colOff>
          <xdr:row>0</xdr:row>
          <xdr:rowOff>47625</xdr:rowOff>
        </xdr:from>
        <xdr:to>
          <xdr:col>4</xdr:col>
          <xdr:colOff>1047750</xdr:colOff>
          <xdr:row>0</xdr:row>
          <xdr:rowOff>266700</xdr:rowOff>
        </xdr:to>
        <xdr:sp macro="" textlink="">
          <xdr:nvSpPr>
            <xdr:cNvPr id="42331" name="dropdownTdmLait" hidden="1">
              <a:extLst>
                <a:ext uri="{63B3BB69-23CF-44E3-9099-C40C66FF867C}">
                  <a14:compatExt spid="_x0000_s42331"/>
                </a:ext>
                <a:ext uri="{FF2B5EF4-FFF2-40B4-BE49-F238E27FC236}">
                  <a16:creationId xmlns:a16="http://schemas.microsoft.com/office/drawing/2014/main" id="{00000000-0008-0000-0500-00005BA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twoCellAnchor>
    <xdr:from>
      <xdr:col>0</xdr:col>
      <xdr:colOff>12700</xdr:colOff>
      <xdr:row>0</xdr:row>
      <xdr:rowOff>12700</xdr:rowOff>
    </xdr:from>
    <xdr:to>
      <xdr:col>4</xdr:col>
      <xdr:colOff>679450</xdr:colOff>
      <xdr:row>0</xdr:row>
      <xdr:rowOff>25400</xdr:rowOff>
    </xdr:to>
    <xdr:sp macro="" textlink="">
      <xdr:nvSpPr>
        <xdr:cNvPr id="4" name="highlightDest">
          <a:extLst>
            <a:ext uri="{FF2B5EF4-FFF2-40B4-BE49-F238E27FC236}">
              <a16:creationId xmlns:a16="http://schemas.microsoft.com/office/drawing/2014/main" id="{00000000-0008-0000-0500-000004000000}"/>
            </a:ext>
          </a:extLst>
        </xdr:cNvPr>
        <xdr:cNvSpPr/>
      </xdr:nvSpPr>
      <xdr:spPr>
        <a:xfrm>
          <a:off x="12700" y="12700"/>
          <a:ext cx="3876675" cy="127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CA" sz="1100"/>
        </a:p>
      </xdr:txBody>
    </xdr:sp>
    <xdr:clientData fPrintsWithSheet="0"/>
  </xdr:twoCellAnchor>
  <xdr:twoCellAnchor>
    <xdr:from>
      <xdr:col>1</xdr:col>
      <xdr:colOff>9525</xdr:colOff>
      <xdr:row>0</xdr:row>
      <xdr:rowOff>12700</xdr:rowOff>
    </xdr:from>
    <xdr:to>
      <xdr:col>4</xdr:col>
      <xdr:colOff>981075</xdr:colOff>
      <xdr:row>0</xdr:row>
      <xdr:rowOff>25400</xdr:rowOff>
    </xdr:to>
    <xdr:sp macro="" textlink="">
      <xdr:nvSpPr>
        <xdr:cNvPr id="5" name="highlightDest">
          <a:extLst>
            <a:ext uri="{FF2B5EF4-FFF2-40B4-BE49-F238E27FC236}">
              <a16:creationId xmlns:a16="http://schemas.microsoft.com/office/drawing/2014/main" id="{00000000-0008-0000-0500-000005000000}"/>
            </a:ext>
          </a:extLst>
        </xdr:cNvPr>
        <xdr:cNvSpPr/>
      </xdr:nvSpPr>
      <xdr:spPr>
        <a:xfrm>
          <a:off x="314325" y="12700"/>
          <a:ext cx="3876675" cy="127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CA" sz="1100"/>
        </a:p>
      </xdr:txBody>
    </xdr:sp>
    <xdr:clientData fPrintsWithSheet="0"/>
  </xdr:twoCellAnchor>
  <xdr:twoCellAnchor>
    <xdr:from>
      <xdr:col>1</xdr:col>
      <xdr:colOff>9525</xdr:colOff>
      <xdr:row>0</xdr:row>
      <xdr:rowOff>12700</xdr:rowOff>
    </xdr:from>
    <xdr:to>
      <xdr:col>4</xdr:col>
      <xdr:colOff>981075</xdr:colOff>
      <xdr:row>0</xdr:row>
      <xdr:rowOff>25400</xdr:rowOff>
    </xdr:to>
    <xdr:sp macro="" textlink="">
      <xdr:nvSpPr>
        <xdr:cNvPr id="45" name="highlightBox">
          <a:extLst>
            <a:ext uri="{FF2B5EF4-FFF2-40B4-BE49-F238E27FC236}">
              <a16:creationId xmlns:a16="http://schemas.microsoft.com/office/drawing/2014/main" id="{00000000-0008-0000-0500-00002D000000}"/>
            </a:ext>
          </a:extLst>
        </xdr:cNvPr>
        <xdr:cNvSpPr/>
      </xdr:nvSpPr>
      <xdr:spPr>
        <a:xfrm>
          <a:off x="314325" y="12700"/>
          <a:ext cx="3876675" cy="127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CA" sz="1100"/>
        </a:p>
      </xdr:txBody>
    </xdr:sp>
    <xdr:clientData fPrintsWithSheet="0"/>
  </xdr:twoCellAnchor>
  <xdr:twoCellAnchor>
    <xdr:from>
      <xdr:col>1</xdr:col>
      <xdr:colOff>9525</xdr:colOff>
      <xdr:row>0</xdr:row>
      <xdr:rowOff>12700</xdr:rowOff>
    </xdr:from>
    <xdr:to>
      <xdr:col>8</xdr:col>
      <xdr:colOff>66675</xdr:colOff>
      <xdr:row>0</xdr:row>
      <xdr:rowOff>25400</xdr:rowOff>
    </xdr:to>
    <xdr:sp macro="" textlink="">
      <xdr:nvSpPr>
        <xdr:cNvPr id="2" name="highlightBox">
          <a:extLst>
            <a:ext uri="{FF2B5EF4-FFF2-40B4-BE49-F238E27FC236}">
              <a16:creationId xmlns:a16="http://schemas.microsoft.com/office/drawing/2014/main" id="{00000000-0008-0000-0500-000002000000}"/>
            </a:ext>
          </a:extLst>
        </xdr:cNvPr>
        <xdr:cNvSpPr/>
      </xdr:nvSpPr>
      <xdr:spPr>
        <a:xfrm>
          <a:off x="314325" y="12700"/>
          <a:ext cx="4391025" cy="127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CA" sz="1100"/>
        </a:p>
      </xdr:txBody>
    </xdr:sp>
    <xdr:clientData fPrintsWithSheet="0"/>
  </xdr:twoCellAnchor>
  <xdr:twoCellAnchor>
    <xdr:from>
      <xdr:col>1</xdr:col>
      <xdr:colOff>9525</xdr:colOff>
      <xdr:row>0</xdr:row>
      <xdr:rowOff>12700</xdr:rowOff>
    </xdr:from>
    <xdr:to>
      <xdr:col>8</xdr:col>
      <xdr:colOff>66675</xdr:colOff>
      <xdr:row>0</xdr:row>
      <xdr:rowOff>25400</xdr:rowOff>
    </xdr:to>
    <xdr:sp macro="" textlink="">
      <xdr:nvSpPr>
        <xdr:cNvPr id="6" name="highlightBox">
          <a:extLst>
            <a:ext uri="{FF2B5EF4-FFF2-40B4-BE49-F238E27FC236}">
              <a16:creationId xmlns:a16="http://schemas.microsoft.com/office/drawing/2014/main" id="{00000000-0008-0000-0500-000006000000}"/>
            </a:ext>
          </a:extLst>
        </xdr:cNvPr>
        <xdr:cNvSpPr/>
      </xdr:nvSpPr>
      <xdr:spPr>
        <a:xfrm>
          <a:off x="314325" y="12700"/>
          <a:ext cx="4391025" cy="127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CA" sz="1100"/>
        </a:p>
      </xdr:txBody>
    </xdr:sp>
    <xdr:clientData fPrintsWithSheet="0"/>
  </xdr:twoCellAnchor>
  <xdr:twoCellAnchor>
    <xdr:from>
      <xdr:col>1</xdr:col>
      <xdr:colOff>9525</xdr:colOff>
      <xdr:row>0</xdr:row>
      <xdr:rowOff>12700</xdr:rowOff>
    </xdr:from>
    <xdr:to>
      <xdr:col>8</xdr:col>
      <xdr:colOff>66675</xdr:colOff>
      <xdr:row>0</xdr:row>
      <xdr:rowOff>25400</xdr:rowOff>
    </xdr:to>
    <xdr:sp macro="" textlink="">
      <xdr:nvSpPr>
        <xdr:cNvPr id="51" name="highlightBox">
          <a:extLst>
            <a:ext uri="{FF2B5EF4-FFF2-40B4-BE49-F238E27FC236}">
              <a16:creationId xmlns:a16="http://schemas.microsoft.com/office/drawing/2014/main" id="{00000000-0008-0000-0500-000033000000}"/>
            </a:ext>
          </a:extLst>
        </xdr:cNvPr>
        <xdr:cNvSpPr/>
      </xdr:nvSpPr>
      <xdr:spPr>
        <a:xfrm>
          <a:off x="314325" y="12700"/>
          <a:ext cx="4391025" cy="127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CA" sz="1100"/>
        </a:p>
      </xdr:txBody>
    </xdr:sp>
    <xdr:clientData fPrintsWithSheet="0"/>
  </xdr:twoCellAnchor>
  <xdr:twoCellAnchor>
    <xdr:from>
      <xdr:col>1</xdr:col>
      <xdr:colOff>9525</xdr:colOff>
      <xdr:row>0</xdr:row>
      <xdr:rowOff>12700</xdr:rowOff>
    </xdr:from>
    <xdr:to>
      <xdr:col>8</xdr:col>
      <xdr:colOff>66675</xdr:colOff>
      <xdr:row>0</xdr:row>
      <xdr:rowOff>25400</xdr:rowOff>
    </xdr:to>
    <xdr:sp macro="" textlink="">
      <xdr:nvSpPr>
        <xdr:cNvPr id="52" name="highlightBox">
          <a:extLst>
            <a:ext uri="{FF2B5EF4-FFF2-40B4-BE49-F238E27FC236}">
              <a16:creationId xmlns:a16="http://schemas.microsoft.com/office/drawing/2014/main" id="{00000000-0008-0000-0500-000034000000}"/>
            </a:ext>
          </a:extLst>
        </xdr:cNvPr>
        <xdr:cNvSpPr/>
      </xdr:nvSpPr>
      <xdr:spPr>
        <a:xfrm>
          <a:off x="314325" y="12700"/>
          <a:ext cx="4391025" cy="127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CA" sz="1100"/>
        </a:p>
      </xdr:txBody>
    </xdr:sp>
    <xdr:clientData fPrintsWithSheet="0"/>
  </xdr:twoCellAnchor>
  <xdr:twoCellAnchor>
    <xdr:from>
      <xdr:col>1</xdr:col>
      <xdr:colOff>9525</xdr:colOff>
      <xdr:row>0</xdr:row>
      <xdr:rowOff>12700</xdr:rowOff>
    </xdr:from>
    <xdr:to>
      <xdr:col>8</xdr:col>
      <xdr:colOff>66675</xdr:colOff>
      <xdr:row>0</xdr:row>
      <xdr:rowOff>25400</xdr:rowOff>
    </xdr:to>
    <xdr:sp macro="" textlink="">
      <xdr:nvSpPr>
        <xdr:cNvPr id="7" name="highlightBox">
          <a:extLst>
            <a:ext uri="{FF2B5EF4-FFF2-40B4-BE49-F238E27FC236}">
              <a16:creationId xmlns:a16="http://schemas.microsoft.com/office/drawing/2014/main" id="{00000000-0008-0000-0500-000007000000}"/>
            </a:ext>
          </a:extLst>
        </xdr:cNvPr>
        <xdr:cNvSpPr/>
      </xdr:nvSpPr>
      <xdr:spPr>
        <a:xfrm>
          <a:off x="314325" y="12700"/>
          <a:ext cx="4391025" cy="127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CA" sz="1100"/>
        </a:p>
      </xdr:txBody>
    </xdr:sp>
    <xdr:clientData fPrintsWithSheet="0"/>
  </xdr:twoCellAnchor>
  <xdr:twoCellAnchor>
    <xdr:from>
      <xdr:col>1</xdr:col>
      <xdr:colOff>9525</xdr:colOff>
      <xdr:row>0</xdr:row>
      <xdr:rowOff>12700</xdr:rowOff>
    </xdr:from>
    <xdr:to>
      <xdr:col>8</xdr:col>
      <xdr:colOff>66675</xdr:colOff>
      <xdr:row>0</xdr:row>
      <xdr:rowOff>25400</xdr:rowOff>
    </xdr:to>
    <xdr:sp macro="" textlink="">
      <xdr:nvSpPr>
        <xdr:cNvPr id="53" name="highlightBox">
          <a:extLst>
            <a:ext uri="{FF2B5EF4-FFF2-40B4-BE49-F238E27FC236}">
              <a16:creationId xmlns:a16="http://schemas.microsoft.com/office/drawing/2014/main" id="{00000000-0008-0000-0500-000035000000}"/>
            </a:ext>
          </a:extLst>
        </xdr:cNvPr>
        <xdr:cNvSpPr/>
      </xdr:nvSpPr>
      <xdr:spPr>
        <a:xfrm>
          <a:off x="314325" y="12700"/>
          <a:ext cx="4391025" cy="127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CA" sz="1100"/>
        </a:p>
      </xdr:txBody>
    </xdr:sp>
    <xdr:clientData fPrintsWithSheet="0"/>
  </xdr:twoCellAnchor>
  <xdr:twoCellAnchor>
    <xdr:from>
      <xdr:col>1</xdr:col>
      <xdr:colOff>9525</xdr:colOff>
      <xdr:row>0</xdr:row>
      <xdr:rowOff>12700</xdr:rowOff>
    </xdr:from>
    <xdr:to>
      <xdr:col>5</xdr:col>
      <xdr:colOff>438150</xdr:colOff>
      <xdr:row>0</xdr:row>
      <xdr:rowOff>25400</xdr:rowOff>
    </xdr:to>
    <xdr:sp macro="" textlink="">
      <xdr:nvSpPr>
        <xdr:cNvPr id="8" name="highlightBox">
          <a:extLst>
            <a:ext uri="{FF2B5EF4-FFF2-40B4-BE49-F238E27FC236}">
              <a16:creationId xmlns:a16="http://schemas.microsoft.com/office/drawing/2014/main" id="{00000000-0008-0000-0500-000008000000}"/>
            </a:ext>
          </a:extLst>
        </xdr:cNvPr>
        <xdr:cNvSpPr/>
      </xdr:nvSpPr>
      <xdr:spPr>
        <a:xfrm>
          <a:off x="314325" y="12700"/>
          <a:ext cx="4391025" cy="127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CA" sz="1100"/>
        </a:p>
      </xdr:txBody>
    </xdr:sp>
    <xdr:clientData fPrintsWithSheet="0"/>
  </xdr:twoCellAnchor>
  <xdr:twoCellAnchor>
    <xdr:from>
      <xdr:col>1</xdr:col>
      <xdr:colOff>9525</xdr:colOff>
      <xdr:row>0</xdr:row>
      <xdr:rowOff>12700</xdr:rowOff>
    </xdr:from>
    <xdr:to>
      <xdr:col>5</xdr:col>
      <xdr:colOff>438150</xdr:colOff>
      <xdr:row>0</xdr:row>
      <xdr:rowOff>25400</xdr:rowOff>
    </xdr:to>
    <xdr:sp macro="" textlink="">
      <xdr:nvSpPr>
        <xdr:cNvPr id="54" name="highlightBox">
          <a:extLst>
            <a:ext uri="{FF2B5EF4-FFF2-40B4-BE49-F238E27FC236}">
              <a16:creationId xmlns:a16="http://schemas.microsoft.com/office/drawing/2014/main" id="{00000000-0008-0000-0500-000036000000}"/>
            </a:ext>
          </a:extLst>
        </xdr:cNvPr>
        <xdr:cNvSpPr/>
      </xdr:nvSpPr>
      <xdr:spPr>
        <a:xfrm>
          <a:off x="314325" y="12700"/>
          <a:ext cx="4391025" cy="127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CA" sz="1100"/>
        </a:p>
      </xdr:txBody>
    </xdr:sp>
    <xdr:clientData fPrintsWithSheet="0"/>
  </xdr:twoCellAnchor>
  <xdr:twoCellAnchor>
    <xdr:from>
      <xdr:col>1</xdr:col>
      <xdr:colOff>9525</xdr:colOff>
      <xdr:row>0</xdr:row>
      <xdr:rowOff>12700</xdr:rowOff>
    </xdr:from>
    <xdr:to>
      <xdr:col>8</xdr:col>
      <xdr:colOff>66675</xdr:colOff>
      <xdr:row>0</xdr:row>
      <xdr:rowOff>25400</xdr:rowOff>
    </xdr:to>
    <xdr:sp macro="" textlink="">
      <xdr:nvSpPr>
        <xdr:cNvPr id="9" name="highlightBox">
          <a:extLst>
            <a:ext uri="{FF2B5EF4-FFF2-40B4-BE49-F238E27FC236}">
              <a16:creationId xmlns:a16="http://schemas.microsoft.com/office/drawing/2014/main" id="{00000000-0008-0000-0500-000009000000}"/>
            </a:ext>
          </a:extLst>
        </xdr:cNvPr>
        <xdr:cNvSpPr/>
      </xdr:nvSpPr>
      <xdr:spPr>
        <a:xfrm>
          <a:off x="314325" y="12700"/>
          <a:ext cx="4391025" cy="127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CA" sz="1100"/>
        </a:p>
      </xdr:txBody>
    </xdr:sp>
    <xdr:clientData fPrintsWithSheet="0"/>
  </xdr:twoCellAnchor>
  <xdr:twoCellAnchor>
    <xdr:from>
      <xdr:col>1</xdr:col>
      <xdr:colOff>9525</xdr:colOff>
      <xdr:row>0</xdr:row>
      <xdr:rowOff>12700</xdr:rowOff>
    </xdr:from>
    <xdr:to>
      <xdr:col>8</xdr:col>
      <xdr:colOff>66675</xdr:colOff>
      <xdr:row>0</xdr:row>
      <xdr:rowOff>25400</xdr:rowOff>
    </xdr:to>
    <xdr:sp macro="" textlink="">
      <xdr:nvSpPr>
        <xdr:cNvPr id="11" name="highlightBox">
          <a:extLst>
            <a:ext uri="{FF2B5EF4-FFF2-40B4-BE49-F238E27FC236}">
              <a16:creationId xmlns:a16="http://schemas.microsoft.com/office/drawing/2014/main" id="{00000000-0008-0000-0500-00000B000000}"/>
            </a:ext>
          </a:extLst>
        </xdr:cNvPr>
        <xdr:cNvSpPr/>
      </xdr:nvSpPr>
      <xdr:spPr>
        <a:xfrm>
          <a:off x="314325" y="12700"/>
          <a:ext cx="4391025" cy="127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CA" sz="1100"/>
        </a:p>
      </xdr:txBody>
    </xdr:sp>
    <xdr:clientData fPrintsWithSheet="0"/>
  </xdr:twoCellAnchor>
  <xdr:twoCellAnchor>
    <xdr:from>
      <xdr:col>1</xdr:col>
      <xdr:colOff>0</xdr:colOff>
      <xdr:row>0</xdr:row>
      <xdr:rowOff>12700</xdr:rowOff>
    </xdr:from>
    <xdr:to>
      <xdr:col>4</xdr:col>
      <xdr:colOff>971550</xdr:colOff>
      <xdr:row>0</xdr:row>
      <xdr:rowOff>25400</xdr:rowOff>
    </xdr:to>
    <xdr:sp macro="" textlink="">
      <xdr:nvSpPr>
        <xdr:cNvPr id="12" name="highlightBox">
          <a:extLst>
            <a:ext uri="{FF2B5EF4-FFF2-40B4-BE49-F238E27FC236}">
              <a16:creationId xmlns:a16="http://schemas.microsoft.com/office/drawing/2014/main" id="{00000000-0008-0000-0500-00000C000000}"/>
            </a:ext>
          </a:extLst>
        </xdr:cNvPr>
        <xdr:cNvSpPr/>
      </xdr:nvSpPr>
      <xdr:spPr>
        <a:xfrm>
          <a:off x="304800" y="12700"/>
          <a:ext cx="3876675" cy="127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CA" sz="1100"/>
        </a:p>
      </xdr:txBody>
    </xdr:sp>
    <xdr:clientData fPrintsWithSheet="0"/>
  </xdr:twoCellAnchor>
  <xdr:twoCellAnchor>
    <xdr:from>
      <xdr:col>3</xdr:col>
      <xdr:colOff>352425</xdr:colOff>
      <xdr:row>0</xdr:row>
      <xdr:rowOff>295275</xdr:rowOff>
    </xdr:from>
    <xdr:to>
      <xdr:col>3</xdr:col>
      <xdr:colOff>784179</xdr:colOff>
      <xdr:row>2</xdr:row>
      <xdr:rowOff>38300</xdr:rowOff>
    </xdr:to>
    <xdr:grpSp>
      <xdr:nvGrpSpPr>
        <xdr:cNvPr id="55" name="resetCell">
          <a:extLst>
            <a:ext uri="{FF2B5EF4-FFF2-40B4-BE49-F238E27FC236}">
              <a16:creationId xmlns:a16="http://schemas.microsoft.com/office/drawing/2014/main" id="{00000000-0008-0000-0500-000037000000}"/>
            </a:ext>
          </a:extLst>
        </xdr:cNvPr>
        <xdr:cNvGrpSpPr/>
      </xdr:nvGrpSpPr>
      <xdr:grpSpPr>
        <a:xfrm>
          <a:off x="1786778" y="295275"/>
          <a:ext cx="431754" cy="426584"/>
          <a:chOff x="1913218" y="288925"/>
          <a:chExt cx="431754" cy="427634"/>
        </a:xfrm>
      </xdr:grpSpPr>
      <xdr:pic macro="[0]!ResetCells">
        <xdr:nvPicPr>
          <xdr:cNvPr id="56" name="Graphique 55" descr="Tableau">
            <a:extLst>
              <a:ext uri="{FF2B5EF4-FFF2-40B4-BE49-F238E27FC236}">
                <a16:creationId xmlns:a16="http://schemas.microsoft.com/office/drawing/2014/main" id="{00000000-0008-0000-0500-000038000000}"/>
              </a:ext>
            </a:extLst>
          </xdr:cNvPr>
          <xdr:cNvPicPr>
            <a:picLocks noChangeAspect="1"/>
          </xdr:cNvPicPr>
        </xdr:nvPicPr>
        <xdr:blipFill>
          <a:blip xmlns:r="http://schemas.openxmlformats.org/officeDocument/2006/relationships" r:embed="rId26" cstate="screen">
            <a:extLst>
              <a:ext uri="{28A0092B-C50C-407E-A947-70E740481C1C}">
                <a14:useLocalDpi xmlns:a14="http://schemas.microsoft.com/office/drawing/2010/main" val="0"/>
              </a:ext>
              <a:ext uri="{96DAC541-7B7A-43D3-8B79-37D633B846F1}">
                <asvg:svgBlip xmlns:asvg="http://schemas.microsoft.com/office/drawing/2016/SVG/main" r:embed="rId27"/>
              </a:ext>
            </a:extLst>
          </a:blip>
          <a:stretch>
            <a:fillRect/>
          </a:stretch>
        </xdr:blipFill>
        <xdr:spPr>
          <a:xfrm>
            <a:off x="1913218" y="288925"/>
            <a:ext cx="431754" cy="427634"/>
          </a:xfrm>
          <a:prstGeom prst="rect">
            <a:avLst/>
          </a:prstGeom>
        </xdr:spPr>
      </xdr:pic>
      <xdr:sp macro="[0]!ResetCells" textlink="">
        <xdr:nvSpPr>
          <xdr:cNvPr id="57" name="Rectangle 56">
            <a:extLst>
              <a:ext uri="{FF2B5EF4-FFF2-40B4-BE49-F238E27FC236}">
                <a16:creationId xmlns:a16="http://schemas.microsoft.com/office/drawing/2014/main" id="{00000000-0008-0000-0500-000039000000}"/>
              </a:ext>
            </a:extLst>
          </xdr:cNvPr>
          <xdr:cNvSpPr/>
        </xdr:nvSpPr>
        <xdr:spPr>
          <a:xfrm>
            <a:off x="2084147" y="477491"/>
            <a:ext cx="197518" cy="125755"/>
          </a:xfrm>
          <a:prstGeom prst="rect">
            <a:avLst/>
          </a:prstGeom>
          <a:solidFill>
            <a:srgbClr val="EDF6F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CA" sz="1100"/>
          </a:p>
        </xdr:txBody>
      </xdr:sp>
      <xdr:pic macro="[0]!ResetCells">
        <xdr:nvPicPr>
          <xdr:cNvPr id="58" name="Graphique 57" descr="Actualiser">
            <a:extLst>
              <a:ext uri="{FF2B5EF4-FFF2-40B4-BE49-F238E27FC236}">
                <a16:creationId xmlns:a16="http://schemas.microsoft.com/office/drawing/2014/main" id="{00000000-0008-0000-0500-00003A000000}"/>
              </a:ext>
            </a:extLst>
          </xdr:cNvPr>
          <xdr:cNvPicPr>
            <a:picLocks noChangeAspect="1"/>
          </xdr:cNvPicPr>
        </xdr:nvPicPr>
        <xdr:blipFill>
          <a:blip xmlns:r="http://schemas.openxmlformats.org/officeDocument/2006/relationships" r:embed="rId28" cstate="screen">
            <a:extLst>
              <a:ext uri="{28A0092B-C50C-407E-A947-70E740481C1C}">
                <a14:useLocalDpi xmlns:a14="http://schemas.microsoft.com/office/drawing/2010/main" val="0"/>
              </a:ext>
              <a:ext uri="{96DAC541-7B7A-43D3-8B79-37D633B846F1}">
                <asvg:svgBlip xmlns:asvg="http://schemas.microsoft.com/office/drawing/2016/SVG/main" r:embed="rId29"/>
              </a:ext>
            </a:extLst>
          </a:blip>
          <a:stretch>
            <a:fillRect/>
          </a:stretch>
        </xdr:blipFill>
        <xdr:spPr>
          <a:xfrm>
            <a:off x="2113916" y="470639"/>
            <a:ext cx="144000" cy="138183"/>
          </a:xfrm>
          <a:prstGeom prst="rect">
            <a:avLst/>
          </a:prstGeom>
        </xdr:spPr>
      </xdr:pic>
    </xdr:grpSp>
    <xdr:clientData fPrintsWithSheet="0"/>
  </xdr:twoCellAnchor>
</xdr:wsDr>
</file>

<file path=xl/drawings/drawing6.xml><?xml version="1.0" encoding="utf-8"?>
<xdr:wsDr xmlns:xdr="http://schemas.openxmlformats.org/drawingml/2006/spreadsheetDrawing" xmlns:a="http://schemas.openxmlformats.org/drawingml/2006/main">
  <xdr:twoCellAnchor editAs="oneCell">
    <xdr:from>
      <xdr:col>0</xdr:col>
      <xdr:colOff>38100</xdr:colOff>
      <xdr:row>0</xdr:row>
      <xdr:rowOff>0</xdr:rowOff>
    </xdr:from>
    <xdr:to>
      <xdr:col>0</xdr:col>
      <xdr:colOff>352425</xdr:colOff>
      <xdr:row>1</xdr:row>
      <xdr:rowOff>0</xdr:rowOff>
    </xdr:to>
    <xdr:pic>
      <xdr:nvPicPr>
        <xdr:cNvPr id="2" name="vache" descr="Vache">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38100" y="0"/>
          <a:ext cx="314325" cy="31432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67602</xdr:colOff>
      <xdr:row>1</xdr:row>
      <xdr:rowOff>24129</xdr:rowOff>
    </xdr:to>
    <xdr:pic>
      <xdr:nvPicPr>
        <xdr:cNvPr id="12" name="plant" descr="Plante">
          <a:extLst>
            <a:ext uri="{FF2B5EF4-FFF2-40B4-BE49-F238E27FC236}">
              <a16:creationId xmlns:a16="http://schemas.microsoft.com/office/drawing/2014/main" id="{00000000-0008-0000-0700-00000C000000}"/>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0" y="0"/>
          <a:ext cx="333374" cy="333374"/>
        </a:xfrm>
        <a:prstGeom prst="rect">
          <a:avLst/>
        </a:prstGeom>
      </xdr:spPr>
    </xdr:pic>
    <xdr:clientData/>
  </xdr:twoCellAnchor>
  <xdr:twoCellAnchor editAs="oneCell">
    <xdr:from>
      <xdr:col>17</xdr:col>
      <xdr:colOff>0</xdr:colOff>
      <xdr:row>18</xdr:row>
      <xdr:rowOff>0</xdr:rowOff>
    </xdr:from>
    <xdr:to>
      <xdr:col>17</xdr:col>
      <xdr:colOff>214730</xdr:colOff>
      <xdr:row>18</xdr:row>
      <xdr:rowOff>214630</xdr:rowOff>
    </xdr:to>
    <xdr:pic macro="[0]!aidescontext.Aide_Champ_Régimedeproduction">
      <xdr:nvPicPr>
        <xdr:cNvPr id="15" name="Graphique 14" descr="Aide">
          <a:extLst>
            <a:ext uri="{FF2B5EF4-FFF2-40B4-BE49-F238E27FC236}">
              <a16:creationId xmlns:a16="http://schemas.microsoft.com/office/drawing/2014/main" id="{00000000-0008-0000-0700-00000F000000}"/>
            </a:ext>
          </a:extLst>
        </xdr:cNvPr>
        <xdr:cNvPicPr>
          <a:picLocks/>
        </xdr:cNvPicPr>
      </xdr:nvPicPr>
      <xdr:blipFill>
        <a:blip xmlns:r="http://schemas.openxmlformats.org/officeDocument/2006/relationships" r:embed="rId3" cstate="screen">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4782800" y="3057525"/>
          <a:ext cx="216000" cy="216000"/>
        </a:xfrm>
        <a:prstGeom prst="rect">
          <a:avLst/>
        </a:prstGeom>
      </xdr:spPr>
    </xdr:pic>
    <xdr:clientData fPrintsWithSheet="0"/>
  </xdr:twoCellAnchor>
  <xdr:twoCellAnchor editAs="oneCell">
    <xdr:from>
      <xdr:col>17</xdr:col>
      <xdr:colOff>0</xdr:colOff>
      <xdr:row>24</xdr:row>
      <xdr:rowOff>0</xdr:rowOff>
    </xdr:from>
    <xdr:to>
      <xdr:col>17</xdr:col>
      <xdr:colOff>214730</xdr:colOff>
      <xdr:row>24</xdr:row>
      <xdr:rowOff>214630</xdr:rowOff>
    </xdr:to>
    <xdr:pic macro="[0]!aidescontext.Aide_Champ_Assolement">
      <xdr:nvPicPr>
        <xdr:cNvPr id="16" name="Graphique 15" descr="Aide">
          <a:extLst>
            <a:ext uri="{FF2B5EF4-FFF2-40B4-BE49-F238E27FC236}">
              <a16:creationId xmlns:a16="http://schemas.microsoft.com/office/drawing/2014/main" id="{00000000-0008-0000-0700-000010000000}"/>
            </a:ext>
          </a:extLst>
        </xdr:cNvPr>
        <xdr:cNvPicPr>
          <a:picLocks/>
        </xdr:cNvPicPr>
      </xdr:nvPicPr>
      <xdr:blipFill>
        <a:blip xmlns:r="http://schemas.openxmlformats.org/officeDocument/2006/relationships" r:embed="rId3" cstate="screen">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4782800" y="4191000"/>
          <a:ext cx="216000" cy="216000"/>
        </a:xfrm>
        <a:prstGeom prst="rect">
          <a:avLst/>
        </a:prstGeom>
      </xdr:spPr>
    </xdr:pic>
    <xdr:clientData fPrintsWithSheet="0"/>
  </xdr:twoCellAnchor>
  <xdr:twoCellAnchor editAs="oneCell">
    <xdr:from>
      <xdr:col>17</xdr:col>
      <xdr:colOff>0</xdr:colOff>
      <xdr:row>53</xdr:row>
      <xdr:rowOff>0</xdr:rowOff>
    </xdr:from>
    <xdr:to>
      <xdr:col>17</xdr:col>
      <xdr:colOff>214730</xdr:colOff>
      <xdr:row>53</xdr:row>
      <xdr:rowOff>222350</xdr:rowOff>
    </xdr:to>
    <xdr:pic macro="[0]!aidescontext.Aide_Champ_Besoinsalimentaires">
      <xdr:nvPicPr>
        <xdr:cNvPr id="17" name="Graphique 16" descr="Aide">
          <a:extLst>
            <a:ext uri="{FF2B5EF4-FFF2-40B4-BE49-F238E27FC236}">
              <a16:creationId xmlns:a16="http://schemas.microsoft.com/office/drawing/2014/main" id="{00000000-0008-0000-0700-000011000000}"/>
            </a:ext>
          </a:extLst>
        </xdr:cNvPr>
        <xdr:cNvPicPr>
          <a:picLocks noChangeAspect="1"/>
        </xdr:cNvPicPr>
      </xdr:nvPicPr>
      <xdr:blipFill>
        <a:blip xmlns:r="http://schemas.openxmlformats.org/officeDocument/2006/relationships" r:embed="rId5" cstate="screen">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2230100" y="9267825"/>
          <a:ext cx="216000" cy="216000"/>
        </a:xfrm>
        <a:prstGeom prst="rect">
          <a:avLst/>
        </a:prstGeom>
      </xdr:spPr>
    </xdr:pic>
    <xdr:clientData fPrintsWithSheet="0"/>
  </xdr:twoCellAnchor>
  <xdr:twoCellAnchor editAs="oneCell">
    <xdr:from>
      <xdr:col>17</xdr:col>
      <xdr:colOff>0</xdr:colOff>
      <xdr:row>74</xdr:row>
      <xdr:rowOff>0</xdr:rowOff>
    </xdr:from>
    <xdr:to>
      <xdr:col>17</xdr:col>
      <xdr:colOff>216000</xdr:colOff>
      <xdr:row>74</xdr:row>
      <xdr:rowOff>216000</xdr:rowOff>
    </xdr:to>
    <xdr:pic macro="[0]!aidescontext.Aide_Champ_Rotationdessurfacesenculturesetprairies">
      <xdr:nvPicPr>
        <xdr:cNvPr id="18" name="aide" descr="Aide">
          <a:extLst>
            <a:ext uri="{FF2B5EF4-FFF2-40B4-BE49-F238E27FC236}">
              <a16:creationId xmlns:a16="http://schemas.microsoft.com/office/drawing/2014/main" id="{00000000-0008-0000-0700-000012000000}"/>
            </a:ext>
          </a:extLst>
        </xdr:cNvPr>
        <xdr:cNvPicPr>
          <a:picLocks noChangeAspect="1"/>
        </xdr:cNvPicPr>
      </xdr:nvPicPr>
      <xdr:blipFill>
        <a:blip xmlns:r="http://schemas.openxmlformats.org/officeDocument/2006/relationships" r:embed="rId3" cstate="screen">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1925300" y="13839825"/>
          <a:ext cx="216000" cy="216000"/>
        </a:xfrm>
        <a:prstGeom prst="rect">
          <a:avLst/>
        </a:prstGeom>
      </xdr:spPr>
    </xdr:pic>
    <xdr:clientData fPrintsWithSheet="0"/>
  </xdr:twoCellAnchor>
  <xdr:twoCellAnchor editAs="oneCell">
    <xdr:from>
      <xdr:col>17</xdr:col>
      <xdr:colOff>0</xdr:colOff>
      <xdr:row>87</xdr:row>
      <xdr:rowOff>180974</xdr:rowOff>
    </xdr:from>
    <xdr:to>
      <xdr:col>17</xdr:col>
      <xdr:colOff>216000</xdr:colOff>
      <xdr:row>88</xdr:row>
      <xdr:rowOff>215999</xdr:rowOff>
    </xdr:to>
    <xdr:pic macro="[0]!aidescontext.Aide_Champ_Rotationdessurfacesenpâturage">
      <xdr:nvPicPr>
        <xdr:cNvPr id="19" name="aide" descr="Aide">
          <a:extLst>
            <a:ext uri="{FF2B5EF4-FFF2-40B4-BE49-F238E27FC236}">
              <a16:creationId xmlns:a16="http://schemas.microsoft.com/office/drawing/2014/main" id="{00000000-0008-0000-0700-000013000000}"/>
            </a:ext>
          </a:extLst>
        </xdr:cNvPr>
        <xdr:cNvPicPr>
          <a:picLocks noChangeAspect="1"/>
        </xdr:cNvPicPr>
      </xdr:nvPicPr>
      <xdr:blipFill>
        <a:blip xmlns:r="http://schemas.openxmlformats.org/officeDocument/2006/relationships" r:embed="rId6" cstate="screen">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1925300" y="16421099"/>
          <a:ext cx="216000" cy="216000"/>
        </a:xfrm>
        <a:prstGeom prst="rect">
          <a:avLst/>
        </a:prstGeom>
      </xdr:spPr>
    </xdr:pic>
    <xdr:clientData fPrintsWithSheet="0"/>
  </xdr:twoCellAnchor>
  <xdr:twoCellAnchor editAs="oneCell">
    <xdr:from>
      <xdr:col>17</xdr:col>
      <xdr:colOff>0</xdr:colOff>
      <xdr:row>102</xdr:row>
      <xdr:rowOff>0</xdr:rowOff>
    </xdr:from>
    <xdr:to>
      <xdr:col>17</xdr:col>
      <xdr:colOff>216000</xdr:colOff>
      <xdr:row>102</xdr:row>
      <xdr:rowOff>216000</xdr:rowOff>
    </xdr:to>
    <xdr:pic macro="[0]!aidescontext.Aide_Champ_Détailsparculture">
      <xdr:nvPicPr>
        <xdr:cNvPr id="20" name="aide" descr="Aide">
          <a:extLst>
            <a:ext uri="{FF2B5EF4-FFF2-40B4-BE49-F238E27FC236}">
              <a16:creationId xmlns:a16="http://schemas.microsoft.com/office/drawing/2014/main" id="{00000000-0008-0000-0700-000014000000}"/>
            </a:ext>
          </a:extLst>
        </xdr:cNvPr>
        <xdr:cNvPicPr>
          <a:picLocks noChangeAspect="1"/>
        </xdr:cNvPicPr>
      </xdr:nvPicPr>
      <xdr:blipFill>
        <a:blip xmlns:r="http://schemas.openxmlformats.org/officeDocument/2006/relationships" r:embed="rId3" cstate="screen">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1925300" y="19030950"/>
          <a:ext cx="216000" cy="216000"/>
        </a:xfrm>
        <a:prstGeom prst="rect">
          <a:avLst/>
        </a:prstGeom>
      </xdr:spPr>
    </xdr:pic>
    <xdr:clientData fPrintsWithSheet="0"/>
  </xdr:twoCellAnchor>
  <xdr:twoCellAnchor editAs="oneCell">
    <xdr:from>
      <xdr:col>17</xdr:col>
      <xdr:colOff>0</xdr:colOff>
      <xdr:row>249</xdr:row>
      <xdr:rowOff>0</xdr:rowOff>
    </xdr:from>
    <xdr:to>
      <xdr:col>17</xdr:col>
      <xdr:colOff>214730</xdr:colOff>
      <xdr:row>249</xdr:row>
      <xdr:rowOff>214730</xdr:rowOff>
    </xdr:to>
    <xdr:pic macro="[0]!aidescontext.Aide_Champ_Produits">
      <xdr:nvPicPr>
        <xdr:cNvPr id="21" name="aide" descr="Aide">
          <a:extLst>
            <a:ext uri="{FF2B5EF4-FFF2-40B4-BE49-F238E27FC236}">
              <a16:creationId xmlns:a16="http://schemas.microsoft.com/office/drawing/2014/main" id="{00000000-0008-0000-0700-000015000000}"/>
            </a:ext>
          </a:extLst>
        </xdr:cNvPr>
        <xdr:cNvPicPr>
          <a:picLocks noChangeAspect="1"/>
        </xdr:cNvPicPr>
      </xdr:nvPicPr>
      <xdr:blipFill>
        <a:blip xmlns:r="http://schemas.openxmlformats.org/officeDocument/2006/relationships" r:embed="rId3" cstate="screen">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2230100" y="18583275"/>
          <a:ext cx="216000" cy="216000"/>
        </a:xfrm>
        <a:prstGeom prst="rect">
          <a:avLst/>
        </a:prstGeom>
      </xdr:spPr>
    </xdr:pic>
    <xdr:clientData fPrintsWithSheet="0"/>
  </xdr:twoCellAnchor>
  <xdr:twoCellAnchor editAs="oneCell">
    <xdr:from>
      <xdr:col>17</xdr:col>
      <xdr:colOff>0</xdr:colOff>
      <xdr:row>341</xdr:row>
      <xdr:rowOff>0</xdr:rowOff>
    </xdr:from>
    <xdr:to>
      <xdr:col>17</xdr:col>
      <xdr:colOff>214730</xdr:colOff>
      <xdr:row>343</xdr:row>
      <xdr:rowOff>62330</xdr:rowOff>
    </xdr:to>
    <xdr:pic macro="[0]!aidescontext.Aide_Champ_Charges">
      <xdr:nvPicPr>
        <xdr:cNvPr id="22" name="aide" descr="Aide">
          <a:extLst>
            <a:ext uri="{FF2B5EF4-FFF2-40B4-BE49-F238E27FC236}">
              <a16:creationId xmlns:a16="http://schemas.microsoft.com/office/drawing/2014/main" id="{00000000-0008-0000-0700-000016000000}"/>
            </a:ext>
          </a:extLst>
        </xdr:cNvPr>
        <xdr:cNvPicPr>
          <a:picLocks noChangeAspect="1"/>
        </xdr:cNvPicPr>
      </xdr:nvPicPr>
      <xdr:blipFill>
        <a:blip xmlns:r="http://schemas.openxmlformats.org/officeDocument/2006/relationships" r:embed="rId7" cstate="screen">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2230100" y="26165175"/>
          <a:ext cx="216000" cy="216000"/>
        </a:xfrm>
        <a:prstGeom prst="rect">
          <a:avLst/>
        </a:prstGeom>
      </xdr:spPr>
    </xdr:pic>
    <xdr:clientData fPrintsWithSheet="0"/>
  </xdr:twoCellAnchor>
  <xdr:twoCellAnchor editAs="oneCell">
    <xdr:from>
      <xdr:col>17</xdr:col>
      <xdr:colOff>0</xdr:colOff>
      <xdr:row>405</xdr:row>
      <xdr:rowOff>0</xdr:rowOff>
    </xdr:from>
    <xdr:to>
      <xdr:col>17</xdr:col>
      <xdr:colOff>214730</xdr:colOff>
      <xdr:row>405</xdr:row>
      <xdr:rowOff>214730</xdr:rowOff>
    </xdr:to>
    <xdr:pic macro="[0]!aidescontext.Aide_Champ_SYNTHÈSEDESRÉSULTATS">
      <xdr:nvPicPr>
        <xdr:cNvPr id="25" name="aide" descr="Aide">
          <a:extLst>
            <a:ext uri="{FF2B5EF4-FFF2-40B4-BE49-F238E27FC236}">
              <a16:creationId xmlns:a16="http://schemas.microsoft.com/office/drawing/2014/main" id="{00000000-0008-0000-0700-000019000000}"/>
            </a:ext>
          </a:extLst>
        </xdr:cNvPr>
        <xdr:cNvPicPr>
          <a:picLocks/>
        </xdr:cNvPicPr>
      </xdr:nvPicPr>
      <xdr:blipFill>
        <a:blip xmlns:r="http://schemas.openxmlformats.org/officeDocument/2006/relationships" r:embed="rId3" cstate="screen">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2200283" y="50134630"/>
          <a:ext cx="216000" cy="216000"/>
        </a:xfrm>
        <a:prstGeom prst="rect">
          <a:avLst/>
        </a:prstGeom>
      </xdr:spPr>
    </xdr:pic>
    <xdr:clientData fPrintsWithSheet="0"/>
  </xdr:twoCellAnchor>
  <xdr:twoCellAnchor editAs="absolute">
    <xdr:from>
      <xdr:col>4</xdr:col>
      <xdr:colOff>72529</xdr:colOff>
      <xdr:row>1</xdr:row>
      <xdr:rowOff>17077</xdr:rowOff>
    </xdr:from>
    <xdr:to>
      <xdr:col>4</xdr:col>
      <xdr:colOff>415320</xdr:colOff>
      <xdr:row>1</xdr:row>
      <xdr:rowOff>359797</xdr:rowOff>
    </xdr:to>
    <xdr:pic macro="[0]!config.cmdBackup_Click">
      <xdr:nvPicPr>
        <xdr:cNvPr id="23" name="grpBackup" descr="Coffre-fort">
          <a:extLst>
            <a:ext uri="{FF2B5EF4-FFF2-40B4-BE49-F238E27FC236}">
              <a16:creationId xmlns:a16="http://schemas.microsoft.com/office/drawing/2014/main" id="{00000000-0008-0000-0700-000017000000}"/>
            </a:ext>
          </a:extLst>
        </xdr:cNvPr>
        <xdr:cNvPicPr>
          <a:picLocks noChangeAspect="1"/>
        </xdr:cNvPicPr>
      </xdr:nvPicPr>
      <xdr:blipFill>
        <a:blip xmlns:r="http://schemas.openxmlformats.org/officeDocument/2006/relationships" r:embed="rId8" cstate="screen">
          <a:extLst>
            <a:ext uri="{28A0092B-C50C-407E-A947-70E740481C1C}">
              <a14:useLocalDpi xmlns:a14="http://schemas.microsoft.com/office/drawing/2010/main" val="0"/>
            </a:ext>
            <a:ext uri="{96DAC541-7B7A-43D3-8B79-37D633B846F1}">
              <asvg:svgBlip xmlns:asvg="http://schemas.microsoft.com/office/drawing/2016/SVG/main" r:embed="rId9"/>
            </a:ext>
          </a:extLst>
        </a:blip>
        <a:stretch>
          <a:fillRect/>
        </a:stretch>
      </xdr:blipFill>
      <xdr:spPr>
        <a:xfrm>
          <a:off x="2550934" y="331402"/>
          <a:ext cx="342791" cy="342720"/>
        </a:xfrm>
        <a:prstGeom prst="rect">
          <a:avLst/>
        </a:prstGeom>
      </xdr:spPr>
    </xdr:pic>
    <xdr:clientData fPrintsWithSheet="0"/>
  </xdr:twoCellAnchor>
  <xdr:twoCellAnchor editAs="absolute">
    <xdr:from>
      <xdr:col>3</xdr:col>
      <xdr:colOff>1073304</xdr:colOff>
      <xdr:row>1</xdr:row>
      <xdr:rowOff>27750</xdr:rowOff>
    </xdr:from>
    <xdr:to>
      <xdr:col>3</xdr:col>
      <xdr:colOff>1427958</xdr:colOff>
      <xdr:row>1</xdr:row>
      <xdr:rowOff>352432</xdr:rowOff>
    </xdr:to>
    <xdr:grpSp>
      <xdr:nvGrpSpPr>
        <xdr:cNvPr id="13" name="grpResetSheet">
          <a:extLst>
            <a:ext uri="{FF2B5EF4-FFF2-40B4-BE49-F238E27FC236}">
              <a16:creationId xmlns:a16="http://schemas.microsoft.com/office/drawing/2014/main" id="{00000000-0008-0000-0700-00000D000000}"/>
            </a:ext>
          </a:extLst>
        </xdr:cNvPr>
        <xdr:cNvGrpSpPr>
          <a:grpSpLocks noChangeAspect="1"/>
        </xdr:cNvGrpSpPr>
      </xdr:nvGrpSpPr>
      <xdr:grpSpPr>
        <a:xfrm>
          <a:off x="1349529" y="342075"/>
          <a:ext cx="354654" cy="324682"/>
          <a:chOff x="2438400" y="876300"/>
          <a:chExt cx="914400" cy="914400"/>
        </a:xfrm>
        <a:solidFill>
          <a:schemeClr val="accent2">
            <a:lumMod val="75000"/>
          </a:schemeClr>
        </a:solidFill>
      </xdr:grpSpPr>
      <xdr:pic macro="[0]!Champs.cmdResetSheet_Click">
        <xdr:nvPicPr>
          <xdr:cNvPr id="3" name="Graphique 2" descr="Papier">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10" cstate="screen">
            <a:extLst>
              <a:ext uri="{28A0092B-C50C-407E-A947-70E740481C1C}">
                <a14:useLocalDpi xmlns:a14="http://schemas.microsoft.com/office/drawing/2010/main" val="0"/>
              </a:ext>
              <a:ext uri="{96DAC541-7B7A-43D3-8B79-37D633B846F1}">
                <asvg:svgBlip xmlns:asvg="http://schemas.microsoft.com/office/drawing/2016/SVG/main" r:embed="rId11"/>
              </a:ext>
            </a:extLst>
          </a:blip>
          <a:stretch>
            <a:fillRect/>
          </a:stretch>
        </xdr:blipFill>
        <xdr:spPr>
          <a:xfrm>
            <a:off x="2438400" y="876300"/>
            <a:ext cx="914400" cy="914400"/>
          </a:xfrm>
          <a:prstGeom prst="rect">
            <a:avLst/>
          </a:prstGeom>
        </xdr:spPr>
      </xdr:pic>
      <xdr:pic macro="[0]!Champs.cmdResetSheet_Click">
        <xdr:nvPicPr>
          <xdr:cNvPr id="30" name="Graphique 29" descr="Gomme">
            <a:extLst>
              <a:ext uri="{FF2B5EF4-FFF2-40B4-BE49-F238E27FC236}">
                <a16:creationId xmlns:a16="http://schemas.microsoft.com/office/drawing/2014/main" id="{00000000-0008-0000-0700-00001E000000}"/>
              </a:ext>
            </a:extLst>
          </xdr:cNvPr>
          <xdr:cNvPicPr>
            <a:picLocks noChangeAspect="1"/>
          </xdr:cNvPicPr>
        </xdr:nvPicPr>
        <xdr:blipFill>
          <a:blip xmlns:r="http://schemas.openxmlformats.org/officeDocument/2006/relationships" r:embed="rId12" cstate="screen">
            <a:extLst>
              <a:ext uri="{28A0092B-C50C-407E-A947-70E740481C1C}">
                <a14:useLocalDpi xmlns:a14="http://schemas.microsoft.com/office/drawing/2010/main" val="0"/>
              </a:ext>
              <a:ext uri="{96DAC541-7B7A-43D3-8B79-37D633B846F1}">
                <asvg:svgBlip xmlns:asvg="http://schemas.microsoft.com/office/drawing/2016/SVG/main" r:embed="rId13"/>
              </a:ext>
            </a:extLst>
          </a:blip>
          <a:stretch>
            <a:fillRect/>
          </a:stretch>
        </xdr:blipFill>
        <xdr:spPr>
          <a:xfrm>
            <a:off x="2647950" y="1200150"/>
            <a:ext cx="485775" cy="485775"/>
          </a:xfrm>
          <a:prstGeom prst="rect">
            <a:avLst/>
          </a:prstGeom>
        </xdr:spPr>
      </xdr:pic>
    </xdr:grpSp>
    <xdr:clientData fPrintsWithSheet="0"/>
  </xdr:twoCellAnchor>
  <xdr:twoCellAnchor editAs="absolute">
    <xdr:from>
      <xdr:col>3</xdr:col>
      <xdr:colOff>685800</xdr:colOff>
      <xdr:row>1</xdr:row>
      <xdr:rowOff>37295</xdr:rowOff>
    </xdr:from>
    <xdr:to>
      <xdr:col>3</xdr:col>
      <xdr:colOff>871413</xdr:colOff>
      <xdr:row>1</xdr:row>
      <xdr:rowOff>217674</xdr:rowOff>
    </xdr:to>
    <xdr:pic macro="[0]!aidescontext.Aide_Controles">
      <xdr:nvPicPr>
        <xdr:cNvPr id="26" name="Aide" descr="Aide">
          <a:extLst>
            <a:ext uri="{FF2B5EF4-FFF2-40B4-BE49-F238E27FC236}">
              <a16:creationId xmlns:a16="http://schemas.microsoft.com/office/drawing/2014/main" id="{00000000-0008-0000-0700-00001A000000}"/>
            </a:ext>
          </a:extLst>
        </xdr:cNvPr>
        <xdr:cNvPicPr>
          <a:picLocks noChangeAspect="1"/>
        </xdr:cNvPicPr>
      </xdr:nvPicPr>
      <xdr:blipFill>
        <a:blip xmlns:r="http://schemas.openxmlformats.org/officeDocument/2006/relationships" r:embed="rId14" cstate="screen">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942647" y="352605"/>
          <a:ext cx="179898" cy="180379"/>
        </a:xfrm>
        <a:prstGeom prst="rect">
          <a:avLst/>
        </a:prstGeom>
      </xdr:spPr>
    </xdr:pic>
    <xdr:clientData fPrintsWithSheet="0"/>
  </xdr:twoCellAnchor>
  <xdr:twoCellAnchor editAs="absolute">
    <xdr:from>
      <xdr:col>4</xdr:col>
      <xdr:colOff>617211</xdr:colOff>
      <xdr:row>1</xdr:row>
      <xdr:rowOff>19050</xdr:rowOff>
    </xdr:from>
    <xdr:to>
      <xdr:col>4</xdr:col>
      <xdr:colOff>941211</xdr:colOff>
      <xdr:row>1</xdr:row>
      <xdr:rowOff>343050</xdr:rowOff>
    </xdr:to>
    <xdr:grpSp>
      <xdr:nvGrpSpPr>
        <xdr:cNvPr id="48" name="grpNewWindow">
          <a:extLst>
            <a:ext uri="{FF2B5EF4-FFF2-40B4-BE49-F238E27FC236}">
              <a16:creationId xmlns:a16="http://schemas.microsoft.com/office/drawing/2014/main" id="{00000000-0008-0000-0700-000030000000}"/>
            </a:ext>
          </a:extLst>
        </xdr:cNvPr>
        <xdr:cNvGrpSpPr>
          <a:grpSpLocks/>
        </xdr:cNvGrpSpPr>
      </xdr:nvGrpSpPr>
      <xdr:grpSpPr>
        <a:xfrm>
          <a:off x="3046086" y="333375"/>
          <a:ext cx="324000" cy="324000"/>
          <a:chOff x="6743700" y="3867150"/>
          <a:chExt cx="914400" cy="914400"/>
        </a:xfrm>
        <a:solidFill>
          <a:schemeClr val="accent2">
            <a:lumMod val="75000"/>
          </a:schemeClr>
        </a:solidFill>
      </xdr:grpSpPr>
      <xdr:pic macro="[0]!CreerNouvelleFenetre">
        <xdr:nvPicPr>
          <xdr:cNvPr id="50" name="Ecran" descr="Télévision">
            <a:extLst>
              <a:ext uri="{FF2B5EF4-FFF2-40B4-BE49-F238E27FC236}">
                <a16:creationId xmlns:a16="http://schemas.microsoft.com/office/drawing/2014/main" id="{00000000-0008-0000-0700-000032000000}"/>
              </a:ext>
            </a:extLst>
          </xdr:cNvPr>
          <xdr:cNvPicPr>
            <a:picLocks noChangeAspect="1"/>
          </xdr:cNvPicPr>
        </xdr:nvPicPr>
        <xdr:blipFill>
          <a:blip xmlns:r="http://schemas.openxmlformats.org/officeDocument/2006/relationships" r:embed="rId15" cstate="screen">
            <a:extLst>
              <a:ext uri="{28A0092B-C50C-407E-A947-70E740481C1C}">
                <a14:useLocalDpi xmlns:a14="http://schemas.microsoft.com/office/drawing/2010/main" val="0"/>
              </a:ext>
              <a:ext uri="{96DAC541-7B7A-43D3-8B79-37D633B846F1}">
                <asvg:svgBlip xmlns:asvg="http://schemas.microsoft.com/office/drawing/2016/SVG/main" r:embed="rId16"/>
              </a:ext>
            </a:extLst>
          </a:blip>
          <a:stretch>
            <a:fillRect/>
          </a:stretch>
        </xdr:blipFill>
        <xdr:spPr>
          <a:xfrm>
            <a:off x="6743700" y="3867150"/>
            <a:ext cx="914400" cy="914400"/>
          </a:xfrm>
          <a:prstGeom prst="rect">
            <a:avLst/>
          </a:prstGeom>
        </xdr:spPr>
      </xdr:pic>
      <xdr:pic macro="[0]!CreerNouvelleFenetre">
        <xdr:nvPicPr>
          <xdr:cNvPr id="51" name="Plus" descr="Ajouter">
            <a:extLst>
              <a:ext uri="{FF2B5EF4-FFF2-40B4-BE49-F238E27FC236}">
                <a16:creationId xmlns:a16="http://schemas.microsoft.com/office/drawing/2014/main" id="{00000000-0008-0000-0700-000033000000}"/>
              </a:ext>
            </a:extLst>
          </xdr:cNvPr>
          <xdr:cNvPicPr>
            <a:picLocks noChangeAspect="1"/>
          </xdr:cNvPicPr>
        </xdr:nvPicPr>
        <xdr:blipFill>
          <a:blip xmlns:r="http://schemas.openxmlformats.org/officeDocument/2006/relationships" r:embed="rId17" cstate="screen">
            <a:extLst>
              <a:ext uri="{28A0092B-C50C-407E-A947-70E740481C1C}">
                <a14:useLocalDpi xmlns:a14="http://schemas.microsoft.com/office/drawing/2010/main" val="0"/>
              </a:ext>
              <a:ext uri="{96DAC541-7B7A-43D3-8B79-37D633B846F1}">
                <asvg:svgBlip xmlns:asvg="http://schemas.microsoft.com/office/drawing/2016/SVG/main" r:embed="rId18"/>
              </a:ext>
            </a:extLst>
          </a:blip>
          <a:stretch>
            <a:fillRect/>
          </a:stretch>
        </xdr:blipFill>
        <xdr:spPr>
          <a:xfrm>
            <a:off x="7000875" y="4086225"/>
            <a:ext cx="400050" cy="400050"/>
          </a:xfrm>
          <a:prstGeom prst="rect">
            <a:avLst/>
          </a:prstGeom>
        </xdr:spPr>
      </xdr:pic>
    </xdr:grpSp>
    <xdr:clientData fPrintsWithSheet="0"/>
  </xdr:twoCellAnchor>
  <xdr:twoCellAnchor editAs="oneCell">
    <xdr:from>
      <xdr:col>7</xdr:col>
      <xdr:colOff>19050</xdr:colOff>
      <xdr:row>1</xdr:row>
      <xdr:rowOff>28575</xdr:rowOff>
    </xdr:from>
    <xdr:to>
      <xdr:col>7</xdr:col>
      <xdr:colOff>210480</xdr:colOff>
      <xdr:row>1</xdr:row>
      <xdr:rowOff>213655</xdr:rowOff>
    </xdr:to>
    <xdr:pic macro="[0]!OuvrirFormDescrScenario1">
      <xdr:nvPicPr>
        <xdr:cNvPr id="6" name="crayon1" descr="Crayon">
          <a:extLst>
            <a:ext uri="{FF2B5EF4-FFF2-40B4-BE49-F238E27FC236}">
              <a16:creationId xmlns:a16="http://schemas.microsoft.com/office/drawing/2014/main" id="{00000000-0008-0000-0700-000006000000}"/>
            </a:ext>
          </a:extLst>
        </xdr:cNvPr>
        <xdr:cNvPicPr>
          <a:picLocks noChangeAspect="1"/>
        </xdr:cNvPicPr>
      </xdr:nvPicPr>
      <xdr:blipFill>
        <a:blip xmlns:r="http://schemas.openxmlformats.org/officeDocument/2006/relationships" r:embed="rId19" cstate="screen">
          <a:extLst>
            <a:ext uri="{28A0092B-C50C-407E-A947-70E740481C1C}">
              <a14:useLocalDpi xmlns:a14="http://schemas.microsoft.com/office/drawing/2010/main" val="0"/>
            </a:ext>
            <a:ext uri="{96DAC541-7B7A-43D3-8B79-37D633B846F1}">
              <asvg:svgBlip xmlns:asvg="http://schemas.microsoft.com/office/drawing/2016/SVG/main" r:embed="rId20"/>
            </a:ext>
          </a:extLst>
        </a:blip>
        <a:stretch>
          <a:fillRect/>
        </a:stretch>
      </xdr:blipFill>
      <xdr:spPr>
        <a:xfrm>
          <a:off x="5248275" y="342900"/>
          <a:ext cx="180000" cy="180000"/>
        </a:xfrm>
        <a:prstGeom prst="rect">
          <a:avLst/>
        </a:prstGeom>
      </xdr:spPr>
    </xdr:pic>
    <xdr:clientData fPrintsWithSheet="0"/>
  </xdr:twoCellAnchor>
  <xdr:twoCellAnchor editAs="oneCell">
    <xdr:from>
      <xdr:col>9</xdr:col>
      <xdr:colOff>9525</xdr:colOff>
      <xdr:row>1</xdr:row>
      <xdr:rowOff>19050</xdr:rowOff>
    </xdr:from>
    <xdr:to>
      <xdr:col>9</xdr:col>
      <xdr:colOff>189525</xdr:colOff>
      <xdr:row>1</xdr:row>
      <xdr:rowOff>210480</xdr:rowOff>
    </xdr:to>
    <xdr:pic macro="[0]!OuvrirFormDescrScenario2">
      <xdr:nvPicPr>
        <xdr:cNvPr id="33" name="crayon2" descr="Crayon">
          <a:extLst>
            <a:ext uri="{FF2B5EF4-FFF2-40B4-BE49-F238E27FC236}">
              <a16:creationId xmlns:a16="http://schemas.microsoft.com/office/drawing/2014/main" id="{00000000-0008-0000-0700-000021000000}"/>
            </a:ext>
          </a:extLst>
        </xdr:cNvPr>
        <xdr:cNvPicPr>
          <a:picLocks noChangeAspect="1"/>
        </xdr:cNvPicPr>
      </xdr:nvPicPr>
      <xdr:blipFill>
        <a:blip xmlns:r="http://schemas.openxmlformats.org/officeDocument/2006/relationships" r:embed="rId21" cstate="screen">
          <a:extLst>
            <a:ext uri="{28A0092B-C50C-407E-A947-70E740481C1C}">
              <a14:useLocalDpi xmlns:a14="http://schemas.microsoft.com/office/drawing/2010/main" val="0"/>
            </a:ext>
            <a:ext uri="{96DAC541-7B7A-43D3-8B79-37D633B846F1}">
              <asvg:svgBlip xmlns:asvg="http://schemas.microsoft.com/office/drawing/2016/SVG/main" r:embed="rId20"/>
            </a:ext>
          </a:extLst>
        </a:blip>
        <a:stretch>
          <a:fillRect/>
        </a:stretch>
      </xdr:blipFill>
      <xdr:spPr>
        <a:xfrm>
          <a:off x="7077075" y="333375"/>
          <a:ext cx="180000" cy="180000"/>
        </a:xfrm>
        <a:prstGeom prst="rect">
          <a:avLst/>
        </a:prstGeom>
      </xdr:spPr>
    </xdr:pic>
    <xdr:clientData fPrintsWithSheet="0"/>
  </xdr:twoCellAnchor>
  <xdr:twoCellAnchor editAs="oneCell">
    <xdr:from>
      <xdr:col>11</xdr:col>
      <xdr:colOff>19050</xdr:colOff>
      <xdr:row>1</xdr:row>
      <xdr:rowOff>19050</xdr:rowOff>
    </xdr:from>
    <xdr:to>
      <xdr:col>11</xdr:col>
      <xdr:colOff>210480</xdr:colOff>
      <xdr:row>1</xdr:row>
      <xdr:rowOff>210480</xdr:rowOff>
    </xdr:to>
    <xdr:pic macro="[0]!OuvrirFormDescrScenario3">
      <xdr:nvPicPr>
        <xdr:cNvPr id="34" name="crayon1" descr="Crayon">
          <a:extLst>
            <a:ext uri="{FF2B5EF4-FFF2-40B4-BE49-F238E27FC236}">
              <a16:creationId xmlns:a16="http://schemas.microsoft.com/office/drawing/2014/main" id="{00000000-0008-0000-0700-000022000000}"/>
            </a:ext>
          </a:extLst>
        </xdr:cNvPr>
        <xdr:cNvPicPr>
          <a:picLocks noChangeAspect="1"/>
        </xdr:cNvPicPr>
      </xdr:nvPicPr>
      <xdr:blipFill>
        <a:blip xmlns:r="http://schemas.openxmlformats.org/officeDocument/2006/relationships" r:embed="rId22" cstate="screen">
          <a:extLst>
            <a:ext uri="{28A0092B-C50C-407E-A947-70E740481C1C}">
              <a14:useLocalDpi xmlns:a14="http://schemas.microsoft.com/office/drawing/2010/main" val="0"/>
            </a:ext>
            <a:ext uri="{96DAC541-7B7A-43D3-8B79-37D633B846F1}">
              <asvg:svgBlip xmlns:asvg="http://schemas.microsoft.com/office/drawing/2016/SVG/main" r:embed="rId20"/>
            </a:ext>
          </a:extLst>
        </a:blip>
        <a:stretch>
          <a:fillRect/>
        </a:stretch>
      </xdr:blipFill>
      <xdr:spPr>
        <a:xfrm>
          <a:off x="8782050" y="333375"/>
          <a:ext cx="180000" cy="180000"/>
        </a:xfrm>
        <a:prstGeom prst="rect">
          <a:avLst/>
        </a:prstGeom>
      </xdr:spPr>
    </xdr:pic>
    <xdr:clientData fPrintsWithSheet="0"/>
  </xdr:twoCellAnchor>
  <xdr:twoCellAnchor editAs="oneCell">
    <xdr:from>
      <xdr:col>13</xdr:col>
      <xdr:colOff>19050</xdr:colOff>
      <xdr:row>1</xdr:row>
      <xdr:rowOff>19050</xdr:rowOff>
    </xdr:from>
    <xdr:to>
      <xdr:col>13</xdr:col>
      <xdr:colOff>210480</xdr:colOff>
      <xdr:row>1</xdr:row>
      <xdr:rowOff>210480</xdr:rowOff>
    </xdr:to>
    <xdr:pic macro="[0]!OuvrirFormDescrScenario4">
      <xdr:nvPicPr>
        <xdr:cNvPr id="35" name="crayon1" descr="Crayon">
          <a:extLst>
            <a:ext uri="{FF2B5EF4-FFF2-40B4-BE49-F238E27FC236}">
              <a16:creationId xmlns:a16="http://schemas.microsoft.com/office/drawing/2014/main" id="{00000000-0008-0000-0700-000023000000}"/>
            </a:ext>
          </a:extLst>
        </xdr:cNvPr>
        <xdr:cNvPicPr>
          <a:picLocks noChangeAspect="1"/>
        </xdr:cNvPicPr>
      </xdr:nvPicPr>
      <xdr:blipFill>
        <a:blip xmlns:r="http://schemas.openxmlformats.org/officeDocument/2006/relationships" r:embed="rId22" cstate="screen">
          <a:extLst>
            <a:ext uri="{28A0092B-C50C-407E-A947-70E740481C1C}">
              <a14:useLocalDpi xmlns:a14="http://schemas.microsoft.com/office/drawing/2010/main" val="0"/>
            </a:ext>
            <a:ext uri="{96DAC541-7B7A-43D3-8B79-37D633B846F1}">
              <asvg:svgBlip xmlns:asvg="http://schemas.microsoft.com/office/drawing/2016/SVG/main" r:embed="rId20"/>
            </a:ext>
          </a:extLst>
        </a:blip>
        <a:stretch>
          <a:fillRect/>
        </a:stretch>
      </xdr:blipFill>
      <xdr:spPr>
        <a:xfrm>
          <a:off x="10477500" y="333375"/>
          <a:ext cx="180000" cy="180000"/>
        </a:xfrm>
        <a:prstGeom prst="rect">
          <a:avLst/>
        </a:prstGeom>
      </xdr:spPr>
    </xdr:pic>
    <xdr:clientData fPrintsWithSheet="0"/>
  </xdr:twoCellAnchor>
  <xdr:twoCellAnchor editAs="oneCell">
    <xdr:from>
      <xdr:col>15</xdr:col>
      <xdr:colOff>19050</xdr:colOff>
      <xdr:row>1</xdr:row>
      <xdr:rowOff>19050</xdr:rowOff>
    </xdr:from>
    <xdr:to>
      <xdr:col>15</xdr:col>
      <xdr:colOff>210480</xdr:colOff>
      <xdr:row>1</xdr:row>
      <xdr:rowOff>210480</xdr:rowOff>
    </xdr:to>
    <xdr:pic macro="[0]!OuvrirFormDescrScenario5">
      <xdr:nvPicPr>
        <xdr:cNvPr id="36" name="crayon1" descr="Crayon">
          <a:extLst>
            <a:ext uri="{FF2B5EF4-FFF2-40B4-BE49-F238E27FC236}">
              <a16:creationId xmlns:a16="http://schemas.microsoft.com/office/drawing/2014/main" id="{00000000-0008-0000-0700-000024000000}"/>
            </a:ext>
          </a:extLst>
        </xdr:cNvPr>
        <xdr:cNvPicPr>
          <a:picLocks noChangeAspect="1"/>
        </xdr:cNvPicPr>
      </xdr:nvPicPr>
      <xdr:blipFill>
        <a:blip xmlns:r="http://schemas.openxmlformats.org/officeDocument/2006/relationships" r:embed="rId22" cstate="screen">
          <a:extLst>
            <a:ext uri="{28A0092B-C50C-407E-A947-70E740481C1C}">
              <a14:useLocalDpi xmlns:a14="http://schemas.microsoft.com/office/drawing/2010/main" val="0"/>
            </a:ext>
            <a:ext uri="{96DAC541-7B7A-43D3-8B79-37D633B846F1}">
              <asvg:svgBlip xmlns:asvg="http://schemas.microsoft.com/office/drawing/2016/SVG/main" r:embed="rId20"/>
            </a:ext>
          </a:extLst>
        </a:blip>
        <a:stretch>
          <a:fillRect/>
        </a:stretch>
      </xdr:blipFill>
      <xdr:spPr>
        <a:xfrm>
          <a:off x="12172950" y="333375"/>
          <a:ext cx="180000" cy="180000"/>
        </a:xfrm>
        <a:prstGeom prst="rect">
          <a:avLst/>
        </a:prstGeom>
      </xdr:spPr>
    </xdr:pic>
    <xdr:clientData fPrintsWithSheet="0"/>
  </xdr:twoCellAnchor>
  <xdr:twoCellAnchor editAs="oneCell">
    <xdr:from>
      <xdr:col>17</xdr:col>
      <xdr:colOff>0</xdr:colOff>
      <xdr:row>384</xdr:row>
      <xdr:rowOff>0</xdr:rowOff>
    </xdr:from>
    <xdr:to>
      <xdr:col>17</xdr:col>
      <xdr:colOff>214730</xdr:colOff>
      <xdr:row>384</xdr:row>
      <xdr:rowOff>214730</xdr:rowOff>
    </xdr:to>
    <xdr:pic macro="[0]!aidescontext.Aide_Champ_Investissements">
      <xdr:nvPicPr>
        <xdr:cNvPr id="31" name="aide" descr="Aide">
          <a:extLst>
            <a:ext uri="{FF2B5EF4-FFF2-40B4-BE49-F238E27FC236}">
              <a16:creationId xmlns:a16="http://schemas.microsoft.com/office/drawing/2014/main" id="{00000000-0008-0000-0700-00001F000000}"/>
            </a:ext>
          </a:extLst>
        </xdr:cNvPr>
        <xdr:cNvPicPr>
          <a:picLocks/>
        </xdr:cNvPicPr>
      </xdr:nvPicPr>
      <xdr:blipFill>
        <a:blip xmlns:r="http://schemas.openxmlformats.org/officeDocument/2006/relationships" r:embed="rId3" cstate="screen">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2230100" y="70789800"/>
          <a:ext cx="216000" cy="216000"/>
        </a:xfrm>
        <a:prstGeom prst="rect">
          <a:avLst/>
        </a:prstGeom>
      </xdr:spPr>
    </xdr:pic>
    <xdr:clientData fPrintsWithSheet="0"/>
  </xdr:twoCellAnchor>
  <xdr:twoCellAnchor editAs="oneCell">
    <xdr:from>
      <xdr:col>0</xdr:col>
      <xdr:colOff>0</xdr:colOff>
      <xdr:row>385</xdr:row>
      <xdr:rowOff>114300</xdr:rowOff>
    </xdr:from>
    <xdr:to>
      <xdr:col>3</xdr:col>
      <xdr:colOff>24475</xdr:colOff>
      <xdr:row>387</xdr:row>
      <xdr:rowOff>58130</xdr:rowOff>
    </xdr:to>
    <xdr:pic>
      <xdr:nvPicPr>
        <xdr:cNvPr id="9" name="Graphique 8" descr="Tracteur">
          <a:hlinkClick xmlns:r="http://schemas.openxmlformats.org/officeDocument/2006/relationships" r:id="rId23" tooltip="Cliquez pour ouvrir la liste des investissements"/>
          <a:extLst>
            <a:ext uri="{FF2B5EF4-FFF2-40B4-BE49-F238E27FC236}">
              <a16:creationId xmlns:a16="http://schemas.microsoft.com/office/drawing/2014/main" id="{00000000-0008-0000-0700-000009000000}"/>
            </a:ext>
          </a:extLst>
        </xdr:cNvPr>
        <xdr:cNvPicPr>
          <a:picLocks noChangeAspect="1"/>
        </xdr:cNvPicPr>
      </xdr:nvPicPr>
      <xdr:blipFill>
        <a:blip xmlns:r="http://schemas.openxmlformats.org/officeDocument/2006/relationships" r:embed="rId24" cstate="screen">
          <a:extLst>
            <a:ext uri="{28A0092B-C50C-407E-A947-70E740481C1C}">
              <a14:useLocalDpi xmlns:a14="http://schemas.microsoft.com/office/drawing/2010/main" val="0"/>
            </a:ext>
            <a:ext uri="{96DAC541-7B7A-43D3-8B79-37D633B846F1}">
              <asvg:svgBlip xmlns:asvg="http://schemas.microsoft.com/office/drawing/2016/SVG/main" r:embed="rId25"/>
            </a:ext>
          </a:extLst>
        </a:blip>
        <a:stretch>
          <a:fillRect/>
        </a:stretch>
      </xdr:blipFill>
      <xdr:spPr>
        <a:xfrm>
          <a:off x="0" y="71151750"/>
          <a:ext cx="288000" cy="288000"/>
        </a:xfrm>
        <a:prstGeom prst="rect">
          <a:avLst/>
        </a:prstGeom>
      </xdr:spPr>
    </xdr:pic>
    <xdr:clientData fPrintsWithSheet="0"/>
  </xdr:twoCellAnchor>
  <mc:AlternateContent xmlns:mc="http://schemas.openxmlformats.org/markup-compatibility/2006">
    <mc:Choice xmlns:a14="http://schemas.microsoft.com/office/drawing/2010/main" Requires="a14">
      <xdr:twoCellAnchor editAs="absolute">
        <xdr:from>
          <xdr:col>4</xdr:col>
          <xdr:colOff>0</xdr:colOff>
          <xdr:row>0</xdr:row>
          <xdr:rowOff>47625</xdr:rowOff>
        </xdr:from>
        <xdr:to>
          <xdr:col>7</xdr:col>
          <xdr:colOff>209550</xdr:colOff>
          <xdr:row>0</xdr:row>
          <xdr:rowOff>257175</xdr:rowOff>
        </xdr:to>
        <xdr:sp macro="" textlink="">
          <xdr:nvSpPr>
            <xdr:cNvPr id="10414" name="dropdownTdmChamps" hidden="1">
              <a:extLst>
                <a:ext uri="{63B3BB69-23CF-44E3-9099-C40C66FF867C}">
                  <a14:compatExt spid="_x0000_s10414"/>
                </a:ext>
                <a:ext uri="{FF2B5EF4-FFF2-40B4-BE49-F238E27FC236}">
                  <a16:creationId xmlns:a16="http://schemas.microsoft.com/office/drawing/2014/main" id="{00000000-0008-0000-0700-0000AE2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1543050</xdr:colOff>
          <xdr:row>320</xdr:row>
          <xdr:rowOff>0</xdr:rowOff>
        </xdr:from>
        <xdr:to>
          <xdr:col>5</xdr:col>
          <xdr:colOff>0</xdr:colOff>
          <xdr:row>322</xdr:row>
          <xdr:rowOff>19050</xdr:rowOff>
        </xdr:to>
        <xdr:sp macro="" textlink="">
          <xdr:nvSpPr>
            <xdr:cNvPr id="10430" name="recolterPailleCulturesBio" descr="Récolter la paille des cultures bio&#10;" hidden="1">
              <a:extLst>
                <a:ext uri="{63B3BB69-23CF-44E3-9099-C40C66FF867C}">
                  <a14:compatExt spid="_x0000_s10430"/>
                </a:ext>
                <a:ext uri="{FF2B5EF4-FFF2-40B4-BE49-F238E27FC236}">
                  <a16:creationId xmlns:a16="http://schemas.microsoft.com/office/drawing/2014/main" id="{00000000-0008-0000-0700-0000B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Récolter la paille des cultures bio</a:t>
              </a:r>
            </a:p>
          </xdr:txBody>
        </xdr:sp>
        <xdr:clientData fPrintsWithSheet="0"/>
      </xdr:twoCellAnchor>
    </mc:Choice>
    <mc:Fallback/>
  </mc:AlternateContent>
  <xdr:twoCellAnchor>
    <xdr:from>
      <xdr:col>0</xdr:col>
      <xdr:colOff>0</xdr:colOff>
      <xdr:row>0</xdr:row>
      <xdr:rowOff>12700</xdr:rowOff>
    </xdr:from>
    <xdr:to>
      <xdr:col>7</xdr:col>
      <xdr:colOff>9525</xdr:colOff>
      <xdr:row>0</xdr:row>
      <xdr:rowOff>25400</xdr:rowOff>
    </xdr:to>
    <xdr:sp macro="" textlink="">
      <xdr:nvSpPr>
        <xdr:cNvPr id="2" name="highlightBox">
          <a:extLst>
            <a:ext uri="{FF2B5EF4-FFF2-40B4-BE49-F238E27FC236}">
              <a16:creationId xmlns:a16="http://schemas.microsoft.com/office/drawing/2014/main" id="{00000000-0008-0000-0700-000002000000}"/>
            </a:ext>
          </a:extLst>
        </xdr:cNvPr>
        <xdr:cNvSpPr/>
      </xdr:nvSpPr>
      <xdr:spPr>
        <a:xfrm>
          <a:off x="0" y="12700"/>
          <a:ext cx="3609975" cy="127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CA" sz="1100"/>
        </a:p>
      </xdr:txBody>
    </xdr:sp>
    <xdr:clientData fPrintsWithSheet="0"/>
  </xdr:twoCellAnchor>
  <xdr:twoCellAnchor>
    <xdr:from>
      <xdr:col>0</xdr:col>
      <xdr:colOff>0</xdr:colOff>
      <xdr:row>0</xdr:row>
      <xdr:rowOff>12700</xdr:rowOff>
    </xdr:from>
    <xdr:to>
      <xdr:col>7</xdr:col>
      <xdr:colOff>9525</xdr:colOff>
      <xdr:row>0</xdr:row>
      <xdr:rowOff>25400</xdr:rowOff>
    </xdr:to>
    <xdr:sp macro="" textlink="">
      <xdr:nvSpPr>
        <xdr:cNvPr id="10" name="highlightBox">
          <a:extLst>
            <a:ext uri="{FF2B5EF4-FFF2-40B4-BE49-F238E27FC236}">
              <a16:creationId xmlns:a16="http://schemas.microsoft.com/office/drawing/2014/main" id="{00000000-0008-0000-0700-00000A000000}"/>
            </a:ext>
          </a:extLst>
        </xdr:cNvPr>
        <xdr:cNvSpPr/>
      </xdr:nvSpPr>
      <xdr:spPr>
        <a:xfrm>
          <a:off x="0" y="12700"/>
          <a:ext cx="3609975" cy="127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CA" sz="1100"/>
        </a:p>
      </xdr:txBody>
    </xdr:sp>
    <xdr:clientData fPrintsWithSheet="0"/>
  </xdr:twoCellAnchor>
  <xdr:twoCellAnchor>
    <xdr:from>
      <xdr:col>0</xdr:col>
      <xdr:colOff>0</xdr:colOff>
      <xdr:row>0</xdr:row>
      <xdr:rowOff>12700</xdr:rowOff>
    </xdr:from>
    <xdr:to>
      <xdr:col>7</xdr:col>
      <xdr:colOff>9525</xdr:colOff>
      <xdr:row>0</xdr:row>
      <xdr:rowOff>25400</xdr:rowOff>
    </xdr:to>
    <xdr:sp macro="" textlink="">
      <xdr:nvSpPr>
        <xdr:cNvPr id="4" name="highlightBox">
          <a:extLst>
            <a:ext uri="{FF2B5EF4-FFF2-40B4-BE49-F238E27FC236}">
              <a16:creationId xmlns:a16="http://schemas.microsoft.com/office/drawing/2014/main" id="{00000000-0008-0000-0700-000004000000}"/>
            </a:ext>
          </a:extLst>
        </xdr:cNvPr>
        <xdr:cNvSpPr/>
      </xdr:nvSpPr>
      <xdr:spPr>
        <a:xfrm>
          <a:off x="0" y="12700"/>
          <a:ext cx="3609975" cy="127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CA" sz="1100"/>
        </a:p>
      </xdr:txBody>
    </xdr:sp>
    <xdr:clientData fPrintsWithSheet="0"/>
  </xdr:twoCellAnchor>
  <xdr:twoCellAnchor>
    <xdr:from>
      <xdr:col>3</xdr:col>
      <xdr:colOff>1601274</xdr:colOff>
      <xdr:row>0</xdr:row>
      <xdr:rowOff>288925</xdr:rowOff>
    </xdr:from>
    <xdr:to>
      <xdr:col>3</xdr:col>
      <xdr:colOff>2033028</xdr:colOff>
      <xdr:row>2</xdr:row>
      <xdr:rowOff>31950</xdr:rowOff>
    </xdr:to>
    <xdr:grpSp>
      <xdr:nvGrpSpPr>
        <xdr:cNvPr id="29" name="resetCell">
          <a:extLst>
            <a:ext uri="{FF2B5EF4-FFF2-40B4-BE49-F238E27FC236}">
              <a16:creationId xmlns:a16="http://schemas.microsoft.com/office/drawing/2014/main" id="{00000000-0008-0000-0700-00001D000000}"/>
            </a:ext>
          </a:extLst>
        </xdr:cNvPr>
        <xdr:cNvGrpSpPr/>
      </xdr:nvGrpSpPr>
      <xdr:grpSpPr>
        <a:xfrm>
          <a:off x="1877499" y="288925"/>
          <a:ext cx="431754" cy="428825"/>
          <a:chOff x="1913218" y="288925"/>
          <a:chExt cx="431754" cy="427634"/>
        </a:xfrm>
      </xdr:grpSpPr>
      <xdr:pic macro="[0]!ResetCells">
        <xdr:nvPicPr>
          <xdr:cNvPr id="7" name="Graphique 6" descr="Tableau">
            <a:extLst>
              <a:ext uri="{FF2B5EF4-FFF2-40B4-BE49-F238E27FC236}">
                <a16:creationId xmlns:a16="http://schemas.microsoft.com/office/drawing/2014/main" id="{00000000-0008-0000-0700-000007000000}"/>
              </a:ext>
            </a:extLst>
          </xdr:cNvPr>
          <xdr:cNvPicPr>
            <a:picLocks noChangeAspect="1"/>
          </xdr:cNvPicPr>
        </xdr:nvPicPr>
        <xdr:blipFill>
          <a:blip xmlns:r="http://schemas.openxmlformats.org/officeDocument/2006/relationships" r:embed="rId26" cstate="screen">
            <a:extLst>
              <a:ext uri="{28A0092B-C50C-407E-A947-70E740481C1C}">
                <a14:useLocalDpi xmlns:a14="http://schemas.microsoft.com/office/drawing/2010/main" val="0"/>
              </a:ext>
              <a:ext uri="{96DAC541-7B7A-43D3-8B79-37D633B846F1}">
                <asvg:svgBlip xmlns:asvg="http://schemas.microsoft.com/office/drawing/2016/SVG/main" r:embed="rId27"/>
              </a:ext>
            </a:extLst>
          </a:blip>
          <a:stretch>
            <a:fillRect/>
          </a:stretch>
        </xdr:blipFill>
        <xdr:spPr>
          <a:xfrm>
            <a:off x="1913218" y="288925"/>
            <a:ext cx="431754" cy="427634"/>
          </a:xfrm>
          <a:prstGeom prst="rect">
            <a:avLst/>
          </a:prstGeom>
        </xdr:spPr>
      </xdr:pic>
      <xdr:sp macro="[0]!ResetCells" textlink="">
        <xdr:nvSpPr>
          <xdr:cNvPr id="8" name="Rectangle 7">
            <a:extLst>
              <a:ext uri="{FF2B5EF4-FFF2-40B4-BE49-F238E27FC236}">
                <a16:creationId xmlns:a16="http://schemas.microsoft.com/office/drawing/2014/main" id="{00000000-0008-0000-0700-000008000000}"/>
              </a:ext>
            </a:extLst>
          </xdr:cNvPr>
          <xdr:cNvSpPr/>
        </xdr:nvSpPr>
        <xdr:spPr>
          <a:xfrm>
            <a:off x="2084147" y="477491"/>
            <a:ext cx="197518" cy="125755"/>
          </a:xfrm>
          <a:prstGeom prst="rect">
            <a:avLst/>
          </a:prstGeom>
          <a:solidFill>
            <a:schemeClr val="accent5">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CA" sz="1100"/>
          </a:p>
        </xdr:txBody>
      </xdr:sp>
      <xdr:pic macro="[0]!ResetCells">
        <xdr:nvPicPr>
          <xdr:cNvPr id="27" name="Graphique 26" descr="Actualiser">
            <a:extLst>
              <a:ext uri="{FF2B5EF4-FFF2-40B4-BE49-F238E27FC236}">
                <a16:creationId xmlns:a16="http://schemas.microsoft.com/office/drawing/2014/main" id="{00000000-0008-0000-0700-00001B000000}"/>
              </a:ext>
            </a:extLst>
          </xdr:cNvPr>
          <xdr:cNvPicPr>
            <a:picLocks noChangeAspect="1"/>
          </xdr:cNvPicPr>
        </xdr:nvPicPr>
        <xdr:blipFill>
          <a:blip xmlns:r="http://schemas.openxmlformats.org/officeDocument/2006/relationships" r:embed="rId28" cstate="screen">
            <a:extLst>
              <a:ext uri="{28A0092B-C50C-407E-A947-70E740481C1C}">
                <a14:useLocalDpi xmlns:a14="http://schemas.microsoft.com/office/drawing/2010/main" val="0"/>
              </a:ext>
              <a:ext uri="{96DAC541-7B7A-43D3-8B79-37D633B846F1}">
                <asvg:svgBlip xmlns:asvg="http://schemas.microsoft.com/office/drawing/2016/SVG/main" r:embed="rId29"/>
              </a:ext>
            </a:extLst>
          </a:blip>
          <a:stretch>
            <a:fillRect/>
          </a:stretch>
        </xdr:blipFill>
        <xdr:spPr>
          <a:xfrm>
            <a:off x="2113916" y="470639"/>
            <a:ext cx="144000" cy="138183"/>
          </a:xfrm>
          <a:prstGeom prst="rect">
            <a:avLst/>
          </a:prstGeom>
        </xdr:spPr>
      </xdr:pic>
    </xdr:grpSp>
    <xdr:clientData fPrintsWithSheet="0"/>
  </xdr:twoCellAnchor>
</xdr:wsDr>
</file>

<file path=xl/drawings/drawing8.xml><?xml version="1.0" encoding="utf-8"?>
<xdr:wsDr xmlns:xdr="http://schemas.openxmlformats.org/drawingml/2006/spreadsheetDrawing" xmlns:a="http://schemas.openxmlformats.org/drawingml/2006/main">
  <xdr:twoCellAnchor>
    <xdr:from>
      <xdr:col>54</xdr:col>
      <xdr:colOff>190500</xdr:colOff>
      <xdr:row>57</xdr:row>
      <xdr:rowOff>60960</xdr:rowOff>
    </xdr:from>
    <xdr:to>
      <xdr:col>54</xdr:col>
      <xdr:colOff>441960</xdr:colOff>
      <xdr:row>67</xdr:row>
      <xdr:rowOff>182880</xdr:rowOff>
    </xdr:to>
    <xdr:sp macro="" textlink="">
      <xdr:nvSpPr>
        <xdr:cNvPr id="2" name="Accolade fermante 1">
          <a:extLst>
            <a:ext uri="{FF2B5EF4-FFF2-40B4-BE49-F238E27FC236}">
              <a16:creationId xmlns:a16="http://schemas.microsoft.com/office/drawing/2014/main" id="{00000000-0008-0000-0800-000002000000}"/>
            </a:ext>
          </a:extLst>
        </xdr:cNvPr>
        <xdr:cNvSpPr/>
      </xdr:nvSpPr>
      <xdr:spPr>
        <a:xfrm>
          <a:off x="45057060" y="10485120"/>
          <a:ext cx="251460" cy="202692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editAs="absolute">
    <xdr:from>
      <xdr:col>1</xdr:col>
      <xdr:colOff>1885941</xdr:colOff>
      <xdr:row>1</xdr:row>
      <xdr:rowOff>8399</xdr:rowOff>
    </xdr:from>
    <xdr:to>
      <xdr:col>1</xdr:col>
      <xdr:colOff>2209941</xdr:colOff>
      <xdr:row>1</xdr:row>
      <xdr:rowOff>329859</xdr:rowOff>
    </xdr:to>
    <xdr:pic macro="[0]!config.cmdBackup_Click">
      <xdr:nvPicPr>
        <xdr:cNvPr id="17" name="CoffreFort" descr="Coffre-fort">
          <a:extLst>
            <a:ext uri="{FF2B5EF4-FFF2-40B4-BE49-F238E27FC236}">
              <a16:creationId xmlns:a16="http://schemas.microsoft.com/office/drawing/2014/main" id="{00000000-0008-0000-0800-000011000000}"/>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028816" y="627524"/>
          <a:ext cx="324000" cy="321460"/>
        </a:xfrm>
        <a:prstGeom prst="rect">
          <a:avLst/>
        </a:prstGeom>
      </xdr:spPr>
    </xdr:pic>
    <xdr:clientData fPrintsWithSheet="0"/>
  </xdr:twoCellAnchor>
  <xdr:twoCellAnchor editAs="absolute">
    <xdr:from>
      <xdr:col>1</xdr:col>
      <xdr:colOff>926409</xdr:colOff>
      <xdr:row>1</xdr:row>
      <xdr:rowOff>19051</xdr:rowOff>
    </xdr:from>
    <xdr:to>
      <xdr:col>1</xdr:col>
      <xdr:colOff>1266273</xdr:colOff>
      <xdr:row>1</xdr:row>
      <xdr:rowOff>330577</xdr:rowOff>
    </xdr:to>
    <xdr:grpSp>
      <xdr:nvGrpSpPr>
        <xdr:cNvPr id="22" name="ResetFeuille">
          <a:extLst>
            <a:ext uri="{FF2B5EF4-FFF2-40B4-BE49-F238E27FC236}">
              <a16:creationId xmlns:a16="http://schemas.microsoft.com/office/drawing/2014/main" id="{00000000-0008-0000-0800-000016000000}"/>
            </a:ext>
          </a:extLst>
        </xdr:cNvPr>
        <xdr:cNvGrpSpPr/>
      </xdr:nvGrpSpPr>
      <xdr:grpSpPr>
        <a:xfrm>
          <a:off x="1069284" y="638176"/>
          <a:ext cx="339864" cy="311526"/>
          <a:chOff x="2438400" y="876300"/>
          <a:chExt cx="914400" cy="914400"/>
        </a:xfrm>
        <a:solidFill>
          <a:schemeClr val="accent2">
            <a:lumMod val="75000"/>
          </a:schemeClr>
        </a:solidFill>
      </xdr:grpSpPr>
      <xdr:pic macro="[0]!RefChamp.ResetSheetRefChamp">
        <xdr:nvPicPr>
          <xdr:cNvPr id="23" name="Graphique 22" descr="Papier">
            <a:extLst>
              <a:ext uri="{FF2B5EF4-FFF2-40B4-BE49-F238E27FC236}">
                <a16:creationId xmlns:a16="http://schemas.microsoft.com/office/drawing/2014/main" id="{00000000-0008-0000-0800-000017000000}"/>
              </a:ext>
            </a:extLst>
          </xdr:cNvPr>
          <xdr:cNvPicPr>
            <a:picLocks noChangeAspect="1"/>
          </xdr:cNvPicPr>
        </xdr:nvPicPr>
        <xdr:blipFill>
          <a:blip xmlns:r="http://schemas.openxmlformats.org/officeDocument/2006/relationships" r:embed="rId3" cstate="screen">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2438400" y="876300"/>
            <a:ext cx="914400" cy="914400"/>
          </a:xfrm>
          <a:prstGeom prst="rect">
            <a:avLst/>
          </a:prstGeom>
        </xdr:spPr>
      </xdr:pic>
      <xdr:pic macro="[0]!RefChamp.ResetSheetRefChamp">
        <xdr:nvPicPr>
          <xdr:cNvPr id="24" name="Graphique 23" descr="Gomme">
            <a:extLst>
              <a:ext uri="{FF2B5EF4-FFF2-40B4-BE49-F238E27FC236}">
                <a16:creationId xmlns:a16="http://schemas.microsoft.com/office/drawing/2014/main" id="{00000000-0008-0000-0800-000018000000}"/>
              </a:ext>
            </a:extLst>
          </xdr:cNvPr>
          <xdr:cNvPicPr>
            <a:picLocks noChangeAspect="1"/>
          </xdr:cNvPicPr>
        </xdr:nvPicPr>
        <xdr:blipFill>
          <a:blip xmlns:r="http://schemas.openxmlformats.org/officeDocument/2006/relationships" r:embed="rId5" cstate="screen">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2647950" y="1200150"/>
            <a:ext cx="485775" cy="485775"/>
          </a:xfrm>
          <a:prstGeom prst="rect">
            <a:avLst/>
          </a:prstGeom>
        </xdr:spPr>
      </xdr:pic>
    </xdr:grpSp>
    <xdr:clientData fPrintsWithSheet="0"/>
  </xdr:twoCellAnchor>
  <xdr:twoCellAnchor editAs="oneCell">
    <xdr:from>
      <xdr:col>1</xdr:col>
      <xdr:colOff>638175</xdr:colOff>
      <xdr:row>1</xdr:row>
      <xdr:rowOff>19050</xdr:rowOff>
    </xdr:from>
    <xdr:to>
      <xdr:col>1</xdr:col>
      <xdr:colOff>821775</xdr:colOff>
      <xdr:row>1</xdr:row>
      <xdr:rowOff>202650</xdr:rowOff>
    </xdr:to>
    <xdr:pic macro="[0]!aidescontext.Aide_Controles">
      <xdr:nvPicPr>
        <xdr:cNvPr id="25" name="Aide" descr="Aide">
          <a:extLst>
            <a:ext uri="{FF2B5EF4-FFF2-40B4-BE49-F238E27FC236}">
              <a16:creationId xmlns:a16="http://schemas.microsoft.com/office/drawing/2014/main" id="{00000000-0008-0000-0800-000019000000}"/>
            </a:ext>
          </a:extLst>
        </xdr:cNvPr>
        <xdr:cNvPicPr>
          <a:picLocks/>
        </xdr:cNvPicPr>
      </xdr:nvPicPr>
      <xdr:blipFill>
        <a:blip xmlns:r="http://schemas.openxmlformats.org/officeDocument/2006/relationships" r:embed="rId7" cstate="screen">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781050" y="638175"/>
          <a:ext cx="183600" cy="183600"/>
        </a:xfrm>
        <a:prstGeom prst="rect">
          <a:avLst/>
        </a:prstGeom>
      </xdr:spPr>
    </xdr:pic>
    <xdr:clientData fPrintsWithSheet="0"/>
  </xdr:twoCellAnchor>
  <xdr:twoCellAnchor editAs="absolute">
    <xdr:from>
      <xdr:col>1</xdr:col>
      <xdr:colOff>1370907</xdr:colOff>
      <xdr:row>0</xdr:row>
      <xdr:rowOff>574675</xdr:rowOff>
    </xdr:from>
    <xdr:to>
      <xdr:col>1</xdr:col>
      <xdr:colOff>1781307</xdr:colOff>
      <xdr:row>2</xdr:row>
      <xdr:rowOff>825</xdr:rowOff>
    </xdr:to>
    <xdr:grpSp>
      <xdr:nvGrpSpPr>
        <xdr:cNvPr id="26" name="ResetCell">
          <a:extLst>
            <a:ext uri="{FF2B5EF4-FFF2-40B4-BE49-F238E27FC236}">
              <a16:creationId xmlns:a16="http://schemas.microsoft.com/office/drawing/2014/main" id="{00000000-0008-0000-0800-00001A000000}"/>
            </a:ext>
          </a:extLst>
        </xdr:cNvPr>
        <xdr:cNvGrpSpPr>
          <a:grpSpLocks/>
        </xdr:cNvGrpSpPr>
      </xdr:nvGrpSpPr>
      <xdr:grpSpPr>
        <a:xfrm>
          <a:off x="1513782" y="574675"/>
          <a:ext cx="410400" cy="416750"/>
          <a:chOff x="5934074" y="333374"/>
          <a:chExt cx="3248026" cy="3248026"/>
        </a:xfrm>
        <a:solidFill>
          <a:schemeClr val="accent2">
            <a:lumMod val="75000"/>
          </a:schemeClr>
        </a:solidFill>
      </xdr:grpSpPr>
      <xdr:pic macro="[0]!RefChamp.ResetCellsRefChamp">
        <xdr:nvPicPr>
          <xdr:cNvPr id="27" name="Graphique 26" descr="Tableau">
            <a:extLst>
              <a:ext uri="{FF2B5EF4-FFF2-40B4-BE49-F238E27FC236}">
                <a16:creationId xmlns:a16="http://schemas.microsoft.com/office/drawing/2014/main" id="{00000000-0008-0000-0800-00001B000000}"/>
              </a:ext>
            </a:extLst>
          </xdr:cNvPr>
          <xdr:cNvPicPr>
            <a:picLocks noChangeAspect="1"/>
          </xdr:cNvPicPr>
        </xdr:nvPicPr>
        <xdr:blipFill>
          <a:blip xmlns:r="http://schemas.openxmlformats.org/officeDocument/2006/relationships" r:embed="rId9" cstate="screen">
            <a:extLst>
              <a:ext uri="{28A0092B-C50C-407E-A947-70E740481C1C}">
                <a14:useLocalDpi xmlns:a14="http://schemas.microsoft.com/office/drawing/2010/main" val="0"/>
              </a:ext>
              <a:ext uri="{96DAC541-7B7A-43D3-8B79-37D633B846F1}">
                <asvg:svgBlip xmlns:asvg="http://schemas.microsoft.com/office/drawing/2016/SVG/main" r:embed="rId10"/>
              </a:ext>
            </a:extLst>
          </a:blip>
          <a:stretch>
            <a:fillRect/>
          </a:stretch>
        </xdr:blipFill>
        <xdr:spPr>
          <a:xfrm>
            <a:off x="5934074" y="333374"/>
            <a:ext cx="3248026" cy="3248026"/>
          </a:xfrm>
          <a:prstGeom prst="rect">
            <a:avLst/>
          </a:prstGeom>
        </xdr:spPr>
      </xdr:pic>
      <xdr:sp macro="[0]!RefChamp.ResetCellsRefChamp" textlink="">
        <xdr:nvSpPr>
          <xdr:cNvPr id="28" name="Rectangle 27">
            <a:extLst>
              <a:ext uri="{FF2B5EF4-FFF2-40B4-BE49-F238E27FC236}">
                <a16:creationId xmlns:a16="http://schemas.microsoft.com/office/drawing/2014/main" id="{00000000-0008-0000-0800-00001C000000}"/>
              </a:ext>
            </a:extLst>
          </xdr:cNvPr>
          <xdr:cNvSpPr/>
        </xdr:nvSpPr>
        <xdr:spPr>
          <a:xfrm>
            <a:off x="7219943" y="1752604"/>
            <a:ext cx="1495510" cy="952505"/>
          </a:xfrm>
          <a:prstGeom prst="rect">
            <a:avLst/>
          </a:prstGeom>
          <a:solidFill>
            <a:schemeClr val="bg1">
              <a:lumMod val="9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CA" sz="1100"/>
          </a:p>
        </xdr:txBody>
      </xdr:sp>
      <xdr:pic macro="[0]!RefChamp.ResetCellsRefChamp">
        <xdr:nvPicPr>
          <xdr:cNvPr id="29" name="Graphique 28" descr="Gomme">
            <a:extLst>
              <a:ext uri="{FF2B5EF4-FFF2-40B4-BE49-F238E27FC236}">
                <a16:creationId xmlns:a16="http://schemas.microsoft.com/office/drawing/2014/main" id="{00000000-0008-0000-0800-00001D000000}"/>
              </a:ext>
            </a:extLst>
          </xdr:cNvPr>
          <xdr:cNvPicPr>
            <a:picLocks noChangeAspect="1"/>
          </xdr:cNvPicPr>
        </xdr:nvPicPr>
        <xdr:blipFill>
          <a:blip xmlns:r="http://schemas.openxmlformats.org/officeDocument/2006/relationships" r:embed="rId11" cstate="screen">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7419975" y="1714500"/>
            <a:ext cx="1057275" cy="1057275"/>
          </a:xfrm>
          <a:prstGeom prst="rect">
            <a:avLst/>
          </a:prstGeom>
        </xdr:spPr>
      </xdr:pic>
    </xdr:grp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16" name="Accolade fermante 15">
          <a:extLst>
            <a:ext uri="{FF2B5EF4-FFF2-40B4-BE49-F238E27FC236}">
              <a16:creationId xmlns:a16="http://schemas.microsoft.com/office/drawing/2014/main" id="{00000000-0008-0000-0800-000010000000}"/>
            </a:ext>
          </a:extLst>
        </xdr:cNvPr>
        <xdr:cNvSpPr/>
      </xdr:nvSpPr>
      <xdr:spPr>
        <a:xfrm>
          <a:off x="30384750" y="11182350"/>
          <a:ext cx="0" cy="1525905"/>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editAs="absolute">
    <xdr:from>
      <xdr:col>0</xdr:col>
      <xdr:colOff>0</xdr:colOff>
      <xdr:row>0</xdr:row>
      <xdr:rowOff>0</xdr:rowOff>
    </xdr:from>
    <xdr:to>
      <xdr:col>1</xdr:col>
      <xdr:colOff>181125</xdr:colOff>
      <xdr:row>0</xdr:row>
      <xdr:rowOff>304950</xdr:rowOff>
    </xdr:to>
    <xdr:pic>
      <xdr:nvPicPr>
        <xdr:cNvPr id="20" name="plant" descr="Plante">
          <a:extLst>
            <a:ext uri="{FF2B5EF4-FFF2-40B4-BE49-F238E27FC236}">
              <a16:creationId xmlns:a16="http://schemas.microsoft.com/office/drawing/2014/main" id="{00000000-0008-0000-0800-000014000000}"/>
            </a:ext>
          </a:extLst>
        </xdr:cNvPr>
        <xdr:cNvPicPr>
          <a:picLocks noChangeAspect="1"/>
        </xdr:cNvPicPr>
      </xdr:nvPicPr>
      <xdr:blipFill>
        <a:blip xmlns:r="http://schemas.openxmlformats.org/officeDocument/2006/relationships" r:embed="rId12" cstate="screen">
          <a:extLst>
            <a:ext uri="{28A0092B-C50C-407E-A947-70E740481C1C}">
              <a14:useLocalDpi xmlns:a14="http://schemas.microsoft.com/office/drawing/2010/main" val="0"/>
            </a:ext>
            <a:ext uri="{96DAC541-7B7A-43D3-8B79-37D633B846F1}">
              <asvg:svgBlip xmlns:asvg="http://schemas.microsoft.com/office/drawing/2016/SVG/main" r:embed="rId13"/>
            </a:ext>
          </a:extLst>
        </a:blip>
        <a:stretch>
          <a:fillRect/>
        </a:stretch>
      </xdr:blipFill>
      <xdr:spPr>
        <a:xfrm>
          <a:off x="0" y="0"/>
          <a:ext cx="324000" cy="304950"/>
        </a:xfrm>
        <a:prstGeom prst="rect">
          <a:avLst/>
        </a:prstGeom>
      </xdr:spPr>
    </xdr:pic>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21" name="Accolade fermante 20">
          <a:extLst>
            <a:ext uri="{FF2B5EF4-FFF2-40B4-BE49-F238E27FC236}">
              <a16:creationId xmlns:a16="http://schemas.microsoft.com/office/drawing/2014/main" id="{00000000-0008-0000-0800-000015000000}"/>
            </a:ext>
          </a:extLst>
        </xdr:cNvPr>
        <xdr:cNvSpPr/>
      </xdr:nvSpPr>
      <xdr:spPr>
        <a:xfrm>
          <a:off x="293465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31" name="Accolade fermante 30">
          <a:extLst>
            <a:ext uri="{FF2B5EF4-FFF2-40B4-BE49-F238E27FC236}">
              <a16:creationId xmlns:a16="http://schemas.microsoft.com/office/drawing/2014/main" id="{00000000-0008-0000-0800-00001F000000}"/>
            </a:ext>
          </a:extLst>
        </xdr:cNvPr>
        <xdr:cNvSpPr/>
      </xdr:nvSpPr>
      <xdr:spPr>
        <a:xfrm>
          <a:off x="293465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editAs="absolute">
    <xdr:from>
      <xdr:col>1</xdr:col>
      <xdr:colOff>2314575</xdr:colOff>
      <xdr:row>1</xdr:row>
      <xdr:rowOff>19050</xdr:rowOff>
    </xdr:from>
    <xdr:to>
      <xdr:col>1</xdr:col>
      <xdr:colOff>2642385</xdr:colOff>
      <xdr:row>1</xdr:row>
      <xdr:rowOff>343050</xdr:rowOff>
    </xdr:to>
    <xdr:grpSp>
      <xdr:nvGrpSpPr>
        <xdr:cNvPr id="33" name="Groupe 32">
          <a:extLst>
            <a:ext uri="{FF2B5EF4-FFF2-40B4-BE49-F238E27FC236}">
              <a16:creationId xmlns:a16="http://schemas.microsoft.com/office/drawing/2014/main" id="{00000000-0008-0000-0800-000021000000}"/>
            </a:ext>
          </a:extLst>
        </xdr:cNvPr>
        <xdr:cNvGrpSpPr>
          <a:grpSpLocks/>
        </xdr:cNvGrpSpPr>
      </xdr:nvGrpSpPr>
      <xdr:grpSpPr>
        <a:xfrm>
          <a:off x="2457450" y="638175"/>
          <a:ext cx="327810" cy="324000"/>
          <a:chOff x="6743700" y="3867150"/>
          <a:chExt cx="914400" cy="914400"/>
        </a:xfrm>
        <a:solidFill>
          <a:schemeClr val="accent2">
            <a:lumMod val="75000"/>
          </a:schemeClr>
        </a:solidFill>
      </xdr:grpSpPr>
      <xdr:pic macro="[0]!CreerNouvelleFenetre">
        <xdr:nvPicPr>
          <xdr:cNvPr id="34" name="Ecran" descr="Télévision">
            <a:extLst>
              <a:ext uri="{FF2B5EF4-FFF2-40B4-BE49-F238E27FC236}">
                <a16:creationId xmlns:a16="http://schemas.microsoft.com/office/drawing/2014/main" id="{00000000-0008-0000-0800-000022000000}"/>
              </a:ext>
            </a:extLst>
          </xdr:cNvPr>
          <xdr:cNvPicPr>
            <a:picLocks noChangeAspect="1"/>
          </xdr:cNvPicPr>
        </xdr:nvPicPr>
        <xdr:blipFill>
          <a:blip xmlns:r="http://schemas.openxmlformats.org/officeDocument/2006/relationships" r:embed="rId14" cstate="screen">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6743700" y="3867150"/>
            <a:ext cx="914400" cy="914400"/>
          </a:xfrm>
          <a:prstGeom prst="rect">
            <a:avLst/>
          </a:prstGeom>
        </xdr:spPr>
      </xdr:pic>
      <xdr:pic macro="[0]!CreerNouvelleFenetre">
        <xdr:nvPicPr>
          <xdr:cNvPr id="35" name="Plus" descr="Ajouter">
            <a:extLst>
              <a:ext uri="{FF2B5EF4-FFF2-40B4-BE49-F238E27FC236}">
                <a16:creationId xmlns:a16="http://schemas.microsoft.com/office/drawing/2014/main" id="{00000000-0008-0000-0800-000023000000}"/>
              </a:ext>
            </a:extLst>
          </xdr:cNvPr>
          <xdr:cNvPicPr>
            <a:picLocks noChangeAspect="1"/>
          </xdr:cNvPicPr>
        </xdr:nvPicPr>
        <xdr:blipFill>
          <a:blip xmlns:r="http://schemas.openxmlformats.org/officeDocument/2006/relationships" r:embed="rId16" cstate="screen">
            <a:extLst>
              <a:ext uri="{28A0092B-C50C-407E-A947-70E740481C1C}">
                <a14:useLocalDpi xmlns:a14="http://schemas.microsoft.com/office/drawing/2010/main" val="0"/>
              </a:ext>
              <a:ext uri="{96DAC541-7B7A-43D3-8B79-37D633B846F1}">
                <asvg:svgBlip xmlns:asvg="http://schemas.microsoft.com/office/drawing/2016/SVG/main" r:embed="rId17"/>
              </a:ext>
            </a:extLst>
          </a:blip>
          <a:stretch>
            <a:fillRect/>
          </a:stretch>
        </xdr:blipFill>
        <xdr:spPr>
          <a:xfrm>
            <a:off x="7000875" y="4086225"/>
            <a:ext cx="400050" cy="400050"/>
          </a:xfrm>
          <a:prstGeom prst="rect">
            <a:avLst/>
          </a:prstGeom>
        </xdr:spPr>
      </xdr:pic>
    </xdr:grpSp>
    <xdr:clientData fPrintsWithSheet="0"/>
  </xdr:twoCellAnchor>
  <xdr:twoCellAnchor editAs="absolute">
    <xdr:from>
      <xdr:col>1</xdr:col>
      <xdr:colOff>1333500</xdr:colOff>
      <xdr:row>2</xdr:row>
      <xdr:rowOff>0</xdr:rowOff>
    </xdr:from>
    <xdr:to>
      <xdr:col>1</xdr:col>
      <xdr:colOff>2706048</xdr:colOff>
      <xdr:row>2</xdr:row>
      <xdr:rowOff>183810</xdr:rowOff>
    </xdr:to>
    <xdr:grpSp>
      <xdr:nvGrpSpPr>
        <xdr:cNvPr id="7" name="AtteindreCultures">
          <a:extLst>
            <a:ext uri="{FF2B5EF4-FFF2-40B4-BE49-F238E27FC236}">
              <a16:creationId xmlns:a16="http://schemas.microsoft.com/office/drawing/2014/main" id="{00000000-0008-0000-0800-000007000000}"/>
            </a:ext>
          </a:extLst>
        </xdr:cNvPr>
        <xdr:cNvGrpSpPr/>
      </xdr:nvGrpSpPr>
      <xdr:grpSpPr>
        <a:xfrm>
          <a:off x="1476375" y="990600"/>
          <a:ext cx="1372548" cy="183810"/>
          <a:chOff x="1952628" y="981140"/>
          <a:chExt cx="1079999" cy="200024"/>
        </a:xfrm>
      </xdr:grpSpPr>
      <mc:AlternateContent xmlns:mc="http://schemas.openxmlformats.org/markup-compatibility/2006">
        <mc:Choice xmlns:a14="http://schemas.microsoft.com/office/drawing/2010/main" Requires="a14">
          <xdr:sp macro="" textlink="">
            <xdr:nvSpPr>
              <xdr:cNvPr id="12634" name="GotoCulture" hidden="1">
                <a:extLst>
                  <a:ext uri="{63B3BB69-23CF-44E3-9099-C40C66FF867C}">
                    <a14:compatExt spid="_x0000_s12634"/>
                  </a:ext>
                  <a:ext uri="{FF2B5EF4-FFF2-40B4-BE49-F238E27FC236}">
                    <a16:creationId xmlns:a16="http://schemas.microsoft.com/office/drawing/2014/main" id="{00000000-0008-0000-0800-00005A310000}"/>
                  </a:ext>
                </a:extLst>
              </xdr:cNvPr>
              <xdr:cNvSpPr/>
            </xdr:nvSpPr>
            <xdr:spPr bwMode="auto">
              <a:xfrm>
                <a:off x="1952628" y="981140"/>
                <a:ext cx="1079999" cy="200024"/>
              </a:xfrm>
              <a:prstGeom prst="rect">
                <a:avLst/>
              </a:prstGeom>
              <a:noFill/>
              <a:ln>
                <a:noFill/>
              </a:ln>
              <a:extLst>
                <a:ext uri="{91240B29-F687-4F45-9708-019B960494DF}">
                  <a14:hiddenLine w="9525">
                    <a:noFill/>
                    <a:miter lim="800000"/>
                    <a:headEnd/>
                    <a:tailEnd/>
                  </a14:hiddenLine>
                </a:ext>
              </a:extLst>
            </xdr:spPr>
          </xdr:sp>
        </mc:Choice>
        <mc:Fallback/>
      </mc:AlternateContent>
      <xdr:sp macro="" textlink="">
        <xdr:nvSpPr>
          <xdr:cNvPr id="3" name="ZoneTexte 2">
            <a:extLst>
              <a:ext uri="{FF2B5EF4-FFF2-40B4-BE49-F238E27FC236}">
                <a16:creationId xmlns:a16="http://schemas.microsoft.com/office/drawing/2014/main" id="{00000000-0008-0000-0800-000003000000}"/>
              </a:ext>
            </a:extLst>
          </xdr:cNvPr>
          <xdr:cNvSpPr txBox="1"/>
        </xdr:nvSpPr>
        <xdr:spPr>
          <a:xfrm>
            <a:off x="1992555" y="1001738"/>
            <a:ext cx="659635" cy="1516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lgn="l"/>
            <a:r>
              <a:rPr lang="fr-CA" sz="800">
                <a:solidFill>
                  <a:sysClr val="windowText" lastClr="000000"/>
                </a:solidFill>
              </a:rPr>
              <a:t>Table des matières</a:t>
            </a:r>
            <a:endParaRPr lang="fr-CA" sz="600">
              <a:solidFill>
                <a:sysClr val="windowText" lastClr="000000"/>
              </a:solidFill>
            </a:endParaRPr>
          </a:p>
        </xdr:txBody>
      </xdr:sp>
    </xdr:grp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36" name="Accolade fermante 35">
          <a:extLst>
            <a:ext uri="{FF2B5EF4-FFF2-40B4-BE49-F238E27FC236}">
              <a16:creationId xmlns:a16="http://schemas.microsoft.com/office/drawing/2014/main" id="{00000000-0008-0000-0800-000024000000}"/>
            </a:ext>
          </a:extLst>
        </xdr:cNvPr>
        <xdr:cNvSpPr/>
      </xdr:nvSpPr>
      <xdr:spPr>
        <a:xfrm>
          <a:off x="372713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37" name="Accolade fermante 36">
          <a:extLst>
            <a:ext uri="{FF2B5EF4-FFF2-40B4-BE49-F238E27FC236}">
              <a16:creationId xmlns:a16="http://schemas.microsoft.com/office/drawing/2014/main" id="{00000000-0008-0000-0800-000025000000}"/>
            </a:ext>
          </a:extLst>
        </xdr:cNvPr>
        <xdr:cNvSpPr/>
      </xdr:nvSpPr>
      <xdr:spPr>
        <a:xfrm>
          <a:off x="39214425"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38" name="Accolade fermante 37">
          <a:extLst>
            <a:ext uri="{FF2B5EF4-FFF2-40B4-BE49-F238E27FC236}">
              <a16:creationId xmlns:a16="http://schemas.microsoft.com/office/drawing/2014/main" id="{00000000-0008-0000-0800-000026000000}"/>
            </a:ext>
          </a:extLst>
        </xdr:cNvPr>
        <xdr:cNvSpPr/>
      </xdr:nvSpPr>
      <xdr:spPr>
        <a:xfrm>
          <a:off x="372713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39" name="Accolade fermante 38">
          <a:extLst>
            <a:ext uri="{FF2B5EF4-FFF2-40B4-BE49-F238E27FC236}">
              <a16:creationId xmlns:a16="http://schemas.microsoft.com/office/drawing/2014/main" id="{00000000-0008-0000-0800-000027000000}"/>
            </a:ext>
          </a:extLst>
        </xdr:cNvPr>
        <xdr:cNvSpPr/>
      </xdr:nvSpPr>
      <xdr:spPr>
        <a:xfrm>
          <a:off x="39214425"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40" name="Accolade fermante 39">
          <a:extLst>
            <a:ext uri="{FF2B5EF4-FFF2-40B4-BE49-F238E27FC236}">
              <a16:creationId xmlns:a16="http://schemas.microsoft.com/office/drawing/2014/main" id="{00000000-0008-0000-0800-000028000000}"/>
            </a:ext>
          </a:extLst>
        </xdr:cNvPr>
        <xdr:cNvSpPr/>
      </xdr:nvSpPr>
      <xdr:spPr>
        <a:xfrm>
          <a:off x="372713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41" name="Accolade fermante 40">
          <a:extLst>
            <a:ext uri="{FF2B5EF4-FFF2-40B4-BE49-F238E27FC236}">
              <a16:creationId xmlns:a16="http://schemas.microsoft.com/office/drawing/2014/main" id="{00000000-0008-0000-0800-000029000000}"/>
            </a:ext>
          </a:extLst>
        </xdr:cNvPr>
        <xdr:cNvSpPr/>
      </xdr:nvSpPr>
      <xdr:spPr>
        <a:xfrm>
          <a:off x="39214425"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42" name="Accolade fermante 41">
          <a:extLst>
            <a:ext uri="{FF2B5EF4-FFF2-40B4-BE49-F238E27FC236}">
              <a16:creationId xmlns:a16="http://schemas.microsoft.com/office/drawing/2014/main" id="{00000000-0008-0000-0800-00002A000000}"/>
            </a:ext>
          </a:extLst>
        </xdr:cNvPr>
        <xdr:cNvSpPr/>
      </xdr:nvSpPr>
      <xdr:spPr>
        <a:xfrm>
          <a:off x="372713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43" name="Accolade fermante 42">
          <a:extLst>
            <a:ext uri="{FF2B5EF4-FFF2-40B4-BE49-F238E27FC236}">
              <a16:creationId xmlns:a16="http://schemas.microsoft.com/office/drawing/2014/main" id="{00000000-0008-0000-0800-00002B000000}"/>
            </a:ext>
          </a:extLst>
        </xdr:cNvPr>
        <xdr:cNvSpPr/>
      </xdr:nvSpPr>
      <xdr:spPr>
        <a:xfrm>
          <a:off x="39214425"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30" name="Accolade fermante 29">
          <a:extLst>
            <a:ext uri="{FF2B5EF4-FFF2-40B4-BE49-F238E27FC236}">
              <a16:creationId xmlns:a16="http://schemas.microsoft.com/office/drawing/2014/main" id="{00000000-0008-0000-0800-00001E000000}"/>
            </a:ext>
          </a:extLst>
        </xdr:cNvPr>
        <xdr:cNvSpPr/>
      </xdr:nvSpPr>
      <xdr:spPr>
        <a:xfrm>
          <a:off x="34442400" y="12458700"/>
          <a:ext cx="248920" cy="162941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44" name="Accolade fermante 43">
          <a:extLst>
            <a:ext uri="{FF2B5EF4-FFF2-40B4-BE49-F238E27FC236}">
              <a16:creationId xmlns:a16="http://schemas.microsoft.com/office/drawing/2014/main" id="{00000000-0008-0000-0800-00002C000000}"/>
            </a:ext>
          </a:extLst>
        </xdr:cNvPr>
        <xdr:cNvSpPr/>
      </xdr:nvSpPr>
      <xdr:spPr>
        <a:xfrm>
          <a:off x="36454080" y="13141960"/>
          <a:ext cx="248920" cy="218059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46" name="Accolade fermante 45">
          <a:extLst>
            <a:ext uri="{FF2B5EF4-FFF2-40B4-BE49-F238E27FC236}">
              <a16:creationId xmlns:a16="http://schemas.microsoft.com/office/drawing/2014/main" id="{00000000-0008-0000-0800-00002E000000}"/>
            </a:ext>
          </a:extLst>
        </xdr:cNvPr>
        <xdr:cNvSpPr/>
      </xdr:nvSpPr>
      <xdr:spPr>
        <a:xfrm>
          <a:off x="34442400" y="12458700"/>
          <a:ext cx="248920" cy="162941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48" name="Accolade fermante 47">
          <a:extLst>
            <a:ext uri="{FF2B5EF4-FFF2-40B4-BE49-F238E27FC236}">
              <a16:creationId xmlns:a16="http://schemas.microsoft.com/office/drawing/2014/main" id="{00000000-0008-0000-0800-000030000000}"/>
            </a:ext>
          </a:extLst>
        </xdr:cNvPr>
        <xdr:cNvSpPr/>
      </xdr:nvSpPr>
      <xdr:spPr>
        <a:xfrm>
          <a:off x="36454080" y="13141960"/>
          <a:ext cx="248920" cy="218059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50" name="Accolade fermante 49">
          <a:extLst>
            <a:ext uri="{FF2B5EF4-FFF2-40B4-BE49-F238E27FC236}">
              <a16:creationId xmlns:a16="http://schemas.microsoft.com/office/drawing/2014/main" id="{00000000-0008-0000-0800-000032000000}"/>
            </a:ext>
          </a:extLst>
        </xdr:cNvPr>
        <xdr:cNvSpPr/>
      </xdr:nvSpPr>
      <xdr:spPr>
        <a:xfrm>
          <a:off x="34442400" y="12458700"/>
          <a:ext cx="248920" cy="162941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52" name="Accolade fermante 51">
          <a:extLst>
            <a:ext uri="{FF2B5EF4-FFF2-40B4-BE49-F238E27FC236}">
              <a16:creationId xmlns:a16="http://schemas.microsoft.com/office/drawing/2014/main" id="{00000000-0008-0000-0800-000034000000}"/>
            </a:ext>
          </a:extLst>
        </xdr:cNvPr>
        <xdr:cNvSpPr/>
      </xdr:nvSpPr>
      <xdr:spPr>
        <a:xfrm>
          <a:off x="36454080" y="13141960"/>
          <a:ext cx="248920" cy="218059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54" name="Accolade fermante 53">
          <a:extLst>
            <a:ext uri="{FF2B5EF4-FFF2-40B4-BE49-F238E27FC236}">
              <a16:creationId xmlns:a16="http://schemas.microsoft.com/office/drawing/2014/main" id="{00000000-0008-0000-0800-000036000000}"/>
            </a:ext>
          </a:extLst>
        </xdr:cNvPr>
        <xdr:cNvSpPr/>
      </xdr:nvSpPr>
      <xdr:spPr>
        <a:xfrm>
          <a:off x="34442400" y="12458700"/>
          <a:ext cx="248920" cy="162941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56" name="Accolade fermante 55">
          <a:extLst>
            <a:ext uri="{FF2B5EF4-FFF2-40B4-BE49-F238E27FC236}">
              <a16:creationId xmlns:a16="http://schemas.microsoft.com/office/drawing/2014/main" id="{00000000-0008-0000-0800-000038000000}"/>
            </a:ext>
          </a:extLst>
        </xdr:cNvPr>
        <xdr:cNvSpPr/>
      </xdr:nvSpPr>
      <xdr:spPr>
        <a:xfrm>
          <a:off x="36454080" y="13141960"/>
          <a:ext cx="248920" cy="218059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58" name="Accolade fermante 57">
          <a:extLst>
            <a:ext uri="{FF2B5EF4-FFF2-40B4-BE49-F238E27FC236}">
              <a16:creationId xmlns:a16="http://schemas.microsoft.com/office/drawing/2014/main" id="{00000000-0008-0000-0800-00003A000000}"/>
            </a:ext>
          </a:extLst>
        </xdr:cNvPr>
        <xdr:cNvSpPr/>
      </xdr:nvSpPr>
      <xdr:spPr>
        <a:xfrm>
          <a:off x="34442400" y="12458700"/>
          <a:ext cx="248920" cy="162941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60" name="Accolade fermante 59">
          <a:extLst>
            <a:ext uri="{FF2B5EF4-FFF2-40B4-BE49-F238E27FC236}">
              <a16:creationId xmlns:a16="http://schemas.microsoft.com/office/drawing/2014/main" id="{00000000-0008-0000-0800-00003C000000}"/>
            </a:ext>
          </a:extLst>
        </xdr:cNvPr>
        <xdr:cNvSpPr/>
      </xdr:nvSpPr>
      <xdr:spPr>
        <a:xfrm>
          <a:off x="36454080" y="13141960"/>
          <a:ext cx="248920" cy="218059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62" name="Accolade fermante 61">
          <a:extLst>
            <a:ext uri="{FF2B5EF4-FFF2-40B4-BE49-F238E27FC236}">
              <a16:creationId xmlns:a16="http://schemas.microsoft.com/office/drawing/2014/main" id="{00000000-0008-0000-0800-00003E000000}"/>
            </a:ext>
          </a:extLst>
        </xdr:cNvPr>
        <xdr:cNvSpPr/>
      </xdr:nvSpPr>
      <xdr:spPr>
        <a:xfrm>
          <a:off x="34442400" y="12458700"/>
          <a:ext cx="248920" cy="162941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63" name="Accolade fermante 62">
          <a:extLst>
            <a:ext uri="{FF2B5EF4-FFF2-40B4-BE49-F238E27FC236}">
              <a16:creationId xmlns:a16="http://schemas.microsoft.com/office/drawing/2014/main" id="{00000000-0008-0000-0800-00003F000000}"/>
            </a:ext>
          </a:extLst>
        </xdr:cNvPr>
        <xdr:cNvSpPr/>
      </xdr:nvSpPr>
      <xdr:spPr>
        <a:xfrm>
          <a:off x="36454080" y="13141960"/>
          <a:ext cx="248920" cy="218059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64" name="Accolade fermante 63">
          <a:extLst>
            <a:ext uri="{FF2B5EF4-FFF2-40B4-BE49-F238E27FC236}">
              <a16:creationId xmlns:a16="http://schemas.microsoft.com/office/drawing/2014/main" id="{00000000-0008-0000-0800-000040000000}"/>
            </a:ext>
          </a:extLst>
        </xdr:cNvPr>
        <xdr:cNvSpPr/>
      </xdr:nvSpPr>
      <xdr:spPr>
        <a:xfrm>
          <a:off x="34442400" y="12458700"/>
          <a:ext cx="248920" cy="162941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65" name="Accolade fermante 64">
          <a:extLst>
            <a:ext uri="{FF2B5EF4-FFF2-40B4-BE49-F238E27FC236}">
              <a16:creationId xmlns:a16="http://schemas.microsoft.com/office/drawing/2014/main" id="{00000000-0008-0000-0800-000041000000}"/>
            </a:ext>
          </a:extLst>
        </xdr:cNvPr>
        <xdr:cNvSpPr/>
      </xdr:nvSpPr>
      <xdr:spPr>
        <a:xfrm>
          <a:off x="36454080" y="13141960"/>
          <a:ext cx="248920" cy="218059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66" name="Accolade fermante 65">
          <a:extLst>
            <a:ext uri="{FF2B5EF4-FFF2-40B4-BE49-F238E27FC236}">
              <a16:creationId xmlns:a16="http://schemas.microsoft.com/office/drawing/2014/main" id="{00000000-0008-0000-0800-000042000000}"/>
            </a:ext>
          </a:extLst>
        </xdr:cNvPr>
        <xdr:cNvSpPr/>
      </xdr:nvSpPr>
      <xdr:spPr>
        <a:xfrm>
          <a:off x="34442400" y="12458700"/>
          <a:ext cx="248920" cy="162941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67" name="Accolade fermante 66">
          <a:extLst>
            <a:ext uri="{FF2B5EF4-FFF2-40B4-BE49-F238E27FC236}">
              <a16:creationId xmlns:a16="http://schemas.microsoft.com/office/drawing/2014/main" id="{00000000-0008-0000-0800-000043000000}"/>
            </a:ext>
          </a:extLst>
        </xdr:cNvPr>
        <xdr:cNvSpPr/>
      </xdr:nvSpPr>
      <xdr:spPr>
        <a:xfrm>
          <a:off x="36454080" y="13141960"/>
          <a:ext cx="248920" cy="218059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68" name="Accolade fermante 67">
          <a:extLst>
            <a:ext uri="{FF2B5EF4-FFF2-40B4-BE49-F238E27FC236}">
              <a16:creationId xmlns:a16="http://schemas.microsoft.com/office/drawing/2014/main" id="{00000000-0008-0000-0800-000044000000}"/>
            </a:ext>
          </a:extLst>
        </xdr:cNvPr>
        <xdr:cNvSpPr/>
      </xdr:nvSpPr>
      <xdr:spPr>
        <a:xfrm>
          <a:off x="34442400" y="12458700"/>
          <a:ext cx="248920" cy="162941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69" name="Accolade fermante 68">
          <a:extLst>
            <a:ext uri="{FF2B5EF4-FFF2-40B4-BE49-F238E27FC236}">
              <a16:creationId xmlns:a16="http://schemas.microsoft.com/office/drawing/2014/main" id="{00000000-0008-0000-0800-000045000000}"/>
            </a:ext>
          </a:extLst>
        </xdr:cNvPr>
        <xdr:cNvSpPr/>
      </xdr:nvSpPr>
      <xdr:spPr>
        <a:xfrm>
          <a:off x="36454080" y="13141960"/>
          <a:ext cx="248920" cy="218059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70" name="Accolade fermante 69">
          <a:extLst>
            <a:ext uri="{FF2B5EF4-FFF2-40B4-BE49-F238E27FC236}">
              <a16:creationId xmlns:a16="http://schemas.microsoft.com/office/drawing/2014/main" id="{00000000-0008-0000-0800-000046000000}"/>
            </a:ext>
          </a:extLst>
        </xdr:cNvPr>
        <xdr:cNvSpPr/>
      </xdr:nvSpPr>
      <xdr:spPr>
        <a:xfrm>
          <a:off x="34442400" y="12458700"/>
          <a:ext cx="248920" cy="162941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71" name="Accolade fermante 70">
          <a:extLst>
            <a:ext uri="{FF2B5EF4-FFF2-40B4-BE49-F238E27FC236}">
              <a16:creationId xmlns:a16="http://schemas.microsoft.com/office/drawing/2014/main" id="{00000000-0008-0000-0800-000047000000}"/>
            </a:ext>
          </a:extLst>
        </xdr:cNvPr>
        <xdr:cNvSpPr/>
      </xdr:nvSpPr>
      <xdr:spPr>
        <a:xfrm>
          <a:off x="36454080" y="13141960"/>
          <a:ext cx="248920" cy="218059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72" name="Accolade fermante 71">
          <a:extLst>
            <a:ext uri="{FF2B5EF4-FFF2-40B4-BE49-F238E27FC236}">
              <a16:creationId xmlns:a16="http://schemas.microsoft.com/office/drawing/2014/main" id="{00000000-0008-0000-0800-000048000000}"/>
            </a:ext>
          </a:extLst>
        </xdr:cNvPr>
        <xdr:cNvSpPr/>
      </xdr:nvSpPr>
      <xdr:spPr>
        <a:xfrm>
          <a:off x="34442400" y="12458700"/>
          <a:ext cx="248920" cy="162941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73" name="Accolade fermante 72">
          <a:extLst>
            <a:ext uri="{FF2B5EF4-FFF2-40B4-BE49-F238E27FC236}">
              <a16:creationId xmlns:a16="http://schemas.microsoft.com/office/drawing/2014/main" id="{00000000-0008-0000-0800-000049000000}"/>
            </a:ext>
          </a:extLst>
        </xdr:cNvPr>
        <xdr:cNvSpPr/>
      </xdr:nvSpPr>
      <xdr:spPr>
        <a:xfrm>
          <a:off x="36454080" y="13141960"/>
          <a:ext cx="248920" cy="218059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74" name="Accolade fermante 73">
          <a:extLst>
            <a:ext uri="{FF2B5EF4-FFF2-40B4-BE49-F238E27FC236}">
              <a16:creationId xmlns:a16="http://schemas.microsoft.com/office/drawing/2014/main" id="{00000000-0008-0000-0800-00004A000000}"/>
            </a:ext>
          </a:extLst>
        </xdr:cNvPr>
        <xdr:cNvSpPr/>
      </xdr:nvSpPr>
      <xdr:spPr>
        <a:xfrm>
          <a:off x="34442400" y="12458700"/>
          <a:ext cx="248920" cy="162941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75" name="Accolade fermante 74">
          <a:extLst>
            <a:ext uri="{FF2B5EF4-FFF2-40B4-BE49-F238E27FC236}">
              <a16:creationId xmlns:a16="http://schemas.microsoft.com/office/drawing/2014/main" id="{00000000-0008-0000-0800-00004B000000}"/>
            </a:ext>
          </a:extLst>
        </xdr:cNvPr>
        <xdr:cNvSpPr/>
      </xdr:nvSpPr>
      <xdr:spPr>
        <a:xfrm>
          <a:off x="36454080" y="13141960"/>
          <a:ext cx="248920" cy="218059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76" name="Accolade fermante 75">
          <a:extLst>
            <a:ext uri="{FF2B5EF4-FFF2-40B4-BE49-F238E27FC236}">
              <a16:creationId xmlns:a16="http://schemas.microsoft.com/office/drawing/2014/main" id="{00000000-0008-0000-0800-00004C000000}"/>
            </a:ext>
          </a:extLst>
        </xdr:cNvPr>
        <xdr:cNvSpPr/>
      </xdr:nvSpPr>
      <xdr:spPr>
        <a:xfrm>
          <a:off x="34442400" y="12458700"/>
          <a:ext cx="248920" cy="162941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77" name="Accolade fermante 76">
          <a:extLst>
            <a:ext uri="{FF2B5EF4-FFF2-40B4-BE49-F238E27FC236}">
              <a16:creationId xmlns:a16="http://schemas.microsoft.com/office/drawing/2014/main" id="{00000000-0008-0000-0800-00004D000000}"/>
            </a:ext>
          </a:extLst>
        </xdr:cNvPr>
        <xdr:cNvSpPr/>
      </xdr:nvSpPr>
      <xdr:spPr>
        <a:xfrm>
          <a:off x="36454080" y="13141960"/>
          <a:ext cx="248920" cy="218059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78" name="Accolade fermante 77">
          <a:extLst>
            <a:ext uri="{FF2B5EF4-FFF2-40B4-BE49-F238E27FC236}">
              <a16:creationId xmlns:a16="http://schemas.microsoft.com/office/drawing/2014/main" id="{00000000-0008-0000-0800-00004E000000}"/>
            </a:ext>
          </a:extLst>
        </xdr:cNvPr>
        <xdr:cNvSpPr/>
      </xdr:nvSpPr>
      <xdr:spPr>
        <a:xfrm>
          <a:off x="34442400" y="12458700"/>
          <a:ext cx="248920" cy="162941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79" name="Accolade fermante 78">
          <a:extLst>
            <a:ext uri="{FF2B5EF4-FFF2-40B4-BE49-F238E27FC236}">
              <a16:creationId xmlns:a16="http://schemas.microsoft.com/office/drawing/2014/main" id="{00000000-0008-0000-0800-00004F000000}"/>
            </a:ext>
          </a:extLst>
        </xdr:cNvPr>
        <xdr:cNvSpPr/>
      </xdr:nvSpPr>
      <xdr:spPr>
        <a:xfrm>
          <a:off x="36454080" y="13141960"/>
          <a:ext cx="248920" cy="218059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80" name="Accolade fermante 79">
          <a:extLst>
            <a:ext uri="{FF2B5EF4-FFF2-40B4-BE49-F238E27FC236}">
              <a16:creationId xmlns:a16="http://schemas.microsoft.com/office/drawing/2014/main" id="{00000000-0008-0000-0800-000050000000}"/>
            </a:ext>
          </a:extLst>
        </xdr:cNvPr>
        <xdr:cNvSpPr/>
      </xdr:nvSpPr>
      <xdr:spPr>
        <a:xfrm>
          <a:off x="34442400" y="12458700"/>
          <a:ext cx="248920" cy="162941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81" name="Accolade fermante 80">
          <a:extLst>
            <a:ext uri="{FF2B5EF4-FFF2-40B4-BE49-F238E27FC236}">
              <a16:creationId xmlns:a16="http://schemas.microsoft.com/office/drawing/2014/main" id="{00000000-0008-0000-0800-000051000000}"/>
            </a:ext>
          </a:extLst>
        </xdr:cNvPr>
        <xdr:cNvSpPr/>
      </xdr:nvSpPr>
      <xdr:spPr>
        <a:xfrm>
          <a:off x="36454080" y="13141960"/>
          <a:ext cx="248920" cy="218059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82" name="Accolade fermante 81">
          <a:extLst>
            <a:ext uri="{FF2B5EF4-FFF2-40B4-BE49-F238E27FC236}">
              <a16:creationId xmlns:a16="http://schemas.microsoft.com/office/drawing/2014/main" id="{00000000-0008-0000-0800-000052000000}"/>
            </a:ext>
          </a:extLst>
        </xdr:cNvPr>
        <xdr:cNvSpPr/>
      </xdr:nvSpPr>
      <xdr:spPr>
        <a:xfrm>
          <a:off x="34442400" y="12458700"/>
          <a:ext cx="248920" cy="162941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83" name="Accolade fermante 82">
          <a:extLst>
            <a:ext uri="{FF2B5EF4-FFF2-40B4-BE49-F238E27FC236}">
              <a16:creationId xmlns:a16="http://schemas.microsoft.com/office/drawing/2014/main" id="{00000000-0008-0000-0800-000053000000}"/>
            </a:ext>
          </a:extLst>
        </xdr:cNvPr>
        <xdr:cNvSpPr/>
      </xdr:nvSpPr>
      <xdr:spPr>
        <a:xfrm>
          <a:off x="36454080" y="13141960"/>
          <a:ext cx="248920" cy="218059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84" name="Accolade fermante 83">
          <a:extLst>
            <a:ext uri="{FF2B5EF4-FFF2-40B4-BE49-F238E27FC236}">
              <a16:creationId xmlns:a16="http://schemas.microsoft.com/office/drawing/2014/main" id="{00000000-0008-0000-0800-000054000000}"/>
            </a:ext>
          </a:extLst>
        </xdr:cNvPr>
        <xdr:cNvSpPr/>
      </xdr:nvSpPr>
      <xdr:spPr>
        <a:xfrm>
          <a:off x="34442400" y="12458700"/>
          <a:ext cx="248920" cy="162941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85" name="Accolade fermante 84">
          <a:extLst>
            <a:ext uri="{FF2B5EF4-FFF2-40B4-BE49-F238E27FC236}">
              <a16:creationId xmlns:a16="http://schemas.microsoft.com/office/drawing/2014/main" id="{00000000-0008-0000-0800-000055000000}"/>
            </a:ext>
          </a:extLst>
        </xdr:cNvPr>
        <xdr:cNvSpPr/>
      </xdr:nvSpPr>
      <xdr:spPr>
        <a:xfrm>
          <a:off x="36454080" y="13141960"/>
          <a:ext cx="248920" cy="218059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mc:AlternateContent xmlns:mc="http://schemas.openxmlformats.org/markup-compatibility/2006">
    <mc:Choice xmlns:a14="http://schemas.microsoft.com/office/drawing/2010/main" Requires="a14">
      <xdr:twoCellAnchor editAs="oneCell">
        <xdr:from>
          <xdr:col>56</xdr:col>
          <xdr:colOff>0</xdr:colOff>
          <xdr:row>1</xdr:row>
          <xdr:rowOff>180975</xdr:rowOff>
        </xdr:from>
        <xdr:to>
          <xdr:col>59</xdr:col>
          <xdr:colOff>133350</xdr:colOff>
          <xdr:row>1</xdr:row>
          <xdr:rowOff>361950</xdr:rowOff>
        </xdr:to>
        <xdr:sp macro="" textlink="">
          <xdr:nvSpPr>
            <xdr:cNvPr id="12804" name="PrairieEnGrain1anSur5" hidden="1">
              <a:extLst>
                <a:ext uri="{63B3BB69-23CF-44E3-9099-C40C66FF867C}">
                  <a14:compatExt spid="_x0000_s12804"/>
                </a:ext>
                <a:ext uri="{FF2B5EF4-FFF2-40B4-BE49-F238E27FC236}">
                  <a16:creationId xmlns:a16="http://schemas.microsoft.com/office/drawing/2014/main" id="{00000000-0008-0000-0800-000004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Segoe UI"/>
                  <a:cs typeface="Segoe UI"/>
                </a:rPr>
                <a:t>La prairie est en grain une année sur 5</a:t>
              </a:r>
            </a:p>
          </xdr:txBody>
        </xdr:sp>
        <xdr:clientData fPrintsWithSheet="0"/>
      </xdr:twoCellAnchor>
    </mc:Choice>
    <mc:Fallback/>
  </mc:AlternateContent>
  <xdr:twoCellAnchor>
    <xdr:from>
      <xdr:col>54</xdr:col>
      <xdr:colOff>190500</xdr:colOff>
      <xdr:row>57</xdr:row>
      <xdr:rowOff>60960</xdr:rowOff>
    </xdr:from>
    <xdr:to>
      <xdr:col>54</xdr:col>
      <xdr:colOff>441960</xdr:colOff>
      <xdr:row>67</xdr:row>
      <xdr:rowOff>182880</xdr:rowOff>
    </xdr:to>
    <xdr:sp macro="" textlink="">
      <xdr:nvSpPr>
        <xdr:cNvPr id="86" name="Accolade fermante 85">
          <a:extLst>
            <a:ext uri="{FF2B5EF4-FFF2-40B4-BE49-F238E27FC236}">
              <a16:creationId xmlns:a16="http://schemas.microsoft.com/office/drawing/2014/main" id="{00000000-0008-0000-0800-00005600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88" name="Accolade fermante 87">
          <a:extLst>
            <a:ext uri="{FF2B5EF4-FFF2-40B4-BE49-F238E27FC236}">
              <a16:creationId xmlns:a16="http://schemas.microsoft.com/office/drawing/2014/main" id="{00000000-0008-0000-0800-00005800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90" name="Accolade fermante 89">
          <a:extLst>
            <a:ext uri="{FF2B5EF4-FFF2-40B4-BE49-F238E27FC236}">
              <a16:creationId xmlns:a16="http://schemas.microsoft.com/office/drawing/2014/main" id="{00000000-0008-0000-0800-00005A00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92" name="Accolade fermante 91">
          <a:extLst>
            <a:ext uri="{FF2B5EF4-FFF2-40B4-BE49-F238E27FC236}">
              <a16:creationId xmlns:a16="http://schemas.microsoft.com/office/drawing/2014/main" id="{00000000-0008-0000-0800-00005C00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94" name="Accolade fermante 93">
          <a:extLst>
            <a:ext uri="{FF2B5EF4-FFF2-40B4-BE49-F238E27FC236}">
              <a16:creationId xmlns:a16="http://schemas.microsoft.com/office/drawing/2014/main" id="{00000000-0008-0000-0800-00005E00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96" name="Accolade fermante 95">
          <a:extLst>
            <a:ext uri="{FF2B5EF4-FFF2-40B4-BE49-F238E27FC236}">
              <a16:creationId xmlns:a16="http://schemas.microsoft.com/office/drawing/2014/main" id="{00000000-0008-0000-0800-00006000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98" name="Accolade fermante 97">
          <a:extLst>
            <a:ext uri="{FF2B5EF4-FFF2-40B4-BE49-F238E27FC236}">
              <a16:creationId xmlns:a16="http://schemas.microsoft.com/office/drawing/2014/main" id="{00000000-0008-0000-0800-00006200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100" name="Accolade fermante 99">
          <a:extLst>
            <a:ext uri="{FF2B5EF4-FFF2-40B4-BE49-F238E27FC236}">
              <a16:creationId xmlns:a16="http://schemas.microsoft.com/office/drawing/2014/main" id="{00000000-0008-0000-0800-00006400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102" name="Accolade fermante 101">
          <a:extLst>
            <a:ext uri="{FF2B5EF4-FFF2-40B4-BE49-F238E27FC236}">
              <a16:creationId xmlns:a16="http://schemas.microsoft.com/office/drawing/2014/main" id="{00000000-0008-0000-0800-00006600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104" name="Accolade fermante 103">
          <a:extLst>
            <a:ext uri="{FF2B5EF4-FFF2-40B4-BE49-F238E27FC236}">
              <a16:creationId xmlns:a16="http://schemas.microsoft.com/office/drawing/2014/main" id="{00000000-0008-0000-0800-00006800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106" name="Accolade fermante 105">
          <a:extLst>
            <a:ext uri="{FF2B5EF4-FFF2-40B4-BE49-F238E27FC236}">
              <a16:creationId xmlns:a16="http://schemas.microsoft.com/office/drawing/2014/main" id="{00000000-0008-0000-0800-00006A00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107" name="Accolade fermante 106">
          <a:extLst>
            <a:ext uri="{FF2B5EF4-FFF2-40B4-BE49-F238E27FC236}">
              <a16:creationId xmlns:a16="http://schemas.microsoft.com/office/drawing/2014/main" id="{00000000-0008-0000-0800-00006B00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108" name="Accolade fermante 107">
          <a:extLst>
            <a:ext uri="{FF2B5EF4-FFF2-40B4-BE49-F238E27FC236}">
              <a16:creationId xmlns:a16="http://schemas.microsoft.com/office/drawing/2014/main" id="{00000000-0008-0000-0800-00006C00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109" name="Accolade fermante 108">
          <a:extLst>
            <a:ext uri="{FF2B5EF4-FFF2-40B4-BE49-F238E27FC236}">
              <a16:creationId xmlns:a16="http://schemas.microsoft.com/office/drawing/2014/main" id="{00000000-0008-0000-0800-00006D00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110" name="Accolade fermante 109">
          <a:extLst>
            <a:ext uri="{FF2B5EF4-FFF2-40B4-BE49-F238E27FC236}">
              <a16:creationId xmlns:a16="http://schemas.microsoft.com/office/drawing/2014/main" id="{00000000-0008-0000-0800-00006E00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111" name="Accolade fermante 110">
          <a:extLst>
            <a:ext uri="{FF2B5EF4-FFF2-40B4-BE49-F238E27FC236}">
              <a16:creationId xmlns:a16="http://schemas.microsoft.com/office/drawing/2014/main" id="{00000000-0008-0000-0800-00006F00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112" name="Accolade fermante 111">
          <a:extLst>
            <a:ext uri="{FF2B5EF4-FFF2-40B4-BE49-F238E27FC236}">
              <a16:creationId xmlns:a16="http://schemas.microsoft.com/office/drawing/2014/main" id="{00000000-0008-0000-0800-00007000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113" name="Accolade fermante 112">
          <a:extLst>
            <a:ext uri="{FF2B5EF4-FFF2-40B4-BE49-F238E27FC236}">
              <a16:creationId xmlns:a16="http://schemas.microsoft.com/office/drawing/2014/main" id="{00000000-0008-0000-0800-00007100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114" name="Accolade fermante 113">
          <a:extLst>
            <a:ext uri="{FF2B5EF4-FFF2-40B4-BE49-F238E27FC236}">
              <a16:creationId xmlns:a16="http://schemas.microsoft.com/office/drawing/2014/main" id="{00000000-0008-0000-0800-00007200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115" name="Accolade fermante 114">
          <a:extLst>
            <a:ext uri="{FF2B5EF4-FFF2-40B4-BE49-F238E27FC236}">
              <a16:creationId xmlns:a16="http://schemas.microsoft.com/office/drawing/2014/main" id="{00000000-0008-0000-0800-00007300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116" name="Accolade fermante 115">
          <a:extLst>
            <a:ext uri="{FF2B5EF4-FFF2-40B4-BE49-F238E27FC236}">
              <a16:creationId xmlns:a16="http://schemas.microsoft.com/office/drawing/2014/main" id="{00000000-0008-0000-0800-00007400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117" name="Accolade fermante 116">
          <a:extLst>
            <a:ext uri="{FF2B5EF4-FFF2-40B4-BE49-F238E27FC236}">
              <a16:creationId xmlns:a16="http://schemas.microsoft.com/office/drawing/2014/main" id="{00000000-0008-0000-0800-00007500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118" name="Accolade fermante 117">
          <a:extLst>
            <a:ext uri="{FF2B5EF4-FFF2-40B4-BE49-F238E27FC236}">
              <a16:creationId xmlns:a16="http://schemas.microsoft.com/office/drawing/2014/main" id="{00000000-0008-0000-0800-00007600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119" name="Accolade fermante 118">
          <a:extLst>
            <a:ext uri="{FF2B5EF4-FFF2-40B4-BE49-F238E27FC236}">
              <a16:creationId xmlns:a16="http://schemas.microsoft.com/office/drawing/2014/main" id="{00000000-0008-0000-0800-00007700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120" name="Accolade fermante 119">
          <a:extLst>
            <a:ext uri="{FF2B5EF4-FFF2-40B4-BE49-F238E27FC236}">
              <a16:creationId xmlns:a16="http://schemas.microsoft.com/office/drawing/2014/main" id="{00000000-0008-0000-0800-00007800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121" name="Accolade fermante 120">
          <a:extLst>
            <a:ext uri="{FF2B5EF4-FFF2-40B4-BE49-F238E27FC236}">
              <a16:creationId xmlns:a16="http://schemas.microsoft.com/office/drawing/2014/main" id="{00000000-0008-0000-0800-00007900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122" name="Accolade fermante 121">
          <a:extLst>
            <a:ext uri="{FF2B5EF4-FFF2-40B4-BE49-F238E27FC236}">
              <a16:creationId xmlns:a16="http://schemas.microsoft.com/office/drawing/2014/main" id="{00000000-0008-0000-0800-00007A00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123" name="Accolade fermante 122">
          <a:extLst>
            <a:ext uri="{FF2B5EF4-FFF2-40B4-BE49-F238E27FC236}">
              <a16:creationId xmlns:a16="http://schemas.microsoft.com/office/drawing/2014/main" id="{00000000-0008-0000-0800-00007B00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124" name="Accolade fermante 123">
          <a:extLst>
            <a:ext uri="{FF2B5EF4-FFF2-40B4-BE49-F238E27FC236}">
              <a16:creationId xmlns:a16="http://schemas.microsoft.com/office/drawing/2014/main" id="{00000000-0008-0000-0800-00007C00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125" name="Accolade fermante 124">
          <a:extLst>
            <a:ext uri="{FF2B5EF4-FFF2-40B4-BE49-F238E27FC236}">
              <a16:creationId xmlns:a16="http://schemas.microsoft.com/office/drawing/2014/main" id="{00000000-0008-0000-0800-00007D00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126" name="Accolade fermante 125">
          <a:extLst>
            <a:ext uri="{FF2B5EF4-FFF2-40B4-BE49-F238E27FC236}">
              <a16:creationId xmlns:a16="http://schemas.microsoft.com/office/drawing/2014/main" id="{00000000-0008-0000-0800-00007E00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127" name="Accolade fermante 126">
          <a:extLst>
            <a:ext uri="{FF2B5EF4-FFF2-40B4-BE49-F238E27FC236}">
              <a16:creationId xmlns:a16="http://schemas.microsoft.com/office/drawing/2014/main" id="{00000000-0008-0000-0800-00007F00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128" name="Accolade fermante 127">
          <a:extLst>
            <a:ext uri="{FF2B5EF4-FFF2-40B4-BE49-F238E27FC236}">
              <a16:creationId xmlns:a16="http://schemas.microsoft.com/office/drawing/2014/main" id="{00000000-0008-0000-0800-00008000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129" name="Accolade fermante 128">
          <a:extLst>
            <a:ext uri="{FF2B5EF4-FFF2-40B4-BE49-F238E27FC236}">
              <a16:creationId xmlns:a16="http://schemas.microsoft.com/office/drawing/2014/main" id="{00000000-0008-0000-0800-00008100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99" name="Accolade fermante 98">
          <a:extLst>
            <a:ext uri="{FF2B5EF4-FFF2-40B4-BE49-F238E27FC236}">
              <a16:creationId xmlns:a16="http://schemas.microsoft.com/office/drawing/2014/main" id="{00000000-0008-0000-0800-00006300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101" name="Accolade fermante 100">
          <a:extLst>
            <a:ext uri="{FF2B5EF4-FFF2-40B4-BE49-F238E27FC236}">
              <a16:creationId xmlns:a16="http://schemas.microsoft.com/office/drawing/2014/main" id="{00000000-0008-0000-0800-00006500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103" name="Accolade fermante 102">
          <a:extLst>
            <a:ext uri="{FF2B5EF4-FFF2-40B4-BE49-F238E27FC236}">
              <a16:creationId xmlns:a16="http://schemas.microsoft.com/office/drawing/2014/main" id="{00000000-0008-0000-0800-00006700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105" name="Accolade fermante 104">
          <a:extLst>
            <a:ext uri="{FF2B5EF4-FFF2-40B4-BE49-F238E27FC236}">
              <a16:creationId xmlns:a16="http://schemas.microsoft.com/office/drawing/2014/main" id="{00000000-0008-0000-0800-00006900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130" name="Accolade fermante 129">
          <a:extLst>
            <a:ext uri="{FF2B5EF4-FFF2-40B4-BE49-F238E27FC236}">
              <a16:creationId xmlns:a16="http://schemas.microsoft.com/office/drawing/2014/main" id="{00000000-0008-0000-0800-00008200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131" name="Accolade fermante 130">
          <a:extLst>
            <a:ext uri="{FF2B5EF4-FFF2-40B4-BE49-F238E27FC236}">
              <a16:creationId xmlns:a16="http://schemas.microsoft.com/office/drawing/2014/main" id="{00000000-0008-0000-0800-00008300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132" name="Accolade fermante 131">
          <a:extLst>
            <a:ext uri="{FF2B5EF4-FFF2-40B4-BE49-F238E27FC236}">
              <a16:creationId xmlns:a16="http://schemas.microsoft.com/office/drawing/2014/main" id="{00000000-0008-0000-0800-00008400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133" name="Accolade fermante 132">
          <a:extLst>
            <a:ext uri="{FF2B5EF4-FFF2-40B4-BE49-F238E27FC236}">
              <a16:creationId xmlns:a16="http://schemas.microsoft.com/office/drawing/2014/main" id="{00000000-0008-0000-0800-00008500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134" name="Accolade fermante 133">
          <a:extLst>
            <a:ext uri="{FF2B5EF4-FFF2-40B4-BE49-F238E27FC236}">
              <a16:creationId xmlns:a16="http://schemas.microsoft.com/office/drawing/2014/main" id="{00000000-0008-0000-0800-00008600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135" name="Accolade fermante 134">
          <a:extLst>
            <a:ext uri="{FF2B5EF4-FFF2-40B4-BE49-F238E27FC236}">
              <a16:creationId xmlns:a16="http://schemas.microsoft.com/office/drawing/2014/main" id="{00000000-0008-0000-0800-00008700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136" name="Accolade fermante 135">
          <a:extLst>
            <a:ext uri="{FF2B5EF4-FFF2-40B4-BE49-F238E27FC236}">
              <a16:creationId xmlns:a16="http://schemas.microsoft.com/office/drawing/2014/main" id="{00000000-0008-0000-0800-00008800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137" name="Accolade fermante 136">
          <a:extLst>
            <a:ext uri="{FF2B5EF4-FFF2-40B4-BE49-F238E27FC236}">
              <a16:creationId xmlns:a16="http://schemas.microsoft.com/office/drawing/2014/main" id="{00000000-0008-0000-0800-00008900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138" name="Accolade fermante 137">
          <a:extLst>
            <a:ext uri="{FF2B5EF4-FFF2-40B4-BE49-F238E27FC236}">
              <a16:creationId xmlns:a16="http://schemas.microsoft.com/office/drawing/2014/main" id="{00000000-0008-0000-0800-00008A00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139" name="Accolade fermante 138">
          <a:extLst>
            <a:ext uri="{FF2B5EF4-FFF2-40B4-BE49-F238E27FC236}">
              <a16:creationId xmlns:a16="http://schemas.microsoft.com/office/drawing/2014/main" id="{00000000-0008-0000-0800-00008B00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140" name="Accolade fermante 139">
          <a:extLst>
            <a:ext uri="{FF2B5EF4-FFF2-40B4-BE49-F238E27FC236}">
              <a16:creationId xmlns:a16="http://schemas.microsoft.com/office/drawing/2014/main" id="{00000000-0008-0000-0800-00008C00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141" name="Accolade fermante 140">
          <a:extLst>
            <a:ext uri="{FF2B5EF4-FFF2-40B4-BE49-F238E27FC236}">
              <a16:creationId xmlns:a16="http://schemas.microsoft.com/office/drawing/2014/main" id="{00000000-0008-0000-0800-00008D00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142" name="Accolade fermante 141">
          <a:extLst>
            <a:ext uri="{FF2B5EF4-FFF2-40B4-BE49-F238E27FC236}">
              <a16:creationId xmlns:a16="http://schemas.microsoft.com/office/drawing/2014/main" id="{00000000-0008-0000-0800-00008E00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143" name="Accolade fermante 142">
          <a:extLst>
            <a:ext uri="{FF2B5EF4-FFF2-40B4-BE49-F238E27FC236}">
              <a16:creationId xmlns:a16="http://schemas.microsoft.com/office/drawing/2014/main" id="{00000000-0008-0000-0800-00008F00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144" name="Accolade fermante 143">
          <a:extLst>
            <a:ext uri="{FF2B5EF4-FFF2-40B4-BE49-F238E27FC236}">
              <a16:creationId xmlns:a16="http://schemas.microsoft.com/office/drawing/2014/main" id="{00000000-0008-0000-0800-00009000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145" name="Accolade fermante 144">
          <a:extLst>
            <a:ext uri="{FF2B5EF4-FFF2-40B4-BE49-F238E27FC236}">
              <a16:creationId xmlns:a16="http://schemas.microsoft.com/office/drawing/2014/main" id="{00000000-0008-0000-0800-00009100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146" name="Accolade fermante 145">
          <a:extLst>
            <a:ext uri="{FF2B5EF4-FFF2-40B4-BE49-F238E27FC236}">
              <a16:creationId xmlns:a16="http://schemas.microsoft.com/office/drawing/2014/main" id="{00000000-0008-0000-0800-00009200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147" name="Accolade fermante 146">
          <a:extLst>
            <a:ext uri="{FF2B5EF4-FFF2-40B4-BE49-F238E27FC236}">
              <a16:creationId xmlns:a16="http://schemas.microsoft.com/office/drawing/2014/main" id="{00000000-0008-0000-0800-00009300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148" name="Accolade fermante 147">
          <a:extLst>
            <a:ext uri="{FF2B5EF4-FFF2-40B4-BE49-F238E27FC236}">
              <a16:creationId xmlns:a16="http://schemas.microsoft.com/office/drawing/2014/main" id="{00000000-0008-0000-0800-00009400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149" name="Accolade fermante 148">
          <a:extLst>
            <a:ext uri="{FF2B5EF4-FFF2-40B4-BE49-F238E27FC236}">
              <a16:creationId xmlns:a16="http://schemas.microsoft.com/office/drawing/2014/main" id="{00000000-0008-0000-0800-00009500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150" name="Accolade fermante 149">
          <a:extLst>
            <a:ext uri="{FF2B5EF4-FFF2-40B4-BE49-F238E27FC236}">
              <a16:creationId xmlns:a16="http://schemas.microsoft.com/office/drawing/2014/main" id="{00000000-0008-0000-0800-00009600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151" name="Accolade fermante 150">
          <a:extLst>
            <a:ext uri="{FF2B5EF4-FFF2-40B4-BE49-F238E27FC236}">
              <a16:creationId xmlns:a16="http://schemas.microsoft.com/office/drawing/2014/main" id="{00000000-0008-0000-0800-00009700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152" name="Accolade fermante 151">
          <a:extLst>
            <a:ext uri="{FF2B5EF4-FFF2-40B4-BE49-F238E27FC236}">
              <a16:creationId xmlns:a16="http://schemas.microsoft.com/office/drawing/2014/main" id="{00000000-0008-0000-0800-00009800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153" name="Accolade fermante 152">
          <a:extLst>
            <a:ext uri="{FF2B5EF4-FFF2-40B4-BE49-F238E27FC236}">
              <a16:creationId xmlns:a16="http://schemas.microsoft.com/office/drawing/2014/main" id="{00000000-0008-0000-0800-00009900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154" name="Accolade fermante 153">
          <a:extLst>
            <a:ext uri="{FF2B5EF4-FFF2-40B4-BE49-F238E27FC236}">
              <a16:creationId xmlns:a16="http://schemas.microsoft.com/office/drawing/2014/main" id="{00000000-0008-0000-0800-00009A00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155" name="Accolade fermante 154">
          <a:extLst>
            <a:ext uri="{FF2B5EF4-FFF2-40B4-BE49-F238E27FC236}">
              <a16:creationId xmlns:a16="http://schemas.microsoft.com/office/drawing/2014/main" id="{00000000-0008-0000-0800-00009B00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156" name="Accolade fermante 155">
          <a:extLst>
            <a:ext uri="{FF2B5EF4-FFF2-40B4-BE49-F238E27FC236}">
              <a16:creationId xmlns:a16="http://schemas.microsoft.com/office/drawing/2014/main" id="{00000000-0008-0000-0800-00009C00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157" name="Accolade fermante 156">
          <a:extLst>
            <a:ext uri="{FF2B5EF4-FFF2-40B4-BE49-F238E27FC236}">
              <a16:creationId xmlns:a16="http://schemas.microsoft.com/office/drawing/2014/main" id="{00000000-0008-0000-0800-00009D00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158" name="Accolade fermante 157">
          <a:extLst>
            <a:ext uri="{FF2B5EF4-FFF2-40B4-BE49-F238E27FC236}">
              <a16:creationId xmlns:a16="http://schemas.microsoft.com/office/drawing/2014/main" id="{00000000-0008-0000-0800-00009E00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159" name="Accolade fermante 158">
          <a:extLst>
            <a:ext uri="{FF2B5EF4-FFF2-40B4-BE49-F238E27FC236}">
              <a16:creationId xmlns:a16="http://schemas.microsoft.com/office/drawing/2014/main" id="{00000000-0008-0000-0800-00009F00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160" name="Accolade fermante 159">
          <a:extLst>
            <a:ext uri="{FF2B5EF4-FFF2-40B4-BE49-F238E27FC236}">
              <a16:creationId xmlns:a16="http://schemas.microsoft.com/office/drawing/2014/main" id="{00000000-0008-0000-0800-0000A000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161" name="Accolade fermante 160">
          <a:extLst>
            <a:ext uri="{FF2B5EF4-FFF2-40B4-BE49-F238E27FC236}">
              <a16:creationId xmlns:a16="http://schemas.microsoft.com/office/drawing/2014/main" id="{00000000-0008-0000-0800-0000A100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162" name="Accolade fermante 161">
          <a:extLst>
            <a:ext uri="{FF2B5EF4-FFF2-40B4-BE49-F238E27FC236}">
              <a16:creationId xmlns:a16="http://schemas.microsoft.com/office/drawing/2014/main" id="{00000000-0008-0000-0800-0000A200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163" name="Accolade fermante 162">
          <a:extLst>
            <a:ext uri="{FF2B5EF4-FFF2-40B4-BE49-F238E27FC236}">
              <a16:creationId xmlns:a16="http://schemas.microsoft.com/office/drawing/2014/main" id="{00000000-0008-0000-0800-0000A300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164" name="Accolade fermante 163">
          <a:extLst>
            <a:ext uri="{FF2B5EF4-FFF2-40B4-BE49-F238E27FC236}">
              <a16:creationId xmlns:a16="http://schemas.microsoft.com/office/drawing/2014/main" id="{00000000-0008-0000-0800-0000A400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165" name="Accolade fermante 164">
          <a:extLst>
            <a:ext uri="{FF2B5EF4-FFF2-40B4-BE49-F238E27FC236}">
              <a16:creationId xmlns:a16="http://schemas.microsoft.com/office/drawing/2014/main" id="{00000000-0008-0000-0800-0000A500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166" name="Accolade fermante 165">
          <a:extLst>
            <a:ext uri="{FF2B5EF4-FFF2-40B4-BE49-F238E27FC236}">
              <a16:creationId xmlns:a16="http://schemas.microsoft.com/office/drawing/2014/main" id="{00000000-0008-0000-0800-0000A600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167" name="Accolade fermante 166">
          <a:extLst>
            <a:ext uri="{FF2B5EF4-FFF2-40B4-BE49-F238E27FC236}">
              <a16:creationId xmlns:a16="http://schemas.microsoft.com/office/drawing/2014/main" id="{00000000-0008-0000-0800-0000A700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168" name="Accolade fermante 167">
          <a:extLst>
            <a:ext uri="{FF2B5EF4-FFF2-40B4-BE49-F238E27FC236}">
              <a16:creationId xmlns:a16="http://schemas.microsoft.com/office/drawing/2014/main" id="{00000000-0008-0000-0800-0000A800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169" name="Accolade fermante 168">
          <a:extLst>
            <a:ext uri="{FF2B5EF4-FFF2-40B4-BE49-F238E27FC236}">
              <a16:creationId xmlns:a16="http://schemas.microsoft.com/office/drawing/2014/main" id="{00000000-0008-0000-0800-0000A900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170" name="Accolade fermante 169">
          <a:extLst>
            <a:ext uri="{FF2B5EF4-FFF2-40B4-BE49-F238E27FC236}">
              <a16:creationId xmlns:a16="http://schemas.microsoft.com/office/drawing/2014/main" id="{00000000-0008-0000-0800-0000AA00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171" name="Accolade fermante 170">
          <a:extLst>
            <a:ext uri="{FF2B5EF4-FFF2-40B4-BE49-F238E27FC236}">
              <a16:creationId xmlns:a16="http://schemas.microsoft.com/office/drawing/2014/main" id="{00000000-0008-0000-0800-0000AB00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172" name="Accolade fermante 171">
          <a:extLst>
            <a:ext uri="{FF2B5EF4-FFF2-40B4-BE49-F238E27FC236}">
              <a16:creationId xmlns:a16="http://schemas.microsoft.com/office/drawing/2014/main" id="{00000000-0008-0000-0800-0000AC00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173" name="Accolade fermante 172">
          <a:extLst>
            <a:ext uri="{FF2B5EF4-FFF2-40B4-BE49-F238E27FC236}">
              <a16:creationId xmlns:a16="http://schemas.microsoft.com/office/drawing/2014/main" id="{00000000-0008-0000-0800-0000AD00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174" name="Accolade fermante 173">
          <a:extLst>
            <a:ext uri="{FF2B5EF4-FFF2-40B4-BE49-F238E27FC236}">
              <a16:creationId xmlns:a16="http://schemas.microsoft.com/office/drawing/2014/main" id="{00000000-0008-0000-0800-0000AE00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175" name="Accolade fermante 174">
          <a:extLst>
            <a:ext uri="{FF2B5EF4-FFF2-40B4-BE49-F238E27FC236}">
              <a16:creationId xmlns:a16="http://schemas.microsoft.com/office/drawing/2014/main" id="{00000000-0008-0000-0800-0000AF00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176" name="Accolade fermante 175">
          <a:extLst>
            <a:ext uri="{FF2B5EF4-FFF2-40B4-BE49-F238E27FC236}">
              <a16:creationId xmlns:a16="http://schemas.microsoft.com/office/drawing/2014/main" id="{00000000-0008-0000-0800-0000B000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177" name="Accolade fermante 176">
          <a:extLst>
            <a:ext uri="{FF2B5EF4-FFF2-40B4-BE49-F238E27FC236}">
              <a16:creationId xmlns:a16="http://schemas.microsoft.com/office/drawing/2014/main" id="{00000000-0008-0000-0800-0000B100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178" name="Accolade fermante 177">
          <a:extLst>
            <a:ext uri="{FF2B5EF4-FFF2-40B4-BE49-F238E27FC236}">
              <a16:creationId xmlns:a16="http://schemas.microsoft.com/office/drawing/2014/main" id="{00000000-0008-0000-0800-0000B200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179" name="Accolade fermante 178">
          <a:extLst>
            <a:ext uri="{FF2B5EF4-FFF2-40B4-BE49-F238E27FC236}">
              <a16:creationId xmlns:a16="http://schemas.microsoft.com/office/drawing/2014/main" id="{00000000-0008-0000-0800-0000B300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180" name="Accolade fermante 179">
          <a:extLst>
            <a:ext uri="{FF2B5EF4-FFF2-40B4-BE49-F238E27FC236}">
              <a16:creationId xmlns:a16="http://schemas.microsoft.com/office/drawing/2014/main" id="{00000000-0008-0000-0800-0000B400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181" name="Accolade fermante 180">
          <a:extLst>
            <a:ext uri="{FF2B5EF4-FFF2-40B4-BE49-F238E27FC236}">
              <a16:creationId xmlns:a16="http://schemas.microsoft.com/office/drawing/2014/main" id="{00000000-0008-0000-0800-0000B500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182" name="Accolade fermante 181">
          <a:extLst>
            <a:ext uri="{FF2B5EF4-FFF2-40B4-BE49-F238E27FC236}">
              <a16:creationId xmlns:a16="http://schemas.microsoft.com/office/drawing/2014/main" id="{00000000-0008-0000-0800-0000B600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183" name="Accolade fermante 182">
          <a:extLst>
            <a:ext uri="{FF2B5EF4-FFF2-40B4-BE49-F238E27FC236}">
              <a16:creationId xmlns:a16="http://schemas.microsoft.com/office/drawing/2014/main" id="{00000000-0008-0000-0800-0000B700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184" name="Accolade fermante 183">
          <a:extLst>
            <a:ext uri="{FF2B5EF4-FFF2-40B4-BE49-F238E27FC236}">
              <a16:creationId xmlns:a16="http://schemas.microsoft.com/office/drawing/2014/main" id="{00000000-0008-0000-0800-0000B800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185" name="Accolade fermante 184">
          <a:extLst>
            <a:ext uri="{FF2B5EF4-FFF2-40B4-BE49-F238E27FC236}">
              <a16:creationId xmlns:a16="http://schemas.microsoft.com/office/drawing/2014/main" id="{00000000-0008-0000-0800-0000B900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186" name="Accolade fermante 185">
          <a:extLst>
            <a:ext uri="{FF2B5EF4-FFF2-40B4-BE49-F238E27FC236}">
              <a16:creationId xmlns:a16="http://schemas.microsoft.com/office/drawing/2014/main" id="{00000000-0008-0000-0800-0000BA00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187" name="Accolade fermante 186">
          <a:extLst>
            <a:ext uri="{FF2B5EF4-FFF2-40B4-BE49-F238E27FC236}">
              <a16:creationId xmlns:a16="http://schemas.microsoft.com/office/drawing/2014/main" id="{00000000-0008-0000-0800-0000BB00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188" name="Accolade fermante 187">
          <a:extLst>
            <a:ext uri="{FF2B5EF4-FFF2-40B4-BE49-F238E27FC236}">
              <a16:creationId xmlns:a16="http://schemas.microsoft.com/office/drawing/2014/main" id="{00000000-0008-0000-0800-0000BC00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189" name="Accolade fermante 188">
          <a:extLst>
            <a:ext uri="{FF2B5EF4-FFF2-40B4-BE49-F238E27FC236}">
              <a16:creationId xmlns:a16="http://schemas.microsoft.com/office/drawing/2014/main" id="{00000000-0008-0000-0800-0000BD00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190" name="Accolade fermante 189">
          <a:extLst>
            <a:ext uri="{FF2B5EF4-FFF2-40B4-BE49-F238E27FC236}">
              <a16:creationId xmlns:a16="http://schemas.microsoft.com/office/drawing/2014/main" id="{00000000-0008-0000-0800-0000BE00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191" name="Accolade fermante 190">
          <a:extLst>
            <a:ext uri="{FF2B5EF4-FFF2-40B4-BE49-F238E27FC236}">
              <a16:creationId xmlns:a16="http://schemas.microsoft.com/office/drawing/2014/main" id="{00000000-0008-0000-0800-0000BF00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192" name="Accolade fermante 191">
          <a:extLst>
            <a:ext uri="{FF2B5EF4-FFF2-40B4-BE49-F238E27FC236}">
              <a16:creationId xmlns:a16="http://schemas.microsoft.com/office/drawing/2014/main" id="{00000000-0008-0000-0800-0000C000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193" name="Accolade fermante 192">
          <a:extLst>
            <a:ext uri="{FF2B5EF4-FFF2-40B4-BE49-F238E27FC236}">
              <a16:creationId xmlns:a16="http://schemas.microsoft.com/office/drawing/2014/main" id="{00000000-0008-0000-0800-0000C100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194" name="Accolade fermante 193">
          <a:extLst>
            <a:ext uri="{FF2B5EF4-FFF2-40B4-BE49-F238E27FC236}">
              <a16:creationId xmlns:a16="http://schemas.microsoft.com/office/drawing/2014/main" id="{00000000-0008-0000-0800-0000C200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195" name="Accolade fermante 194">
          <a:extLst>
            <a:ext uri="{FF2B5EF4-FFF2-40B4-BE49-F238E27FC236}">
              <a16:creationId xmlns:a16="http://schemas.microsoft.com/office/drawing/2014/main" id="{00000000-0008-0000-0800-0000C300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196" name="Accolade fermante 195">
          <a:extLst>
            <a:ext uri="{FF2B5EF4-FFF2-40B4-BE49-F238E27FC236}">
              <a16:creationId xmlns:a16="http://schemas.microsoft.com/office/drawing/2014/main" id="{00000000-0008-0000-0800-0000C400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197" name="Accolade fermante 196">
          <a:extLst>
            <a:ext uri="{FF2B5EF4-FFF2-40B4-BE49-F238E27FC236}">
              <a16:creationId xmlns:a16="http://schemas.microsoft.com/office/drawing/2014/main" id="{00000000-0008-0000-0800-0000C500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198" name="Accolade fermante 197">
          <a:extLst>
            <a:ext uri="{FF2B5EF4-FFF2-40B4-BE49-F238E27FC236}">
              <a16:creationId xmlns:a16="http://schemas.microsoft.com/office/drawing/2014/main" id="{00000000-0008-0000-0800-0000C600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199" name="Accolade fermante 198">
          <a:extLst>
            <a:ext uri="{FF2B5EF4-FFF2-40B4-BE49-F238E27FC236}">
              <a16:creationId xmlns:a16="http://schemas.microsoft.com/office/drawing/2014/main" id="{00000000-0008-0000-0800-0000C700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200" name="Accolade fermante 199">
          <a:extLst>
            <a:ext uri="{FF2B5EF4-FFF2-40B4-BE49-F238E27FC236}">
              <a16:creationId xmlns:a16="http://schemas.microsoft.com/office/drawing/2014/main" id="{00000000-0008-0000-0800-0000C800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201" name="Accolade fermante 200">
          <a:extLst>
            <a:ext uri="{FF2B5EF4-FFF2-40B4-BE49-F238E27FC236}">
              <a16:creationId xmlns:a16="http://schemas.microsoft.com/office/drawing/2014/main" id="{00000000-0008-0000-0800-0000C900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202" name="Accolade fermante 201">
          <a:extLst>
            <a:ext uri="{FF2B5EF4-FFF2-40B4-BE49-F238E27FC236}">
              <a16:creationId xmlns:a16="http://schemas.microsoft.com/office/drawing/2014/main" id="{00000000-0008-0000-0800-0000CA00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203" name="Accolade fermante 202">
          <a:extLst>
            <a:ext uri="{FF2B5EF4-FFF2-40B4-BE49-F238E27FC236}">
              <a16:creationId xmlns:a16="http://schemas.microsoft.com/office/drawing/2014/main" id="{00000000-0008-0000-0800-0000CB00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204" name="Accolade fermante 203">
          <a:extLst>
            <a:ext uri="{FF2B5EF4-FFF2-40B4-BE49-F238E27FC236}">
              <a16:creationId xmlns:a16="http://schemas.microsoft.com/office/drawing/2014/main" id="{00000000-0008-0000-0800-0000CC00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205" name="Accolade fermante 204">
          <a:extLst>
            <a:ext uri="{FF2B5EF4-FFF2-40B4-BE49-F238E27FC236}">
              <a16:creationId xmlns:a16="http://schemas.microsoft.com/office/drawing/2014/main" id="{00000000-0008-0000-0800-0000CD00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206" name="Accolade fermante 205">
          <a:extLst>
            <a:ext uri="{FF2B5EF4-FFF2-40B4-BE49-F238E27FC236}">
              <a16:creationId xmlns:a16="http://schemas.microsoft.com/office/drawing/2014/main" id="{00000000-0008-0000-0800-0000CE00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207" name="Accolade fermante 206">
          <a:extLst>
            <a:ext uri="{FF2B5EF4-FFF2-40B4-BE49-F238E27FC236}">
              <a16:creationId xmlns:a16="http://schemas.microsoft.com/office/drawing/2014/main" id="{00000000-0008-0000-0800-0000CF00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208" name="Accolade fermante 207">
          <a:extLst>
            <a:ext uri="{FF2B5EF4-FFF2-40B4-BE49-F238E27FC236}">
              <a16:creationId xmlns:a16="http://schemas.microsoft.com/office/drawing/2014/main" id="{00000000-0008-0000-0800-0000D000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209" name="Accolade fermante 208">
          <a:extLst>
            <a:ext uri="{FF2B5EF4-FFF2-40B4-BE49-F238E27FC236}">
              <a16:creationId xmlns:a16="http://schemas.microsoft.com/office/drawing/2014/main" id="{00000000-0008-0000-0800-0000D100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210" name="Accolade fermante 209">
          <a:extLst>
            <a:ext uri="{FF2B5EF4-FFF2-40B4-BE49-F238E27FC236}">
              <a16:creationId xmlns:a16="http://schemas.microsoft.com/office/drawing/2014/main" id="{00000000-0008-0000-0800-0000D200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211" name="Accolade fermante 210">
          <a:extLst>
            <a:ext uri="{FF2B5EF4-FFF2-40B4-BE49-F238E27FC236}">
              <a16:creationId xmlns:a16="http://schemas.microsoft.com/office/drawing/2014/main" id="{00000000-0008-0000-0800-0000D300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212" name="Accolade fermante 211">
          <a:extLst>
            <a:ext uri="{FF2B5EF4-FFF2-40B4-BE49-F238E27FC236}">
              <a16:creationId xmlns:a16="http://schemas.microsoft.com/office/drawing/2014/main" id="{00000000-0008-0000-0800-0000D400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213" name="Accolade fermante 212">
          <a:extLst>
            <a:ext uri="{FF2B5EF4-FFF2-40B4-BE49-F238E27FC236}">
              <a16:creationId xmlns:a16="http://schemas.microsoft.com/office/drawing/2014/main" id="{00000000-0008-0000-0800-0000D500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214" name="Accolade fermante 213">
          <a:extLst>
            <a:ext uri="{FF2B5EF4-FFF2-40B4-BE49-F238E27FC236}">
              <a16:creationId xmlns:a16="http://schemas.microsoft.com/office/drawing/2014/main" id="{00000000-0008-0000-0800-0000D600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215" name="Accolade fermante 214">
          <a:extLst>
            <a:ext uri="{FF2B5EF4-FFF2-40B4-BE49-F238E27FC236}">
              <a16:creationId xmlns:a16="http://schemas.microsoft.com/office/drawing/2014/main" id="{00000000-0008-0000-0800-0000D700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216" name="Accolade fermante 215">
          <a:extLst>
            <a:ext uri="{FF2B5EF4-FFF2-40B4-BE49-F238E27FC236}">
              <a16:creationId xmlns:a16="http://schemas.microsoft.com/office/drawing/2014/main" id="{00000000-0008-0000-0800-0000D800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217" name="Accolade fermante 216">
          <a:extLst>
            <a:ext uri="{FF2B5EF4-FFF2-40B4-BE49-F238E27FC236}">
              <a16:creationId xmlns:a16="http://schemas.microsoft.com/office/drawing/2014/main" id="{00000000-0008-0000-0800-0000D900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218" name="Accolade fermante 217">
          <a:extLst>
            <a:ext uri="{FF2B5EF4-FFF2-40B4-BE49-F238E27FC236}">
              <a16:creationId xmlns:a16="http://schemas.microsoft.com/office/drawing/2014/main" id="{00000000-0008-0000-0800-0000DA00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219" name="Accolade fermante 218">
          <a:extLst>
            <a:ext uri="{FF2B5EF4-FFF2-40B4-BE49-F238E27FC236}">
              <a16:creationId xmlns:a16="http://schemas.microsoft.com/office/drawing/2014/main" id="{00000000-0008-0000-0800-0000DB00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220" name="Accolade fermante 219">
          <a:extLst>
            <a:ext uri="{FF2B5EF4-FFF2-40B4-BE49-F238E27FC236}">
              <a16:creationId xmlns:a16="http://schemas.microsoft.com/office/drawing/2014/main" id="{00000000-0008-0000-0800-0000DC00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221" name="Accolade fermante 220">
          <a:extLst>
            <a:ext uri="{FF2B5EF4-FFF2-40B4-BE49-F238E27FC236}">
              <a16:creationId xmlns:a16="http://schemas.microsoft.com/office/drawing/2014/main" id="{00000000-0008-0000-0800-0000DD00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222" name="Accolade fermante 221">
          <a:extLst>
            <a:ext uri="{FF2B5EF4-FFF2-40B4-BE49-F238E27FC236}">
              <a16:creationId xmlns:a16="http://schemas.microsoft.com/office/drawing/2014/main" id="{00000000-0008-0000-0800-0000DE00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223" name="Accolade fermante 222">
          <a:extLst>
            <a:ext uri="{FF2B5EF4-FFF2-40B4-BE49-F238E27FC236}">
              <a16:creationId xmlns:a16="http://schemas.microsoft.com/office/drawing/2014/main" id="{00000000-0008-0000-0800-0000DF00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224" name="Accolade fermante 223">
          <a:extLst>
            <a:ext uri="{FF2B5EF4-FFF2-40B4-BE49-F238E27FC236}">
              <a16:creationId xmlns:a16="http://schemas.microsoft.com/office/drawing/2014/main" id="{00000000-0008-0000-0800-0000E000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225" name="Accolade fermante 224">
          <a:extLst>
            <a:ext uri="{FF2B5EF4-FFF2-40B4-BE49-F238E27FC236}">
              <a16:creationId xmlns:a16="http://schemas.microsoft.com/office/drawing/2014/main" id="{00000000-0008-0000-0800-0000E100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226" name="Accolade fermante 225">
          <a:extLst>
            <a:ext uri="{FF2B5EF4-FFF2-40B4-BE49-F238E27FC236}">
              <a16:creationId xmlns:a16="http://schemas.microsoft.com/office/drawing/2014/main" id="{00000000-0008-0000-0800-0000E200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227" name="Accolade fermante 226">
          <a:extLst>
            <a:ext uri="{FF2B5EF4-FFF2-40B4-BE49-F238E27FC236}">
              <a16:creationId xmlns:a16="http://schemas.microsoft.com/office/drawing/2014/main" id="{00000000-0008-0000-0800-0000E300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228" name="Accolade fermante 227">
          <a:extLst>
            <a:ext uri="{FF2B5EF4-FFF2-40B4-BE49-F238E27FC236}">
              <a16:creationId xmlns:a16="http://schemas.microsoft.com/office/drawing/2014/main" id="{00000000-0008-0000-0800-0000E400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229" name="Accolade fermante 228">
          <a:extLst>
            <a:ext uri="{FF2B5EF4-FFF2-40B4-BE49-F238E27FC236}">
              <a16:creationId xmlns:a16="http://schemas.microsoft.com/office/drawing/2014/main" id="{00000000-0008-0000-0800-0000E500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230" name="Accolade fermante 229">
          <a:extLst>
            <a:ext uri="{FF2B5EF4-FFF2-40B4-BE49-F238E27FC236}">
              <a16:creationId xmlns:a16="http://schemas.microsoft.com/office/drawing/2014/main" id="{00000000-0008-0000-0800-0000E600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231" name="Accolade fermante 230">
          <a:extLst>
            <a:ext uri="{FF2B5EF4-FFF2-40B4-BE49-F238E27FC236}">
              <a16:creationId xmlns:a16="http://schemas.microsoft.com/office/drawing/2014/main" id="{00000000-0008-0000-0800-0000E700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232" name="Accolade fermante 231">
          <a:extLst>
            <a:ext uri="{FF2B5EF4-FFF2-40B4-BE49-F238E27FC236}">
              <a16:creationId xmlns:a16="http://schemas.microsoft.com/office/drawing/2014/main" id="{00000000-0008-0000-0800-0000E800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233" name="Accolade fermante 232">
          <a:extLst>
            <a:ext uri="{FF2B5EF4-FFF2-40B4-BE49-F238E27FC236}">
              <a16:creationId xmlns:a16="http://schemas.microsoft.com/office/drawing/2014/main" id="{00000000-0008-0000-0800-0000E900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234" name="Accolade fermante 233">
          <a:extLst>
            <a:ext uri="{FF2B5EF4-FFF2-40B4-BE49-F238E27FC236}">
              <a16:creationId xmlns:a16="http://schemas.microsoft.com/office/drawing/2014/main" id="{00000000-0008-0000-0800-0000EA00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235" name="Accolade fermante 234">
          <a:extLst>
            <a:ext uri="{FF2B5EF4-FFF2-40B4-BE49-F238E27FC236}">
              <a16:creationId xmlns:a16="http://schemas.microsoft.com/office/drawing/2014/main" id="{00000000-0008-0000-0800-0000EB00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236" name="Accolade fermante 235">
          <a:extLst>
            <a:ext uri="{FF2B5EF4-FFF2-40B4-BE49-F238E27FC236}">
              <a16:creationId xmlns:a16="http://schemas.microsoft.com/office/drawing/2014/main" id="{00000000-0008-0000-0800-0000EC00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237" name="Accolade fermante 236">
          <a:extLst>
            <a:ext uri="{FF2B5EF4-FFF2-40B4-BE49-F238E27FC236}">
              <a16:creationId xmlns:a16="http://schemas.microsoft.com/office/drawing/2014/main" id="{00000000-0008-0000-0800-0000ED00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238" name="Accolade fermante 237">
          <a:extLst>
            <a:ext uri="{FF2B5EF4-FFF2-40B4-BE49-F238E27FC236}">
              <a16:creationId xmlns:a16="http://schemas.microsoft.com/office/drawing/2014/main" id="{00000000-0008-0000-0800-0000EE00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239" name="Accolade fermante 238">
          <a:extLst>
            <a:ext uri="{FF2B5EF4-FFF2-40B4-BE49-F238E27FC236}">
              <a16:creationId xmlns:a16="http://schemas.microsoft.com/office/drawing/2014/main" id="{00000000-0008-0000-0800-0000EF00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240" name="Accolade fermante 239">
          <a:extLst>
            <a:ext uri="{FF2B5EF4-FFF2-40B4-BE49-F238E27FC236}">
              <a16:creationId xmlns:a16="http://schemas.microsoft.com/office/drawing/2014/main" id="{00000000-0008-0000-0800-0000F000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241" name="Accolade fermante 240">
          <a:extLst>
            <a:ext uri="{FF2B5EF4-FFF2-40B4-BE49-F238E27FC236}">
              <a16:creationId xmlns:a16="http://schemas.microsoft.com/office/drawing/2014/main" id="{00000000-0008-0000-0800-0000F100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242" name="Accolade fermante 241">
          <a:extLst>
            <a:ext uri="{FF2B5EF4-FFF2-40B4-BE49-F238E27FC236}">
              <a16:creationId xmlns:a16="http://schemas.microsoft.com/office/drawing/2014/main" id="{00000000-0008-0000-0800-0000F200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243" name="Accolade fermante 242">
          <a:extLst>
            <a:ext uri="{FF2B5EF4-FFF2-40B4-BE49-F238E27FC236}">
              <a16:creationId xmlns:a16="http://schemas.microsoft.com/office/drawing/2014/main" id="{00000000-0008-0000-0800-0000F300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244" name="Accolade fermante 243">
          <a:extLst>
            <a:ext uri="{FF2B5EF4-FFF2-40B4-BE49-F238E27FC236}">
              <a16:creationId xmlns:a16="http://schemas.microsoft.com/office/drawing/2014/main" id="{00000000-0008-0000-0800-0000F400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245" name="Accolade fermante 244">
          <a:extLst>
            <a:ext uri="{FF2B5EF4-FFF2-40B4-BE49-F238E27FC236}">
              <a16:creationId xmlns:a16="http://schemas.microsoft.com/office/drawing/2014/main" id="{00000000-0008-0000-0800-0000F500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246" name="Accolade fermante 245">
          <a:extLst>
            <a:ext uri="{FF2B5EF4-FFF2-40B4-BE49-F238E27FC236}">
              <a16:creationId xmlns:a16="http://schemas.microsoft.com/office/drawing/2014/main" id="{00000000-0008-0000-0800-0000F600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247" name="Accolade fermante 246">
          <a:extLst>
            <a:ext uri="{FF2B5EF4-FFF2-40B4-BE49-F238E27FC236}">
              <a16:creationId xmlns:a16="http://schemas.microsoft.com/office/drawing/2014/main" id="{00000000-0008-0000-0800-0000F700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248" name="Accolade fermante 247">
          <a:extLst>
            <a:ext uri="{FF2B5EF4-FFF2-40B4-BE49-F238E27FC236}">
              <a16:creationId xmlns:a16="http://schemas.microsoft.com/office/drawing/2014/main" id="{00000000-0008-0000-0800-0000F800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249" name="Accolade fermante 248">
          <a:extLst>
            <a:ext uri="{FF2B5EF4-FFF2-40B4-BE49-F238E27FC236}">
              <a16:creationId xmlns:a16="http://schemas.microsoft.com/office/drawing/2014/main" id="{00000000-0008-0000-0800-0000F900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250" name="Accolade fermante 249">
          <a:extLst>
            <a:ext uri="{FF2B5EF4-FFF2-40B4-BE49-F238E27FC236}">
              <a16:creationId xmlns:a16="http://schemas.microsoft.com/office/drawing/2014/main" id="{00000000-0008-0000-0800-0000FA00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251" name="Accolade fermante 250">
          <a:extLst>
            <a:ext uri="{FF2B5EF4-FFF2-40B4-BE49-F238E27FC236}">
              <a16:creationId xmlns:a16="http://schemas.microsoft.com/office/drawing/2014/main" id="{00000000-0008-0000-0800-0000FB00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252" name="Accolade fermante 251">
          <a:extLst>
            <a:ext uri="{FF2B5EF4-FFF2-40B4-BE49-F238E27FC236}">
              <a16:creationId xmlns:a16="http://schemas.microsoft.com/office/drawing/2014/main" id="{00000000-0008-0000-0800-0000FC00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253" name="Accolade fermante 252">
          <a:extLst>
            <a:ext uri="{FF2B5EF4-FFF2-40B4-BE49-F238E27FC236}">
              <a16:creationId xmlns:a16="http://schemas.microsoft.com/office/drawing/2014/main" id="{00000000-0008-0000-0800-0000FD00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254" name="Accolade fermante 253">
          <a:extLst>
            <a:ext uri="{FF2B5EF4-FFF2-40B4-BE49-F238E27FC236}">
              <a16:creationId xmlns:a16="http://schemas.microsoft.com/office/drawing/2014/main" id="{00000000-0008-0000-0800-0000FE00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255" name="Accolade fermante 254">
          <a:extLst>
            <a:ext uri="{FF2B5EF4-FFF2-40B4-BE49-F238E27FC236}">
              <a16:creationId xmlns:a16="http://schemas.microsoft.com/office/drawing/2014/main" id="{00000000-0008-0000-0800-0000FF00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256" name="Accolade fermante 255">
          <a:extLst>
            <a:ext uri="{FF2B5EF4-FFF2-40B4-BE49-F238E27FC236}">
              <a16:creationId xmlns:a16="http://schemas.microsoft.com/office/drawing/2014/main" id="{00000000-0008-0000-0800-00000001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257" name="Accolade fermante 256">
          <a:extLst>
            <a:ext uri="{FF2B5EF4-FFF2-40B4-BE49-F238E27FC236}">
              <a16:creationId xmlns:a16="http://schemas.microsoft.com/office/drawing/2014/main" id="{00000000-0008-0000-0800-00000101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258" name="Accolade fermante 257">
          <a:extLst>
            <a:ext uri="{FF2B5EF4-FFF2-40B4-BE49-F238E27FC236}">
              <a16:creationId xmlns:a16="http://schemas.microsoft.com/office/drawing/2014/main" id="{00000000-0008-0000-0800-00000201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259" name="Accolade fermante 258">
          <a:extLst>
            <a:ext uri="{FF2B5EF4-FFF2-40B4-BE49-F238E27FC236}">
              <a16:creationId xmlns:a16="http://schemas.microsoft.com/office/drawing/2014/main" id="{00000000-0008-0000-0800-00000301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260" name="Accolade fermante 259">
          <a:extLst>
            <a:ext uri="{FF2B5EF4-FFF2-40B4-BE49-F238E27FC236}">
              <a16:creationId xmlns:a16="http://schemas.microsoft.com/office/drawing/2014/main" id="{00000000-0008-0000-0800-00000401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261" name="Accolade fermante 260">
          <a:extLst>
            <a:ext uri="{FF2B5EF4-FFF2-40B4-BE49-F238E27FC236}">
              <a16:creationId xmlns:a16="http://schemas.microsoft.com/office/drawing/2014/main" id="{00000000-0008-0000-0800-00000501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262" name="Accolade fermante 261">
          <a:extLst>
            <a:ext uri="{FF2B5EF4-FFF2-40B4-BE49-F238E27FC236}">
              <a16:creationId xmlns:a16="http://schemas.microsoft.com/office/drawing/2014/main" id="{00000000-0008-0000-0800-00000601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263" name="Accolade fermante 262">
          <a:extLst>
            <a:ext uri="{FF2B5EF4-FFF2-40B4-BE49-F238E27FC236}">
              <a16:creationId xmlns:a16="http://schemas.microsoft.com/office/drawing/2014/main" id="{00000000-0008-0000-0800-00000701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264" name="Accolade fermante 263">
          <a:extLst>
            <a:ext uri="{FF2B5EF4-FFF2-40B4-BE49-F238E27FC236}">
              <a16:creationId xmlns:a16="http://schemas.microsoft.com/office/drawing/2014/main" id="{00000000-0008-0000-0800-00000801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265" name="Accolade fermante 264">
          <a:extLst>
            <a:ext uri="{FF2B5EF4-FFF2-40B4-BE49-F238E27FC236}">
              <a16:creationId xmlns:a16="http://schemas.microsoft.com/office/drawing/2014/main" id="{00000000-0008-0000-0800-00000901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266" name="Accolade fermante 265">
          <a:extLst>
            <a:ext uri="{FF2B5EF4-FFF2-40B4-BE49-F238E27FC236}">
              <a16:creationId xmlns:a16="http://schemas.microsoft.com/office/drawing/2014/main" id="{00000000-0008-0000-0800-00000A01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267" name="Accolade fermante 266">
          <a:extLst>
            <a:ext uri="{FF2B5EF4-FFF2-40B4-BE49-F238E27FC236}">
              <a16:creationId xmlns:a16="http://schemas.microsoft.com/office/drawing/2014/main" id="{00000000-0008-0000-0800-00000B01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268" name="Accolade fermante 267">
          <a:extLst>
            <a:ext uri="{FF2B5EF4-FFF2-40B4-BE49-F238E27FC236}">
              <a16:creationId xmlns:a16="http://schemas.microsoft.com/office/drawing/2014/main" id="{00000000-0008-0000-0800-00000C01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269" name="Accolade fermante 268">
          <a:extLst>
            <a:ext uri="{FF2B5EF4-FFF2-40B4-BE49-F238E27FC236}">
              <a16:creationId xmlns:a16="http://schemas.microsoft.com/office/drawing/2014/main" id="{00000000-0008-0000-0800-00000D01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270" name="Accolade fermante 269">
          <a:extLst>
            <a:ext uri="{FF2B5EF4-FFF2-40B4-BE49-F238E27FC236}">
              <a16:creationId xmlns:a16="http://schemas.microsoft.com/office/drawing/2014/main" id="{00000000-0008-0000-0800-00000E01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271" name="Accolade fermante 270">
          <a:extLst>
            <a:ext uri="{FF2B5EF4-FFF2-40B4-BE49-F238E27FC236}">
              <a16:creationId xmlns:a16="http://schemas.microsoft.com/office/drawing/2014/main" id="{00000000-0008-0000-0800-00000F01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272" name="Accolade fermante 271">
          <a:extLst>
            <a:ext uri="{FF2B5EF4-FFF2-40B4-BE49-F238E27FC236}">
              <a16:creationId xmlns:a16="http://schemas.microsoft.com/office/drawing/2014/main" id="{00000000-0008-0000-0800-00001001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273" name="Accolade fermante 272">
          <a:extLst>
            <a:ext uri="{FF2B5EF4-FFF2-40B4-BE49-F238E27FC236}">
              <a16:creationId xmlns:a16="http://schemas.microsoft.com/office/drawing/2014/main" id="{00000000-0008-0000-0800-00001101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274" name="Accolade fermante 273">
          <a:extLst>
            <a:ext uri="{FF2B5EF4-FFF2-40B4-BE49-F238E27FC236}">
              <a16:creationId xmlns:a16="http://schemas.microsoft.com/office/drawing/2014/main" id="{00000000-0008-0000-0800-00001201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275" name="Accolade fermante 274">
          <a:extLst>
            <a:ext uri="{FF2B5EF4-FFF2-40B4-BE49-F238E27FC236}">
              <a16:creationId xmlns:a16="http://schemas.microsoft.com/office/drawing/2014/main" id="{00000000-0008-0000-0800-00001301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276" name="Accolade fermante 275">
          <a:extLst>
            <a:ext uri="{FF2B5EF4-FFF2-40B4-BE49-F238E27FC236}">
              <a16:creationId xmlns:a16="http://schemas.microsoft.com/office/drawing/2014/main" id="{00000000-0008-0000-0800-00001401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277" name="Accolade fermante 276">
          <a:extLst>
            <a:ext uri="{FF2B5EF4-FFF2-40B4-BE49-F238E27FC236}">
              <a16:creationId xmlns:a16="http://schemas.microsoft.com/office/drawing/2014/main" id="{00000000-0008-0000-0800-00001501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278" name="Accolade fermante 277">
          <a:extLst>
            <a:ext uri="{FF2B5EF4-FFF2-40B4-BE49-F238E27FC236}">
              <a16:creationId xmlns:a16="http://schemas.microsoft.com/office/drawing/2014/main" id="{00000000-0008-0000-0800-00001601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279" name="Accolade fermante 278">
          <a:extLst>
            <a:ext uri="{FF2B5EF4-FFF2-40B4-BE49-F238E27FC236}">
              <a16:creationId xmlns:a16="http://schemas.microsoft.com/office/drawing/2014/main" id="{00000000-0008-0000-0800-00001701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280" name="Accolade fermante 279">
          <a:extLst>
            <a:ext uri="{FF2B5EF4-FFF2-40B4-BE49-F238E27FC236}">
              <a16:creationId xmlns:a16="http://schemas.microsoft.com/office/drawing/2014/main" id="{00000000-0008-0000-0800-00001801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281" name="Accolade fermante 280">
          <a:extLst>
            <a:ext uri="{FF2B5EF4-FFF2-40B4-BE49-F238E27FC236}">
              <a16:creationId xmlns:a16="http://schemas.microsoft.com/office/drawing/2014/main" id="{00000000-0008-0000-0800-00001901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282" name="Accolade fermante 281">
          <a:extLst>
            <a:ext uri="{FF2B5EF4-FFF2-40B4-BE49-F238E27FC236}">
              <a16:creationId xmlns:a16="http://schemas.microsoft.com/office/drawing/2014/main" id="{00000000-0008-0000-0800-00001A01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283" name="Accolade fermante 282">
          <a:extLst>
            <a:ext uri="{FF2B5EF4-FFF2-40B4-BE49-F238E27FC236}">
              <a16:creationId xmlns:a16="http://schemas.microsoft.com/office/drawing/2014/main" id="{00000000-0008-0000-0800-00001B01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284" name="Accolade fermante 283">
          <a:extLst>
            <a:ext uri="{FF2B5EF4-FFF2-40B4-BE49-F238E27FC236}">
              <a16:creationId xmlns:a16="http://schemas.microsoft.com/office/drawing/2014/main" id="{00000000-0008-0000-0800-00001C01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285" name="Accolade fermante 284">
          <a:extLst>
            <a:ext uri="{FF2B5EF4-FFF2-40B4-BE49-F238E27FC236}">
              <a16:creationId xmlns:a16="http://schemas.microsoft.com/office/drawing/2014/main" id="{00000000-0008-0000-0800-00001D01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286" name="Accolade fermante 285">
          <a:extLst>
            <a:ext uri="{FF2B5EF4-FFF2-40B4-BE49-F238E27FC236}">
              <a16:creationId xmlns:a16="http://schemas.microsoft.com/office/drawing/2014/main" id="{00000000-0008-0000-0800-00001E01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287" name="Accolade fermante 286">
          <a:extLst>
            <a:ext uri="{FF2B5EF4-FFF2-40B4-BE49-F238E27FC236}">
              <a16:creationId xmlns:a16="http://schemas.microsoft.com/office/drawing/2014/main" id="{00000000-0008-0000-0800-00001F01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288" name="Accolade fermante 287">
          <a:extLst>
            <a:ext uri="{FF2B5EF4-FFF2-40B4-BE49-F238E27FC236}">
              <a16:creationId xmlns:a16="http://schemas.microsoft.com/office/drawing/2014/main" id="{00000000-0008-0000-0800-00002001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289" name="Accolade fermante 288">
          <a:extLst>
            <a:ext uri="{FF2B5EF4-FFF2-40B4-BE49-F238E27FC236}">
              <a16:creationId xmlns:a16="http://schemas.microsoft.com/office/drawing/2014/main" id="{00000000-0008-0000-0800-00002101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290" name="Accolade fermante 289">
          <a:extLst>
            <a:ext uri="{FF2B5EF4-FFF2-40B4-BE49-F238E27FC236}">
              <a16:creationId xmlns:a16="http://schemas.microsoft.com/office/drawing/2014/main" id="{00000000-0008-0000-0800-00002201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291" name="Accolade fermante 290">
          <a:extLst>
            <a:ext uri="{FF2B5EF4-FFF2-40B4-BE49-F238E27FC236}">
              <a16:creationId xmlns:a16="http://schemas.microsoft.com/office/drawing/2014/main" id="{00000000-0008-0000-0800-00002301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292" name="Accolade fermante 291">
          <a:extLst>
            <a:ext uri="{FF2B5EF4-FFF2-40B4-BE49-F238E27FC236}">
              <a16:creationId xmlns:a16="http://schemas.microsoft.com/office/drawing/2014/main" id="{00000000-0008-0000-0800-00002401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293" name="Accolade fermante 292">
          <a:extLst>
            <a:ext uri="{FF2B5EF4-FFF2-40B4-BE49-F238E27FC236}">
              <a16:creationId xmlns:a16="http://schemas.microsoft.com/office/drawing/2014/main" id="{00000000-0008-0000-0800-00002501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294" name="Accolade fermante 293">
          <a:extLst>
            <a:ext uri="{FF2B5EF4-FFF2-40B4-BE49-F238E27FC236}">
              <a16:creationId xmlns:a16="http://schemas.microsoft.com/office/drawing/2014/main" id="{00000000-0008-0000-0800-00002601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295" name="Accolade fermante 294">
          <a:extLst>
            <a:ext uri="{FF2B5EF4-FFF2-40B4-BE49-F238E27FC236}">
              <a16:creationId xmlns:a16="http://schemas.microsoft.com/office/drawing/2014/main" id="{00000000-0008-0000-0800-00002701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296" name="Accolade fermante 295">
          <a:extLst>
            <a:ext uri="{FF2B5EF4-FFF2-40B4-BE49-F238E27FC236}">
              <a16:creationId xmlns:a16="http://schemas.microsoft.com/office/drawing/2014/main" id="{00000000-0008-0000-0800-00002801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297" name="Accolade fermante 296">
          <a:extLst>
            <a:ext uri="{FF2B5EF4-FFF2-40B4-BE49-F238E27FC236}">
              <a16:creationId xmlns:a16="http://schemas.microsoft.com/office/drawing/2014/main" id="{00000000-0008-0000-0800-00002901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298" name="Accolade fermante 297">
          <a:extLst>
            <a:ext uri="{FF2B5EF4-FFF2-40B4-BE49-F238E27FC236}">
              <a16:creationId xmlns:a16="http://schemas.microsoft.com/office/drawing/2014/main" id="{00000000-0008-0000-0800-00002A01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299" name="Accolade fermante 298">
          <a:extLst>
            <a:ext uri="{FF2B5EF4-FFF2-40B4-BE49-F238E27FC236}">
              <a16:creationId xmlns:a16="http://schemas.microsoft.com/office/drawing/2014/main" id="{00000000-0008-0000-0800-00002B01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300" name="Accolade fermante 299">
          <a:extLst>
            <a:ext uri="{FF2B5EF4-FFF2-40B4-BE49-F238E27FC236}">
              <a16:creationId xmlns:a16="http://schemas.microsoft.com/office/drawing/2014/main" id="{00000000-0008-0000-0800-00002C01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301" name="Accolade fermante 300">
          <a:extLst>
            <a:ext uri="{FF2B5EF4-FFF2-40B4-BE49-F238E27FC236}">
              <a16:creationId xmlns:a16="http://schemas.microsoft.com/office/drawing/2014/main" id="{00000000-0008-0000-0800-00002D01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302" name="Accolade fermante 301">
          <a:extLst>
            <a:ext uri="{FF2B5EF4-FFF2-40B4-BE49-F238E27FC236}">
              <a16:creationId xmlns:a16="http://schemas.microsoft.com/office/drawing/2014/main" id="{00000000-0008-0000-0800-00002E01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303" name="Accolade fermante 302">
          <a:extLst>
            <a:ext uri="{FF2B5EF4-FFF2-40B4-BE49-F238E27FC236}">
              <a16:creationId xmlns:a16="http://schemas.microsoft.com/office/drawing/2014/main" id="{00000000-0008-0000-0800-00002F01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304" name="Accolade fermante 303">
          <a:extLst>
            <a:ext uri="{FF2B5EF4-FFF2-40B4-BE49-F238E27FC236}">
              <a16:creationId xmlns:a16="http://schemas.microsoft.com/office/drawing/2014/main" id="{00000000-0008-0000-0800-00003001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305" name="Accolade fermante 304">
          <a:extLst>
            <a:ext uri="{FF2B5EF4-FFF2-40B4-BE49-F238E27FC236}">
              <a16:creationId xmlns:a16="http://schemas.microsoft.com/office/drawing/2014/main" id="{00000000-0008-0000-0800-00003101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306" name="Accolade fermante 305">
          <a:extLst>
            <a:ext uri="{FF2B5EF4-FFF2-40B4-BE49-F238E27FC236}">
              <a16:creationId xmlns:a16="http://schemas.microsoft.com/office/drawing/2014/main" id="{00000000-0008-0000-0800-00003201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307" name="Accolade fermante 306">
          <a:extLst>
            <a:ext uri="{FF2B5EF4-FFF2-40B4-BE49-F238E27FC236}">
              <a16:creationId xmlns:a16="http://schemas.microsoft.com/office/drawing/2014/main" id="{00000000-0008-0000-0800-00003301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308" name="Accolade fermante 307">
          <a:extLst>
            <a:ext uri="{FF2B5EF4-FFF2-40B4-BE49-F238E27FC236}">
              <a16:creationId xmlns:a16="http://schemas.microsoft.com/office/drawing/2014/main" id="{00000000-0008-0000-0800-00003401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309" name="Accolade fermante 308">
          <a:extLst>
            <a:ext uri="{FF2B5EF4-FFF2-40B4-BE49-F238E27FC236}">
              <a16:creationId xmlns:a16="http://schemas.microsoft.com/office/drawing/2014/main" id="{00000000-0008-0000-0800-00003501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310" name="Accolade fermante 309">
          <a:extLst>
            <a:ext uri="{FF2B5EF4-FFF2-40B4-BE49-F238E27FC236}">
              <a16:creationId xmlns:a16="http://schemas.microsoft.com/office/drawing/2014/main" id="{00000000-0008-0000-0800-00003601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311" name="Accolade fermante 310">
          <a:extLst>
            <a:ext uri="{FF2B5EF4-FFF2-40B4-BE49-F238E27FC236}">
              <a16:creationId xmlns:a16="http://schemas.microsoft.com/office/drawing/2014/main" id="{00000000-0008-0000-0800-00003701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312" name="Accolade fermante 311">
          <a:extLst>
            <a:ext uri="{FF2B5EF4-FFF2-40B4-BE49-F238E27FC236}">
              <a16:creationId xmlns:a16="http://schemas.microsoft.com/office/drawing/2014/main" id="{00000000-0008-0000-0800-00003801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313" name="Accolade fermante 312">
          <a:extLst>
            <a:ext uri="{FF2B5EF4-FFF2-40B4-BE49-F238E27FC236}">
              <a16:creationId xmlns:a16="http://schemas.microsoft.com/office/drawing/2014/main" id="{00000000-0008-0000-0800-00003901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314" name="Accolade fermante 313">
          <a:extLst>
            <a:ext uri="{FF2B5EF4-FFF2-40B4-BE49-F238E27FC236}">
              <a16:creationId xmlns:a16="http://schemas.microsoft.com/office/drawing/2014/main" id="{00000000-0008-0000-0800-00003A01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315" name="Accolade fermante 314">
          <a:extLst>
            <a:ext uri="{FF2B5EF4-FFF2-40B4-BE49-F238E27FC236}">
              <a16:creationId xmlns:a16="http://schemas.microsoft.com/office/drawing/2014/main" id="{00000000-0008-0000-0800-00003B01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316" name="Accolade fermante 315">
          <a:extLst>
            <a:ext uri="{FF2B5EF4-FFF2-40B4-BE49-F238E27FC236}">
              <a16:creationId xmlns:a16="http://schemas.microsoft.com/office/drawing/2014/main" id="{00000000-0008-0000-0800-00003C01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317" name="Accolade fermante 316">
          <a:extLst>
            <a:ext uri="{FF2B5EF4-FFF2-40B4-BE49-F238E27FC236}">
              <a16:creationId xmlns:a16="http://schemas.microsoft.com/office/drawing/2014/main" id="{00000000-0008-0000-0800-00003D01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318" name="Accolade fermante 317">
          <a:extLst>
            <a:ext uri="{FF2B5EF4-FFF2-40B4-BE49-F238E27FC236}">
              <a16:creationId xmlns:a16="http://schemas.microsoft.com/office/drawing/2014/main" id="{00000000-0008-0000-0800-00003E01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319" name="Accolade fermante 318">
          <a:extLst>
            <a:ext uri="{FF2B5EF4-FFF2-40B4-BE49-F238E27FC236}">
              <a16:creationId xmlns:a16="http://schemas.microsoft.com/office/drawing/2014/main" id="{00000000-0008-0000-0800-00003F01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320" name="Accolade fermante 319">
          <a:extLst>
            <a:ext uri="{FF2B5EF4-FFF2-40B4-BE49-F238E27FC236}">
              <a16:creationId xmlns:a16="http://schemas.microsoft.com/office/drawing/2014/main" id="{00000000-0008-0000-0800-00004001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321" name="Accolade fermante 320">
          <a:extLst>
            <a:ext uri="{FF2B5EF4-FFF2-40B4-BE49-F238E27FC236}">
              <a16:creationId xmlns:a16="http://schemas.microsoft.com/office/drawing/2014/main" id="{00000000-0008-0000-0800-00004101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322" name="Accolade fermante 321">
          <a:extLst>
            <a:ext uri="{FF2B5EF4-FFF2-40B4-BE49-F238E27FC236}">
              <a16:creationId xmlns:a16="http://schemas.microsoft.com/office/drawing/2014/main" id="{00000000-0008-0000-0800-00004201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323" name="Accolade fermante 322">
          <a:extLst>
            <a:ext uri="{FF2B5EF4-FFF2-40B4-BE49-F238E27FC236}">
              <a16:creationId xmlns:a16="http://schemas.microsoft.com/office/drawing/2014/main" id="{00000000-0008-0000-0800-00004301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324" name="Accolade fermante 323">
          <a:extLst>
            <a:ext uri="{FF2B5EF4-FFF2-40B4-BE49-F238E27FC236}">
              <a16:creationId xmlns:a16="http://schemas.microsoft.com/office/drawing/2014/main" id="{00000000-0008-0000-0800-00004401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325" name="Accolade fermante 324">
          <a:extLst>
            <a:ext uri="{FF2B5EF4-FFF2-40B4-BE49-F238E27FC236}">
              <a16:creationId xmlns:a16="http://schemas.microsoft.com/office/drawing/2014/main" id="{00000000-0008-0000-0800-00004501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326" name="Accolade fermante 325">
          <a:extLst>
            <a:ext uri="{FF2B5EF4-FFF2-40B4-BE49-F238E27FC236}">
              <a16:creationId xmlns:a16="http://schemas.microsoft.com/office/drawing/2014/main" id="{00000000-0008-0000-0800-00004601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327" name="Accolade fermante 326">
          <a:extLst>
            <a:ext uri="{FF2B5EF4-FFF2-40B4-BE49-F238E27FC236}">
              <a16:creationId xmlns:a16="http://schemas.microsoft.com/office/drawing/2014/main" id="{00000000-0008-0000-0800-00004701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328" name="Accolade fermante 327">
          <a:extLst>
            <a:ext uri="{FF2B5EF4-FFF2-40B4-BE49-F238E27FC236}">
              <a16:creationId xmlns:a16="http://schemas.microsoft.com/office/drawing/2014/main" id="{00000000-0008-0000-0800-00004801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329" name="Accolade fermante 328">
          <a:extLst>
            <a:ext uri="{FF2B5EF4-FFF2-40B4-BE49-F238E27FC236}">
              <a16:creationId xmlns:a16="http://schemas.microsoft.com/office/drawing/2014/main" id="{00000000-0008-0000-0800-00004901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330" name="Accolade fermante 329">
          <a:extLst>
            <a:ext uri="{FF2B5EF4-FFF2-40B4-BE49-F238E27FC236}">
              <a16:creationId xmlns:a16="http://schemas.microsoft.com/office/drawing/2014/main" id="{00000000-0008-0000-0800-00004A01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331" name="Accolade fermante 330">
          <a:extLst>
            <a:ext uri="{FF2B5EF4-FFF2-40B4-BE49-F238E27FC236}">
              <a16:creationId xmlns:a16="http://schemas.microsoft.com/office/drawing/2014/main" id="{00000000-0008-0000-0800-00004B01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332" name="Accolade fermante 331">
          <a:extLst>
            <a:ext uri="{FF2B5EF4-FFF2-40B4-BE49-F238E27FC236}">
              <a16:creationId xmlns:a16="http://schemas.microsoft.com/office/drawing/2014/main" id="{00000000-0008-0000-0800-00004C01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333" name="Accolade fermante 332">
          <a:extLst>
            <a:ext uri="{FF2B5EF4-FFF2-40B4-BE49-F238E27FC236}">
              <a16:creationId xmlns:a16="http://schemas.microsoft.com/office/drawing/2014/main" id="{00000000-0008-0000-0800-00004D01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334" name="Accolade fermante 333">
          <a:extLst>
            <a:ext uri="{FF2B5EF4-FFF2-40B4-BE49-F238E27FC236}">
              <a16:creationId xmlns:a16="http://schemas.microsoft.com/office/drawing/2014/main" id="{00000000-0008-0000-0800-00004E01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335" name="Accolade fermante 334">
          <a:extLst>
            <a:ext uri="{FF2B5EF4-FFF2-40B4-BE49-F238E27FC236}">
              <a16:creationId xmlns:a16="http://schemas.microsoft.com/office/drawing/2014/main" id="{00000000-0008-0000-0800-00004F01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336" name="Accolade fermante 335">
          <a:extLst>
            <a:ext uri="{FF2B5EF4-FFF2-40B4-BE49-F238E27FC236}">
              <a16:creationId xmlns:a16="http://schemas.microsoft.com/office/drawing/2014/main" id="{00000000-0008-0000-0800-00005001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337" name="Accolade fermante 336">
          <a:extLst>
            <a:ext uri="{FF2B5EF4-FFF2-40B4-BE49-F238E27FC236}">
              <a16:creationId xmlns:a16="http://schemas.microsoft.com/office/drawing/2014/main" id="{00000000-0008-0000-0800-00005101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338" name="Accolade fermante 337">
          <a:extLst>
            <a:ext uri="{FF2B5EF4-FFF2-40B4-BE49-F238E27FC236}">
              <a16:creationId xmlns:a16="http://schemas.microsoft.com/office/drawing/2014/main" id="{00000000-0008-0000-0800-00005201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339" name="Accolade fermante 338">
          <a:extLst>
            <a:ext uri="{FF2B5EF4-FFF2-40B4-BE49-F238E27FC236}">
              <a16:creationId xmlns:a16="http://schemas.microsoft.com/office/drawing/2014/main" id="{00000000-0008-0000-0800-00005301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340" name="Accolade fermante 339">
          <a:extLst>
            <a:ext uri="{FF2B5EF4-FFF2-40B4-BE49-F238E27FC236}">
              <a16:creationId xmlns:a16="http://schemas.microsoft.com/office/drawing/2014/main" id="{00000000-0008-0000-0800-00005401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341" name="Accolade fermante 340">
          <a:extLst>
            <a:ext uri="{FF2B5EF4-FFF2-40B4-BE49-F238E27FC236}">
              <a16:creationId xmlns:a16="http://schemas.microsoft.com/office/drawing/2014/main" id="{00000000-0008-0000-0800-00005501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342" name="Accolade fermante 341">
          <a:extLst>
            <a:ext uri="{FF2B5EF4-FFF2-40B4-BE49-F238E27FC236}">
              <a16:creationId xmlns:a16="http://schemas.microsoft.com/office/drawing/2014/main" id="{00000000-0008-0000-0800-00005601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343" name="Accolade fermante 342">
          <a:extLst>
            <a:ext uri="{FF2B5EF4-FFF2-40B4-BE49-F238E27FC236}">
              <a16:creationId xmlns:a16="http://schemas.microsoft.com/office/drawing/2014/main" id="{00000000-0008-0000-0800-00005701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344" name="Accolade fermante 343">
          <a:extLst>
            <a:ext uri="{FF2B5EF4-FFF2-40B4-BE49-F238E27FC236}">
              <a16:creationId xmlns:a16="http://schemas.microsoft.com/office/drawing/2014/main" id="{00000000-0008-0000-0800-00005801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345" name="Accolade fermante 344">
          <a:extLst>
            <a:ext uri="{FF2B5EF4-FFF2-40B4-BE49-F238E27FC236}">
              <a16:creationId xmlns:a16="http://schemas.microsoft.com/office/drawing/2014/main" id="{00000000-0008-0000-0800-00005901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346" name="Accolade fermante 345">
          <a:extLst>
            <a:ext uri="{FF2B5EF4-FFF2-40B4-BE49-F238E27FC236}">
              <a16:creationId xmlns:a16="http://schemas.microsoft.com/office/drawing/2014/main" id="{00000000-0008-0000-0800-00005A01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347" name="Accolade fermante 346">
          <a:extLst>
            <a:ext uri="{FF2B5EF4-FFF2-40B4-BE49-F238E27FC236}">
              <a16:creationId xmlns:a16="http://schemas.microsoft.com/office/drawing/2014/main" id="{00000000-0008-0000-0800-00005B01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348" name="Accolade fermante 347">
          <a:extLst>
            <a:ext uri="{FF2B5EF4-FFF2-40B4-BE49-F238E27FC236}">
              <a16:creationId xmlns:a16="http://schemas.microsoft.com/office/drawing/2014/main" id="{00000000-0008-0000-0800-00005C01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349" name="Accolade fermante 348">
          <a:extLst>
            <a:ext uri="{FF2B5EF4-FFF2-40B4-BE49-F238E27FC236}">
              <a16:creationId xmlns:a16="http://schemas.microsoft.com/office/drawing/2014/main" id="{00000000-0008-0000-0800-00005D01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350" name="Accolade fermante 349">
          <a:extLst>
            <a:ext uri="{FF2B5EF4-FFF2-40B4-BE49-F238E27FC236}">
              <a16:creationId xmlns:a16="http://schemas.microsoft.com/office/drawing/2014/main" id="{00000000-0008-0000-0800-00005E01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351" name="Accolade fermante 350">
          <a:extLst>
            <a:ext uri="{FF2B5EF4-FFF2-40B4-BE49-F238E27FC236}">
              <a16:creationId xmlns:a16="http://schemas.microsoft.com/office/drawing/2014/main" id="{00000000-0008-0000-0800-00005F01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352" name="Accolade fermante 351">
          <a:extLst>
            <a:ext uri="{FF2B5EF4-FFF2-40B4-BE49-F238E27FC236}">
              <a16:creationId xmlns:a16="http://schemas.microsoft.com/office/drawing/2014/main" id="{00000000-0008-0000-0800-00006001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353" name="Accolade fermante 352">
          <a:extLst>
            <a:ext uri="{FF2B5EF4-FFF2-40B4-BE49-F238E27FC236}">
              <a16:creationId xmlns:a16="http://schemas.microsoft.com/office/drawing/2014/main" id="{00000000-0008-0000-0800-00006101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354" name="Accolade fermante 353">
          <a:extLst>
            <a:ext uri="{FF2B5EF4-FFF2-40B4-BE49-F238E27FC236}">
              <a16:creationId xmlns:a16="http://schemas.microsoft.com/office/drawing/2014/main" id="{00000000-0008-0000-0800-00006201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355" name="Accolade fermante 354">
          <a:extLst>
            <a:ext uri="{FF2B5EF4-FFF2-40B4-BE49-F238E27FC236}">
              <a16:creationId xmlns:a16="http://schemas.microsoft.com/office/drawing/2014/main" id="{00000000-0008-0000-0800-00006301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356" name="Accolade fermante 355">
          <a:extLst>
            <a:ext uri="{FF2B5EF4-FFF2-40B4-BE49-F238E27FC236}">
              <a16:creationId xmlns:a16="http://schemas.microsoft.com/office/drawing/2014/main" id="{00000000-0008-0000-0800-00006401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357" name="Accolade fermante 356">
          <a:extLst>
            <a:ext uri="{FF2B5EF4-FFF2-40B4-BE49-F238E27FC236}">
              <a16:creationId xmlns:a16="http://schemas.microsoft.com/office/drawing/2014/main" id="{00000000-0008-0000-0800-00006501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358" name="Accolade fermante 357">
          <a:extLst>
            <a:ext uri="{FF2B5EF4-FFF2-40B4-BE49-F238E27FC236}">
              <a16:creationId xmlns:a16="http://schemas.microsoft.com/office/drawing/2014/main" id="{00000000-0008-0000-0800-00006601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359" name="Accolade fermante 358">
          <a:extLst>
            <a:ext uri="{FF2B5EF4-FFF2-40B4-BE49-F238E27FC236}">
              <a16:creationId xmlns:a16="http://schemas.microsoft.com/office/drawing/2014/main" id="{00000000-0008-0000-0800-00006701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360" name="Accolade fermante 359">
          <a:extLst>
            <a:ext uri="{FF2B5EF4-FFF2-40B4-BE49-F238E27FC236}">
              <a16:creationId xmlns:a16="http://schemas.microsoft.com/office/drawing/2014/main" id="{00000000-0008-0000-0800-00006801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361" name="Accolade fermante 360">
          <a:extLst>
            <a:ext uri="{FF2B5EF4-FFF2-40B4-BE49-F238E27FC236}">
              <a16:creationId xmlns:a16="http://schemas.microsoft.com/office/drawing/2014/main" id="{00000000-0008-0000-0800-00006901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362" name="Accolade fermante 361">
          <a:extLst>
            <a:ext uri="{FF2B5EF4-FFF2-40B4-BE49-F238E27FC236}">
              <a16:creationId xmlns:a16="http://schemas.microsoft.com/office/drawing/2014/main" id="{00000000-0008-0000-0800-00006A01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363" name="Accolade fermante 362">
          <a:extLst>
            <a:ext uri="{FF2B5EF4-FFF2-40B4-BE49-F238E27FC236}">
              <a16:creationId xmlns:a16="http://schemas.microsoft.com/office/drawing/2014/main" id="{00000000-0008-0000-0800-00006B01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364" name="Accolade fermante 363">
          <a:extLst>
            <a:ext uri="{FF2B5EF4-FFF2-40B4-BE49-F238E27FC236}">
              <a16:creationId xmlns:a16="http://schemas.microsoft.com/office/drawing/2014/main" id="{00000000-0008-0000-0800-00006C01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365" name="Accolade fermante 364">
          <a:extLst>
            <a:ext uri="{FF2B5EF4-FFF2-40B4-BE49-F238E27FC236}">
              <a16:creationId xmlns:a16="http://schemas.microsoft.com/office/drawing/2014/main" id="{00000000-0008-0000-0800-00006D01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366" name="Accolade fermante 365">
          <a:extLst>
            <a:ext uri="{FF2B5EF4-FFF2-40B4-BE49-F238E27FC236}">
              <a16:creationId xmlns:a16="http://schemas.microsoft.com/office/drawing/2014/main" id="{00000000-0008-0000-0800-00006E01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367" name="Accolade fermante 366">
          <a:extLst>
            <a:ext uri="{FF2B5EF4-FFF2-40B4-BE49-F238E27FC236}">
              <a16:creationId xmlns:a16="http://schemas.microsoft.com/office/drawing/2014/main" id="{00000000-0008-0000-0800-00006F01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368" name="Accolade fermante 367">
          <a:extLst>
            <a:ext uri="{FF2B5EF4-FFF2-40B4-BE49-F238E27FC236}">
              <a16:creationId xmlns:a16="http://schemas.microsoft.com/office/drawing/2014/main" id="{00000000-0008-0000-0800-00007001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369" name="Accolade fermante 368">
          <a:extLst>
            <a:ext uri="{FF2B5EF4-FFF2-40B4-BE49-F238E27FC236}">
              <a16:creationId xmlns:a16="http://schemas.microsoft.com/office/drawing/2014/main" id="{00000000-0008-0000-0800-00007101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370" name="Accolade fermante 369">
          <a:extLst>
            <a:ext uri="{FF2B5EF4-FFF2-40B4-BE49-F238E27FC236}">
              <a16:creationId xmlns:a16="http://schemas.microsoft.com/office/drawing/2014/main" id="{00000000-0008-0000-0800-00007201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371" name="Accolade fermante 370">
          <a:extLst>
            <a:ext uri="{FF2B5EF4-FFF2-40B4-BE49-F238E27FC236}">
              <a16:creationId xmlns:a16="http://schemas.microsoft.com/office/drawing/2014/main" id="{00000000-0008-0000-0800-00007301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372" name="Accolade fermante 371">
          <a:extLst>
            <a:ext uri="{FF2B5EF4-FFF2-40B4-BE49-F238E27FC236}">
              <a16:creationId xmlns:a16="http://schemas.microsoft.com/office/drawing/2014/main" id="{00000000-0008-0000-0800-00007401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373" name="Accolade fermante 372">
          <a:extLst>
            <a:ext uri="{FF2B5EF4-FFF2-40B4-BE49-F238E27FC236}">
              <a16:creationId xmlns:a16="http://schemas.microsoft.com/office/drawing/2014/main" id="{00000000-0008-0000-0800-00007501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374" name="Accolade fermante 373">
          <a:extLst>
            <a:ext uri="{FF2B5EF4-FFF2-40B4-BE49-F238E27FC236}">
              <a16:creationId xmlns:a16="http://schemas.microsoft.com/office/drawing/2014/main" id="{00000000-0008-0000-0800-00007601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375" name="Accolade fermante 374">
          <a:extLst>
            <a:ext uri="{FF2B5EF4-FFF2-40B4-BE49-F238E27FC236}">
              <a16:creationId xmlns:a16="http://schemas.microsoft.com/office/drawing/2014/main" id="{00000000-0008-0000-0800-00007701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376" name="Accolade fermante 375">
          <a:extLst>
            <a:ext uri="{FF2B5EF4-FFF2-40B4-BE49-F238E27FC236}">
              <a16:creationId xmlns:a16="http://schemas.microsoft.com/office/drawing/2014/main" id="{00000000-0008-0000-0800-00007801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377" name="Accolade fermante 376">
          <a:extLst>
            <a:ext uri="{FF2B5EF4-FFF2-40B4-BE49-F238E27FC236}">
              <a16:creationId xmlns:a16="http://schemas.microsoft.com/office/drawing/2014/main" id="{00000000-0008-0000-0800-00007901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378" name="Accolade fermante 377">
          <a:extLst>
            <a:ext uri="{FF2B5EF4-FFF2-40B4-BE49-F238E27FC236}">
              <a16:creationId xmlns:a16="http://schemas.microsoft.com/office/drawing/2014/main" id="{00000000-0008-0000-0800-00007A01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379" name="Accolade fermante 378">
          <a:extLst>
            <a:ext uri="{FF2B5EF4-FFF2-40B4-BE49-F238E27FC236}">
              <a16:creationId xmlns:a16="http://schemas.microsoft.com/office/drawing/2014/main" id="{00000000-0008-0000-0800-00007B01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380" name="Accolade fermante 379">
          <a:extLst>
            <a:ext uri="{FF2B5EF4-FFF2-40B4-BE49-F238E27FC236}">
              <a16:creationId xmlns:a16="http://schemas.microsoft.com/office/drawing/2014/main" id="{00000000-0008-0000-0800-00007C01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381" name="Accolade fermante 380">
          <a:extLst>
            <a:ext uri="{FF2B5EF4-FFF2-40B4-BE49-F238E27FC236}">
              <a16:creationId xmlns:a16="http://schemas.microsoft.com/office/drawing/2014/main" id="{00000000-0008-0000-0800-00007D01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382" name="Accolade fermante 381">
          <a:extLst>
            <a:ext uri="{FF2B5EF4-FFF2-40B4-BE49-F238E27FC236}">
              <a16:creationId xmlns:a16="http://schemas.microsoft.com/office/drawing/2014/main" id="{00000000-0008-0000-0800-00007E01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383" name="Accolade fermante 382">
          <a:extLst>
            <a:ext uri="{FF2B5EF4-FFF2-40B4-BE49-F238E27FC236}">
              <a16:creationId xmlns:a16="http://schemas.microsoft.com/office/drawing/2014/main" id="{00000000-0008-0000-0800-00007F01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384" name="Accolade fermante 383">
          <a:extLst>
            <a:ext uri="{FF2B5EF4-FFF2-40B4-BE49-F238E27FC236}">
              <a16:creationId xmlns:a16="http://schemas.microsoft.com/office/drawing/2014/main" id="{00000000-0008-0000-0800-00008001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385" name="Accolade fermante 384">
          <a:extLst>
            <a:ext uri="{FF2B5EF4-FFF2-40B4-BE49-F238E27FC236}">
              <a16:creationId xmlns:a16="http://schemas.microsoft.com/office/drawing/2014/main" id="{00000000-0008-0000-0800-00008101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386" name="Accolade fermante 385">
          <a:extLst>
            <a:ext uri="{FF2B5EF4-FFF2-40B4-BE49-F238E27FC236}">
              <a16:creationId xmlns:a16="http://schemas.microsoft.com/office/drawing/2014/main" id="{00000000-0008-0000-0800-00008201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387" name="Accolade fermante 386">
          <a:extLst>
            <a:ext uri="{FF2B5EF4-FFF2-40B4-BE49-F238E27FC236}">
              <a16:creationId xmlns:a16="http://schemas.microsoft.com/office/drawing/2014/main" id="{00000000-0008-0000-0800-00008301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388" name="Accolade fermante 387">
          <a:extLst>
            <a:ext uri="{FF2B5EF4-FFF2-40B4-BE49-F238E27FC236}">
              <a16:creationId xmlns:a16="http://schemas.microsoft.com/office/drawing/2014/main" id="{00000000-0008-0000-0800-00008401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389" name="Accolade fermante 388">
          <a:extLst>
            <a:ext uri="{FF2B5EF4-FFF2-40B4-BE49-F238E27FC236}">
              <a16:creationId xmlns:a16="http://schemas.microsoft.com/office/drawing/2014/main" id="{00000000-0008-0000-0800-00008501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390" name="Accolade fermante 389">
          <a:extLst>
            <a:ext uri="{FF2B5EF4-FFF2-40B4-BE49-F238E27FC236}">
              <a16:creationId xmlns:a16="http://schemas.microsoft.com/office/drawing/2014/main" id="{00000000-0008-0000-0800-00008601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391" name="Accolade fermante 390">
          <a:extLst>
            <a:ext uri="{FF2B5EF4-FFF2-40B4-BE49-F238E27FC236}">
              <a16:creationId xmlns:a16="http://schemas.microsoft.com/office/drawing/2014/main" id="{00000000-0008-0000-0800-00008701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392" name="Accolade fermante 391">
          <a:extLst>
            <a:ext uri="{FF2B5EF4-FFF2-40B4-BE49-F238E27FC236}">
              <a16:creationId xmlns:a16="http://schemas.microsoft.com/office/drawing/2014/main" id="{00000000-0008-0000-0800-00008801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393" name="Accolade fermante 392">
          <a:extLst>
            <a:ext uri="{FF2B5EF4-FFF2-40B4-BE49-F238E27FC236}">
              <a16:creationId xmlns:a16="http://schemas.microsoft.com/office/drawing/2014/main" id="{00000000-0008-0000-0800-00008901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394" name="Accolade fermante 393">
          <a:extLst>
            <a:ext uri="{FF2B5EF4-FFF2-40B4-BE49-F238E27FC236}">
              <a16:creationId xmlns:a16="http://schemas.microsoft.com/office/drawing/2014/main" id="{00000000-0008-0000-0800-00008A01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395" name="Accolade fermante 394">
          <a:extLst>
            <a:ext uri="{FF2B5EF4-FFF2-40B4-BE49-F238E27FC236}">
              <a16:creationId xmlns:a16="http://schemas.microsoft.com/office/drawing/2014/main" id="{00000000-0008-0000-0800-00008B01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396" name="Accolade fermante 395">
          <a:extLst>
            <a:ext uri="{FF2B5EF4-FFF2-40B4-BE49-F238E27FC236}">
              <a16:creationId xmlns:a16="http://schemas.microsoft.com/office/drawing/2014/main" id="{00000000-0008-0000-0800-00008C01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397" name="Accolade fermante 396">
          <a:extLst>
            <a:ext uri="{FF2B5EF4-FFF2-40B4-BE49-F238E27FC236}">
              <a16:creationId xmlns:a16="http://schemas.microsoft.com/office/drawing/2014/main" id="{00000000-0008-0000-0800-00008D01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398" name="Accolade fermante 397">
          <a:extLst>
            <a:ext uri="{FF2B5EF4-FFF2-40B4-BE49-F238E27FC236}">
              <a16:creationId xmlns:a16="http://schemas.microsoft.com/office/drawing/2014/main" id="{00000000-0008-0000-0800-00008E01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399" name="Accolade fermante 398">
          <a:extLst>
            <a:ext uri="{FF2B5EF4-FFF2-40B4-BE49-F238E27FC236}">
              <a16:creationId xmlns:a16="http://schemas.microsoft.com/office/drawing/2014/main" id="{00000000-0008-0000-0800-00008F01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400" name="Accolade fermante 399">
          <a:extLst>
            <a:ext uri="{FF2B5EF4-FFF2-40B4-BE49-F238E27FC236}">
              <a16:creationId xmlns:a16="http://schemas.microsoft.com/office/drawing/2014/main" id="{00000000-0008-0000-0800-00009001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401" name="Accolade fermante 400">
          <a:extLst>
            <a:ext uri="{FF2B5EF4-FFF2-40B4-BE49-F238E27FC236}">
              <a16:creationId xmlns:a16="http://schemas.microsoft.com/office/drawing/2014/main" id="{00000000-0008-0000-0800-00009101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402" name="Accolade fermante 401">
          <a:extLst>
            <a:ext uri="{FF2B5EF4-FFF2-40B4-BE49-F238E27FC236}">
              <a16:creationId xmlns:a16="http://schemas.microsoft.com/office/drawing/2014/main" id="{00000000-0008-0000-0800-00009201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403" name="Accolade fermante 402">
          <a:extLst>
            <a:ext uri="{FF2B5EF4-FFF2-40B4-BE49-F238E27FC236}">
              <a16:creationId xmlns:a16="http://schemas.microsoft.com/office/drawing/2014/main" id="{00000000-0008-0000-0800-00009301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404" name="Accolade fermante 403">
          <a:extLst>
            <a:ext uri="{FF2B5EF4-FFF2-40B4-BE49-F238E27FC236}">
              <a16:creationId xmlns:a16="http://schemas.microsoft.com/office/drawing/2014/main" id="{00000000-0008-0000-0800-00009401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405" name="Accolade fermante 404">
          <a:extLst>
            <a:ext uri="{FF2B5EF4-FFF2-40B4-BE49-F238E27FC236}">
              <a16:creationId xmlns:a16="http://schemas.microsoft.com/office/drawing/2014/main" id="{00000000-0008-0000-0800-00009501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406" name="Accolade fermante 405">
          <a:extLst>
            <a:ext uri="{FF2B5EF4-FFF2-40B4-BE49-F238E27FC236}">
              <a16:creationId xmlns:a16="http://schemas.microsoft.com/office/drawing/2014/main" id="{00000000-0008-0000-0800-00009601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407" name="Accolade fermante 406">
          <a:extLst>
            <a:ext uri="{FF2B5EF4-FFF2-40B4-BE49-F238E27FC236}">
              <a16:creationId xmlns:a16="http://schemas.microsoft.com/office/drawing/2014/main" id="{00000000-0008-0000-0800-00009701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408" name="Accolade fermante 407">
          <a:extLst>
            <a:ext uri="{FF2B5EF4-FFF2-40B4-BE49-F238E27FC236}">
              <a16:creationId xmlns:a16="http://schemas.microsoft.com/office/drawing/2014/main" id="{00000000-0008-0000-0800-00009801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409" name="Accolade fermante 408">
          <a:extLst>
            <a:ext uri="{FF2B5EF4-FFF2-40B4-BE49-F238E27FC236}">
              <a16:creationId xmlns:a16="http://schemas.microsoft.com/office/drawing/2014/main" id="{00000000-0008-0000-0800-00009901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410" name="Accolade fermante 409">
          <a:extLst>
            <a:ext uri="{FF2B5EF4-FFF2-40B4-BE49-F238E27FC236}">
              <a16:creationId xmlns:a16="http://schemas.microsoft.com/office/drawing/2014/main" id="{00000000-0008-0000-0800-00009A01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411" name="Accolade fermante 410">
          <a:extLst>
            <a:ext uri="{FF2B5EF4-FFF2-40B4-BE49-F238E27FC236}">
              <a16:creationId xmlns:a16="http://schemas.microsoft.com/office/drawing/2014/main" id="{00000000-0008-0000-0800-00009B01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412" name="Accolade fermante 411">
          <a:extLst>
            <a:ext uri="{FF2B5EF4-FFF2-40B4-BE49-F238E27FC236}">
              <a16:creationId xmlns:a16="http://schemas.microsoft.com/office/drawing/2014/main" id="{00000000-0008-0000-0800-00009C01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413" name="Accolade fermante 412">
          <a:extLst>
            <a:ext uri="{FF2B5EF4-FFF2-40B4-BE49-F238E27FC236}">
              <a16:creationId xmlns:a16="http://schemas.microsoft.com/office/drawing/2014/main" id="{00000000-0008-0000-0800-00009D01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414" name="Accolade fermante 413">
          <a:extLst>
            <a:ext uri="{FF2B5EF4-FFF2-40B4-BE49-F238E27FC236}">
              <a16:creationId xmlns:a16="http://schemas.microsoft.com/office/drawing/2014/main" id="{00000000-0008-0000-0800-00009E01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415" name="Accolade fermante 414">
          <a:extLst>
            <a:ext uri="{FF2B5EF4-FFF2-40B4-BE49-F238E27FC236}">
              <a16:creationId xmlns:a16="http://schemas.microsoft.com/office/drawing/2014/main" id="{00000000-0008-0000-0800-00009F01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416" name="Accolade fermante 415">
          <a:extLst>
            <a:ext uri="{FF2B5EF4-FFF2-40B4-BE49-F238E27FC236}">
              <a16:creationId xmlns:a16="http://schemas.microsoft.com/office/drawing/2014/main" id="{00000000-0008-0000-0800-0000A001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417" name="Accolade fermante 416">
          <a:extLst>
            <a:ext uri="{FF2B5EF4-FFF2-40B4-BE49-F238E27FC236}">
              <a16:creationId xmlns:a16="http://schemas.microsoft.com/office/drawing/2014/main" id="{00000000-0008-0000-0800-0000A101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418" name="Accolade fermante 417">
          <a:extLst>
            <a:ext uri="{FF2B5EF4-FFF2-40B4-BE49-F238E27FC236}">
              <a16:creationId xmlns:a16="http://schemas.microsoft.com/office/drawing/2014/main" id="{00000000-0008-0000-0800-0000A201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419" name="Accolade fermante 418">
          <a:extLst>
            <a:ext uri="{FF2B5EF4-FFF2-40B4-BE49-F238E27FC236}">
              <a16:creationId xmlns:a16="http://schemas.microsoft.com/office/drawing/2014/main" id="{00000000-0008-0000-0800-0000A301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420" name="Accolade fermante 419">
          <a:extLst>
            <a:ext uri="{FF2B5EF4-FFF2-40B4-BE49-F238E27FC236}">
              <a16:creationId xmlns:a16="http://schemas.microsoft.com/office/drawing/2014/main" id="{00000000-0008-0000-0800-0000A401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421" name="Accolade fermante 420">
          <a:extLst>
            <a:ext uri="{FF2B5EF4-FFF2-40B4-BE49-F238E27FC236}">
              <a16:creationId xmlns:a16="http://schemas.microsoft.com/office/drawing/2014/main" id="{00000000-0008-0000-0800-0000A501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422" name="Accolade fermante 421">
          <a:extLst>
            <a:ext uri="{FF2B5EF4-FFF2-40B4-BE49-F238E27FC236}">
              <a16:creationId xmlns:a16="http://schemas.microsoft.com/office/drawing/2014/main" id="{00000000-0008-0000-0800-0000A601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423" name="Accolade fermante 422">
          <a:extLst>
            <a:ext uri="{FF2B5EF4-FFF2-40B4-BE49-F238E27FC236}">
              <a16:creationId xmlns:a16="http://schemas.microsoft.com/office/drawing/2014/main" id="{00000000-0008-0000-0800-0000A701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424" name="Accolade fermante 423">
          <a:extLst>
            <a:ext uri="{FF2B5EF4-FFF2-40B4-BE49-F238E27FC236}">
              <a16:creationId xmlns:a16="http://schemas.microsoft.com/office/drawing/2014/main" id="{00000000-0008-0000-0800-0000A801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425" name="Accolade fermante 424">
          <a:extLst>
            <a:ext uri="{FF2B5EF4-FFF2-40B4-BE49-F238E27FC236}">
              <a16:creationId xmlns:a16="http://schemas.microsoft.com/office/drawing/2014/main" id="{00000000-0008-0000-0800-0000A901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426" name="Accolade fermante 425">
          <a:extLst>
            <a:ext uri="{FF2B5EF4-FFF2-40B4-BE49-F238E27FC236}">
              <a16:creationId xmlns:a16="http://schemas.microsoft.com/office/drawing/2014/main" id="{00000000-0008-0000-0800-0000AA01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427" name="Accolade fermante 426">
          <a:extLst>
            <a:ext uri="{FF2B5EF4-FFF2-40B4-BE49-F238E27FC236}">
              <a16:creationId xmlns:a16="http://schemas.microsoft.com/office/drawing/2014/main" id="{00000000-0008-0000-0800-0000AB01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428" name="Accolade fermante 427">
          <a:extLst>
            <a:ext uri="{FF2B5EF4-FFF2-40B4-BE49-F238E27FC236}">
              <a16:creationId xmlns:a16="http://schemas.microsoft.com/office/drawing/2014/main" id="{00000000-0008-0000-0800-0000AC01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429" name="Accolade fermante 428">
          <a:extLst>
            <a:ext uri="{FF2B5EF4-FFF2-40B4-BE49-F238E27FC236}">
              <a16:creationId xmlns:a16="http://schemas.microsoft.com/office/drawing/2014/main" id="{00000000-0008-0000-0800-0000AD01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430" name="Accolade fermante 429">
          <a:extLst>
            <a:ext uri="{FF2B5EF4-FFF2-40B4-BE49-F238E27FC236}">
              <a16:creationId xmlns:a16="http://schemas.microsoft.com/office/drawing/2014/main" id="{00000000-0008-0000-0800-0000AE01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57</xdr:col>
      <xdr:colOff>190500</xdr:colOff>
      <xdr:row>63</xdr:row>
      <xdr:rowOff>60960</xdr:rowOff>
    </xdr:from>
    <xdr:to>
      <xdr:col>57</xdr:col>
      <xdr:colOff>441960</xdr:colOff>
      <xdr:row>73</xdr:row>
      <xdr:rowOff>182880</xdr:rowOff>
    </xdr:to>
    <xdr:sp macro="" textlink="">
      <xdr:nvSpPr>
        <xdr:cNvPr id="431" name="Accolade fermante 430">
          <a:extLst>
            <a:ext uri="{FF2B5EF4-FFF2-40B4-BE49-F238E27FC236}">
              <a16:creationId xmlns:a16="http://schemas.microsoft.com/office/drawing/2014/main" id="{00000000-0008-0000-0800-0000AF01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fPrintsWithSheet="0"/>
  </xdr:twoCellAnchor>
  <xdr:twoCellAnchor>
    <xdr:from>
      <xdr:col>54</xdr:col>
      <xdr:colOff>190500</xdr:colOff>
      <xdr:row>57</xdr:row>
      <xdr:rowOff>60960</xdr:rowOff>
    </xdr:from>
    <xdr:to>
      <xdr:col>54</xdr:col>
      <xdr:colOff>441960</xdr:colOff>
      <xdr:row>67</xdr:row>
      <xdr:rowOff>182880</xdr:rowOff>
    </xdr:to>
    <xdr:sp macro="" textlink="">
      <xdr:nvSpPr>
        <xdr:cNvPr id="432" name="Accolade fermante 431">
          <a:extLst>
            <a:ext uri="{FF2B5EF4-FFF2-40B4-BE49-F238E27FC236}">
              <a16:creationId xmlns:a16="http://schemas.microsoft.com/office/drawing/2014/main" id="{00000000-0008-0000-0800-0000B001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xdr:twoCellAnchor>
  <xdr:twoCellAnchor>
    <xdr:from>
      <xdr:col>57</xdr:col>
      <xdr:colOff>190500</xdr:colOff>
      <xdr:row>63</xdr:row>
      <xdr:rowOff>60960</xdr:rowOff>
    </xdr:from>
    <xdr:to>
      <xdr:col>57</xdr:col>
      <xdr:colOff>441960</xdr:colOff>
      <xdr:row>73</xdr:row>
      <xdr:rowOff>182880</xdr:rowOff>
    </xdr:to>
    <xdr:sp macro="" textlink="">
      <xdr:nvSpPr>
        <xdr:cNvPr id="433" name="Accolade fermante 432">
          <a:extLst>
            <a:ext uri="{FF2B5EF4-FFF2-40B4-BE49-F238E27FC236}">
              <a16:creationId xmlns:a16="http://schemas.microsoft.com/office/drawing/2014/main" id="{00000000-0008-0000-0800-0000B101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xdr:twoCellAnchor>
  <xdr:twoCellAnchor>
    <xdr:from>
      <xdr:col>54</xdr:col>
      <xdr:colOff>190500</xdr:colOff>
      <xdr:row>57</xdr:row>
      <xdr:rowOff>60960</xdr:rowOff>
    </xdr:from>
    <xdr:to>
      <xdr:col>54</xdr:col>
      <xdr:colOff>441960</xdr:colOff>
      <xdr:row>67</xdr:row>
      <xdr:rowOff>182880</xdr:rowOff>
    </xdr:to>
    <xdr:sp macro="" textlink="">
      <xdr:nvSpPr>
        <xdr:cNvPr id="434" name="Accolade fermante 433">
          <a:extLst>
            <a:ext uri="{FF2B5EF4-FFF2-40B4-BE49-F238E27FC236}">
              <a16:creationId xmlns:a16="http://schemas.microsoft.com/office/drawing/2014/main" id="{00000000-0008-0000-0800-0000B201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xdr:twoCellAnchor>
  <xdr:twoCellAnchor>
    <xdr:from>
      <xdr:col>57</xdr:col>
      <xdr:colOff>190500</xdr:colOff>
      <xdr:row>63</xdr:row>
      <xdr:rowOff>60960</xdr:rowOff>
    </xdr:from>
    <xdr:to>
      <xdr:col>57</xdr:col>
      <xdr:colOff>441960</xdr:colOff>
      <xdr:row>73</xdr:row>
      <xdr:rowOff>182880</xdr:rowOff>
    </xdr:to>
    <xdr:sp macro="" textlink="">
      <xdr:nvSpPr>
        <xdr:cNvPr id="435" name="Accolade fermante 434">
          <a:extLst>
            <a:ext uri="{FF2B5EF4-FFF2-40B4-BE49-F238E27FC236}">
              <a16:creationId xmlns:a16="http://schemas.microsoft.com/office/drawing/2014/main" id="{00000000-0008-0000-0800-0000B301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xdr:twoCellAnchor>
  <xdr:twoCellAnchor>
    <xdr:from>
      <xdr:col>54</xdr:col>
      <xdr:colOff>190500</xdr:colOff>
      <xdr:row>57</xdr:row>
      <xdr:rowOff>60960</xdr:rowOff>
    </xdr:from>
    <xdr:to>
      <xdr:col>54</xdr:col>
      <xdr:colOff>441960</xdr:colOff>
      <xdr:row>67</xdr:row>
      <xdr:rowOff>182880</xdr:rowOff>
    </xdr:to>
    <xdr:sp macro="" textlink="">
      <xdr:nvSpPr>
        <xdr:cNvPr id="436" name="Accolade fermante 435">
          <a:extLst>
            <a:ext uri="{FF2B5EF4-FFF2-40B4-BE49-F238E27FC236}">
              <a16:creationId xmlns:a16="http://schemas.microsoft.com/office/drawing/2014/main" id="{00000000-0008-0000-0800-0000B401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xdr:twoCellAnchor>
  <xdr:twoCellAnchor>
    <xdr:from>
      <xdr:col>57</xdr:col>
      <xdr:colOff>190500</xdr:colOff>
      <xdr:row>63</xdr:row>
      <xdr:rowOff>60960</xdr:rowOff>
    </xdr:from>
    <xdr:to>
      <xdr:col>57</xdr:col>
      <xdr:colOff>441960</xdr:colOff>
      <xdr:row>73</xdr:row>
      <xdr:rowOff>182880</xdr:rowOff>
    </xdr:to>
    <xdr:sp macro="" textlink="">
      <xdr:nvSpPr>
        <xdr:cNvPr id="437" name="Accolade fermante 436">
          <a:extLst>
            <a:ext uri="{FF2B5EF4-FFF2-40B4-BE49-F238E27FC236}">
              <a16:creationId xmlns:a16="http://schemas.microsoft.com/office/drawing/2014/main" id="{00000000-0008-0000-0800-0000B501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xdr:twoCellAnchor>
  <xdr:twoCellAnchor>
    <xdr:from>
      <xdr:col>54</xdr:col>
      <xdr:colOff>190500</xdr:colOff>
      <xdr:row>57</xdr:row>
      <xdr:rowOff>60960</xdr:rowOff>
    </xdr:from>
    <xdr:to>
      <xdr:col>54</xdr:col>
      <xdr:colOff>441960</xdr:colOff>
      <xdr:row>67</xdr:row>
      <xdr:rowOff>182880</xdr:rowOff>
    </xdr:to>
    <xdr:sp macro="" textlink="">
      <xdr:nvSpPr>
        <xdr:cNvPr id="438" name="Accolade fermante 437">
          <a:extLst>
            <a:ext uri="{FF2B5EF4-FFF2-40B4-BE49-F238E27FC236}">
              <a16:creationId xmlns:a16="http://schemas.microsoft.com/office/drawing/2014/main" id="{00000000-0008-0000-0800-0000B601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xdr:twoCellAnchor>
  <xdr:twoCellAnchor>
    <xdr:from>
      <xdr:col>57</xdr:col>
      <xdr:colOff>190500</xdr:colOff>
      <xdr:row>63</xdr:row>
      <xdr:rowOff>60960</xdr:rowOff>
    </xdr:from>
    <xdr:to>
      <xdr:col>57</xdr:col>
      <xdr:colOff>441960</xdr:colOff>
      <xdr:row>73</xdr:row>
      <xdr:rowOff>182880</xdr:rowOff>
    </xdr:to>
    <xdr:sp macro="" textlink="">
      <xdr:nvSpPr>
        <xdr:cNvPr id="439" name="Accolade fermante 438">
          <a:extLst>
            <a:ext uri="{FF2B5EF4-FFF2-40B4-BE49-F238E27FC236}">
              <a16:creationId xmlns:a16="http://schemas.microsoft.com/office/drawing/2014/main" id="{00000000-0008-0000-0800-0000B701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xdr:twoCellAnchor>
  <xdr:twoCellAnchor>
    <xdr:from>
      <xdr:col>54</xdr:col>
      <xdr:colOff>190500</xdr:colOff>
      <xdr:row>57</xdr:row>
      <xdr:rowOff>60960</xdr:rowOff>
    </xdr:from>
    <xdr:to>
      <xdr:col>54</xdr:col>
      <xdr:colOff>441960</xdr:colOff>
      <xdr:row>67</xdr:row>
      <xdr:rowOff>182880</xdr:rowOff>
    </xdr:to>
    <xdr:sp macro="" textlink="">
      <xdr:nvSpPr>
        <xdr:cNvPr id="440" name="Accolade fermante 439">
          <a:extLst>
            <a:ext uri="{FF2B5EF4-FFF2-40B4-BE49-F238E27FC236}">
              <a16:creationId xmlns:a16="http://schemas.microsoft.com/office/drawing/2014/main" id="{00000000-0008-0000-0800-0000B801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xdr:twoCellAnchor>
  <xdr:twoCellAnchor>
    <xdr:from>
      <xdr:col>57</xdr:col>
      <xdr:colOff>190500</xdr:colOff>
      <xdr:row>63</xdr:row>
      <xdr:rowOff>60960</xdr:rowOff>
    </xdr:from>
    <xdr:to>
      <xdr:col>57</xdr:col>
      <xdr:colOff>441960</xdr:colOff>
      <xdr:row>73</xdr:row>
      <xdr:rowOff>182880</xdr:rowOff>
    </xdr:to>
    <xdr:sp macro="" textlink="">
      <xdr:nvSpPr>
        <xdr:cNvPr id="441" name="Accolade fermante 440">
          <a:extLst>
            <a:ext uri="{FF2B5EF4-FFF2-40B4-BE49-F238E27FC236}">
              <a16:creationId xmlns:a16="http://schemas.microsoft.com/office/drawing/2014/main" id="{00000000-0008-0000-0800-0000B901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xdr:twoCellAnchor>
  <xdr:twoCellAnchor>
    <xdr:from>
      <xdr:col>54</xdr:col>
      <xdr:colOff>190500</xdr:colOff>
      <xdr:row>57</xdr:row>
      <xdr:rowOff>60960</xdr:rowOff>
    </xdr:from>
    <xdr:to>
      <xdr:col>54</xdr:col>
      <xdr:colOff>441960</xdr:colOff>
      <xdr:row>67</xdr:row>
      <xdr:rowOff>182880</xdr:rowOff>
    </xdr:to>
    <xdr:sp macro="" textlink="">
      <xdr:nvSpPr>
        <xdr:cNvPr id="442" name="Accolade fermante 441">
          <a:extLst>
            <a:ext uri="{FF2B5EF4-FFF2-40B4-BE49-F238E27FC236}">
              <a16:creationId xmlns:a16="http://schemas.microsoft.com/office/drawing/2014/main" id="{00000000-0008-0000-0800-0000BA01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xdr:twoCellAnchor>
  <xdr:twoCellAnchor>
    <xdr:from>
      <xdr:col>57</xdr:col>
      <xdr:colOff>190500</xdr:colOff>
      <xdr:row>63</xdr:row>
      <xdr:rowOff>60960</xdr:rowOff>
    </xdr:from>
    <xdr:to>
      <xdr:col>57</xdr:col>
      <xdr:colOff>441960</xdr:colOff>
      <xdr:row>73</xdr:row>
      <xdr:rowOff>182880</xdr:rowOff>
    </xdr:to>
    <xdr:sp macro="" textlink="">
      <xdr:nvSpPr>
        <xdr:cNvPr id="443" name="Accolade fermante 442">
          <a:extLst>
            <a:ext uri="{FF2B5EF4-FFF2-40B4-BE49-F238E27FC236}">
              <a16:creationId xmlns:a16="http://schemas.microsoft.com/office/drawing/2014/main" id="{00000000-0008-0000-0800-0000BB01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xdr:twoCellAnchor>
  <xdr:twoCellAnchor>
    <xdr:from>
      <xdr:col>54</xdr:col>
      <xdr:colOff>190500</xdr:colOff>
      <xdr:row>57</xdr:row>
      <xdr:rowOff>60960</xdr:rowOff>
    </xdr:from>
    <xdr:to>
      <xdr:col>54</xdr:col>
      <xdr:colOff>441960</xdr:colOff>
      <xdr:row>67</xdr:row>
      <xdr:rowOff>182880</xdr:rowOff>
    </xdr:to>
    <xdr:sp macro="" textlink="">
      <xdr:nvSpPr>
        <xdr:cNvPr id="444" name="Accolade fermante 443">
          <a:extLst>
            <a:ext uri="{FF2B5EF4-FFF2-40B4-BE49-F238E27FC236}">
              <a16:creationId xmlns:a16="http://schemas.microsoft.com/office/drawing/2014/main" id="{00000000-0008-0000-0800-0000BC01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xdr:twoCellAnchor>
  <xdr:twoCellAnchor>
    <xdr:from>
      <xdr:col>57</xdr:col>
      <xdr:colOff>190500</xdr:colOff>
      <xdr:row>63</xdr:row>
      <xdr:rowOff>60960</xdr:rowOff>
    </xdr:from>
    <xdr:to>
      <xdr:col>57</xdr:col>
      <xdr:colOff>441960</xdr:colOff>
      <xdr:row>73</xdr:row>
      <xdr:rowOff>182880</xdr:rowOff>
    </xdr:to>
    <xdr:sp macro="" textlink="">
      <xdr:nvSpPr>
        <xdr:cNvPr id="445" name="Accolade fermante 444">
          <a:extLst>
            <a:ext uri="{FF2B5EF4-FFF2-40B4-BE49-F238E27FC236}">
              <a16:creationId xmlns:a16="http://schemas.microsoft.com/office/drawing/2014/main" id="{00000000-0008-0000-0800-0000BD01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xdr:twoCellAnchor>
  <xdr:twoCellAnchor>
    <xdr:from>
      <xdr:col>54</xdr:col>
      <xdr:colOff>190500</xdr:colOff>
      <xdr:row>57</xdr:row>
      <xdr:rowOff>60960</xdr:rowOff>
    </xdr:from>
    <xdr:to>
      <xdr:col>54</xdr:col>
      <xdr:colOff>441960</xdr:colOff>
      <xdr:row>67</xdr:row>
      <xdr:rowOff>182880</xdr:rowOff>
    </xdr:to>
    <xdr:sp macro="" textlink="">
      <xdr:nvSpPr>
        <xdr:cNvPr id="446" name="Accolade fermante 445">
          <a:extLst>
            <a:ext uri="{FF2B5EF4-FFF2-40B4-BE49-F238E27FC236}">
              <a16:creationId xmlns:a16="http://schemas.microsoft.com/office/drawing/2014/main" id="{00000000-0008-0000-0800-0000BE01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xdr:twoCellAnchor>
  <xdr:twoCellAnchor>
    <xdr:from>
      <xdr:col>57</xdr:col>
      <xdr:colOff>190500</xdr:colOff>
      <xdr:row>63</xdr:row>
      <xdr:rowOff>60960</xdr:rowOff>
    </xdr:from>
    <xdr:to>
      <xdr:col>57</xdr:col>
      <xdr:colOff>441960</xdr:colOff>
      <xdr:row>73</xdr:row>
      <xdr:rowOff>182880</xdr:rowOff>
    </xdr:to>
    <xdr:sp macro="" textlink="">
      <xdr:nvSpPr>
        <xdr:cNvPr id="447" name="Accolade fermante 446">
          <a:extLst>
            <a:ext uri="{FF2B5EF4-FFF2-40B4-BE49-F238E27FC236}">
              <a16:creationId xmlns:a16="http://schemas.microsoft.com/office/drawing/2014/main" id="{00000000-0008-0000-0800-0000BF01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xdr:twoCellAnchor>
  <xdr:twoCellAnchor>
    <xdr:from>
      <xdr:col>54</xdr:col>
      <xdr:colOff>190500</xdr:colOff>
      <xdr:row>57</xdr:row>
      <xdr:rowOff>60960</xdr:rowOff>
    </xdr:from>
    <xdr:to>
      <xdr:col>54</xdr:col>
      <xdr:colOff>441960</xdr:colOff>
      <xdr:row>67</xdr:row>
      <xdr:rowOff>182880</xdr:rowOff>
    </xdr:to>
    <xdr:sp macro="" textlink="">
      <xdr:nvSpPr>
        <xdr:cNvPr id="448" name="Accolade fermante 447">
          <a:extLst>
            <a:ext uri="{FF2B5EF4-FFF2-40B4-BE49-F238E27FC236}">
              <a16:creationId xmlns:a16="http://schemas.microsoft.com/office/drawing/2014/main" id="{00000000-0008-0000-0800-0000C001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xdr:twoCellAnchor>
  <xdr:twoCellAnchor>
    <xdr:from>
      <xdr:col>57</xdr:col>
      <xdr:colOff>190500</xdr:colOff>
      <xdr:row>63</xdr:row>
      <xdr:rowOff>60960</xdr:rowOff>
    </xdr:from>
    <xdr:to>
      <xdr:col>57</xdr:col>
      <xdr:colOff>441960</xdr:colOff>
      <xdr:row>73</xdr:row>
      <xdr:rowOff>182880</xdr:rowOff>
    </xdr:to>
    <xdr:sp macro="" textlink="">
      <xdr:nvSpPr>
        <xdr:cNvPr id="449" name="Accolade fermante 448">
          <a:extLst>
            <a:ext uri="{FF2B5EF4-FFF2-40B4-BE49-F238E27FC236}">
              <a16:creationId xmlns:a16="http://schemas.microsoft.com/office/drawing/2014/main" id="{00000000-0008-0000-0800-0000C101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xdr:twoCellAnchor>
  <xdr:twoCellAnchor>
    <xdr:from>
      <xdr:col>54</xdr:col>
      <xdr:colOff>190500</xdr:colOff>
      <xdr:row>57</xdr:row>
      <xdr:rowOff>60960</xdr:rowOff>
    </xdr:from>
    <xdr:to>
      <xdr:col>54</xdr:col>
      <xdr:colOff>441960</xdr:colOff>
      <xdr:row>67</xdr:row>
      <xdr:rowOff>182880</xdr:rowOff>
    </xdr:to>
    <xdr:sp macro="" textlink="">
      <xdr:nvSpPr>
        <xdr:cNvPr id="450" name="Accolade fermante 449">
          <a:extLst>
            <a:ext uri="{FF2B5EF4-FFF2-40B4-BE49-F238E27FC236}">
              <a16:creationId xmlns:a16="http://schemas.microsoft.com/office/drawing/2014/main" id="{00000000-0008-0000-0800-0000C201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xdr:twoCellAnchor>
  <xdr:twoCellAnchor>
    <xdr:from>
      <xdr:col>57</xdr:col>
      <xdr:colOff>190500</xdr:colOff>
      <xdr:row>63</xdr:row>
      <xdr:rowOff>60960</xdr:rowOff>
    </xdr:from>
    <xdr:to>
      <xdr:col>57</xdr:col>
      <xdr:colOff>441960</xdr:colOff>
      <xdr:row>73</xdr:row>
      <xdr:rowOff>182880</xdr:rowOff>
    </xdr:to>
    <xdr:sp macro="" textlink="">
      <xdr:nvSpPr>
        <xdr:cNvPr id="451" name="Accolade fermante 450">
          <a:extLst>
            <a:ext uri="{FF2B5EF4-FFF2-40B4-BE49-F238E27FC236}">
              <a16:creationId xmlns:a16="http://schemas.microsoft.com/office/drawing/2014/main" id="{00000000-0008-0000-0800-0000C301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xdr:twoCellAnchor>
  <xdr:twoCellAnchor>
    <xdr:from>
      <xdr:col>54</xdr:col>
      <xdr:colOff>190500</xdr:colOff>
      <xdr:row>57</xdr:row>
      <xdr:rowOff>60960</xdr:rowOff>
    </xdr:from>
    <xdr:to>
      <xdr:col>54</xdr:col>
      <xdr:colOff>441960</xdr:colOff>
      <xdr:row>67</xdr:row>
      <xdr:rowOff>182880</xdr:rowOff>
    </xdr:to>
    <xdr:sp macro="" textlink="">
      <xdr:nvSpPr>
        <xdr:cNvPr id="452" name="Accolade fermante 451">
          <a:extLst>
            <a:ext uri="{FF2B5EF4-FFF2-40B4-BE49-F238E27FC236}">
              <a16:creationId xmlns:a16="http://schemas.microsoft.com/office/drawing/2014/main" id="{00000000-0008-0000-0800-0000C401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xdr:twoCellAnchor>
  <xdr:twoCellAnchor>
    <xdr:from>
      <xdr:col>57</xdr:col>
      <xdr:colOff>190500</xdr:colOff>
      <xdr:row>63</xdr:row>
      <xdr:rowOff>60960</xdr:rowOff>
    </xdr:from>
    <xdr:to>
      <xdr:col>57</xdr:col>
      <xdr:colOff>441960</xdr:colOff>
      <xdr:row>73</xdr:row>
      <xdr:rowOff>182880</xdr:rowOff>
    </xdr:to>
    <xdr:sp macro="" textlink="">
      <xdr:nvSpPr>
        <xdr:cNvPr id="453" name="Accolade fermante 452">
          <a:extLst>
            <a:ext uri="{FF2B5EF4-FFF2-40B4-BE49-F238E27FC236}">
              <a16:creationId xmlns:a16="http://schemas.microsoft.com/office/drawing/2014/main" id="{00000000-0008-0000-0800-0000C501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xdr:twoCellAnchor>
  <xdr:twoCellAnchor>
    <xdr:from>
      <xdr:col>54</xdr:col>
      <xdr:colOff>190500</xdr:colOff>
      <xdr:row>57</xdr:row>
      <xdr:rowOff>60960</xdr:rowOff>
    </xdr:from>
    <xdr:to>
      <xdr:col>54</xdr:col>
      <xdr:colOff>441960</xdr:colOff>
      <xdr:row>67</xdr:row>
      <xdr:rowOff>182880</xdr:rowOff>
    </xdr:to>
    <xdr:sp macro="" textlink="">
      <xdr:nvSpPr>
        <xdr:cNvPr id="454" name="Accolade fermante 453">
          <a:extLst>
            <a:ext uri="{FF2B5EF4-FFF2-40B4-BE49-F238E27FC236}">
              <a16:creationId xmlns:a16="http://schemas.microsoft.com/office/drawing/2014/main" id="{00000000-0008-0000-0800-0000C601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xdr:twoCellAnchor>
  <xdr:twoCellAnchor>
    <xdr:from>
      <xdr:col>57</xdr:col>
      <xdr:colOff>190500</xdr:colOff>
      <xdr:row>63</xdr:row>
      <xdr:rowOff>60960</xdr:rowOff>
    </xdr:from>
    <xdr:to>
      <xdr:col>57</xdr:col>
      <xdr:colOff>441960</xdr:colOff>
      <xdr:row>73</xdr:row>
      <xdr:rowOff>182880</xdr:rowOff>
    </xdr:to>
    <xdr:sp macro="" textlink="">
      <xdr:nvSpPr>
        <xdr:cNvPr id="455" name="Accolade fermante 454">
          <a:extLst>
            <a:ext uri="{FF2B5EF4-FFF2-40B4-BE49-F238E27FC236}">
              <a16:creationId xmlns:a16="http://schemas.microsoft.com/office/drawing/2014/main" id="{00000000-0008-0000-0800-0000C701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xdr:twoCellAnchor>
  <xdr:twoCellAnchor>
    <xdr:from>
      <xdr:col>54</xdr:col>
      <xdr:colOff>190500</xdr:colOff>
      <xdr:row>57</xdr:row>
      <xdr:rowOff>60960</xdr:rowOff>
    </xdr:from>
    <xdr:to>
      <xdr:col>54</xdr:col>
      <xdr:colOff>441960</xdr:colOff>
      <xdr:row>67</xdr:row>
      <xdr:rowOff>182880</xdr:rowOff>
    </xdr:to>
    <xdr:sp macro="" textlink="">
      <xdr:nvSpPr>
        <xdr:cNvPr id="456" name="Accolade fermante 455">
          <a:extLst>
            <a:ext uri="{FF2B5EF4-FFF2-40B4-BE49-F238E27FC236}">
              <a16:creationId xmlns:a16="http://schemas.microsoft.com/office/drawing/2014/main" id="{00000000-0008-0000-0800-0000C801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xdr:twoCellAnchor>
  <xdr:twoCellAnchor>
    <xdr:from>
      <xdr:col>57</xdr:col>
      <xdr:colOff>190500</xdr:colOff>
      <xdr:row>63</xdr:row>
      <xdr:rowOff>60960</xdr:rowOff>
    </xdr:from>
    <xdr:to>
      <xdr:col>57</xdr:col>
      <xdr:colOff>441960</xdr:colOff>
      <xdr:row>73</xdr:row>
      <xdr:rowOff>182880</xdr:rowOff>
    </xdr:to>
    <xdr:sp macro="" textlink="">
      <xdr:nvSpPr>
        <xdr:cNvPr id="457" name="Accolade fermante 456">
          <a:extLst>
            <a:ext uri="{FF2B5EF4-FFF2-40B4-BE49-F238E27FC236}">
              <a16:creationId xmlns:a16="http://schemas.microsoft.com/office/drawing/2014/main" id="{00000000-0008-0000-0800-0000C901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xdr:twoCellAnchor>
  <xdr:twoCellAnchor>
    <xdr:from>
      <xdr:col>54</xdr:col>
      <xdr:colOff>190500</xdr:colOff>
      <xdr:row>57</xdr:row>
      <xdr:rowOff>60960</xdr:rowOff>
    </xdr:from>
    <xdr:to>
      <xdr:col>54</xdr:col>
      <xdr:colOff>441960</xdr:colOff>
      <xdr:row>67</xdr:row>
      <xdr:rowOff>182880</xdr:rowOff>
    </xdr:to>
    <xdr:sp macro="" textlink="">
      <xdr:nvSpPr>
        <xdr:cNvPr id="458" name="Accolade fermante 457">
          <a:extLst>
            <a:ext uri="{FF2B5EF4-FFF2-40B4-BE49-F238E27FC236}">
              <a16:creationId xmlns:a16="http://schemas.microsoft.com/office/drawing/2014/main" id="{00000000-0008-0000-0800-0000CA01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xdr:twoCellAnchor>
  <xdr:twoCellAnchor>
    <xdr:from>
      <xdr:col>57</xdr:col>
      <xdr:colOff>190500</xdr:colOff>
      <xdr:row>63</xdr:row>
      <xdr:rowOff>60960</xdr:rowOff>
    </xdr:from>
    <xdr:to>
      <xdr:col>57</xdr:col>
      <xdr:colOff>441960</xdr:colOff>
      <xdr:row>73</xdr:row>
      <xdr:rowOff>182880</xdr:rowOff>
    </xdr:to>
    <xdr:sp macro="" textlink="">
      <xdr:nvSpPr>
        <xdr:cNvPr id="459" name="Accolade fermante 458">
          <a:extLst>
            <a:ext uri="{FF2B5EF4-FFF2-40B4-BE49-F238E27FC236}">
              <a16:creationId xmlns:a16="http://schemas.microsoft.com/office/drawing/2014/main" id="{00000000-0008-0000-0800-0000CB01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xdr:twoCellAnchor>
  <xdr:twoCellAnchor>
    <xdr:from>
      <xdr:col>54</xdr:col>
      <xdr:colOff>190500</xdr:colOff>
      <xdr:row>57</xdr:row>
      <xdr:rowOff>60960</xdr:rowOff>
    </xdr:from>
    <xdr:to>
      <xdr:col>54</xdr:col>
      <xdr:colOff>441960</xdr:colOff>
      <xdr:row>67</xdr:row>
      <xdr:rowOff>182880</xdr:rowOff>
    </xdr:to>
    <xdr:sp macro="" textlink="">
      <xdr:nvSpPr>
        <xdr:cNvPr id="460" name="Accolade fermante 459">
          <a:extLst>
            <a:ext uri="{FF2B5EF4-FFF2-40B4-BE49-F238E27FC236}">
              <a16:creationId xmlns:a16="http://schemas.microsoft.com/office/drawing/2014/main" id="{00000000-0008-0000-0800-0000CC01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xdr:twoCellAnchor>
  <xdr:twoCellAnchor>
    <xdr:from>
      <xdr:col>57</xdr:col>
      <xdr:colOff>190500</xdr:colOff>
      <xdr:row>63</xdr:row>
      <xdr:rowOff>60960</xdr:rowOff>
    </xdr:from>
    <xdr:to>
      <xdr:col>57</xdr:col>
      <xdr:colOff>441960</xdr:colOff>
      <xdr:row>73</xdr:row>
      <xdr:rowOff>182880</xdr:rowOff>
    </xdr:to>
    <xdr:sp macro="" textlink="">
      <xdr:nvSpPr>
        <xdr:cNvPr id="461" name="Accolade fermante 460">
          <a:extLst>
            <a:ext uri="{FF2B5EF4-FFF2-40B4-BE49-F238E27FC236}">
              <a16:creationId xmlns:a16="http://schemas.microsoft.com/office/drawing/2014/main" id="{00000000-0008-0000-0800-0000CD01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xdr:twoCellAnchor>
  <xdr:twoCellAnchor>
    <xdr:from>
      <xdr:col>54</xdr:col>
      <xdr:colOff>190500</xdr:colOff>
      <xdr:row>57</xdr:row>
      <xdr:rowOff>60960</xdr:rowOff>
    </xdr:from>
    <xdr:to>
      <xdr:col>54</xdr:col>
      <xdr:colOff>441960</xdr:colOff>
      <xdr:row>67</xdr:row>
      <xdr:rowOff>182880</xdr:rowOff>
    </xdr:to>
    <xdr:sp macro="" textlink="">
      <xdr:nvSpPr>
        <xdr:cNvPr id="462" name="Accolade fermante 461">
          <a:extLst>
            <a:ext uri="{FF2B5EF4-FFF2-40B4-BE49-F238E27FC236}">
              <a16:creationId xmlns:a16="http://schemas.microsoft.com/office/drawing/2014/main" id="{00000000-0008-0000-0800-0000CE01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xdr:twoCellAnchor>
  <xdr:twoCellAnchor>
    <xdr:from>
      <xdr:col>57</xdr:col>
      <xdr:colOff>190500</xdr:colOff>
      <xdr:row>63</xdr:row>
      <xdr:rowOff>60960</xdr:rowOff>
    </xdr:from>
    <xdr:to>
      <xdr:col>57</xdr:col>
      <xdr:colOff>441960</xdr:colOff>
      <xdr:row>73</xdr:row>
      <xdr:rowOff>182880</xdr:rowOff>
    </xdr:to>
    <xdr:sp macro="" textlink="">
      <xdr:nvSpPr>
        <xdr:cNvPr id="463" name="Accolade fermante 462">
          <a:extLst>
            <a:ext uri="{FF2B5EF4-FFF2-40B4-BE49-F238E27FC236}">
              <a16:creationId xmlns:a16="http://schemas.microsoft.com/office/drawing/2014/main" id="{00000000-0008-0000-0800-0000CF01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xdr:twoCellAnchor>
  <xdr:twoCellAnchor>
    <xdr:from>
      <xdr:col>54</xdr:col>
      <xdr:colOff>190500</xdr:colOff>
      <xdr:row>57</xdr:row>
      <xdr:rowOff>60960</xdr:rowOff>
    </xdr:from>
    <xdr:to>
      <xdr:col>54</xdr:col>
      <xdr:colOff>441960</xdr:colOff>
      <xdr:row>67</xdr:row>
      <xdr:rowOff>182880</xdr:rowOff>
    </xdr:to>
    <xdr:sp macro="" textlink="">
      <xdr:nvSpPr>
        <xdr:cNvPr id="464" name="Accolade fermante 463">
          <a:extLst>
            <a:ext uri="{FF2B5EF4-FFF2-40B4-BE49-F238E27FC236}">
              <a16:creationId xmlns:a16="http://schemas.microsoft.com/office/drawing/2014/main" id="{00000000-0008-0000-0800-0000D0010000}"/>
            </a:ext>
          </a:extLst>
        </xdr:cNvPr>
        <xdr:cNvSpPr/>
      </xdr:nvSpPr>
      <xdr:spPr>
        <a:xfrm>
          <a:off x="366236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xdr:twoCellAnchor>
  <xdr:twoCellAnchor>
    <xdr:from>
      <xdr:col>57</xdr:col>
      <xdr:colOff>190500</xdr:colOff>
      <xdr:row>63</xdr:row>
      <xdr:rowOff>60960</xdr:rowOff>
    </xdr:from>
    <xdr:to>
      <xdr:col>57</xdr:col>
      <xdr:colOff>441960</xdr:colOff>
      <xdr:row>73</xdr:row>
      <xdr:rowOff>182880</xdr:rowOff>
    </xdr:to>
    <xdr:sp macro="" textlink="">
      <xdr:nvSpPr>
        <xdr:cNvPr id="465" name="Accolade fermante 464">
          <a:extLst>
            <a:ext uri="{FF2B5EF4-FFF2-40B4-BE49-F238E27FC236}">
              <a16:creationId xmlns:a16="http://schemas.microsoft.com/office/drawing/2014/main" id="{00000000-0008-0000-0800-0000D1010000}"/>
            </a:ext>
          </a:extLst>
        </xdr:cNvPr>
        <xdr:cNvSpPr/>
      </xdr:nvSpPr>
      <xdr:spPr>
        <a:xfrm>
          <a:off x="38538150"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54</xdr:col>
      <xdr:colOff>190500</xdr:colOff>
      <xdr:row>57</xdr:row>
      <xdr:rowOff>60960</xdr:rowOff>
    </xdr:from>
    <xdr:to>
      <xdr:col>54</xdr:col>
      <xdr:colOff>441960</xdr:colOff>
      <xdr:row>67</xdr:row>
      <xdr:rowOff>182880</xdr:rowOff>
    </xdr:to>
    <xdr:sp macro="" textlink="">
      <xdr:nvSpPr>
        <xdr:cNvPr id="3" name="Accolade fermante 2">
          <a:extLst>
            <a:ext uri="{FF2B5EF4-FFF2-40B4-BE49-F238E27FC236}">
              <a16:creationId xmlns:a16="http://schemas.microsoft.com/office/drawing/2014/main" id="{00000000-0008-0000-0900-000003000000}"/>
            </a:ext>
          </a:extLst>
        </xdr:cNvPr>
        <xdr:cNvSpPr/>
      </xdr:nvSpPr>
      <xdr:spPr>
        <a:xfrm>
          <a:off x="37052250" y="11125200"/>
          <a:ext cx="251460" cy="1525905"/>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xdr:twoCellAnchor>
  <xdr:twoCellAnchor>
    <xdr:from>
      <xdr:col>57</xdr:col>
      <xdr:colOff>190500</xdr:colOff>
      <xdr:row>63</xdr:row>
      <xdr:rowOff>60960</xdr:rowOff>
    </xdr:from>
    <xdr:to>
      <xdr:col>57</xdr:col>
      <xdr:colOff>441960</xdr:colOff>
      <xdr:row>73</xdr:row>
      <xdr:rowOff>182880</xdr:rowOff>
    </xdr:to>
    <xdr:sp macro="" textlink="">
      <xdr:nvSpPr>
        <xdr:cNvPr id="5" name="Accolade fermante 4">
          <a:extLst>
            <a:ext uri="{FF2B5EF4-FFF2-40B4-BE49-F238E27FC236}">
              <a16:creationId xmlns:a16="http://schemas.microsoft.com/office/drawing/2014/main" id="{00000000-0008-0000-0900-000005000000}"/>
            </a:ext>
          </a:extLst>
        </xdr:cNvPr>
        <xdr:cNvSpPr/>
      </xdr:nvSpPr>
      <xdr:spPr>
        <a:xfrm>
          <a:off x="38995350" y="11805285"/>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xdr:twoCellAnchor>
  <xdr:twoCellAnchor>
    <xdr:from>
      <xdr:col>54</xdr:col>
      <xdr:colOff>190500</xdr:colOff>
      <xdr:row>57</xdr:row>
      <xdr:rowOff>60960</xdr:rowOff>
    </xdr:from>
    <xdr:to>
      <xdr:col>54</xdr:col>
      <xdr:colOff>441960</xdr:colOff>
      <xdr:row>67</xdr:row>
      <xdr:rowOff>182880</xdr:rowOff>
    </xdr:to>
    <xdr:sp macro="" textlink="">
      <xdr:nvSpPr>
        <xdr:cNvPr id="7" name="Accolade fermante 6">
          <a:extLst>
            <a:ext uri="{FF2B5EF4-FFF2-40B4-BE49-F238E27FC236}">
              <a16:creationId xmlns:a16="http://schemas.microsoft.com/office/drawing/2014/main" id="{00000000-0008-0000-0900-000007000000}"/>
            </a:ext>
          </a:extLst>
        </xdr:cNvPr>
        <xdr:cNvSpPr/>
      </xdr:nvSpPr>
      <xdr:spPr>
        <a:xfrm>
          <a:off x="30384750" y="11182350"/>
          <a:ext cx="0" cy="1525905"/>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xdr:twoCellAnchor>
  <xdr:twoCellAnchor>
    <xdr:from>
      <xdr:col>57</xdr:col>
      <xdr:colOff>190500</xdr:colOff>
      <xdr:row>63</xdr:row>
      <xdr:rowOff>60960</xdr:rowOff>
    </xdr:from>
    <xdr:to>
      <xdr:col>57</xdr:col>
      <xdr:colOff>441960</xdr:colOff>
      <xdr:row>73</xdr:row>
      <xdr:rowOff>182880</xdr:rowOff>
    </xdr:to>
    <xdr:sp macro="" textlink="">
      <xdr:nvSpPr>
        <xdr:cNvPr id="9" name="Accolade fermante 8">
          <a:extLst>
            <a:ext uri="{FF2B5EF4-FFF2-40B4-BE49-F238E27FC236}">
              <a16:creationId xmlns:a16="http://schemas.microsoft.com/office/drawing/2014/main" id="{00000000-0008-0000-0900-000009000000}"/>
            </a:ext>
          </a:extLst>
        </xdr:cNvPr>
        <xdr:cNvSpPr/>
      </xdr:nvSpPr>
      <xdr:spPr>
        <a:xfrm>
          <a:off x="30384750" y="11862435"/>
          <a:ext cx="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xdr:twoCellAnchor>
  <xdr:twoCellAnchor>
    <xdr:from>
      <xdr:col>54</xdr:col>
      <xdr:colOff>190500</xdr:colOff>
      <xdr:row>57</xdr:row>
      <xdr:rowOff>60960</xdr:rowOff>
    </xdr:from>
    <xdr:to>
      <xdr:col>54</xdr:col>
      <xdr:colOff>441960</xdr:colOff>
      <xdr:row>67</xdr:row>
      <xdr:rowOff>182880</xdr:rowOff>
    </xdr:to>
    <xdr:sp macro="" textlink="">
      <xdr:nvSpPr>
        <xdr:cNvPr id="20" name="Accolade fermante 19">
          <a:extLst>
            <a:ext uri="{FF2B5EF4-FFF2-40B4-BE49-F238E27FC236}">
              <a16:creationId xmlns:a16="http://schemas.microsoft.com/office/drawing/2014/main" id="{00000000-0008-0000-0900-000014000000}"/>
            </a:ext>
          </a:extLst>
        </xdr:cNvPr>
        <xdr:cNvSpPr/>
      </xdr:nvSpPr>
      <xdr:spPr>
        <a:xfrm>
          <a:off x="30384750" y="11182350"/>
          <a:ext cx="0" cy="1525905"/>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xdr:twoCellAnchor>
  <xdr:twoCellAnchor>
    <xdr:from>
      <xdr:col>57</xdr:col>
      <xdr:colOff>190500</xdr:colOff>
      <xdr:row>63</xdr:row>
      <xdr:rowOff>60960</xdr:rowOff>
    </xdr:from>
    <xdr:to>
      <xdr:col>57</xdr:col>
      <xdr:colOff>441960</xdr:colOff>
      <xdr:row>73</xdr:row>
      <xdr:rowOff>182880</xdr:rowOff>
    </xdr:to>
    <xdr:sp macro="" textlink="">
      <xdr:nvSpPr>
        <xdr:cNvPr id="22" name="Accolade fermante 21">
          <a:extLst>
            <a:ext uri="{FF2B5EF4-FFF2-40B4-BE49-F238E27FC236}">
              <a16:creationId xmlns:a16="http://schemas.microsoft.com/office/drawing/2014/main" id="{00000000-0008-0000-0900-000016000000}"/>
            </a:ext>
          </a:extLst>
        </xdr:cNvPr>
        <xdr:cNvSpPr/>
      </xdr:nvSpPr>
      <xdr:spPr>
        <a:xfrm>
          <a:off x="30384750" y="11862435"/>
          <a:ext cx="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xdr:twoCellAnchor>
  <xdr:twoCellAnchor>
    <xdr:from>
      <xdr:col>54</xdr:col>
      <xdr:colOff>190500</xdr:colOff>
      <xdr:row>57</xdr:row>
      <xdr:rowOff>60960</xdr:rowOff>
    </xdr:from>
    <xdr:to>
      <xdr:col>54</xdr:col>
      <xdr:colOff>441960</xdr:colOff>
      <xdr:row>67</xdr:row>
      <xdr:rowOff>182880</xdr:rowOff>
    </xdr:to>
    <xdr:sp macro="" textlink="">
      <xdr:nvSpPr>
        <xdr:cNvPr id="34" name="Accolade fermante 33">
          <a:extLst>
            <a:ext uri="{FF2B5EF4-FFF2-40B4-BE49-F238E27FC236}">
              <a16:creationId xmlns:a16="http://schemas.microsoft.com/office/drawing/2014/main" id="{00000000-0008-0000-0900-000022000000}"/>
            </a:ext>
          </a:extLst>
        </xdr:cNvPr>
        <xdr:cNvSpPr/>
      </xdr:nvSpPr>
      <xdr:spPr>
        <a:xfrm>
          <a:off x="30451425" y="11163300"/>
          <a:ext cx="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xdr:twoCellAnchor>
  <xdr:twoCellAnchor>
    <xdr:from>
      <xdr:col>57</xdr:col>
      <xdr:colOff>190500</xdr:colOff>
      <xdr:row>63</xdr:row>
      <xdr:rowOff>60960</xdr:rowOff>
    </xdr:from>
    <xdr:to>
      <xdr:col>57</xdr:col>
      <xdr:colOff>441960</xdr:colOff>
      <xdr:row>73</xdr:row>
      <xdr:rowOff>182880</xdr:rowOff>
    </xdr:to>
    <xdr:sp macro="" textlink="">
      <xdr:nvSpPr>
        <xdr:cNvPr id="36" name="Accolade fermante 35">
          <a:extLst>
            <a:ext uri="{FF2B5EF4-FFF2-40B4-BE49-F238E27FC236}">
              <a16:creationId xmlns:a16="http://schemas.microsoft.com/office/drawing/2014/main" id="{00000000-0008-0000-0900-000024000000}"/>
            </a:ext>
          </a:extLst>
        </xdr:cNvPr>
        <xdr:cNvSpPr/>
      </xdr:nvSpPr>
      <xdr:spPr>
        <a:xfrm>
          <a:off x="30451425" y="11776710"/>
          <a:ext cx="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xdr:twoCellAnchor>
  <xdr:twoCellAnchor>
    <xdr:from>
      <xdr:col>54</xdr:col>
      <xdr:colOff>190500</xdr:colOff>
      <xdr:row>57</xdr:row>
      <xdr:rowOff>60960</xdr:rowOff>
    </xdr:from>
    <xdr:to>
      <xdr:col>54</xdr:col>
      <xdr:colOff>441960</xdr:colOff>
      <xdr:row>67</xdr:row>
      <xdr:rowOff>182880</xdr:rowOff>
    </xdr:to>
    <xdr:sp macro="" textlink="">
      <xdr:nvSpPr>
        <xdr:cNvPr id="47" name="Accolade fermante 46">
          <a:extLst>
            <a:ext uri="{FF2B5EF4-FFF2-40B4-BE49-F238E27FC236}">
              <a16:creationId xmlns:a16="http://schemas.microsoft.com/office/drawing/2014/main" id="{00000000-0008-0000-0900-00002F000000}"/>
            </a:ext>
          </a:extLst>
        </xdr:cNvPr>
        <xdr:cNvSpPr/>
      </xdr:nvSpPr>
      <xdr:spPr>
        <a:xfrm>
          <a:off x="30451425" y="11163300"/>
          <a:ext cx="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xdr:twoCellAnchor>
  <xdr:twoCellAnchor>
    <xdr:from>
      <xdr:col>57</xdr:col>
      <xdr:colOff>190500</xdr:colOff>
      <xdr:row>63</xdr:row>
      <xdr:rowOff>60960</xdr:rowOff>
    </xdr:from>
    <xdr:to>
      <xdr:col>57</xdr:col>
      <xdr:colOff>441960</xdr:colOff>
      <xdr:row>73</xdr:row>
      <xdr:rowOff>182880</xdr:rowOff>
    </xdr:to>
    <xdr:sp macro="" textlink="">
      <xdr:nvSpPr>
        <xdr:cNvPr id="49" name="Accolade fermante 48">
          <a:extLst>
            <a:ext uri="{FF2B5EF4-FFF2-40B4-BE49-F238E27FC236}">
              <a16:creationId xmlns:a16="http://schemas.microsoft.com/office/drawing/2014/main" id="{00000000-0008-0000-0900-000031000000}"/>
            </a:ext>
          </a:extLst>
        </xdr:cNvPr>
        <xdr:cNvSpPr/>
      </xdr:nvSpPr>
      <xdr:spPr>
        <a:xfrm>
          <a:off x="30451425" y="11776710"/>
          <a:ext cx="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xdr:twoCellAnchor>
  <xdr:twoCellAnchor>
    <xdr:from>
      <xdr:col>54</xdr:col>
      <xdr:colOff>190500</xdr:colOff>
      <xdr:row>57</xdr:row>
      <xdr:rowOff>60960</xdr:rowOff>
    </xdr:from>
    <xdr:to>
      <xdr:col>54</xdr:col>
      <xdr:colOff>441960</xdr:colOff>
      <xdr:row>67</xdr:row>
      <xdr:rowOff>182880</xdr:rowOff>
    </xdr:to>
    <xdr:sp macro="" textlink="">
      <xdr:nvSpPr>
        <xdr:cNvPr id="24" name="Accolade fermante 23">
          <a:extLst>
            <a:ext uri="{FF2B5EF4-FFF2-40B4-BE49-F238E27FC236}">
              <a16:creationId xmlns:a16="http://schemas.microsoft.com/office/drawing/2014/main" id="{00000000-0008-0000-0900-000018000000}"/>
            </a:ext>
          </a:extLst>
        </xdr:cNvPr>
        <xdr:cNvSpPr/>
      </xdr:nvSpPr>
      <xdr:spPr>
        <a:xfrm>
          <a:off x="372713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xdr:twoCellAnchor>
  <xdr:twoCellAnchor>
    <xdr:from>
      <xdr:col>57</xdr:col>
      <xdr:colOff>190500</xdr:colOff>
      <xdr:row>63</xdr:row>
      <xdr:rowOff>60960</xdr:rowOff>
    </xdr:from>
    <xdr:to>
      <xdr:col>57</xdr:col>
      <xdr:colOff>441960</xdr:colOff>
      <xdr:row>73</xdr:row>
      <xdr:rowOff>182880</xdr:rowOff>
    </xdr:to>
    <xdr:sp macro="" textlink="">
      <xdr:nvSpPr>
        <xdr:cNvPr id="25" name="Accolade fermante 24">
          <a:extLst>
            <a:ext uri="{FF2B5EF4-FFF2-40B4-BE49-F238E27FC236}">
              <a16:creationId xmlns:a16="http://schemas.microsoft.com/office/drawing/2014/main" id="{00000000-0008-0000-0900-000019000000}"/>
            </a:ext>
          </a:extLst>
        </xdr:cNvPr>
        <xdr:cNvSpPr/>
      </xdr:nvSpPr>
      <xdr:spPr>
        <a:xfrm>
          <a:off x="39214425"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xdr:twoCellAnchor>
  <xdr:twoCellAnchor>
    <xdr:from>
      <xdr:col>54</xdr:col>
      <xdr:colOff>190500</xdr:colOff>
      <xdr:row>57</xdr:row>
      <xdr:rowOff>60960</xdr:rowOff>
    </xdr:from>
    <xdr:to>
      <xdr:col>54</xdr:col>
      <xdr:colOff>441960</xdr:colOff>
      <xdr:row>67</xdr:row>
      <xdr:rowOff>182880</xdr:rowOff>
    </xdr:to>
    <xdr:sp macro="" textlink="">
      <xdr:nvSpPr>
        <xdr:cNvPr id="26" name="Accolade fermante 25">
          <a:extLst>
            <a:ext uri="{FF2B5EF4-FFF2-40B4-BE49-F238E27FC236}">
              <a16:creationId xmlns:a16="http://schemas.microsoft.com/office/drawing/2014/main" id="{00000000-0008-0000-0900-00001A000000}"/>
            </a:ext>
          </a:extLst>
        </xdr:cNvPr>
        <xdr:cNvSpPr/>
      </xdr:nvSpPr>
      <xdr:spPr>
        <a:xfrm>
          <a:off x="372713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xdr:twoCellAnchor>
  <xdr:twoCellAnchor>
    <xdr:from>
      <xdr:col>57</xdr:col>
      <xdr:colOff>190500</xdr:colOff>
      <xdr:row>63</xdr:row>
      <xdr:rowOff>60960</xdr:rowOff>
    </xdr:from>
    <xdr:to>
      <xdr:col>57</xdr:col>
      <xdr:colOff>441960</xdr:colOff>
      <xdr:row>73</xdr:row>
      <xdr:rowOff>182880</xdr:rowOff>
    </xdr:to>
    <xdr:sp macro="" textlink="">
      <xdr:nvSpPr>
        <xdr:cNvPr id="27" name="Accolade fermante 26">
          <a:extLst>
            <a:ext uri="{FF2B5EF4-FFF2-40B4-BE49-F238E27FC236}">
              <a16:creationId xmlns:a16="http://schemas.microsoft.com/office/drawing/2014/main" id="{00000000-0008-0000-0900-00001B000000}"/>
            </a:ext>
          </a:extLst>
        </xdr:cNvPr>
        <xdr:cNvSpPr/>
      </xdr:nvSpPr>
      <xdr:spPr>
        <a:xfrm>
          <a:off x="39214425"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xdr:twoCellAnchor>
  <xdr:twoCellAnchor>
    <xdr:from>
      <xdr:col>54</xdr:col>
      <xdr:colOff>190500</xdr:colOff>
      <xdr:row>57</xdr:row>
      <xdr:rowOff>60960</xdr:rowOff>
    </xdr:from>
    <xdr:to>
      <xdr:col>54</xdr:col>
      <xdr:colOff>441960</xdr:colOff>
      <xdr:row>67</xdr:row>
      <xdr:rowOff>182880</xdr:rowOff>
    </xdr:to>
    <xdr:sp macro="" textlink="">
      <xdr:nvSpPr>
        <xdr:cNvPr id="28" name="Accolade fermante 27">
          <a:extLst>
            <a:ext uri="{FF2B5EF4-FFF2-40B4-BE49-F238E27FC236}">
              <a16:creationId xmlns:a16="http://schemas.microsoft.com/office/drawing/2014/main" id="{00000000-0008-0000-0900-00001C000000}"/>
            </a:ext>
          </a:extLst>
        </xdr:cNvPr>
        <xdr:cNvSpPr/>
      </xdr:nvSpPr>
      <xdr:spPr>
        <a:xfrm>
          <a:off x="372713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xdr:twoCellAnchor>
  <xdr:twoCellAnchor>
    <xdr:from>
      <xdr:col>57</xdr:col>
      <xdr:colOff>190500</xdr:colOff>
      <xdr:row>63</xdr:row>
      <xdr:rowOff>60960</xdr:rowOff>
    </xdr:from>
    <xdr:to>
      <xdr:col>57</xdr:col>
      <xdr:colOff>441960</xdr:colOff>
      <xdr:row>73</xdr:row>
      <xdr:rowOff>182880</xdr:rowOff>
    </xdr:to>
    <xdr:sp macro="" textlink="">
      <xdr:nvSpPr>
        <xdr:cNvPr id="29" name="Accolade fermante 28">
          <a:extLst>
            <a:ext uri="{FF2B5EF4-FFF2-40B4-BE49-F238E27FC236}">
              <a16:creationId xmlns:a16="http://schemas.microsoft.com/office/drawing/2014/main" id="{00000000-0008-0000-0900-00001D000000}"/>
            </a:ext>
          </a:extLst>
        </xdr:cNvPr>
        <xdr:cNvSpPr/>
      </xdr:nvSpPr>
      <xdr:spPr>
        <a:xfrm>
          <a:off x="39214425"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xdr:twoCellAnchor>
  <xdr:twoCellAnchor>
    <xdr:from>
      <xdr:col>54</xdr:col>
      <xdr:colOff>190500</xdr:colOff>
      <xdr:row>57</xdr:row>
      <xdr:rowOff>60960</xdr:rowOff>
    </xdr:from>
    <xdr:to>
      <xdr:col>54</xdr:col>
      <xdr:colOff>441960</xdr:colOff>
      <xdr:row>67</xdr:row>
      <xdr:rowOff>182880</xdr:rowOff>
    </xdr:to>
    <xdr:sp macro="" textlink="">
      <xdr:nvSpPr>
        <xdr:cNvPr id="30" name="Accolade fermante 29">
          <a:extLst>
            <a:ext uri="{FF2B5EF4-FFF2-40B4-BE49-F238E27FC236}">
              <a16:creationId xmlns:a16="http://schemas.microsoft.com/office/drawing/2014/main" id="{00000000-0008-0000-0900-00001E000000}"/>
            </a:ext>
          </a:extLst>
        </xdr:cNvPr>
        <xdr:cNvSpPr/>
      </xdr:nvSpPr>
      <xdr:spPr>
        <a:xfrm>
          <a:off x="372713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xdr:twoCellAnchor>
  <xdr:twoCellAnchor>
    <xdr:from>
      <xdr:col>57</xdr:col>
      <xdr:colOff>190500</xdr:colOff>
      <xdr:row>63</xdr:row>
      <xdr:rowOff>60960</xdr:rowOff>
    </xdr:from>
    <xdr:to>
      <xdr:col>57</xdr:col>
      <xdr:colOff>441960</xdr:colOff>
      <xdr:row>73</xdr:row>
      <xdr:rowOff>182880</xdr:rowOff>
    </xdr:to>
    <xdr:sp macro="" textlink="">
      <xdr:nvSpPr>
        <xdr:cNvPr id="31" name="Accolade fermante 30">
          <a:extLst>
            <a:ext uri="{FF2B5EF4-FFF2-40B4-BE49-F238E27FC236}">
              <a16:creationId xmlns:a16="http://schemas.microsoft.com/office/drawing/2014/main" id="{00000000-0008-0000-0900-00001F000000}"/>
            </a:ext>
          </a:extLst>
        </xdr:cNvPr>
        <xdr:cNvSpPr/>
      </xdr:nvSpPr>
      <xdr:spPr>
        <a:xfrm>
          <a:off x="39214425"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xdr:twoCellAnchor>
  <xdr:twoCellAnchor>
    <xdr:from>
      <xdr:col>54</xdr:col>
      <xdr:colOff>190500</xdr:colOff>
      <xdr:row>57</xdr:row>
      <xdr:rowOff>60960</xdr:rowOff>
    </xdr:from>
    <xdr:to>
      <xdr:col>54</xdr:col>
      <xdr:colOff>441960</xdr:colOff>
      <xdr:row>67</xdr:row>
      <xdr:rowOff>182880</xdr:rowOff>
    </xdr:to>
    <xdr:sp macro="" textlink="">
      <xdr:nvSpPr>
        <xdr:cNvPr id="32" name="Accolade fermante 31">
          <a:extLst>
            <a:ext uri="{FF2B5EF4-FFF2-40B4-BE49-F238E27FC236}">
              <a16:creationId xmlns:a16="http://schemas.microsoft.com/office/drawing/2014/main" id="{00000000-0008-0000-0900-000020000000}"/>
            </a:ext>
          </a:extLst>
        </xdr:cNvPr>
        <xdr:cNvSpPr/>
      </xdr:nvSpPr>
      <xdr:spPr>
        <a:xfrm>
          <a:off x="372713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xdr:twoCellAnchor>
  <xdr:twoCellAnchor>
    <xdr:from>
      <xdr:col>57</xdr:col>
      <xdr:colOff>190500</xdr:colOff>
      <xdr:row>63</xdr:row>
      <xdr:rowOff>60960</xdr:rowOff>
    </xdr:from>
    <xdr:to>
      <xdr:col>57</xdr:col>
      <xdr:colOff>441960</xdr:colOff>
      <xdr:row>73</xdr:row>
      <xdr:rowOff>182880</xdr:rowOff>
    </xdr:to>
    <xdr:sp macro="" textlink="">
      <xdr:nvSpPr>
        <xdr:cNvPr id="33" name="Accolade fermante 32">
          <a:extLst>
            <a:ext uri="{FF2B5EF4-FFF2-40B4-BE49-F238E27FC236}">
              <a16:creationId xmlns:a16="http://schemas.microsoft.com/office/drawing/2014/main" id="{00000000-0008-0000-0900-000021000000}"/>
            </a:ext>
          </a:extLst>
        </xdr:cNvPr>
        <xdr:cNvSpPr/>
      </xdr:nvSpPr>
      <xdr:spPr>
        <a:xfrm>
          <a:off x="39214425"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xdr:twoCellAnchor>
  <xdr:twoCellAnchor>
    <xdr:from>
      <xdr:col>54</xdr:col>
      <xdr:colOff>190500</xdr:colOff>
      <xdr:row>57</xdr:row>
      <xdr:rowOff>60960</xdr:rowOff>
    </xdr:from>
    <xdr:to>
      <xdr:col>54</xdr:col>
      <xdr:colOff>441960</xdr:colOff>
      <xdr:row>67</xdr:row>
      <xdr:rowOff>182880</xdr:rowOff>
    </xdr:to>
    <xdr:sp macro="" textlink="">
      <xdr:nvSpPr>
        <xdr:cNvPr id="38" name="Accolade fermante 37">
          <a:extLst>
            <a:ext uri="{FF2B5EF4-FFF2-40B4-BE49-F238E27FC236}">
              <a16:creationId xmlns:a16="http://schemas.microsoft.com/office/drawing/2014/main" id="{00000000-0008-0000-0900-000026000000}"/>
            </a:ext>
          </a:extLst>
        </xdr:cNvPr>
        <xdr:cNvSpPr/>
      </xdr:nvSpPr>
      <xdr:spPr>
        <a:xfrm>
          <a:off x="372713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xdr:twoCellAnchor>
  <xdr:twoCellAnchor>
    <xdr:from>
      <xdr:col>57</xdr:col>
      <xdr:colOff>190500</xdr:colOff>
      <xdr:row>63</xdr:row>
      <xdr:rowOff>60960</xdr:rowOff>
    </xdr:from>
    <xdr:to>
      <xdr:col>57</xdr:col>
      <xdr:colOff>441960</xdr:colOff>
      <xdr:row>73</xdr:row>
      <xdr:rowOff>182880</xdr:rowOff>
    </xdr:to>
    <xdr:sp macro="" textlink="">
      <xdr:nvSpPr>
        <xdr:cNvPr id="39" name="Accolade fermante 38">
          <a:extLst>
            <a:ext uri="{FF2B5EF4-FFF2-40B4-BE49-F238E27FC236}">
              <a16:creationId xmlns:a16="http://schemas.microsoft.com/office/drawing/2014/main" id="{00000000-0008-0000-0900-000027000000}"/>
            </a:ext>
          </a:extLst>
        </xdr:cNvPr>
        <xdr:cNvSpPr/>
      </xdr:nvSpPr>
      <xdr:spPr>
        <a:xfrm>
          <a:off x="39214425"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xdr:twoCellAnchor>
  <xdr:twoCellAnchor>
    <xdr:from>
      <xdr:col>54</xdr:col>
      <xdr:colOff>190500</xdr:colOff>
      <xdr:row>57</xdr:row>
      <xdr:rowOff>60960</xdr:rowOff>
    </xdr:from>
    <xdr:to>
      <xdr:col>54</xdr:col>
      <xdr:colOff>441960</xdr:colOff>
      <xdr:row>67</xdr:row>
      <xdr:rowOff>182880</xdr:rowOff>
    </xdr:to>
    <xdr:sp macro="" textlink="">
      <xdr:nvSpPr>
        <xdr:cNvPr id="40" name="Accolade fermante 39">
          <a:extLst>
            <a:ext uri="{FF2B5EF4-FFF2-40B4-BE49-F238E27FC236}">
              <a16:creationId xmlns:a16="http://schemas.microsoft.com/office/drawing/2014/main" id="{00000000-0008-0000-0900-000028000000}"/>
            </a:ext>
          </a:extLst>
        </xdr:cNvPr>
        <xdr:cNvSpPr/>
      </xdr:nvSpPr>
      <xdr:spPr>
        <a:xfrm>
          <a:off x="372713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xdr:twoCellAnchor>
  <xdr:twoCellAnchor>
    <xdr:from>
      <xdr:col>57</xdr:col>
      <xdr:colOff>190500</xdr:colOff>
      <xdr:row>63</xdr:row>
      <xdr:rowOff>60960</xdr:rowOff>
    </xdr:from>
    <xdr:to>
      <xdr:col>57</xdr:col>
      <xdr:colOff>441960</xdr:colOff>
      <xdr:row>73</xdr:row>
      <xdr:rowOff>182880</xdr:rowOff>
    </xdr:to>
    <xdr:sp macro="" textlink="">
      <xdr:nvSpPr>
        <xdr:cNvPr id="41" name="Accolade fermante 40">
          <a:extLst>
            <a:ext uri="{FF2B5EF4-FFF2-40B4-BE49-F238E27FC236}">
              <a16:creationId xmlns:a16="http://schemas.microsoft.com/office/drawing/2014/main" id="{00000000-0008-0000-0900-000029000000}"/>
            </a:ext>
          </a:extLst>
        </xdr:cNvPr>
        <xdr:cNvSpPr/>
      </xdr:nvSpPr>
      <xdr:spPr>
        <a:xfrm>
          <a:off x="39214425"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xdr:twoCellAnchor>
  <xdr:twoCellAnchor>
    <xdr:from>
      <xdr:col>54</xdr:col>
      <xdr:colOff>190500</xdr:colOff>
      <xdr:row>57</xdr:row>
      <xdr:rowOff>60960</xdr:rowOff>
    </xdr:from>
    <xdr:to>
      <xdr:col>54</xdr:col>
      <xdr:colOff>441960</xdr:colOff>
      <xdr:row>67</xdr:row>
      <xdr:rowOff>182880</xdr:rowOff>
    </xdr:to>
    <xdr:sp macro="" textlink="">
      <xdr:nvSpPr>
        <xdr:cNvPr id="42" name="Accolade fermante 41">
          <a:extLst>
            <a:ext uri="{FF2B5EF4-FFF2-40B4-BE49-F238E27FC236}">
              <a16:creationId xmlns:a16="http://schemas.microsoft.com/office/drawing/2014/main" id="{00000000-0008-0000-0900-00002A000000}"/>
            </a:ext>
          </a:extLst>
        </xdr:cNvPr>
        <xdr:cNvSpPr/>
      </xdr:nvSpPr>
      <xdr:spPr>
        <a:xfrm>
          <a:off x="372713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xdr:twoCellAnchor>
  <xdr:twoCellAnchor>
    <xdr:from>
      <xdr:col>57</xdr:col>
      <xdr:colOff>190500</xdr:colOff>
      <xdr:row>63</xdr:row>
      <xdr:rowOff>60960</xdr:rowOff>
    </xdr:from>
    <xdr:to>
      <xdr:col>57</xdr:col>
      <xdr:colOff>441960</xdr:colOff>
      <xdr:row>73</xdr:row>
      <xdr:rowOff>182880</xdr:rowOff>
    </xdr:to>
    <xdr:sp macro="" textlink="">
      <xdr:nvSpPr>
        <xdr:cNvPr id="43" name="Accolade fermante 42">
          <a:extLst>
            <a:ext uri="{FF2B5EF4-FFF2-40B4-BE49-F238E27FC236}">
              <a16:creationId xmlns:a16="http://schemas.microsoft.com/office/drawing/2014/main" id="{00000000-0008-0000-0900-00002B000000}"/>
            </a:ext>
          </a:extLst>
        </xdr:cNvPr>
        <xdr:cNvSpPr/>
      </xdr:nvSpPr>
      <xdr:spPr>
        <a:xfrm>
          <a:off x="39214425"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xdr:twoCellAnchor>
  <xdr:twoCellAnchor>
    <xdr:from>
      <xdr:col>54</xdr:col>
      <xdr:colOff>190500</xdr:colOff>
      <xdr:row>57</xdr:row>
      <xdr:rowOff>60960</xdr:rowOff>
    </xdr:from>
    <xdr:to>
      <xdr:col>54</xdr:col>
      <xdr:colOff>441960</xdr:colOff>
      <xdr:row>67</xdr:row>
      <xdr:rowOff>182880</xdr:rowOff>
    </xdr:to>
    <xdr:sp macro="" textlink="">
      <xdr:nvSpPr>
        <xdr:cNvPr id="44" name="Accolade fermante 43">
          <a:extLst>
            <a:ext uri="{FF2B5EF4-FFF2-40B4-BE49-F238E27FC236}">
              <a16:creationId xmlns:a16="http://schemas.microsoft.com/office/drawing/2014/main" id="{00000000-0008-0000-0900-00002C000000}"/>
            </a:ext>
          </a:extLst>
        </xdr:cNvPr>
        <xdr:cNvSpPr/>
      </xdr:nvSpPr>
      <xdr:spPr>
        <a:xfrm>
          <a:off x="372713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xdr:twoCellAnchor>
  <xdr:twoCellAnchor>
    <xdr:from>
      <xdr:col>57</xdr:col>
      <xdr:colOff>190500</xdr:colOff>
      <xdr:row>63</xdr:row>
      <xdr:rowOff>60960</xdr:rowOff>
    </xdr:from>
    <xdr:to>
      <xdr:col>57</xdr:col>
      <xdr:colOff>441960</xdr:colOff>
      <xdr:row>73</xdr:row>
      <xdr:rowOff>182880</xdr:rowOff>
    </xdr:to>
    <xdr:sp macro="" textlink="">
      <xdr:nvSpPr>
        <xdr:cNvPr id="45" name="Accolade fermante 44">
          <a:extLst>
            <a:ext uri="{FF2B5EF4-FFF2-40B4-BE49-F238E27FC236}">
              <a16:creationId xmlns:a16="http://schemas.microsoft.com/office/drawing/2014/main" id="{00000000-0008-0000-0900-00002D000000}"/>
            </a:ext>
          </a:extLst>
        </xdr:cNvPr>
        <xdr:cNvSpPr/>
      </xdr:nvSpPr>
      <xdr:spPr>
        <a:xfrm>
          <a:off x="39214425"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xdr:twoCellAnchor>
  <xdr:twoCellAnchor>
    <xdr:from>
      <xdr:col>54</xdr:col>
      <xdr:colOff>190500</xdr:colOff>
      <xdr:row>57</xdr:row>
      <xdr:rowOff>60960</xdr:rowOff>
    </xdr:from>
    <xdr:to>
      <xdr:col>54</xdr:col>
      <xdr:colOff>441960</xdr:colOff>
      <xdr:row>67</xdr:row>
      <xdr:rowOff>182880</xdr:rowOff>
    </xdr:to>
    <xdr:sp macro="" textlink="">
      <xdr:nvSpPr>
        <xdr:cNvPr id="46" name="Accolade fermante 45">
          <a:extLst>
            <a:ext uri="{FF2B5EF4-FFF2-40B4-BE49-F238E27FC236}">
              <a16:creationId xmlns:a16="http://schemas.microsoft.com/office/drawing/2014/main" id="{00000000-0008-0000-0900-00002E000000}"/>
            </a:ext>
          </a:extLst>
        </xdr:cNvPr>
        <xdr:cNvSpPr/>
      </xdr:nvSpPr>
      <xdr:spPr>
        <a:xfrm>
          <a:off x="372713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xdr:twoCellAnchor>
  <xdr:twoCellAnchor>
    <xdr:from>
      <xdr:col>57</xdr:col>
      <xdr:colOff>190500</xdr:colOff>
      <xdr:row>63</xdr:row>
      <xdr:rowOff>60960</xdr:rowOff>
    </xdr:from>
    <xdr:to>
      <xdr:col>57</xdr:col>
      <xdr:colOff>441960</xdr:colOff>
      <xdr:row>73</xdr:row>
      <xdr:rowOff>182880</xdr:rowOff>
    </xdr:to>
    <xdr:sp macro="" textlink="">
      <xdr:nvSpPr>
        <xdr:cNvPr id="51" name="Accolade fermante 50">
          <a:extLst>
            <a:ext uri="{FF2B5EF4-FFF2-40B4-BE49-F238E27FC236}">
              <a16:creationId xmlns:a16="http://schemas.microsoft.com/office/drawing/2014/main" id="{00000000-0008-0000-0900-000033000000}"/>
            </a:ext>
          </a:extLst>
        </xdr:cNvPr>
        <xdr:cNvSpPr/>
      </xdr:nvSpPr>
      <xdr:spPr>
        <a:xfrm>
          <a:off x="39214425"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xdr:twoCellAnchor>
  <xdr:twoCellAnchor>
    <xdr:from>
      <xdr:col>54</xdr:col>
      <xdr:colOff>190500</xdr:colOff>
      <xdr:row>57</xdr:row>
      <xdr:rowOff>60960</xdr:rowOff>
    </xdr:from>
    <xdr:to>
      <xdr:col>54</xdr:col>
      <xdr:colOff>441960</xdr:colOff>
      <xdr:row>67</xdr:row>
      <xdr:rowOff>182880</xdr:rowOff>
    </xdr:to>
    <xdr:sp macro="" textlink="">
      <xdr:nvSpPr>
        <xdr:cNvPr id="52" name="Accolade fermante 51">
          <a:extLst>
            <a:ext uri="{FF2B5EF4-FFF2-40B4-BE49-F238E27FC236}">
              <a16:creationId xmlns:a16="http://schemas.microsoft.com/office/drawing/2014/main" id="{00000000-0008-0000-0900-000034000000}"/>
            </a:ext>
          </a:extLst>
        </xdr:cNvPr>
        <xdr:cNvSpPr/>
      </xdr:nvSpPr>
      <xdr:spPr>
        <a:xfrm>
          <a:off x="372713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xdr:twoCellAnchor>
  <xdr:twoCellAnchor>
    <xdr:from>
      <xdr:col>57</xdr:col>
      <xdr:colOff>190500</xdr:colOff>
      <xdr:row>63</xdr:row>
      <xdr:rowOff>60960</xdr:rowOff>
    </xdr:from>
    <xdr:to>
      <xdr:col>57</xdr:col>
      <xdr:colOff>441960</xdr:colOff>
      <xdr:row>73</xdr:row>
      <xdr:rowOff>182880</xdr:rowOff>
    </xdr:to>
    <xdr:sp macro="" textlink="">
      <xdr:nvSpPr>
        <xdr:cNvPr id="53" name="Accolade fermante 52">
          <a:extLst>
            <a:ext uri="{FF2B5EF4-FFF2-40B4-BE49-F238E27FC236}">
              <a16:creationId xmlns:a16="http://schemas.microsoft.com/office/drawing/2014/main" id="{00000000-0008-0000-0900-000035000000}"/>
            </a:ext>
          </a:extLst>
        </xdr:cNvPr>
        <xdr:cNvSpPr/>
      </xdr:nvSpPr>
      <xdr:spPr>
        <a:xfrm>
          <a:off x="39214425"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xdr:twoCellAnchor>
  <xdr:twoCellAnchor>
    <xdr:from>
      <xdr:col>54</xdr:col>
      <xdr:colOff>190500</xdr:colOff>
      <xdr:row>57</xdr:row>
      <xdr:rowOff>60960</xdr:rowOff>
    </xdr:from>
    <xdr:to>
      <xdr:col>54</xdr:col>
      <xdr:colOff>441960</xdr:colOff>
      <xdr:row>67</xdr:row>
      <xdr:rowOff>182880</xdr:rowOff>
    </xdr:to>
    <xdr:sp macro="" textlink="">
      <xdr:nvSpPr>
        <xdr:cNvPr id="54" name="Accolade fermante 53">
          <a:extLst>
            <a:ext uri="{FF2B5EF4-FFF2-40B4-BE49-F238E27FC236}">
              <a16:creationId xmlns:a16="http://schemas.microsoft.com/office/drawing/2014/main" id="{00000000-0008-0000-0900-000036000000}"/>
            </a:ext>
          </a:extLst>
        </xdr:cNvPr>
        <xdr:cNvSpPr/>
      </xdr:nvSpPr>
      <xdr:spPr>
        <a:xfrm>
          <a:off x="37271325" y="11163300"/>
          <a:ext cx="251460" cy="145923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xdr:twoCellAnchor>
  <xdr:twoCellAnchor>
    <xdr:from>
      <xdr:col>57</xdr:col>
      <xdr:colOff>190500</xdr:colOff>
      <xdr:row>63</xdr:row>
      <xdr:rowOff>60960</xdr:rowOff>
    </xdr:from>
    <xdr:to>
      <xdr:col>57</xdr:col>
      <xdr:colOff>441960</xdr:colOff>
      <xdr:row>73</xdr:row>
      <xdr:rowOff>182880</xdr:rowOff>
    </xdr:to>
    <xdr:sp macro="" textlink="">
      <xdr:nvSpPr>
        <xdr:cNvPr id="55" name="Accolade fermante 54">
          <a:extLst>
            <a:ext uri="{FF2B5EF4-FFF2-40B4-BE49-F238E27FC236}">
              <a16:creationId xmlns:a16="http://schemas.microsoft.com/office/drawing/2014/main" id="{00000000-0008-0000-0900-000037000000}"/>
            </a:ext>
          </a:extLst>
        </xdr:cNvPr>
        <xdr:cNvSpPr/>
      </xdr:nvSpPr>
      <xdr:spPr>
        <a:xfrm>
          <a:off x="39214425" y="11776710"/>
          <a:ext cx="251460" cy="19316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A"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LIO-ASUS\AgWin\Documents%20and%20Settings\Andr&#233;e\Local%20Settings\Temporary%20Internet%20Files\Content.IE5\XRKF9G5F\Chevr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mat"/>
      <sheetName val="1"/>
      <sheetName val="2"/>
      <sheetName val="3"/>
      <sheetName val="4"/>
      <sheetName val="5"/>
      <sheetName val="6"/>
      <sheetName val="7"/>
      <sheetName val="8"/>
      <sheetName val="80"/>
      <sheetName val="90"/>
      <sheetName val="13"/>
      <sheetName val="matrice"/>
      <sheetName val="s-calc"/>
      <sheetName val="ZZ"/>
      <sheetName val="C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Geoffroy Ménard" refreshedDate="43269.529312962964" createdVersion="6" refreshedVersion="6" minRefreshableVersion="3" recordCount="173" xr:uid="{00000000-000A-0000-FFFF-FFFF01000000}">
  <cacheSource type="worksheet">
    <worksheetSource ref="B29:D202" sheet="Normes"/>
  </cacheSource>
  <cacheFields count="3">
    <cacheField name="Nom de la norme" numFmtId="0">
      <sharedItems containsBlank="1" count="86" longText="1">
        <s v="1.1 Plan de production biologique "/>
        <s v="Il s'agit d'un plan détaillé qui décrit les processus, les pratiques et la gestion de la ferme. "/>
        <m/>
        <s v="1.2 Maintien de registres  (champs, troupeau, épandage, achats d'intrants, ventes, bandes tampons, etc.)  "/>
        <s v="Permet la tracabilité et le maintien de l'intégrité biologique. Par exemple, le registre des bandes tampon doit contenir : les champs visés, l'orientation de la bande tampon, la mesure utilisé, les distances (5.5.2) Exemples de registres proposés par les organismes de certfication : http://www.quebecvrai.org/documentation#docs4._x000a_http://www.ecocertcanada.com/fr/content/documents-et-formulaires"/>
        <s v="(Ce document résume les normes. Vous devez vous référer aux textes officiels pour obtenir une information complète.)"/>
        <s v="www.tpsgc-pwgsc.gc.ca/ongc-cgsb/programme-program/normes-standards/internet/bio-org/pgng-gpms-fra.html#a6"/>
        <s v="2.1 Non utilisation de substances interdites (OGM, pesticides de synthèse, boues...) "/>
        <s v="Quelques expemples: produits issus du génie génétique et de nanotechnologie, l'irradiation, engrais ou compost contenant des substances interdites, boues d’épuration et les matériaux synthétiques, régulateurs de croissance synthétiques, fongicides, agents de conservation, etc._x000a_Attention aux inoculants. Il faut s'assurer que le produit soit accepter en bio."/>
        <s v="2.2 Transition éventuelle de tous les champs"/>
        <s v="Une exception est prévue dans le cas de production de vivaces (ex. arbres frutiers), de semences, de matériel de multiplication végétative ou de transplants . Dans ces cas, la tenue de registres doit être très serrée."/>
        <s v="2.3 Gestion production parallèle pour préserver l'identité des cultures"/>
        <s v="Il doit y avoir une distinction claire et visuelle des cultures parallèles (ex. soya hile clair et soya hile brun)."/>
        <s v="2.4 Délimitations claires des champs et des terres"/>
        <s v="Idendification claire des champs bio sur les plans de ferme, dans les registres et sur les unités d'entreprises pendant la période de transition."/>
        <s v="2.5 Présence de zones tampons de 8 mètres, brise-vent ou haie séparatrice"/>
        <s v="Là où il y a des risques de contamination des fermes voisines (ex. dérive de pesticide, contamination par les OGM). Note : Les cultures dans les zones tampons ne sont pas certifiables."/>
        <s v="2.6 Établir un plan pour la prévention de la contamination par les OGM"/>
        <s v="Le plan doit prévoir au moins une mesure pour prévenir la contamination (barrières physiques, semis différé, rangées prériphériques, tests stratégiques, etc.)"/>
        <s v="2.7 Absence bois traité avec des substances interdites (poteaux de clôtures)"/>
        <s v="Un droit acquis pour le bois déjà présent. S'il vient à être changé, le bois sélectionné devra être conforme."/>
        <s v="3.1 Utilisation de semences (ou de plants) biologiques"/>
        <s v="L'utilisation de semences non traitées est autorisée selon deux conditions: pas de disponibilité sur le marché et non produite sur la ferme. Les certificateurs demandent à l'entreprises de fournir deux lettres de vendeurs qui mentionnent que les semences désirées ne sont pas disponible en bio. "/>
        <s v="4.1 Présence d'engrais verts, de légumineuses et de plantes à racines profondes dans la rotation "/>
        <s v="L'obectif est de maintenir la fertilité du sol"/>
        <s v="4.2 Non utilisation d'engrais de synthèse "/>
        <s v="4.3 Apport de matière organique dans le sol (déjections animales fraîches ou compostées) "/>
        <s v="S'assurer que la substance est permise. Les techniques de traitement des déjections animales doivent minimiser les pertes d'éléments nutritifs et les déjections doivent être exemptes de substances interdites."/>
        <s v="5.1 Maintien fertilité des sols tout en préservant la qualité de l'eau, de l'air, du sol et des cultures"/>
        <s v="Préserve ou augmente la teneur en humus des sols, l'équilibre des nutriments et l'activité biologique. La gestion de la fertilité des sols ne favorise pas la contamination des cultures, du sol et de l'eau par des pathogènes et des métaux lourds. Les épandages sont faits quand le sol est suffisamment réchauffé (5.5.2.3) et ne contribuent pas à la contamination bactérienne des cultures ou à la pollution des eaux de surface et souterraines (5.5.2.4)."/>
        <s v="5.2 Importation possible de déjections animales "/>
        <s v="Si les déjections proviennent d'entreprises conventionnelles, celles-ci ne doivent pas provenir d'élevages où les animaux sont en cage et ne peuvent pas faire un 360 devrés sur eux-mêmes ou sont dans l'obscurité constamment. Les déjections non acceptés sont principalement les lisiers de maternité où les truies sont confinées en cage. Un affidavit doit être signé par l'exportateur."/>
        <s v="5.3 Valorisation de la matière organique produite à la ferme "/>
        <s v="Seules des substances autorisées en régie biologique pour la fertilisation sont utilisées. Voir tableau 4.2 de la Liste des substances permises."/>
        <s v="5.4 Incorporation au sol des déjections animales non composté "/>
        <s v="Le délai à respecter est de 90 jours avant la récolte pour des cultures qui ne sont pas en contact avec le sol ou 120 jours avant la récolte pour les cultures en contact avec le sol. Ne s'applique pas lorsque la culture est destinée aux animaux. "/>
        <s v="5.5 Présence d'un PAEF, le cas échéant "/>
        <s v="5.6 Maintien de bonnes pratiques culturales  "/>
        <s v="Le travail du sol doit préserver ou améliorer l'état du sol et minimiser l'érosion."/>
        <s v="5.7 Non brûlage des résidus de récolte "/>
        <s v="Mise à part pour le contrôle de déshordres phytosanitaires ou la stimulation de la germination."/>
        <s v="6.1 Protection des cultures basée d'abord sur les pratiques culturales (ex. rotation, choix des variétés) et ensuite sur la lutte physique (ex. sarclage, paillis) "/>
        <s v="Alternativement, seulement des substances autorisées en régie biologique sont utilisées (5.6.2). Voir tableau 4.3 de la Liste des substances permises."/>
        <s v="6.2 Désherbage non chimique (ex. sarclage, paillis) "/>
        <s v="6.3 Non utilisation de pesticides de synthèse "/>
        <s v="6.4 Nettoyage du pulvérisateur entre les applications "/>
        <s v="Si le pulvérisateur a servi pour des substances interdites, les pièces qui ne peuvent être nettoyés doivent être remplacées. "/>
        <s v="7.1 Distinction des cultures, des animaux et des produits non biologiques et biologiques sur l'entreprise "/>
        <s v="7.2 Aire de stockage des productions biologiques isolée et indépendante physiquement des zones de stockage conventionnelles"/>
        <s v="www.tpsgc-pwgsc.gc.ca/ongc-cgsb/programme-program/normes-standards/internet/bio-org/pgng-gpms-fra.html#a7"/>
        <s v="8.1 Race adaptée à la production biologique (résistance aux maladies, vigueur et adaptation aux conditions locales) "/>
        <s v="8.2 Les sujets d'élevage proviennent de mères sous régie biologique "/>
        <s v="9.1 Pas de transplantation d'embryons ni d'utilisation d'hormones pour synchroniser les chaleurs des animaux "/>
        <s v="10.1 Alimentation à 100 % biologique"/>
        <s v="Pendant la transition du troupeau laitier, l'alimentation est bio à 80 % dans les 9 premiers mois et à 100 % dans les trois derniers mois. Les cultures de 3e année de transition de l'entreprise sont considérées comme bios pour l'alimentation du troupeau (6.3.3). L'alimentation ne comprend pas d'aliments ou de médicaments interdits en bio : additifs, acides aminés synthétiques, agents de conservation synthétiques, déjections animales, colorants synthétiques, etc. (6.4.4)"/>
        <s v="10.2 Plan alimentaire équilibré qui répond aux besoins physiologiques et comportementaux des animaux "/>
        <s v="10.3 Ration des ruminants constituée de 60 % fourrages ms. _x000a_(Si les animaux reçoivent de l'ensilage, au moins 15 % de la ms de la ration quotidienne est constituée de fibres de plus de 10 cm) "/>
        <s v="Le colostrum est donné aux jeunes pour leur premier jour de vie."/>
        <s v="10.4 De l'eau propre et fraîche est disponible à volonté "/>
        <s v="11.1 Les méthodes d'élevage minimisant le stress aux animaux "/>
        <s v="Les méthodes d'élevage aident à prévenir les maladies, réduisent les recours aux médicaments vétérinaires et visent le bien-être des animaux."/>
        <s v="11.2 La prévention est mise de l'avant dans les soins de santé aux animaux"/>
        <s v="Choix des races, ration équilibrée, logement adéquat, densité adéquate, possibilité d'exercices, soin des blessures, vaccination lorsque pertinent. Quand les pratiques préventives ne suffisent pas, les substances autorisées en régie biologique sont employées en priorité (6.7.3). Voir Tableau 5.3 de la Liste des substances permises."/>
        <s v="11.3 La médecine naturelle est privilégiée (phytothérapie) "/>
        <s v="Les médicaments vétérinaires qui ne sont pas présents dans la Liste des substances permises sont parfois employés mais une période de retrait du double de l'étiquette, ou de 14 jours minimum, est respectée ."/>
        <s v="11.4 En cas d'administration d'antibiotiques (avec prescription vétérinaire), une période de retrait de 30 jours minimum est respectée "/>
        <s v="Les substances autorisées en régie biologique sont employées en priorité (6.7.3). Voir Tableau 5.3 de la Liste des substances permises."/>
        <s v="11.5 Les hormones sont employées à des fins thérapeutiques uniquement "/>
        <s v="Les animaux à viande qui en reçoivent perdent leur statut biologique. "/>
        <s v="11.6 Un plan de prévention visant à éliminer les problèmes de parasites est mis en place "/>
        <s v="Gestion des pâturages, analyses fécales, mesures d'urgence. Au plus, deux traitements avec des vermifuges synthétiques sont permis chaque année pour les adultes et un seul pour les sujets de moins d'un an. La période de retrait est de 14 jours minimum."/>
        <s v="11.7 Les mutilations (ex. : coupe de la queue, écornage) "/>
        <s v="Faites que si elles sont absolument nécessaires. Anesthésiques ou sédatifs sont utilisés lors de la taille des cornes chez les veaux."/>
        <s v="12.1 Accès à l'extérieur "/>
        <s v="Les ruminants ont accès à des pâturages en saison (0,13 ha/u.a.) et à l'extérieur quand les conditions le permettent. 30 % de l'alimentation fourragère (base ms) des animaux adultes provient des pâturages en saison. _x000a_Si les animaux ont accès à des pâturages communautaires ou des terres de la Couronne, il n'y a pas usage de substances interdites sur ces terres, les animaux biologiques sont clairement identifiés et leur soin respecte les normes (6.8.6)."/>
        <s v="12.2 Densité animale équilibrée en fonction de la productivité des sols et du climat "/>
        <s v="12.3 Conditions de logement (espace m², propreté) "/>
        <s v="Les vaches adultes disposent d'au moins 6 m² par tête à l'intérieur et de 9 m² par tête à l'extérieur. Les jeunes bovins disposent de  2,5 à 5 m² par tête à l'intérieur et de 5 à 9 m² par tête à l'extérieur, selon leur taille. Les bovins confinés pour la finition disposent d'au moins 23 m² par animal (6.8.7 c).Les veaux laitiers de plus de trois mois ne sont pas en enclos individuels et sont logés en groupe après le sevrage. Ceux de moins de trois mois en enclos individuels (minimum 2,5 m²) doivent pouvoir être libres de leurs mouvements à l'intérieur de leur enclos et voir, sentir et entendre les autres veaux (6.8.10.1). Le bâtiment d'élevage offre une bonne qualité de l'air, suffisamment d'espace pour que les animaux se couchent et se reposent, suffisamment de litière pour absorber les excréments et des planchers anti-dérapants, ou seulement partiellement en caillebotis (6.8.1). Logement, enclos et équipement sont nettoyés et désinfectés adéquatement (6.8.4)."/>
        <s v="12.4 Les vaches laitières en stabulation entravée sortent au moins deux fois par semaine_x000a_en hiver. Les autres animaux ne sont pas en stabulation entravée de façon continue"/>
        <s v="12.5 Les veaux laitiers de plus de neuf mois doivent aller au pâturage en saison "/>
        <s v="12.6 La litière est issue de cultures biologiques"/>
        <s v="Si la paille venant de cultures conventionnelles (non-OGM) est utilisée, elle doit être exemptes de substances interdites au moins 60 jours avant sa récolte."/>
        <s v="13.1 La gestion des déjections animales dans les zones d'élevage (bâtiments, cour d'exercice, pâturage, fosse) minimise la dégradation des sols et de l'eau "/>
        <s v="13.2 La lutte aux organismes nuisibles des animaux d'élevage (ex. : mouches, rongeurs, prédateurs) (1- méthodes préventives, 2- moyens mécaniques, physiques ou biologiques, 3- substances permises selon LSP)   "/>
        <s v="14.1 La manipulation des animaux est adéquate (6.6.1, 6.6.2 et 6.6.3) "/>
        <s v="Les vaches adultes disposent d'au moins 6 m2 par tête à l'intérieur et de 9 m2 par tête à l'extérieur. Les jeunes bovins disposent de  2,5 à 5 m2 par tête à l'intérieur et de 5 à 9 m2 par tête à l'extérieur, selon leur taille. Les bovins confinés pour la finition disposent d'au moins 23 m2 par animal (6.8.7 c).Les veaux laitiers de plus de trois mois ne sont pas en enclos individuels et sont logés en groupe après le sevrage. Ceux de moins de trois mois en enclos individuels (minimum 2,5 m2) doivent pouvoir être libres de leurs mouvements à l'intérieur de leur enclos et voir, sentir et entendre les autres veaux (6.8.10.1). Le bâtiment d'élevage offre une bonne qualité de l'air, suffisamment d'espace pour que les animaux se couchent et se reposent, suffisamment de litière pour absorber les excréments et des planchers anti-dérapants, ou seulement partiellement en caillebotis (6.8.1). Logement, enclos et équipement sont nettoyés et désinfectés adéquatement (6.8.4)." u="1"/>
      </sharedItems>
    </cacheField>
    <cacheField name="Numéro" numFmtId="0">
      <sharedItems containsBlank="1" count="51">
        <s v="(4.1) (4.2) (4.3)"/>
        <m/>
        <s v="(4.4) "/>
        <s v=" "/>
        <s v="(1.4)(5.1.1)"/>
        <s v=" (5.1.3)"/>
        <s v="(5.1.5)"/>
        <s v="(5.1.3) (5.1.6)"/>
        <s v="(5.2.1) (5.2.2)"/>
        <s v="(5.2.2.4)"/>
        <s v="(5.2.3)"/>
        <s v="(5.3.1)(5.3.2.1)"/>
        <s v="(5.4.1) (5.4.2)"/>
        <s v="(1.4.1)"/>
        <s v="(5.5.3)"/>
        <s v="(5.4.1) (5.4.4)_x000a_(5.5.2.3) (5.5.2.4)"/>
        <s v="(5.5.1)"/>
        <s v="(5.4.5)"/>
        <s v="(5.5.2.5)"/>
        <s v="(5.5.2.2)"/>
        <s v="(5.4.3)"/>
        <s v="(5.4.6)"/>
        <s v="(5.6.1)(5.6.2)"/>
        <s v="(5.6.1)"/>
        <s v="(1.4.1) (5.6.2)"/>
        <s v="(5.6.3)"/>
        <s v="(4.4.3)"/>
        <s v="(4.4.4)"/>
        <s v="(6.2.1)"/>
        <s v="(6.2.2) "/>
        <s v="(6.5)"/>
        <s v="(6.3.1) (6.3.3)_x000a_(6.4.4)"/>
        <s v="(6.4.2)"/>
        <s v="(6.4.3)"/>
        <s v="(6.4.5)"/>
        <s v="(6.1.5)"/>
        <s v="(6.7.1)(6.7.3)"/>
        <s v="(6.7.6)"/>
        <s v="(6.7.6 e)"/>
        <s v="(6.7.7)"/>
        <s v="(6.7.9)"/>
        <s v="(6.7.2.)"/>
        <s v="(6.1.3) (6.8.7) (6.8.6)"/>
        <s v="(6.1.4)"/>
        <s v="(6.8.8) (6.8.7 c)_x000a_(6.8.10.1)(6.8.1)_x000a_(6.8.4)"/>
        <s v="(6.8.3)"/>
        <s v="(6.8.10.3)"/>
        <s v="(6.8.1) "/>
        <s v="(6.9.1) (6.9.2) (6.8.1)"/>
        <s v="(6.10)"/>
        <s v="(5.4.1)(5.4.4)_x000a_(5.5.2.3)(5.5.2.4)" u="1"/>
      </sharedItems>
    </cacheField>
    <cacheField name="Conformité" numFmtId="0">
      <sharedItems containsBlank="1" count="5">
        <s v="Sans objet"/>
        <m/>
        <s v="Conforme"/>
        <s v="Non-conforme"/>
        <s v=""/>
      </sharedItems>
    </cacheField>
  </cacheFields>
  <extLst>
    <ext xmlns:x14="http://schemas.microsoft.com/office/spreadsheetml/2009/9/main" uri="{725AE2AE-9491-48be-B2B4-4EB974FC3084}">
      <x14:pivotCacheDefinition pivotCacheId="1"/>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73">
  <r>
    <x v="0"/>
    <x v="0"/>
    <x v="0"/>
  </r>
  <r>
    <x v="1"/>
    <x v="1"/>
    <x v="1"/>
  </r>
  <r>
    <x v="2"/>
    <x v="1"/>
    <x v="2"/>
  </r>
  <r>
    <x v="3"/>
    <x v="2"/>
    <x v="3"/>
  </r>
  <r>
    <x v="4"/>
    <x v="1"/>
    <x v="1"/>
  </r>
  <r>
    <x v="2"/>
    <x v="3"/>
    <x v="3"/>
  </r>
  <r>
    <x v="2"/>
    <x v="1"/>
    <x v="4"/>
  </r>
  <r>
    <x v="2"/>
    <x v="1"/>
    <x v="4"/>
  </r>
  <r>
    <x v="5"/>
    <x v="1"/>
    <x v="4"/>
  </r>
  <r>
    <x v="6"/>
    <x v="1"/>
    <x v="4"/>
  </r>
  <r>
    <x v="2"/>
    <x v="1"/>
    <x v="4"/>
  </r>
  <r>
    <x v="2"/>
    <x v="1"/>
    <x v="4"/>
  </r>
  <r>
    <x v="2"/>
    <x v="1"/>
    <x v="4"/>
  </r>
  <r>
    <x v="7"/>
    <x v="4"/>
    <x v="3"/>
  </r>
  <r>
    <x v="8"/>
    <x v="1"/>
    <x v="4"/>
  </r>
  <r>
    <x v="2"/>
    <x v="1"/>
    <x v="4"/>
  </r>
  <r>
    <x v="9"/>
    <x v="5"/>
    <x v="3"/>
  </r>
  <r>
    <x v="10"/>
    <x v="1"/>
    <x v="4"/>
  </r>
  <r>
    <x v="2"/>
    <x v="1"/>
    <x v="4"/>
  </r>
  <r>
    <x v="11"/>
    <x v="6"/>
    <x v="2"/>
  </r>
  <r>
    <x v="12"/>
    <x v="1"/>
    <x v="4"/>
  </r>
  <r>
    <x v="2"/>
    <x v="1"/>
    <x v="4"/>
  </r>
  <r>
    <x v="13"/>
    <x v="7"/>
    <x v="2"/>
  </r>
  <r>
    <x v="14"/>
    <x v="1"/>
    <x v="4"/>
  </r>
  <r>
    <x v="2"/>
    <x v="1"/>
    <x v="4"/>
  </r>
  <r>
    <x v="15"/>
    <x v="8"/>
    <x v="2"/>
  </r>
  <r>
    <x v="16"/>
    <x v="1"/>
    <x v="4"/>
  </r>
  <r>
    <x v="2"/>
    <x v="1"/>
    <x v="4"/>
  </r>
  <r>
    <x v="17"/>
    <x v="9"/>
    <x v="2"/>
  </r>
  <r>
    <x v="18"/>
    <x v="1"/>
    <x v="4"/>
  </r>
  <r>
    <x v="2"/>
    <x v="1"/>
    <x v="4"/>
  </r>
  <r>
    <x v="19"/>
    <x v="10"/>
    <x v="2"/>
  </r>
  <r>
    <x v="20"/>
    <x v="1"/>
    <x v="4"/>
  </r>
  <r>
    <x v="2"/>
    <x v="1"/>
    <x v="4"/>
  </r>
  <r>
    <x v="2"/>
    <x v="1"/>
    <x v="4"/>
  </r>
  <r>
    <x v="2"/>
    <x v="1"/>
    <x v="4"/>
  </r>
  <r>
    <x v="21"/>
    <x v="11"/>
    <x v="2"/>
  </r>
  <r>
    <x v="22"/>
    <x v="1"/>
    <x v="4"/>
  </r>
  <r>
    <x v="2"/>
    <x v="1"/>
    <x v="4"/>
  </r>
  <r>
    <x v="2"/>
    <x v="1"/>
    <x v="4"/>
  </r>
  <r>
    <x v="2"/>
    <x v="1"/>
    <x v="4"/>
  </r>
  <r>
    <x v="23"/>
    <x v="12"/>
    <x v="2"/>
  </r>
  <r>
    <x v="24"/>
    <x v="1"/>
    <x v="4"/>
  </r>
  <r>
    <x v="2"/>
    <x v="1"/>
    <x v="4"/>
  </r>
  <r>
    <x v="25"/>
    <x v="13"/>
    <x v="3"/>
  </r>
  <r>
    <x v="2"/>
    <x v="1"/>
    <x v="4"/>
  </r>
  <r>
    <x v="2"/>
    <x v="1"/>
    <x v="4"/>
  </r>
  <r>
    <x v="26"/>
    <x v="14"/>
    <x v="2"/>
  </r>
  <r>
    <x v="27"/>
    <x v="1"/>
    <x v="4"/>
  </r>
  <r>
    <x v="2"/>
    <x v="1"/>
    <x v="4"/>
  </r>
  <r>
    <x v="2"/>
    <x v="1"/>
    <x v="4"/>
  </r>
  <r>
    <x v="2"/>
    <x v="1"/>
    <x v="4"/>
  </r>
  <r>
    <x v="28"/>
    <x v="15"/>
    <x v="2"/>
  </r>
  <r>
    <x v="29"/>
    <x v="1"/>
    <x v="4"/>
  </r>
  <r>
    <x v="2"/>
    <x v="1"/>
    <x v="4"/>
  </r>
  <r>
    <x v="30"/>
    <x v="16"/>
    <x v="2"/>
  </r>
  <r>
    <x v="31"/>
    <x v="1"/>
    <x v="4"/>
  </r>
  <r>
    <x v="2"/>
    <x v="1"/>
    <x v="4"/>
  </r>
  <r>
    <x v="32"/>
    <x v="17"/>
    <x v="2"/>
  </r>
  <r>
    <x v="33"/>
    <x v="1"/>
    <x v="4"/>
  </r>
  <r>
    <x v="2"/>
    <x v="1"/>
    <x v="4"/>
  </r>
  <r>
    <x v="34"/>
    <x v="18"/>
    <x v="3"/>
  </r>
  <r>
    <x v="35"/>
    <x v="1"/>
    <x v="4"/>
  </r>
  <r>
    <x v="2"/>
    <x v="1"/>
    <x v="4"/>
  </r>
  <r>
    <x v="36"/>
    <x v="19"/>
    <x v="2"/>
  </r>
  <r>
    <x v="2"/>
    <x v="1"/>
    <x v="4"/>
  </r>
  <r>
    <x v="2"/>
    <x v="1"/>
    <x v="4"/>
  </r>
  <r>
    <x v="37"/>
    <x v="20"/>
    <x v="2"/>
  </r>
  <r>
    <x v="38"/>
    <x v="1"/>
    <x v="4"/>
  </r>
  <r>
    <x v="2"/>
    <x v="1"/>
    <x v="4"/>
  </r>
  <r>
    <x v="39"/>
    <x v="21"/>
    <x v="3"/>
  </r>
  <r>
    <x v="40"/>
    <x v="1"/>
    <x v="4"/>
  </r>
  <r>
    <x v="2"/>
    <x v="1"/>
    <x v="4"/>
  </r>
  <r>
    <x v="2"/>
    <x v="1"/>
    <x v="4"/>
  </r>
  <r>
    <x v="2"/>
    <x v="1"/>
    <x v="4"/>
  </r>
  <r>
    <x v="41"/>
    <x v="22"/>
    <x v="2"/>
  </r>
  <r>
    <x v="42"/>
    <x v="1"/>
    <x v="4"/>
  </r>
  <r>
    <x v="2"/>
    <x v="1"/>
    <x v="4"/>
  </r>
  <r>
    <x v="43"/>
    <x v="23"/>
    <x v="3"/>
  </r>
  <r>
    <x v="2"/>
    <x v="1"/>
    <x v="4"/>
  </r>
  <r>
    <x v="2"/>
    <x v="1"/>
    <x v="4"/>
  </r>
  <r>
    <x v="44"/>
    <x v="24"/>
    <x v="2"/>
  </r>
  <r>
    <x v="2"/>
    <x v="1"/>
    <x v="4"/>
  </r>
  <r>
    <x v="2"/>
    <x v="1"/>
    <x v="4"/>
  </r>
  <r>
    <x v="45"/>
    <x v="25"/>
    <x v="3"/>
  </r>
  <r>
    <x v="46"/>
    <x v="1"/>
    <x v="4"/>
  </r>
  <r>
    <x v="2"/>
    <x v="1"/>
    <x v="4"/>
  </r>
  <r>
    <x v="2"/>
    <x v="1"/>
    <x v="4"/>
  </r>
  <r>
    <x v="2"/>
    <x v="1"/>
    <x v="4"/>
  </r>
  <r>
    <x v="47"/>
    <x v="26"/>
    <x v="2"/>
  </r>
  <r>
    <x v="2"/>
    <x v="1"/>
    <x v="4"/>
  </r>
  <r>
    <x v="2"/>
    <x v="1"/>
    <x v="4"/>
  </r>
  <r>
    <x v="48"/>
    <x v="27"/>
    <x v="3"/>
  </r>
  <r>
    <x v="2"/>
    <x v="1"/>
    <x v="4"/>
  </r>
  <r>
    <x v="2"/>
    <x v="3"/>
    <x v="4"/>
  </r>
  <r>
    <x v="2"/>
    <x v="1"/>
    <x v="4"/>
  </r>
  <r>
    <x v="2"/>
    <x v="1"/>
    <x v="4"/>
  </r>
  <r>
    <x v="5"/>
    <x v="1"/>
    <x v="4"/>
  </r>
  <r>
    <x v="49"/>
    <x v="1"/>
    <x v="4"/>
  </r>
  <r>
    <x v="2"/>
    <x v="1"/>
    <x v="4"/>
  </r>
  <r>
    <x v="2"/>
    <x v="1"/>
    <x v="4"/>
  </r>
  <r>
    <x v="2"/>
    <x v="1"/>
    <x v="4"/>
  </r>
  <r>
    <x v="50"/>
    <x v="28"/>
    <x v="0"/>
  </r>
  <r>
    <x v="2"/>
    <x v="1"/>
    <x v="4"/>
  </r>
  <r>
    <x v="51"/>
    <x v="29"/>
    <x v="3"/>
  </r>
  <r>
    <x v="2"/>
    <x v="1"/>
    <x v="4"/>
  </r>
  <r>
    <x v="2"/>
    <x v="1"/>
    <x v="4"/>
  </r>
  <r>
    <x v="2"/>
    <x v="1"/>
    <x v="4"/>
  </r>
  <r>
    <x v="2"/>
    <x v="1"/>
    <x v="4"/>
  </r>
  <r>
    <x v="52"/>
    <x v="30"/>
    <x v="3"/>
  </r>
  <r>
    <x v="2"/>
    <x v="1"/>
    <x v="4"/>
  </r>
  <r>
    <x v="2"/>
    <x v="1"/>
    <x v="4"/>
  </r>
  <r>
    <x v="2"/>
    <x v="1"/>
    <x v="4"/>
  </r>
  <r>
    <x v="2"/>
    <x v="1"/>
    <x v="4"/>
  </r>
  <r>
    <x v="53"/>
    <x v="31"/>
    <x v="0"/>
  </r>
  <r>
    <x v="54"/>
    <x v="1"/>
    <x v="4"/>
  </r>
  <r>
    <x v="2"/>
    <x v="1"/>
    <x v="4"/>
  </r>
  <r>
    <x v="55"/>
    <x v="32"/>
    <x v="0"/>
  </r>
  <r>
    <x v="2"/>
    <x v="1"/>
    <x v="4"/>
  </r>
  <r>
    <x v="56"/>
    <x v="33"/>
    <x v="0"/>
  </r>
  <r>
    <x v="57"/>
    <x v="1"/>
    <x v="4"/>
  </r>
  <r>
    <x v="2"/>
    <x v="1"/>
    <x v="4"/>
  </r>
  <r>
    <x v="58"/>
    <x v="34"/>
    <x v="0"/>
  </r>
  <r>
    <x v="2"/>
    <x v="1"/>
    <x v="4"/>
  </r>
  <r>
    <x v="2"/>
    <x v="1"/>
    <x v="4"/>
  </r>
  <r>
    <x v="2"/>
    <x v="1"/>
    <x v="4"/>
  </r>
  <r>
    <x v="59"/>
    <x v="35"/>
    <x v="0"/>
  </r>
  <r>
    <x v="60"/>
    <x v="1"/>
    <x v="4"/>
  </r>
  <r>
    <x v="2"/>
    <x v="1"/>
    <x v="4"/>
  </r>
  <r>
    <x v="61"/>
    <x v="36"/>
    <x v="0"/>
  </r>
  <r>
    <x v="62"/>
    <x v="1"/>
    <x v="4"/>
  </r>
  <r>
    <x v="2"/>
    <x v="1"/>
    <x v="4"/>
  </r>
  <r>
    <x v="63"/>
    <x v="37"/>
    <x v="0"/>
  </r>
  <r>
    <x v="64"/>
    <x v="1"/>
    <x v="4"/>
  </r>
  <r>
    <x v="2"/>
    <x v="1"/>
    <x v="4"/>
  </r>
  <r>
    <x v="65"/>
    <x v="38"/>
    <x v="0"/>
  </r>
  <r>
    <x v="66"/>
    <x v="1"/>
    <x v="4"/>
  </r>
  <r>
    <x v="2"/>
    <x v="1"/>
    <x v="4"/>
  </r>
  <r>
    <x v="67"/>
    <x v="39"/>
    <x v="0"/>
  </r>
  <r>
    <x v="68"/>
    <x v="1"/>
    <x v="4"/>
  </r>
  <r>
    <x v="2"/>
    <x v="1"/>
    <x v="4"/>
  </r>
  <r>
    <x v="69"/>
    <x v="40"/>
    <x v="0"/>
  </r>
  <r>
    <x v="70"/>
    <x v="1"/>
    <x v="4"/>
  </r>
  <r>
    <x v="2"/>
    <x v="1"/>
    <x v="4"/>
  </r>
  <r>
    <x v="71"/>
    <x v="41"/>
    <x v="0"/>
  </r>
  <r>
    <x v="72"/>
    <x v="1"/>
    <x v="4"/>
  </r>
  <r>
    <x v="2"/>
    <x v="1"/>
    <x v="4"/>
  </r>
  <r>
    <x v="2"/>
    <x v="1"/>
    <x v="4"/>
  </r>
  <r>
    <x v="2"/>
    <x v="1"/>
    <x v="4"/>
  </r>
  <r>
    <x v="73"/>
    <x v="42"/>
    <x v="0"/>
  </r>
  <r>
    <x v="74"/>
    <x v="1"/>
    <x v="4"/>
  </r>
  <r>
    <x v="2"/>
    <x v="1"/>
    <x v="4"/>
  </r>
  <r>
    <x v="75"/>
    <x v="43"/>
    <x v="3"/>
  </r>
  <r>
    <x v="2"/>
    <x v="1"/>
    <x v="4"/>
  </r>
  <r>
    <x v="76"/>
    <x v="44"/>
    <x v="3"/>
  </r>
  <r>
    <x v="77"/>
    <x v="1"/>
    <x v="4"/>
  </r>
  <r>
    <x v="2"/>
    <x v="1"/>
    <x v="4"/>
  </r>
  <r>
    <x v="78"/>
    <x v="45"/>
    <x v="0"/>
  </r>
  <r>
    <x v="2"/>
    <x v="1"/>
    <x v="4"/>
  </r>
  <r>
    <x v="79"/>
    <x v="46"/>
    <x v="3"/>
  </r>
  <r>
    <x v="2"/>
    <x v="1"/>
    <x v="4"/>
  </r>
  <r>
    <x v="80"/>
    <x v="47"/>
    <x v="3"/>
  </r>
  <r>
    <x v="81"/>
    <x v="1"/>
    <x v="2"/>
  </r>
  <r>
    <x v="2"/>
    <x v="1"/>
    <x v="4"/>
  </r>
  <r>
    <x v="2"/>
    <x v="1"/>
    <x v="4"/>
  </r>
  <r>
    <x v="2"/>
    <x v="1"/>
    <x v="4"/>
  </r>
  <r>
    <x v="82"/>
    <x v="48"/>
    <x v="2"/>
  </r>
  <r>
    <x v="2"/>
    <x v="1"/>
    <x v="4"/>
  </r>
  <r>
    <x v="83"/>
    <x v="49"/>
    <x v="3"/>
  </r>
  <r>
    <x v="2"/>
    <x v="1"/>
    <x v="4"/>
  </r>
  <r>
    <x v="2"/>
    <x v="1"/>
    <x v="4"/>
  </r>
  <r>
    <x v="2"/>
    <x v="1"/>
    <x v="4"/>
  </r>
  <r>
    <x v="84"/>
    <x v="48"/>
    <x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B00-000000000000}" name="NormesNonConformes" cacheId="24" applyNumberFormats="0" applyBorderFormats="0" applyFontFormats="0" applyPatternFormats="0" applyAlignmentFormats="0" applyWidthHeightFormats="1" dataCaption="Valeurs" showMissing="0" updatedVersion="6" minRefreshableVersion="3" showDrill="0" rowGrandTotals="0" colGrandTotals="0" itemPrintTitles="1" createdVersion="6" indent="0" outline="1" outlineData="1" multipleFieldFilters="0" rowHeaderCaption="Conformité">
  <location ref="B213:C231" firstHeaderRow="1" firstDataRow="1" firstDataCol="2"/>
  <pivotFields count="3">
    <pivotField axis="axisRow" outline="0" showAll="0" defaultSubtotal="0">
      <items count="86">
        <item x="5"/>
        <item x="0"/>
        <item x="3"/>
        <item x="53"/>
        <item x="55"/>
        <item x="56"/>
        <item x="58"/>
        <item x="59"/>
        <item x="61"/>
        <item x="63"/>
        <item x="65"/>
        <item x="67"/>
        <item x="69"/>
        <item x="71"/>
        <item x="73"/>
        <item x="75"/>
        <item x="76"/>
        <item x="78"/>
        <item x="79"/>
        <item x="80"/>
        <item x="82"/>
        <item x="83"/>
        <item x="84"/>
        <item x="7"/>
        <item x="9"/>
        <item x="11"/>
        <item x="13"/>
        <item x="15"/>
        <item x="17"/>
        <item x="19"/>
        <item x="21"/>
        <item x="23"/>
        <item x="25"/>
        <item x="26"/>
        <item x="28"/>
        <item x="30"/>
        <item x="32"/>
        <item x="34"/>
        <item x="36"/>
        <item x="37"/>
        <item x="39"/>
        <item x="41"/>
        <item x="43"/>
        <item x="44"/>
        <item x="45"/>
        <item x="47"/>
        <item x="48"/>
        <item x="50"/>
        <item x="51"/>
        <item x="52"/>
        <item x="42"/>
        <item x="62"/>
        <item x="72"/>
        <item x="70"/>
        <item x="14"/>
        <item x="12"/>
        <item x="1"/>
        <item x="16"/>
        <item x="57"/>
        <item x="35"/>
        <item x="18"/>
        <item x="38"/>
        <item x="68"/>
        <item x="64"/>
        <item x="60"/>
        <item x="74"/>
        <item x="66"/>
        <item m="1" x="85"/>
        <item x="24"/>
        <item x="22"/>
        <item x="40"/>
        <item x="54"/>
        <item x="4"/>
        <item x="29"/>
        <item x="8"/>
        <item x="27"/>
        <item x="33"/>
        <item x="81"/>
        <item x="46"/>
        <item x="31"/>
        <item x="20"/>
        <item x="10"/>
        <item x="6"/>
        <item x="49"/>
        <item x="2"/>
        <item x="77"/>
      </items>
    </pivotField>
    <pivotField axis="axisRow" showAll="0" defaultSubtotal="0">
      <items count="51">
        <item x="3"/>
        <item x="5"/>
        <item x="4"/>
        <item x="13"/>
        <item x="24"/>
        <item x="0"/>
        <item x="2"/>
        <item x="26"/>
        <item x="27"/>
        <item x="7"/>
        <item x="6"/>
        <item x="8"/>
        <item x="9"/>
        <item x="10"/>
        <item x="11"/>
        <item x="12"/>
        <item m="1" x="50"/>
        <item x="20"/>
        <item x="17"/>
        <item x="21"/>
        <item x="16"/>
        <item x="19"/>
        <item x="18"/>
        <item x="14"/>
        <item x="23"/>
        <item x="22"/>
        <item x="25"/>
        <item x="42"/>
        <item x="43"/>
        <item x="35"/>
        <item x="49"/>
        <item x="28"/>
        <item x="29"/>
        <item x="31"/>
        <item x="32"/>
        <item x="33"/>
        <item x="34"/>
        <item x="30"/>
        <item x="36"/>
        <item x="41"/>
        <item x="38"/>
        <item x="37"/>
        <item x="39"/>
        <item x="40"/>
        <item x="47"/>
        <item x="46"/>
        <item x="45"/>
        <item x="44"/>
        <item x="48"/>
        <item x="1"/>
        <item x="15"/>
      </items>
    </pivotField>
    <pivotField axis="axisRow" showAll="0" defaultSubtotal="0">
      <items count="5">
        <item h="1" x="0"/>
        <item h="1" x="1"/>
        <item h="1" x="2"/>
        <item x="3"/>
        <item h="1" x="4"/>
      </items>
    </pivotField>
  </pivotFields>
  <rowFields count="3">
    <field x="2"/>
    <field x="0"/>
    <field x="1"/>
  </rowFields>
  <rowItems count="18">
    <i>
      <x v="3"/>
    </i>
    <i r="1">
      <x v="2"/>
      <x v="6"/>
    </i>
    <i r="1">
      <x v="15"/>
      <x v="28"/>
    </i>
    <i r="1">
      <x v="16"/>
      <x v="47"/>
    </i>
    <i r="1">
      <x v="18"/>
      <x v="45"/>
    </i>
    <i r="1">
      <x v="19"/>
      <x v="44"/>
    </i>
    <i r="1">
      <x v="21"/>
      <x v="30"/>
    </i>
    <i r="1">
      <x v="23"/>
      <x v="2"/>
    </i>
    <i r="1">
      <x v="24"/>
      <x v="1"/>
    </i>
    <i r="1">
      <x v="32"/>
      <x v="3"/>
    </i>
    <i r="1">
      <x v="37"/>
      <x v="22"/>
    </i>
    <i r="1">
      <x v="40"/>
      <x v="19"/>
    </i>
    <i r="1">
      <x v="42"/>
      <x v="24"/>
    </i>
    <i r="1">
      <x v="44"/>
      <x v="26"/>
    </i>
    <i r="1">
      <x v="46"/>
      <x v="8"/>
    </i>
    <i r="1">
      <x v="48"/>
      <x v="32"/>
    </i>
    <i r="1">
      <x v="49"/>
      <x v="37"/>
    </i>
    <i r="1">
      <x v="84"/>
      <x/>
    </i>
  </rowItems>
  <colItems count="1">
    <i/>
  </colItems>
  <formats count="6">
    <format dxfId="8">
      <pivotArea field="0" type="button" dataOnly="0" labelOnly="1" outline="0" axis="axisRow" fieldPosition="1"/>
    </format>
    <format dxfId="7">
      <pivotArea dataOnly="0" labelOnly="1" outline="0" fieldPosition="0">
        <references count="1">
          <reference field="0" count="7">
            <x v="2"/>
            <x v="23"/>
            <x v="31"/>
            <x v="33"/>
            <x v="35"/>
            <x v="38"/>
            <x v="41"/>
          </reference>
        </references>
      </pivotArea>
    </format>
    <format dxfId="6">
      <pivotArea field="0" type="button" dataOnly="0" labelOnly="1" outline="0" axis="axisRow" fieldPosition="1"/>
    </format>
    <format dxfId="5">
      <pivotArea dataOnly="0" labelOnly="1" outline="0" fieldPosition="0">
        <references count="1">
          <reference field="0" count="7">
            <x v="2"/>
            <x v="23"/>
            <x v="31"/>
            <x v="33"/>
            <x v="35"/>
            <x v="38"/>
            <x v="41"/>
          </reference>
        </references>
      </pivotArea>
    </format>
    <format dxfId="4">
      <pivotArea field="2" type="button" dataOnly="0" labelOnly="1" outline="0" axis="axisRow" fieldPosition="0"/>
    </format>
    <format dxfId="3">
      <pivotArea field="1" type="button" dataOnly="0" labelOnly="1" outline="0" axis="axisRow" fieldPosition="2"/>
    </format>
  </formats>
  <pivotTableStyleInfo name="TCD" showRowHeaders="0" showColHeaders="0"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_Conformité" xr10:uid="{00000000-0013-0000-FFFF-FFFF01000000}" sourceName="Conformité">
  <pivotTables>
    <pivotTable tabId="4" name="NormesNonConformes"/>
  </pivotTables>
  <data>
    <tabular pivotCacheId="1">
      <items count="5">
        <i x="4"/>
        <i x="2"/>
        <i x="3" s="1"/>
        <i x="0"/>
        <i x="1"/>
      </items>
    </tabular>
  </data>
  <extLst>
    <x:ext xmlns:x15="http://schemas.microsoft.com/office/spreadsheetml/2010/11/main" uri="{470722E0-AACD-4C17-9CDC-17EF765DBC7E}">
      <x15:slicerCacheHideItemsWithNoData/>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Conformité" xr10:uid="{00000000-0014-0000-FFFF-FFFF01000000}" cache="Segment_Conformité" caption="Filtre"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0000000}" name="Batiments" displayName="Batiments" ref="B10:J10" headerRowCount="0" totalsRowShown="0" headerRowBorderDxfId="91">
  <tableColumns count="9">
    <tableColumn id="1" xr3:uid="{00000000-0010-0000-0000-000001000000}" name="Colonne1" headerRowDxfId="90" dataDxfId="89" headerRowCellStyle="Entrée" dataCellStyle="Entrée"/>
    <tableColumn id="2" xr3:uid="{00000000-0010-0000-0000-000002000000}" name="Colonne2" headerRowDxfId="88" dataDxfId="87" headerRowCellStyle="Entrée" dataCellStyle="Entrée"/>
    <tableColumn id="3" xr3:uid="{00000000-0010-0000-0000-000003000000}" name="Colonne3" headerRowDxfId="86" dataDxfId="85" headerRowCellStyle="Entrée" dataCellStyle="Entrée">
      <calculatedColumnFormula>multiplBatiments</calculatedColumnFormula>
    </tableColumn>
    <tableColumn id="4" xr3:uid="{00000000-0010-0000-0000-000004000000}" name="Colonne4" headerRowDxfId="84" dataDxfId="83" headerRowCellStyle="Entrée" dataCellStyle="Entrée"/>
    <tableColumn id="5" xr3:uid="{00000000-0010-0000-0000-000005000000}" name="Colonne5" headerRowDxfId="82" dataDxfId="81">
      <calculatedColumnFormula>Batiments[[#This Row],[Colonne2]]*Batiments[[#This Row],[Colonne3]]*Batiments[[#This Row],[Colonne4]]</calculatedColumnFormula>
    </tableColumn>
    <tableColumn id="6" xr3:uid="{00000000-0010-0000-0000-000006000000}" name="Colonne6" headerRowDxfId="80" dataDxfId="79" headerRowCellStyle="Entrée" dataCellStyle="Entrée"/>
    <tableColumn id="7" xr3:uid="{00000000-0010-0000-0000-000007000000}" name="Colonne7" headerRowDxfId="78" dataDxfId="77" headerRowCellStyle="Pourcentage" dataCellStyle="Pourcentage"/>
    <tableColumn id="8" xr3:uid="{00000000-0010-0000-0000-000008000000}" name="Colonne8" headerRowDxfId="76" dataDxfId="75" headerRowCellStyle="Entrée" dataCellStyle="Entrée">
      <calculatedColumnFormula>C10/G10*(1-H10)</calculatedColumnFormula>
    </tableColumn>
    <tableColumn id="9" xr3:uid="{00000000-0010-0000-0000-000009000000}" name="Colonne9" headerRowDxfId="74" dataDxfId="73" headerRowCellStyle="Entrée" dataCellStyle="Entrée"/>
  </tableColumns>
  <tableStyleInfo name="TableStyleMedium2"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racteurs" displayName="Tracteurs" ref="B13:J13" headerRowCount="0" totalsRowShown="0" headerRowBorderDxfId="72" tableBorderDxfId="71">
  <tableColumns count="9">
    <tableColumn id="1" xr3:uid="{00000000-0010-0000-0100-000001000000}" name="Colonne1" headerRowDxfId="70" dataDxfId="69" headerRowCellStyle="Entrée" dataCellStyle="Entrée"/>
    <tableColumn id="2" xr3:uid="{00000000-0010-0000-0100-000002000000}" name="Colonne2" headerRowDxfId="68" dataDxfId="67" headerRowCellStyle="Entrée" dataCellStyle="Entrée"/>
    <tableColumn id="3" xr3:uid="{00000000-0010-0000-0100-000003000000}" name="Colonne3" headerRowDxfId="66" dataDxfId="65" headerRowCellStyle="Entrée" dataCellStyle="Entrée">
      <calculatedColumnFormula>multiplTracteurs</calculatedColumnFormula>
    </tableColumn>
    <tableColumn id="4" xr3:uid="{00000000-0010-0000-0100-000004000000}" name="Colonne4" headerRowDxfId="64" dataDxfId="63" headerRowCellStyle="Entrée" dataCellStyle="Entrée"/>
    <tableColumn id="5" xr3:uid="{00000000-0010-0000-0100-000005000000}" name="Colonne5" headerRowDxfId="62" dataDxfId="61">
      <calculatedColumnFormula>Tracteurs[[#This Row],[Colonne4]]*Tracteurs[[#This Row],[Colonne3]]*Tracteurs[[#This Row],[Colonne2]]</calculatedColumnFormula>
    </tableColumn>
    <tableColumn id="6" xr3:uid="{00000000-0010-0000-0100-000006000000}" name="Colonne6" headerRowDxfId="60" dataDxfId="59" headerRowCellStyle="Entrée" dataCellStyle="Entrée"/>
    <tableColumn id="7" xr3:uid="{00000000-0010-0000-0100-000007000000}" name="Colonne7" headerRowDxfId="58" dataDxfId="57" headerRowCellStyle="Pourcentage" dataCellStyle="Pourcentage"/>
    <tableColumn id="8" xr3:uid="{00000000-0010-0000-0100-000008000000}" name="Colonne8" headerRowDxfId="56" dataDxfId="55" headerRowCellStyle="Entrée" dataCellStyle="Entrée">
      <calculatedColumnFormula>C13/G13*(1-H13)</calculatedColumnFormula>
    </tableColumn>
    <tableColumn id="9" xr3:uid="{00000000-0010-0000-0100-000009000000}" name="Colonne9" headerRowDxfId="54" dataDxfId="53" headerRowCellStyle="Entrée" dataCellStyle="Entrée"/>
  </tableColumns>
  <tableStyleInfo name="TableStyleMedium2"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Machineries" displayName="Machineries" ref="B16:J16" headerRowCount="0" totalsRowShown="0" headerRowDxfId="52" tableBorderDxfId="51">
  <tableColumns count="9">
    <tableColumn id="1" xr3:uid="{00000000-0010-0000-0200-000001000000}" name="Colonne1" headerRowDxfId="50" dataDxfId="49" dataCellStyle="Entrée"/>
    <tableColumn id="2" xr3:uid="{00000000-0010-0000-0200-000002000000}" name="Colonne2" headerRowDxfId="48" dataDxfId="47" dataCellStyle="Entrée"/>
    <tableColumn id="3" xr3:uid="{00000000-0010-0000-0200-000003000000}" name="Colonne3" headerRowDxfId="46" dataDxfId="45" dataCellStyle="Entrée">
      <calculatedColumnFormula>multiplMachineries</calculatedColumnFormula>
    </tableColumn>
    <tableColumn id="4" xr3:uid="{00000000-0010-0000-0200-000004000000}" name="Colonne4" headerRowDxfId="44" dataDxfId="43" dataCellStyle="Entrée"/>
    <tableColumn id="5" xr3:uid="{00000000-0010-0000-0200-000005000000}" name="Colonne5" headerRowDxfId="42" dataDxfId="41">
      <calculatedColumnFormula>Machineries[[#This Row],[Colonne4]]*Machineries[[#This Row],[Colonne3]]*Machineries[[#This Row],[Colonne2]]</calculatedColumnFormula>
    </tableColumn>
    <tableColumn id="6" xr3:uid="{00000000-0010-0000-0200-000006000000}" name="Colonne6" headerRowDxfId="40" dataDxfId="39" dataCellStyle="Entrée"/>
    <tableColumn id="7" xr3:uid="{00000000-0010-0000-0200-000007000000}" name="Colonne7" headerRowDxfId="38" dataDxfId="37" dataCellStyle="Pourcentage"/>
    <tableColumn id="8" xr3:uid="{00000000-0010-0000-0200-000008000000}" name="Colonne8" headerRowDxfId="36" dataDxfId="35" dataCellStyle="Entrée">
      <calculatedColumnFormula>C16/G16*(1-H16)</calculatedColumnFormula>
    </tableColumn>
    <tableColumn id="9" xr3:uid="{00000000-0010-0000-0200-000009000000}" name="Colonne9" headerRowDxfId="34" dataDxfId="33" dataCellStyle="Entrée"/>
  </tableColumns>
  <tableStyleInfo name="TableStyleMedium2" showFirstColumn="0" showLastColumn="0" showRowStripes="0"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3000000}" name="AidesContextuelles" displayName="AidesContextuelles" ref="A3:B42" totalsRowShown="0" headerRowDxfId="2">
  <tableColumns count="2">
    <tableColumn id="1" xr3:uid="{00000000-0010-0000-0300-000001000000}" name="SECTION" dataDxfId="1"/>
    <tableColumn id="2" xr3:uid="{00000000-0010-0000-0300-000002000000}" name="TEXTE À AFFICHER (Faire Alt+Enter pour faire un saut de ligne à l'intérieur d'une cellule)" dataDxfId="0"/>
  </tableColumns>
  <tableStyleInfo showFirstColumn="0" showLastColumn="0" showRowStripes="1" showColumnStripes="0"/>
</table>
</file>

<file path=xl/theme/theme1.xml><?xml version="1.0" encoding="utf-8"?>
<a:theme xmlns:a="http://schemas.openxmlformats.org/drawingml/2006/main" name="Office Theme">
  <a:themeElements>
    <a:clrScheme name="CETAB2">
      <a:dk1>
        <a:sysClr val="windowText" lastClr="000000"/>
      </a:dk1>
      <a:lt1>
        <a:sysClr val="window" lastClr="FFFFFF"/>
      </a:lt1>
      <a:dk2>
        <a:srgbClr val="676A55"/>
      </a:dk2>
      <a:lt2>
        <a:srgbClr val="EAEBDE"/>
      </a:lt2>
      <a:accent1>
        <a:srgbClr val="1B74B6"/>
      </a:accent1>
      <a:accent2>
        <a:srgbClr val="0A7C40"/>
      </a:accent2>
      <a:accent3>
        <a:srgbClr val="5B3D19"/>
      </a:accent3>
      <a:accent4>
        <a:srgbClr val="D2E4F2"/>
      </a:accent4>
      <a:accent5>
        <a:srgbClr val="84BF3E"/>
      </a:accent5>
      <a:accent6>
        <a:srgbClr val="996A37"/>
      </a:accent6>
      <a:hlink>
        <a:srgbClr val="00894B"/>
      </a:hlink>
      <a:folHlink>
        <a:srgbClr val="5D3A1C"/>
      </a:folHlink>
    </a:clrScheme>
    <a:fontScheme name="Office 365 Win7">
      <a:majorFont>
        <a:latin typeface="Segoe UI Semibold"/>
        <a:ea typeface=""/>
        <a:cs typeface=""/>
      </a:majorFont>
      <a:minorFont>
        <a:latin typeface="Segoe UI"/>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xDef>
      <a:spPr>
        <a:noFill/>
      </a:spPr>
      <a:bodyPr vertOverflow="overflow" horzOverflow="overflow" wrap="none" lIns="0" tIns="0" rIns="0" bIns="0" rtlCol="0" anchor="t">
        <a:spAutoFit/>
      </a:bodyPr>
      <a:lstStyle>
        <a:defPPr algn="l">
          <a:defRPr sz="800">
            <a:solidFill>
              <a:schemeClr val="accent1">
                <a:lumMod val="75000"/>
              </a:schemeClr>
            </a:solidFill>
          </a:defRPr>
        </a:defPPr>
      </a:lstStyle>
      <a:style>
        <a:lnRef idx="0">
          <a:scrgbClr r="0" g="0" b="0"/>
        </a:lnRef>
        <a:fillRef idx="0">
          <a:scrgbClr r="0" g="0" b="0"/>
        </a:fillRef>
        <a:effectRef idx="0">
          <a:scrgbClr r="0" g="0" b="0"/>
        </a:effectRef>
        <a:fontRef idx="minor">
          <a:schemeClr val="tx1"/>
        </a:fontRef>
      </a:style>
    </a:tx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9.xml"/><Relationship Id="rId1" Type="http://schemas.openxmlformats.org/officeDocument/2006/relationships/printerSettings" Target="../printerSettings/printerSettings10.bin"/><Relationship Id="rId4" Type="http://schemas.openxmlformats.org/officeDocument/2006/relationships/comments" Target="../comments5.xml"/></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34.xml"/><Relationship Id="rId3" Type="http://schemas.openxmlformats.org/officeDocument/2006/relationships/vmlDrawing" Target="../drawings/vmlDrawing8.vml"/><Relationship Id="rId7" Type="http://schemas.openxmlformats.org/officeDocument/2006/relationships/ctrlProp" Target="../ctrlProps/ctrlProp33.xml"/><Relationship Id="rId2" Type="http://schemas.openxmlformats.org/officeDocument/2006/relationships/drawing" Target="../drawings/drawing10.xml"/><Relationship Id="rId1" Type="http://schemas.openxmlformats.org/officeDocument/2006/relationships/printerSettings" Target="../printerSettings/printerSettings11.bin"/><Relationship Id="rId6" Type="http://schemas.openxmlformats.org/officeDocument/2006/relationships/ctrlProp" Target="../ctrlProps/ctrlProp32.xml"/><Relationship Id="rId11" Type="http://schemas.openxmlformats.org/officeDocument/2006/relationships/table" Target="../tables/table3.xml"/><Relationship Id="rId5" Type="http://schemas.openxmlformats.org/officeDocument/2006/relationships/ctrlProp" Target="../ctrlProps/ctrlProp31.xml"/><Relationship Id="rId10" Type="http://schemas.openxmlformats.org/officeDocument/2006/relationships/table" Target="../tables/table2.xml"/><Relationship Id="rId4" Type="http://schemas.openxmlformats.org/officeDocument/2006/relationships/ctrlProp" Target="../ctrlProps/ctrlProp30.xml"/><Relationship Id="rId9" Type="http://schemas.openxmlformats.org/officeDocument/2006/relationships/table" Target="../tables/table1.xml"/></Relationships>
</file>

<file path=xl/worksheets/_rels/sheet12.xml.rels><?xml version="1.0" encoding="UTF-8" standalone="yes"?>
<Relationships xmlns="http://schemas.openxmlformats.org/package/2006/relationships"><Relationship Id="rId8" Type="http://schemas.openxmlformats.org/officeDocument/2006/relationships/ctrlProp" Target="../ctrlProps/ctrlProp35.xml"/><Relationship Id="rId3" Type="http://schemas.openxmlformats.org/officeDocument/2006/relationships/hyperlink" Target="http://www.tpsgc-pwgsc.gc.ca/ongc-cgsb/programme-program/normes-standards/internet/bio-org/pgng-gpms-fra.html" TargetMode="External"/><Relationship Id="rId7" Type="http://schemas.openxmlformats.org/officeDocument/2006/relationships/vmlDrawing" Target="../drawings/vmlDrawing9.vml"/><Relationship Id="rId12" Type="http://schemas.microsoft.com/office/2007/relationships/slicer" Target="../slicers/slicer1.xml"/><Relationship Id="rId2" Type="http://schemas.openxmlformats.org/officeDocument/2006/relationships/hyperlink" Target="http://www.tpsgc-pwgsc.gc.ca/ongc-cgsb/programme-program/normes-standards/internet/bio-org/pgng-gpms-fra.html" TargetMode="External"/><Relationship Id="rId1" Type="http://schemas.openxmlformats.org/officeDocument/2006/relationships/pivotTable" Target="../pivotTables/pivotTable1.xml"/><Relationship Id="rId6" Type="http://schemas.openxmlformats.org/officeDocument/2006/relationships/drawing" Target="../drawings/drawing11.xml"/><Relationship Id="rId11" Type="http://schemas.openxmlformats.org/officeDocument/2006/relationships/ctrlProp" Target="../ctrlProps/ctrlProp38.xml"/><Relationship Id="rId5" Type="http://schemas.openxmlformats.org/officeDocument/2006/relationships/printerSettings" Target="../printerSettings/printerSettings12.bin"/><Relationship Id="rId10" Type="http://schemas.openxmlformats.org/officeDocument/2006/relationships/ctrlProp" Target="../ctrlProps/ctrlProp37.xml"/><Relationship Id="rId4" Type="http://schemas.openxmlformats.org/officeDocument/2006/relationships/hyperlink" Target="http://www.tpsgc-pwgsc.gc.ca/ongc-cgsb/programme-program/normes-standards/internet/bio-org/pgng-gpms-fra.html" TargetMode="External"/><Relationship Id="rId9" Type="http://schemas.openxmlformats.org/officeDocument/2006/relationships/ctrlProp" Target="../ctrlProps/ctrlProp36.xml"/></Relationships>
</file>

<file path=xl/worksheets/_rels/sheet13.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8" Type="http://schemas.openxmlformats.org/officeDocument/2006/relationships/ctrlProp" Target="../ctrlProps/ctrlProp43.xml"/><Relationship Id="rId3" Type="http://schemas.openxmlformats.org/officeDocument/2006/relationships/vmlDrawing" Target="../drawings/vmlDrawing11.vml"/><Relationship Id="rId7" Type="http://schemas.openxmlformats.org/officeDocument/2006/relationships/ctrlProp" Target="../ctrlProps/ctrlProp42.xml"/><Relationship Id="rId2" Type="http://schemas.openxmlformats.org/officeDocument/2006/relationships/drawing" Target="../drawings/drawing12.xml"/><Relationship Id="rId1" Type="http://schemas.openxmlformats.org/officeDocument/2006/relationships/printerSettings" Target="../printerSettings/printerSettings14.bin"/><Relationship Id="rId6" Type="http://schemas.openxmlformats.org/officeDocument/2006/relationships/ctrlProp" Target="../ctrlProps/ctrlProp41.xml"/><Relationship Id="rId5" Type="http://schemas.openxmlformats.org/officeDocument/2006/relationships/ctrlProp" Target="../ctrlProps/ctrlProp40.xml"/><Relationship Id="rId4" Type="http://schemas.openxmlformats.org/officeDocument/2006/relationships/ctrlProp" Target="../ctrlProps/ctrlProp39.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3.xml"/><Relationship Id="rId1" Type="http://schemas.openxmlformats.org/officeDocument/2006/relationships/printerSettings" Target="../printerSettings/printerSettings15.bin"/><Relationship Id="rId4" Type="http://schemas.openxmlformats.org/officeDocument/2006/relationships/ctrlProp" Target="../ctrlProps/ctrlProp44.xml"/></Relationships>
</file>

<file path=xl/worksheets/_rels/sheet17.xml.rels><?xml version="1.0" encoding="UTF-8" standalone="yes"?>
<Relationships xmlns="http://schemas.openxmlformats.org/package/2006/relationships"><Relationship Id="rId1" Type="http://schemas.openxmlformats.org/officeDocument/2006/relationships/table" Target="../tables/table4.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cetab.bio/outils/transition-bio-express/" TargetMode="Externa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6.xml"/><Relationship Id="rId13" Type="http://schemas.openxmlformats.org/officeDocument/2006/relationships/ctrlProp" Target="../ctrlProps/ctrlProp11.xml"/><Relationship Id="rId18" Type="http://schemas.openxmlformats.org/officeDocument/2006/relationships/ctrlProp" Target="../ctrlProps/ctrlProp16.xml"/><Relationship Id="rId3" Type="http://schemas.openxmlformats.org/officeDocument/2006/relationships/vmlDrawing" Target="../drawings/vmlDrawing2.vml"/><Relationship Id="rId21" Type="http://schemas.openxmlformats.org/officeDocument/2006/relationships/ctrlProp" Target="../ctrlProps/ctrlProp19.xml"/><Relationship Id="rId7" Type="http://schemas.openxmlformats.org/officeDocument/2006/relationships/ctrlProp" Target="../ctrlProps/ctrlProp5.xml"/><Relationship Id="rId12" Type="http://schemas.openxmlformats.org/officeDocument/2006/relationships/ctrlProp" Target="../ctrlProps/ctrlProp10.xml"/><Relationship Id="rId17" Type="http://schemas.openxmlformats.org/officeDocument/2006/relationships/ctrlProp" Target="../ctrlProps/ctrlProp15.xml"/><Relationship Id="rId2" Type="http://schemas.openxmlformats.org/officeDocument/2006/relationships/drawing" Target="../drawings/drawing3.xml"/><Relationship Id="rId16" Type="http://schemas.openxmlformats.org/officeDocument/2006/relationships/ctrlProp" Target="../ctrlProps/ctrlProp14.xml"/><Relationship Id="rId20" Type="http://schemas.openxmlformats.org/officeDocument/2006/relationships/ctrlProp" Target="../ctrlProps/ctrlProp18.xml"/><Relationship Id="rId1" Type="http://schemas.openxmlformats.org/officeDocument/2006/relationships/printerSettings" Target="../printerSettings/printerSettings3.bin"/><Relationship Id="rId6" Type="http://schemas.openxmlformats.org/officeDocument/2006/relationships/ctrlProp" Target="../ctrlProps/ctrlProp4.xml"/><Relationship Id="rId11" Type="http://schemas.openxmlformats.org/officeDocument/2006/relationships/ctrlProp" Target="../ctrlProps/ctrlProp9.xml"/><Relationship Id="rId24" Type="http://schemas.openxmlformats.org/officeDocument/2006/relationships/comments" Target="../comments1.xml"/><Relationship Id="rId5" Type="http://schemas.openxmlformats.org/officeDocument/2006/relationships/ctrlProp" Target="../ctrlProps/ctrlProp3.xml"/><Relationship Id="rId15" Type="http://schemas.openxmlformats.org/officeDocument/2006/relationships/ctrlProp" Target="../ctrlProps/ctrlProp13.xml"/><Relationship Id="rId23" Type="http://schemas.openxmlformats.org/officeDocument/2006/relationships/ctrlProp" Target="../ctrlProps/ctrlProp21.xml"/><Relationship Id="rId10" Type="http://schemas.openxmlformats.org/officeDocument/2006/relationships/ctrlProp" Target="../ctrlProps/ctrlProp8.xml"/><Relationship Id="rId19" Type="http://schemas.openxmlformats.org/officeDocument/2006/relationships/ctrlProp" Target="../ctrlProps/ctrlProp17.xml"/><Relationship Id="rId4" Type="http://schemas.openxmlformats.org/officeDocument/2006/relationships/ctrlProp" Target="../ctrlProps/ctrlProp2.xml"/><Relationship Id="rId9" Type="http://schemas.openxmlformats.org/officeDocument/2006/relationships/ctrlProp" Target="../ctrlProps/ctrlProp7.xml"/><Relationship Id="rId14" Type="http://schemas.openxmlformats.org/officeDocument/2006/relationships/ctrlProp" Target="../ctrlProps/ctrlProp12.xml"/><Relationship Id="rId22" Type="http://schemas.openxmlformats.org/officeDocument/2006/relationships/ctrlProp" Target="../ctrlProps/ctrlProp20.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ctrlProp" Target="../ctrlProps/ctrlProp24.xml"/><Relationship Id="rId5" Type="http://schemas.openxmlformats.org/officeDocument/2006/relationships/ctrlProp" Target="../ctrlProps/ctrlProp23.xml"/><Relationship Id="rId4" Type="http://schemas.openxmlformats.org/officeDocument/2006/relationships/ctrlProp" Target="../ctrlProps/ctrlProp22.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6.bin"/><Relationship Id="rId5" Type="http://schemas.openxmlformats.org/officeDocument/2006/relationships/comments" Target="../comments2.xml"/><Relationship Id="rId4" Type="http://schemas.openxmlformats.org/officeDocument/2006/relationships/ctrlProp" Target="../ctrlProps/ctrlProp25.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7.xml"/><Relationship Id="rId7" Type="http://schemas.openxmlformats.org/officeDocument/2006/relationships/comments" Target="../comments3.xml"/><Relationship Id="rId2" Type="http://schemas.openxmlformats.org/officeDocument/2006/relationships/printerSettings" Target="../printerSettings/printerSettings8.bin"/><Relationship Id="rId1" Type="http://schemas.openxmlformats.org/officeDocument/2006/relationships/hyperlink" Target="https://www.fadq.qc.ca/statistiques/assurance-recolte/rendements-de-reference/" TargetMode="External"/><Relationship Id="rId6" Type="http://schemas.openxmlformats.org/officeDocument/2006/relationships/ctrlProp" Target="../ctrlProps/ctrlProp27.xml"/><Relationship Id="rId5" Type="http://schemas.openxmlformats.org/officeDocument/2006/relationships/ctrlProp" Target="../ctrlProps/ctrlProp26.xml"/><Relationship Id="rId4" Type="http://schemas.openxmlformats.org/officeDocument/2006/relationships/vmlDrawing" Target="../drawings/vmlDrawing5.v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8.xml"/><Relationship Id="rId1" Type="http://schemas.openxmlformats.org/officeDocument/2006/relationships/printerSettings" Target="../printerSettings/printerSettings9.bin"/><Relationship Id="rId6" Type="http://schemas.openxmlformats.org/officeDocument/2006/relationships/comments" Target="../comments4.xml"/><Relationship Id="rId5" Type="http://schemas.openxmlformats.org/officeDocument/2006/relationships/ctrlProp" Target="../ctrlProps/ctrlProp29.xml"/><Relationship Id="rId4" Type="http://schemas.openxmlformats.org/officeDocument/2006/relationships/ctrlProp" Target="../ctrlProps/ctrlProp2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ageTitre">
    <tabColor theme="6"/>
  </sheetPr>
  <dimension ref="B2:P43"/>
  <sheetViews>
    <sheetView workbookViewId="0">
      <selection activeCell="M20" sqref="M20:P27"/>
    </sheetView>
  </sheetViews>
  <sheetFormatPr baseColWidth="10" defaultColWidth="11.42578125" defaultRowHeight="14.25"/>
  <cols>
    <col min="1" max="2" width="1.42578125" style="944" customWidth="1"/>
    <col min="3" max="9" width="11.5703125" style="944" customWidth="1"/>
    <col min="10" max="10" width="1.140625" style="944" customWidth="1"/>
    <col min="11" max="12" width="3.42578125" style="944" customWidth="1"/>
    <col min="13" max="13" width="15.140625" style="944" customWidth="1"/>
    <col min="14" max="14" width="23.5703125" style="944" customWidth="1"/>
    <col min="15" max="16" width="11.42578125" style="944"/>
    <col min="17" max="18" width="11.42578125" style="944" customWidth="1"/>
    <col min="19" max="19" width="11.42578125" style="944"/>
    <col min="20" max="21" width="11.42578125" style="944" customWidth="1"/>
    <col min="22" max="22" width="11.42578125" style="944"/>
    <col min="23" max="27" width="11.42578125" style="944" customWidth="1"/>
    <col min="28" max="28" width="11.42578125" style="944"/>
    <col min="29" max="30" width="11.42578125" style="944" customWidth="1"/>
    <col min="31" max="260" width="11.42578125" style="944"/>
    <col min="261" max="266" width="11.5703125" style="944" customWidth="1"/>
    <col min="267" max="267" width="10.85546875" style="944" customWidth="1"/>
    <col min="268" max="268" width="3.42578125" style="944" customWidth="1"/>
    <col min="269" max="269" width="15.140625" style="944" customWidth="1"/>
    <col min="270" max="270" width="23.5703125" style="944" customWidth="1"/>
    <col min="271" max="272" width="11.42578125" style="944"/>
    <col min="273" max="274" width="11.42578125" style="944" customWidth="1"/>
    <col min="275" max="275" width="11.42578125" style="944"/>
    <col min="276" max="277" width="11.42578125" style="944" customWidth="1"/>
    <col min="278" max="278" width="11.42578125" style="944"/>
    <col min="279" max="283" width="11.42578125" style="944" customWidth="1"/>
    <col min="284" max="284" width="11.42578125" style="944"/>
    <col min="285" max="286" width="11.42578125" style="944" customWidth="1"/>
    <col min="287" max="516" width="11.42578125" style="944"/>
    <col min="517" max="522" width="11.5703125" style="944" customWidth="1"/>
    <col min="523" max="523" width="10.85546875" style="944" customWidth="1"/>
    <col min="524" max="524" width="3.42578125" style="944" customWidth="1"/>
    <col min="525" max="525" width="15.140625" style="944" customWidth="1"/>
    <col min="526" max="526" width="23.5703125" style="944" customWidth="1"/>
    <col min="527" max="528" width="11.42578125" style="944"/>
    <col min="529" max="530" width="11.42578125" style="944" customWidth="1"/>
    <col min="531" max="531" width="11.42578125" style="944"/>
    <col min="532" max="533" width="11.42578125" style="944" customWidth="1"/>
    <col min="534" max="534" width="11.42578125" style="944"/>
    <col min="535" max="539" width="11.42578125" style="944" customWidth="1"/>
    <col min="540" max="540" width="11.42578125" style="944"/>
    <col min="541" max="542" width="11.42578125" style="944" customWidth="1"/>
    <col min="543" max="772" width="11.42578125" style="944"/>
    <col min="773" max="778" width="11.5703125" style="944" customWidth="1"/>
    <col min="779" max="779" width="10.85546875" style="944" customWidth="1"/>
    <col min="780" max="780" width="3.42578125" style="944" customWidth="1"/>
    <col min="781" max="781" width="15.140625" style="944" customWidth="1"/>
    <col min="782" max="782" width="23.5703125" style="944" customWidth="1"/>
    <col min="783" max="784" width="11.42578125" style="944"/>
    <col min="785" max="786" width="11.42578125" style="944" customWidth="1"/>
    <col min="787" max="787" width="11.42578125" style="944"/>
    <col min="788" max="789" width="11.42578125" style="944" customWidth="1"/>
    <col min="790" max="790" width="11.42578125" style="944"/>
    <col min="791" max="795" width="11.42578125" style="944" customWidth="1"/>
    <col min="796" max="796" width="11.42578125" style="944"/>
    <col min="797" max="798" width="11.42578125" style="944" customWidth="1"/>
    <col min="799" max="1028" width="11.42578125" style="944"/>
    <col min="1029" max="1034" width="11.5703125" style="944" customWidth="1"/>
    <col min="1035" max="1035" width="10.85546875" style="944" customWidth="1"/>
    <col min="1036" max="1036" width="3.42578125" style="944" customWidth="1"/>
    <col min="1037" max="1037" width="15.140625" style="944" customWidth="1"/>
    <col min="1038" max="1038" width="23.5703125" style="944" customWidth="1"/>
    <col min="1039" max="1040" width="11.42578125" style="944"/>
    <col min="1041" max="1042" width="11.42578125" style="944" customWidth="1"/>
    <col min="1043" max="1043" width="11.42578125" style="944"/>
    <col min="1044" max="1045" width="11.42578125" style="944" customWidth="1"/>
    <col min="1046" max="1046" width="11.42578125" style="944"/>
    <col min="1047" max="1051" width="11.42578125" style="944" customWidth="1"/>
    <col min="1052" max="1052" width="11.42578125" style="944"/>
    <col min="1053" max="1054" width="11.42578125" style="944" customWidth="1"/>
    <col min="1055" max="1284" width="11.42578125" style="944"/>
    <col min="1285" max="1290" width="11.5703125" style="944" customWidth="1"/>
    <col min="1291" max="1291" width="10.85546875" style="944" customWidth="1"/>
    <col min="1292" max="1292" width="3.42578125" style="944" customWidth="1"/>
    <col min="1293" max="1293" width="15.140625" style="944" customWidth="1"/>
    <col min="1294" max="1294" width="23.5703125" style="944" customWidth="1"/>
    <col min="1295" max="1296" width="11.42578125" style="944"/>
    <col min="1297" max="1298" width="11.42578125" style="944" customWidth="1"/>
    <col min="1299" max="1299" width="11.42578125" style="944"/>
    <col min="1300" max="1301" width="11.42578125" style="944" customWidth="1"/>
    <col min="1302" max="1302" width="11.42578125" style="944"/>
    <col min="1303" max="1307" width="11.42578125" style="944" customWidth="1"/>
    <col min="1308" max="1308" width="11.42578125" style="944"/>
    <col min="1309" max="1310" width="11.42578125" style="944" customWidth="1"/>
    <col min="1311" max="1540" width="11.42578125" style="944"/>
    <col min="1541" max="1546" width="11.5703125" style="944" customWidth="1"/>
    <col min="1547" max="1547" width="10.85546875" style="944" customWidth="1"/>
    <col min="1548" max="1548" width="3.42578125" style="944" customWidth="1"/>
    <col min="1549" max="1549" width="15.140625" style="944" customWidth="1"/>
    <col min="1550" max="1550" width="23.5703125" style="944" customWidth="1"/>
    <col min="1551" max="1552" width="11.42578125" style="944"/>
    <col min="1553" max="1554" width="11.42578125" style="944" customWidth="1"/>
    <col min="1555" max="1555" width="11.42578125" style="944"/>
    <col min="1556" max="1557" width="11.42578125" style="944" customWidth="1"/>
    <col min="1558" max="1558" width="11.42578125" style="944"/>
    <col min="1559" max="1563" width="11.42578125" style="944" customWidth="1"/>
    <col min="1564" max="1564" width="11.42578125" style="944"/>
    <col min="1565" max="1566" width="11.42578125" style="944" customWidth="1"/>
    <col min="1567" max="1796" width="11.42578125" style="944"/>
    <col min="1797" max="1802" width="11.5703125" style="944" customWidth="1"/>
    <col min="1803" max="1803" width="10.85546875" style="944" customWidth="1"/>
    <col min="1804" max="1804" width="3.42578125" style="944" customWidth="1"/>
    <col min="1805" max="1805" width="15.140625" style="944" customWidth="1"/>
    <col min="1806" max="1806" width="23.5703125" style="944" customWidth="1"/>
    <col min="1807" max="1808" width="11.42578125" style="944"/>
    <col min="1809" max="1810" width="11.42578125" style="944" customWidth="1"/>
    <col min="1811" max="1811" width="11.42578125" style="944"/>
    <col min="1812" max="1813" width="11.42578125" style="944" customWidth="1"/>
    <col min="1814" max="1814" width="11.42578125" style="944"/>
    <col min="1815" max="1819" width="11.42578125" style="944" customWidth="1"/>
    <col min="1820" max="1820" width="11.42578125" style="944"/>
    <col min="1821" max="1822" width="11.42578125" style="944" customWidth="1"/>
    <col min="1823" max="2052" width="11.42578125" style="944"/>
    <col min="2053" max="2058" width="11.5703125" style="944" customWidth="1"/>
    <col min="2059" max="2059" width="10.85546875" style="944" customWidth="1"/>
    <col min="2060" max="2060" width="3.42578125" style="944" customWidth="1"/>
    <col min="2061" max="2061" width="15.140625" style="944" customWidth="1"/>
    <col min="2062" max="2062" width="23.5703125" style="944" customWidth="1"/>
    <col min="2063" max="2064" width="11.42578125" style="944"/>
    <col min="2065" max="2066" width="11.42578125" style="944" customWidth="1"/>
    <col min="2067" max="2067" width="11.42578125" style="944"/>
    <col min="2068" max="2069" width="11.42578125" style="944" customWidth="1"/>
    <col min="2070" max="2070" width="11.42578125" style="944"/>
    <col min="2071" max="2075" width="11.42578125" style="944" customWidth="1"/>
    <col min="2076" max="2076" width="11.42578125" style="944"/>
    <col min="2077" max="2078" width="11.42578125" style="944" customWidth="1"/>
    <col min="2079" max="2308" width="11.42578125" style="944"/>
    <col min="2309" max="2314" width="11.5703125" style="944" customWidth="1"/>
    <col min="2315" max="2315" width="10.85546875" style="944" customWidth="1"/>
    <col min="2316" max="2316" width="3.42578125" style="944" customWidth="1"/>
    <col min="2317" max="2317" width="15.140625" style="944" customWidth="1"/>
    <col min="2318" max="2318" width="23.5703125" style="944" customWidth="1"/>
    <col min="2319" max="2320" width="11.42578125" style="944"/>
    <col min="2321" max="2322" width="11.42578125" style="944" customWidth="1"/>
    <col min="2323" max="2323" width="11.42578125" style="944"/>
    <col min="2324" max="2325" width="11.42578125" style="944" customWidth="1"/>
    <col min="2326" max="2326" width="11.42578125" style="944"/>
    <col min="2327" max="2331" width="11.42578125" style="944" customWidth="1"/>
    <col min="2332" max="2332" width="11.42578125" style="944"/>
    <col min="2333" max="2334" width="11.42578125" style="944" customWidth="1"/>
    <col min="2335" max="2564" width="11.42578125" style="944"/>
    <col min="2565" max="2570" width="11.5703125" style="944" customWidth="1"/>
    <col min="2571" max="2571" width="10.85546875" style="944" customWidth="1"/>
    <col min="2572" max="2572" width="3.42578125" style="944" customWidth="1"/>
    <col min="2573" max="2573" width="15.140625" style="944" customWidth="1"/>
    <col min="2574" max="2574" width="23.5703125" style="944" customWidth="1"/>
    <col min="2575" max="2576" width="11.42578125" style="944"/>
    <col min="2577" max="2578" width="11.42578125" style="944" customWidth="1"/>
    <col min="2579" max="2579" width="11.42578125" style="944"/>
    <col min="2580" max="2581" width="11.42578125" style="944" customWidth="1"/>
    <col min="2582" max="2582" width="11.42578125" style="944"/>
    <col min="2583" max="2587" width="11.42578125" style="944" customWidth="1"/>
    <col min="2588" max="2588" width="11.42578125" style="944"/>
    <col min="2589" max="2590" width="11.42578125" style="944" customWidth="1"/>
    <col min="2591" max="2820" width="11.42578125" style="944"/>
    <col min="2821" max="2826" width="11.5703125" style="944" customWidth="1"/>
    <col min="2827" max="2827" width="10.85546875" style="944" customWidth="1"/>
    <col min="2828" max="2828" width="3.42578125" style="944" customWidth="1"/>
    <col min="2829" max="2829" width="15.140625" style="944" customWidth="1"/>
    <col min="2830" max="2830" width="23.5703125" style="944" customWidth="1"/>
    <col min="2831" max="2832" width="11.42578125" style="944"/>
    <col min="2833" max="2834" width="11.42578125" style="944" customWidth="1"/>
    <col min="2835" max="2835" width="11.42578125" style="944"/>
    <col min="2836" max="2837" width="11.42578125" style="944" customWidth="1"/>
    <col min="2838" max="2838" width="11.42578125" style="944"/>
    <col min="2839" max="2843" width="11.42578125" style="944" customWidth="1"/>
    <col min="2844" max="2844" width="11.42578125" style="944"/>
    <col min="2845" max="2846" width="11.42578125" style="944" customWidth="1"/>
    <col min="2847" max="3076" width="11.42578125" style="944"/>
    <col min="3077" max="3082" width="11.5703125" style="944" customWidth="1"/>
    <col min="3083" max="3083" width="10.85546875" style="944" customWidth="1"/>
    <col min="3084" max="3084" width="3.42578125" style="944" customWidth="1"/>
    <col min="3085" max="3085" width="15.140625" style="944" customWidth="1"/>
    <col min="3086" max="3086" width="23.5703125" style="944" customWidth="1"/>
    <col min="3087" max="3088" width="11.42578125" style="944"/>
    <col min="3089" max="3090" width="11.42578125" style="944" customWidth="1"/>
    <col min="3091" max="3091" width="11.42578125" style="944"/>
    <col min="3092" max="3093" width="11.42578125" style="944" customWidth="1"/>
    <col min="3094" max="3094" width="11.42578125" style="944"/>
    <col min="3095" max="3099" width="11.42578125" style="944" customWidth="1"/>
    <col min="3100" max="3100" width="11.42578125" style="944"/>
    <col min="3101" max="3102" width="11.42578125" style="944" customWidth="1"/>
    <col min="3103" max="3332" width="11.42578125" style="944"/>
    <col min="3333" max="3338" width="11.5703125" style="944" customWidth="1"/>
    <col min="3339" max="3339" width="10.85546875" style="944" customWidth="1"/>
    <col min="3340" max="3340" width="3.42578125" style="944" customWidth="1"/>
    <col min="3341" max="3341" width="15.140625" style="944" customWidth="1"/>
    <col min="3342" max="3342" width="23.5703125" style="944" customWidth="1"/>
    <col min="3343" max="3344" width="11.42578125" style="944"/>
    <col min="3345" max="3346" width="11.42578125" style="944" customWidth="1"/>
    <col min="3347" max="3347" width="11.42578125" style="944"/>
    <col min="3348" max="3349" width="11.42578125" style="944" customWidth="1"/>
    <col min="3350" max="3350" width="11.42578125" style="944"/>
    <col min="3351" max="3355" width="11.42578125" style="944" customWidth="1"/>
    <col min="3356" max="3356" width="11.42578125" style="944"/>
    <col min="3357" max="3358" width="11.42578125" style="944" customWidth="1"/>
    <col min="3359" max="3588" width="11.42578125" style="944"/>
    <col min="3589" max="3594" width="11.5703125" style="944" customWidth="1"/>
    <col min="3595" max="3595" width="10.85546875" style="944" customWidth="1"/>
    <col min="3596" max="3596" width="3.42578125" style="944" customWidth="1"/>
    <col min="3597" max="3597" width="15.140625" style="944" customWidth="1"/>
    <col min="3598" max="3598" width="23.5703125" style="944" customWidth="1"/>
    <col min="3599" max="3600" width="11.42578125" style="944"/>
    <col min="3601" max="3602" width="11.42578125" style="944" customWidth="1"/>
    <col min="3603" max="3603" width="11.42578125" style="944"/>
    <col min="3604" max="3605" width="11.42578125" style="944" customWidth="1"/>
    <col min="3606" max="3606" width="11.42578125" style="944"/>
    <col min="3607" max="3611" width="11.42578125" style="944" customWidth="1"/>
    <col min="3612" max="3612" width="11.42578125" style="944"/>
    <col min="3613" max="3614" width="11.42578125" style="944" customWidth="1"/>
    <col min="3615" max="3844" width="11.42578125" style="944"/>
    <col min="3845" max="3850" width="11.5703125" style="944" customWidth="1"/>
    <col min="3851" max="3851" width="10.85546875" style="944" customWidth="1"/>
    <col min="3852" max="3852" width="3.42578125" style="944" customWidth="1"/>
    <col min="3853" max="3853" width="15.140625" style="944" customWidth="1"/>
    <col min="3854" max="3854" width="23.5703125" style="944" customWidth="1"/>
    <col min="3855" max="3856" width="11.42578125" style="944"/>
    <col min="3857" max="3858" width="11.42578125" style="944" customWidth="1"/>
    <col min="3859" max="3859" width="11.42578125" style="944"/>
    <col min="3860" max="3861" width="11.42578125" style="944" customWidth="1"/>
    <col min="3862" max="3862" width="11.42578125" style="944"/>
    <col min="3863" max="3867" width="11.42578125" style="944" customWidth="1"/>
    <col min="3868" max="3868" width="11.42578125" style="944"/>
    <col min="3869" max="3870" width="11.42578125" style="944" customWidth="1"/>
    <col min="3871" max="4100" width="11.42578125" style="944"/>
    <col min="4101" max="4106" width="11.5703125" style="944" customWidth="1"/>
    <col min="4107" max="4107" width="10.85546875" style="944" customWidth="1"/>
    <col min="4108" max="4108" width="3.42578125" style="944" customWidth="1"/>
    <col min="4109" max="4109" width="15.140625" style="944" customWidth="1"/>
    <col min="4110" max="4110" width="23.5703125" style="944" customWidth="1"/>
    <col min="4111" max="4112" width="11.42578125" style="944"/>
    <col min="4113" max="4114" width="11.42578125" style="944" customWidth="1"/>
    <col min="4115" max="4115" width="11.42578125" style="944"/>
    <col min="4116" max="4117" width="11.42578125" style="944" customWidth="1"/>
    <col min="4118" max="4118" width="11.42578125" style="944"/>
    <col min="4119" max="4123" width="11.42578125" style="944" customWidth="1"/>
    <col min="4124" max="4124" width="11.42578125" style="944"/>
    <col min="4125" max="4126" width="11.42578125" style="944" customWidth="1"/>
    <col min="4127" max="4356" width="11.42578125" style="944"/>
    <col min="4357" max="4362" width="11.5703125" style="944" customWidth="1"/>
    <col min="4363" max="4363" width="10.85546875" style="944" customWidth="1"/>
    <col min="4364" max="4364" width="3.42578125" style="944" customWidth="1"/>
    <col min="4365" max="4365" width="15.140625" style="944" customWidth="1"/>
    <col min="4366" max="4366" width="23.5703125" style="944" customWidth="1"/>
    <col min="4367" max="4368" width="11.42578125" style="944"/>
    <col min="4369" max="4370" width="11.42578125" style="944" customWidth="1"/>
    <col min="4371" max="4371" width="11.42578125" style="944"/>
    <col min="4372" max="4373" width="11.42578125" style="944" customWidth="1"/>
    <col min="4374" max="4374" width="11.42578125" style="944"/>
    <col min="4375" max="4379" width="11.42578125" style="944" customWidth="1"/>
    <col min="4380" max="4380" width="11.42578125" style="944"/>
    <col min="4381" max="4382" width="11.42578125" style="944" customWidth="1"/>
    <col min="4383" max="4612" width="11.42578125" style="944"/>
    <col min="4613" max="4618" width="11.5703125" style="944" customWidth="1"/>
    <col min="4619" max="4619" width="10.85546875" style="944" customWidth="1"/>
    <col min="4620" max="4620" width="3.42578125" style="944" customWidth="1"/>
    <col min="4621" max="4621" width="15.140625" style="944" customWidth="1"/>
    <col min="4622" max="4622" width="23.5703125" style="944" customWidth="1"/>
    <col min="4623" max="4624" width="11.42578125" style="944"/>
    <col min="4625" max="4626" width="11.42578125" style="944" customWidth="1"/>
    <col min="4627" max="4627" width="11.42578125" style="944"/>
    <col min="4628" max="4629" width="11.42578125" style="944" customWidth="1"/>
    <col min="4630" max="4630" width="11.42578125" style="944"/>
    <col min="4631" max="4635" width="11.42578125" style="944" customWidth="1"/>
    <col min="4636" max="4636" width="11.42578125" style="944"/>
    <col min="4637" max="4638" width="11.42578125" style="944" customWidth="1"/>
    <col min="4639" max="4868" width="11.42578125" style="944"/>
    <col min="4869" max="4874" width="11.5703125" style="944" customWidth="1"/>
    <col min="4875" max="4875" width="10.85546875" style="944" customWidth="1"/>
    <col min="4876" max="4876" width="3.42578125" style="944" customWidth="1"/>
    <col min="4877" max="4877" width="15.140625" style="944" customWidth="1"/>
    <col min="4878" max="4878" width="23.5703125" style="944" customWidth="1"/>
    <col min="4879" max="4880" width="11.42578125" style="944"/>
    <col min="4881" max="4882" width="11.42578125" style="944" customWidth="1"/>
    <col min="4883" max="4883" width="11.42578125" style="944"/>
    <col min="4884" max="4885" width="11.42578125" style="944" customWidth="1"/>
    <col min="4886" max="4886" width="11.42578125" style="944"/>
    <col min="4887" max="4891" width="11.42578125" style="944" customWidth="1"/>
    <col min="4892" max="4892" width="11.42578125" style="944"/>
    <col min="4893" max="4894" width="11.42578125" style="944" customWidth="1"/>
    <col min="4895" max="5124" width="11.42578125" style="944"/>
    <col min="5125" max="5130" width="11.5703125" style="944" customWidth="1"/>
    <col min="5131" max="5131" width="10.85546875" style="944" customWidth="1"/>
    <col min="5132" max="5132" width="3.42578125" style="944" customWidth="1"/>
    <col min="5133" max="5133" width="15.140625" style="944" customWidth="1"/>
    <col min="5134" max="5134" width="23.5703125" style="944" customWidth="1"/>
    <col min="5135" max="5136" width="11.42578125" style="944"/>
    <col min="5137" max="5138" width="11.42578125" style="944" customWidth="1"/>
    <col min="5139" max="5139" width="11.42578125" style="944"/>
    <col min="5140" max="5141" width="11.42578125" style="944" customWidth="1"/>
    <col min="5142" max="5142" width="11.42578125" style="944"/>
    <col min="5143" max="5147" width="11.42578125" style="944" customWidth="1"/>
    <col min="5148" max="5148" width="11.42578125" style="944"/>
    <col min="5149" max="5150" width="11.42578125" style="944" customWidth="1"/>
    <col min="5151" max="5380" width="11.42578125" style="944"/>
    <col min="5381" max="5386" width="11.5703125" style="944" customWidth="1"/>
    <col min="5387" max="5387" width="10.85546875" style="944" customWidth="1"/>
    <col min="5388" max="5388" width="3.42578125" style="944" customWidth="1"/>
    <col min="5389" max="5389" width="15.140625" style="944" customWidth="1"/>
    <col min="5390" max="5390" width="23.5703125" style="944" customWidth="1"/>
    <col min="5391" max="5392" width="11.42578125" style="944"/>
    <col min="5393" max="5394" width="11.42578125" style="944" customWidth="1"/>
    <col min="5395" max="5395" width="11.42578125" style="944"/>
    <col min="5396" max="5397" width="11.42578125" style="944" customWidth="1"/>
    <col min="5398" max="5398" width="11.42578125" style="944"/>
    <col min="5399" max="5403" width="11.42578125" style="944" customWidth="1"/>
    <col min="5404" max="5404" width="11.42578125" style="944"/>
    <col min="5405" max="5406" width="11.42578125" style="944" customWidth="1"/>
    <col min="5407" max="5636" width="11.42578125" style="944"/>
    <col min="5637" max="5642" width="11.5703125" style="944" customWidth="1"/>
    <col min="5643" max="5643" width="10.85546875" style="944" customWidth="1"/>
    <col min="5644" max="5644" width="3.42578125" style="944" customWidth="1"/>
    <col min="5645" max="5645" width="15.140625" style="944" customWidth="1"/>
    <col min="5646" max="5646" width="23.5703125" style="944" customWidth="1"/>
    <col min="5647" max="5648" width="11.42578125" style="944"/>
    <col min="5649" max="5650" width="11.42578125" style="944" customWidth="1"/>
    <col min="5651" max="5651" width="11.42578125" style="944"/>
    <col min="5652" max="5653" width="11.42578125" style="944" customWidth="1"/>
    <col min="5654" max="5654" width="11.42578125" style="944"/>
    <col min="5655" max="5659" width="11.42578125" style="944" customWidth="1"/>
    <col min="5660" max="5660" width="11.42578125" style="944"/>
    <col min="5661" max="5662" width="11.42578125" style="944" customWidth="1"/>
    <col min="5663" max="5892" width="11.42578125" style="944"/>
    <col min="5893" max="5898" width="11.5703125" style="944" customWidth="1"/>
    <col min="5899" max="5899" width="10.85546875" style="944" customWidth="1"/>
    <col min="5900" max="5900" width="3.42578125" style="944" customWidth="1"/>
    <col min="5901" max="5901" width="15.140625" style="944" customWidth="1"/>
    <col min="5902" max="5902" width="23.5703125" style="944" customWidth="1"/>
    <col min="5903" max="5904" width="11.42578125" style="944"/>
    <col min="5905" max="5906" width="11.42578125" style="944" customWidth="1"/>
    <col min="5907" max="5907" width="11.42578125" style="944"/>
    <col min="5908" max="5909" width="11.42578125" style="944" customWidth="1"/>
    <col min="5910" max="5910" width="11.42578125" style="944"/>
    <col min="5911" max="5915" width="11.42578125" style="944" customWidth="1"/>
    <col min="5916" max="5916" width="11.42578125" style="944"/>
    <col min="5917" max="5918" width="11.42578125" style="944" customWidth="1"/>
    <col min="5919" max="6148" width="11.42578125" style="944"/>
    <col min="6149" max="6154" width="11.5703125" style="944" customWidth="1"/>
    <col min="6155" max="6155" width="10.85546875" style="944" customWidth="1"/>
    <col min="6156" max="6156" width="3.42578125" style="944" customWidth="1"/>
    <col min="6157" max="6157" width="15.140625" style="944" customWidth="1"/>
    <col min="6158" max="6158" width="23.5703125" style="944" customWidth="1"/>
    <col min="6159" max="6160" width="11.42578125" style="944"/>
    <col min="6161" max="6162" width="11.42578125" style="944" customWidth="1"/>
    <col min="6163" max="6163" width="11.42578125" style="944"/>
    <col min="6164" max="6165" width="11.42578125" style="944" customWidth="1"/>
    <col min="6166" max="6166" width="11.42578125" style="944"/>
    <col min="6167" max="6171" width="11.42578125" style="944" customWidth="1"/>
    <col min="6172" max="6172" width="11.42578125" style="944"/>
    <col min="6173" max="6174" width="11.42578125" style="944" customWidth="1"/>
    <col min="6175" max="6404" width="11.42578125" style="944"/>
    <col min="6405" max="6410" width="11.5703125" style="944" customWidth="1"/>
    <col min="6411" max="6411" width="10.85546875" style="944" customWidth="1"/>
    <col min="6412" max="6412" width="3.42578125" style="944" customWidth="1"/>
    <col min="6413" max="6413" width="15.140625" style="944" customWidth="1"/>
    <col min="6414" max="6414" width="23.5703125" style="944" customWidth="1"/>
    <col min="6415" max="6416" width="11.42578125" style="944"/>
    <col min="6417" max="6418" width="11.42578125" style="944" customWidth="1"/>
    <col min="6419" max="6419" width="11.42578125" style="944"/>
    <col min="6420" max="6421" width="11.42578125" style="944" customWidth="1"/>
    <col min="6422" max="6422" width="11.42578125" style="944"/>
    <col min="6423" max="6427" width="11.42578125" style="944" customWidth="1"/>
    <col min="6428" max="6428" width="11.42578125" style="944"/>
    <col min="6429" max="6430" width="11.42578125" style="944" customWidth="1"/>
    <col min="6431" max="6660" width="11.42578125" style="944"/>
    <col min="6661" max="6666" width="11.5703125" style="944" customWidth="1"/>
    <col min="6667" max="6667" width="10.85546875" style="944" customWidth="1"/>
    <col min="6668" max="6668" width="3.42578125" style="944" customWidth="1"/>
    <col min="6669" max="6669" width="15.140625" style="944" customWidth="1"/>
    <col min="6670" max="6670" width="23.5703125" style="944" customWidth="1"/>
    <col min="6671" max="6672" width="11.42578125" style="944"/>
    <col min="6673" max="6674" width="11.42578125" style="944" customWidth="1"/>
    <col min="6675" max="6675" width="11.42578125" style="944"/>
    <col min="6676" max="6677" width="11.42578125" style="944" customWidth="1"/>
    <col min="6678" max="6678" width="11.42578125" style="944"/>
    <col min="6679" max="6683" width="11.42578125" style="944" customWidth="1"/>
    <col min="6684" max="6684" width="11.42578125" style="944"/>
    <col min="6685" max="6686" width="11.42578125" style="944" customWidth="1"/>
    <col min="6687" max="6916" width="11.42578125" style="944"/>
    <col min="6917" max="6922" width="11.5703125" style="944" customWidth="1"/>
    <col min="6923" max="6923" width="10.85546875" style="944" customWidth="1"/>
    <col min="6924" max="6924" width="3.42578125" style="944" customWidth="1"/>
    <col min="6925" max="6925" width="15.140625" style="944" customWidth="1"/>
    <col min="6926" max="6926" width="23.5703125" style="944" customWidth="1"/>
    <col min="6927" max="6928" width="11.42578125" style="944"/>
    <col min="6929" max="6930" width="11.42578125" style="944" customWidth="1"/>
    <col min="6931" max="6931" width="11.42578125" style="944"/>
    <col min="6932" max="6933" width="11.42578125" style="944" customWidth="1"/>
    <col min="6934" max="6934" width="11.42578125" style="944"/>
    <col min="6935" max="6939" width="11.42578125" style="944" customWidth="1"/>
    <col min="6940" max="6940" width="11.42578125" style="944"/>
    <col min="6941" max="6942" width="11.42578125" style="944" customWidth="1"/>
    <col min="6943" max="7172" width="11.42578125" style="944"/>
    <col min="7173" max="7178" width="11.5703125" style="944" customWidth="1"/>
    <col min="7179" max="7179" width="10.85546875" style="944" customWidth="1"/>
    <col min="7180" max="7180" width="3.42578125" style="944" customWidth="1"/>
    <col min="7181" max="7181" width="15.140625" style="944" customWidth="1"/>
    <col min="7182" max="7182" width="23.5703125" style="944" customWidth="1"/>
    <col min="7183" max="7184" width="11.42578125" style="944"/>
    <col min="7185" max="7186" width="11.42578125" style="944" customWidth="1"/>
    <col min="7187" max="7187" width="11.42578125" style="944"/>
    <col min="7188" max="7189" width="11.42578125" style="944" customWidth="1"/>
    <col min="7190" max="7190" width="11.42578125" style="944"/>
    <col min="7191" max="7195" width="11.42578125" style="944" customWidth="1"/>
    <col min="7196" max="7196" width="11.42578125" style="944"/>
    <col min="7197" max="7198" width="11.42578125" style="944" customWidth="1"/>
    <col min="7199" max="7428" width="11.42578125" style="944"/>
    <col min="7429" max="7434" width="11.5703125" style="944" customWidth="1"/>
    <col min="7435" max="7435" width="10.85546875" style="944" customWidth="1"/>
    <col min="7436" max="7436" width="3.42578125" style="944" customWidth="1"/>
    <col min="7437" max="7437" width="15.140625" style="944" customWidth="1"/>
    <col min="7438" max="7438" width="23.5703125" style="944" customWidth="1"/>
    <col min="7439" max="7440" width="11.42578125" style="944"/>
    <col min="7441" max="7442" width="11.42578125" style="944" customWidth="1"/>
    <col min="7443" max="7443" width="11.42578125" style="944"/>
    <col min="7444" max="7445" width="11.42578125" style="944" customWidth="1"/>
    <col min="7446" max="7446" width="11.42578125" style="944"/>
    <col min="7447" max="7451" width="11.42578125" style="944" customWidth="1"/>
    <col min="7452" max="7452" width="11.42578125" style="944"/>
    <col min="7453" max="7454" width="11.42578125" style="944" customWidth="1"/>
    <col min="7455" max="7684" width="11.42578125" style="944"/>
    <col min="7685" max="7690" width="11.5703125" style="944" customWidth="1"/>
    <col min="7691" max="7691" width="10.85546875" style="944" customWidth="1"/>
    <col min="7692" max="7692" width="3.42578125" style="944" customWidth="1"/>
    <col min="7693" max="7693" width="15.140625" style="944" customWidth="1"/>
    <col min="7694" max="7694" width="23.5703125" style="944" customWidth="1"/>
    <col min="7695" max="7696" width="11.42578125" style="944"/>
    <col min="7697" max="7698" width="11.42578125" style="944" customWidth="1"/>
    <col min="7699" max="7699" width="11.42578125" style="944"/>
    <col min="7700" max="7701" width="11.42578125" style="944" customWidth="1"/>
    <col min="7702" max="7702" width="11.42578125" style="944"/>
    <col min="7703" max="7707" width="11.42578125" style="944" customWidth="1"/>
    <col min="7708" max="7708" width="11.42578125" style="944"/>
    <col min="7709" max="7710" width="11.42578125" style="944" customWidth="1"/>
    <col min="7711" max="7940" width="11.42578125" style="944"/>
    <col min="7941" max="7946" width="11.5703125" style="944" customWidth="1"/>
    <col min="7947" max="7947" width="10.85546875" style="944" customWidth="1"/>
    <col min="7948" max="7948" width="3.42578125" style="944" customWidth="1"/>
    <col min="7949" max="7949" width="15.140625" style="944" customWidth="1"/>
    <col min="7950" max="7950" width="23.5703125" style="944" customWidth="1"/>
    <col min="7951" max="7952" width="11.42578125" style="944"/>
    <col min="7953" max="7954" width="11.42578125" style="944" customWidth="1"/>
    <col min="7955" max="7955" width="11.42578125" style="944"/>
    <col min="7956" max="7957" width="11.42578125" style="944" customWidth="1"/>
    <col min="7958" max="7958" width="11.42578125" style="944"/>
    <col min="7959" max="7963" width="11.42578125" style="944" customWidth="1"/>
    <col min="7964" max="7964" width="11.42578125" style="944"/>
    <col min="7965" max="7966" width="11.42578125" style="944" customWidth="1"/>
    <col min="7967" max="8196" width="11.42578125" style="944"/>
    <col min="8197" max="8202" width="11.5703125" style="944" customWidth="1"/>
    <col min="8203" max="8203" width="10.85546875" style="944" customWidth="1"/>
    <col min="8204" max="8204" width="3.42578125" style="944" customWidth="1"/>
    <col min="8205" max="8205" width="15.140625" style="944" customWidth="1"/>
    <col min="8206" max="8206" width="23.5703125" style="944" customWidth="1"/>
    <col min="8207" max="8208" width="11.42578125" style="944"/>
    <col min="8209" max="8210" width="11.42578125" style="944" customWidth="1"/>
    <col min="8211" max="8211" width="11.42578125" style="944"/>
    <col min="8212" max="8213" width="11.42578125" style="944" customWidth="1"/>
    <col min="8214" max="8214" width="11.42578125" style="944"/>
    <col min="8215" max="8219" width="11.42578125" style="944" customWidth="1"/>
    <col min="8220" max="8220" width="11.42578125" style="944"/>
    <col min="8221" max="8222" width="11.42578125" style="944" customWidth="1"/>
    <col min="8223" max="8452" width="11.42578125" style="944"/>
    <col min="8453" max="8458" width="11.5703125" style="944" customWidth="1"/>
    <col min="8459" max="8459" width="10.85546875" style="944" customWidth="1"/>
    <col min="8460" max="8460" width="3.42578125" style="944" customWidth="1"/>
    <col min="8461" max="8461" width="15.140625" style="944" customWidth="1"/>
    <col min="8462" max="8462" width="23.5703125" style="944" customWidth="1"/>
    <col min="8463" max="8464" width="11.42578125" style="944"/>
    <col min="8465" max="8466" width="11.42578125" style="944" customWidth="1"/>
    <col min="8467" max="8467" width="11.42578125" style="944"/>
    <col min="8468" max="8469" width="11.42578125" style="944" customWidth="1"/>
    <col min="8470" max="8470" width="11.42578125" style="944"/>
    <col min="8471" max="8475" width="11.42578125" style="944" customWidth="1"/>
    <col min="8476" max="8476" width="11.42578125" style="944"/>
    <col min="8477" max="8478" width="11.42578125" style="944" customWidth="1"/>
    <col min="8479" max="8708" width="11.42578125" style="944"/>
    <col min="8709" max="8714" width="11.5703125" style="944" customWidth="1"/>
    <col min="8715" max="8715" width="10.85546875" style="944" customWidth="1"/>
    <col min="8716" max="8716" width="3.42578125" style="944" customWidth="1"/>
    <col min="8717" max="8717" width="15.140625" style="944" customWidth="1"/>
    <col min="8718" max="8718" width="23.5703125" style="944" customWidth="1"/>
    <col min="8719" max="8720" width="11.42578125" style="944"/>
    <col min="8721" max="8722" width="11.42578125" style="944" customWidth="1"/>
    <col min="8723" max="8723" width="11.42578125" style="944"/>
    <col min="8724" max="8725" width="11.42578125" style="944" customWidth="1"/>
    <col min="8726" max="8726" width="11.42578125" style="944"/>
    <col min="8727" max="8731" width="11.42578125" style="944" customWidth="1"/>
    <col min="8732" max="8732" width="11.42578125" style="944"/>
    <col min="8733" max="8734" width="11.42578125" style="944" customWidth="1"/>
    <col min="8735" max="8964" width="11.42578125" style="944"/>
    <col min="8965" max="8970" width="11.5703125" style="944" customWidth="1"/>
    <col min="8971" max="8971" width="10.85546875" style="944" customWidth="1"/>
    <col min="8972" max="8972" width="3.42578125" style="944" customWidth="1"/>
    <col min="8973" max="8973" width="15.140625" style="944" customWidth="1"/>
    <col min="8974" max="8974" width="23.5703125" style="944" customWidth="1"/>
    <col min="8975" max="8976" width="11.42578125" style="944"/>
    <col min="8977" max="8978" width="11.42578125" style="944" customWidth="1"/>
    <col min="8979" max="8979" width="11.42578125" style="944"/>
    <col min="8980" max="8981" width="11.42578125" style="944" customWidth="1"/>
    <col min="8982" max="8982" width="11.42578125" style="944"/>
    <col min="8983" max="8987" width="11.42578125" style="944" customWidth="1"/>
    <col min="8988" max="8988" width="11.42578125" style="944"/>
    <col min="8989" max="8990" width="11.42578125" style="944" customWidth="1"/>
    <col min="8991" max="9220" width="11.42578125" style="944"/>
    <col min="9221" max="9226" width="11.5703125" style="944" customWidth="1"/>
    <col min="9227" max="9227" width="10.85546875" style="944" customWidth="1"/>
    <col min="9228" max="9228" width="3.42578125" style="944" customWidth="1"/>
    <col min="9229" max="9229" width="15.140625" style="944" customWidth="1"/>
    <col min="9230" max="9230" width="23.5703125" style="944" customWidth="1"/>
    <col min="9231" max="9232" width="11.42578125" style="944"/>
    <col min="9233" max="9234" width="11.42578125" style="944" customWidth="1"/>
    <col min="9235" max="9235" width="11.42578125" style="944"/>
    <col min="9236" max="9237" width="11.42578125" style="944" customWidth="1"/>
    <col min="9238" max="9238" width="11.42578125" style="944"/>
    <col min="9239" max="9243" width="11.42578125" style="944" customWidth="1"/>
    <col min="9244" max="9244" width="11.42578125" style="944"/>
    <col min="9245" max="9246" width="11.42578125" style="944" customWidth="1"/>
    <col min="9247" max="9476" width="11.42578125" style="944"/>
    <col min="9477" max="9482" width="11.5703125" style="944" customWidth="1"/>
    <col min="9483" max="9483" width="10.85546875" style="944" customWidth="1"/>
    <col min="9484" max="9484" width="3.42578125" style="944" customWidth="1"/>
    <col min="9485" max="9485" width="15.140625" style="944" customWidth="1"/>
    <col min="9486" max="9486" width="23.5703125" style="944" customWidth="1"/>
    <col min="9487" max="9488" width="11.42578125" style="944"/>
    <col min="9489" max="9490" width="11.42578125" style="944" customWidth="1"/>
    <col min="9491" max="9491" width="11.42578125" style="944"/>
    <col min="9492" max="9493" width="11.42578125" style="944" customWidth="1"/>
    <col min="9494" max="9494" width="11.42578125" style="944"/>
    <col min="9495" max="9499" width="11.42578125" style="944" customWidth="1"/>
    <col min="9500" max="9500" width="11.42578125" style="944"/>
    <col min="9501" max="9502" width="11.42578125" style="944" customWidth="1"/>
    <col min="9503" max="9732" width="11.42578125" style="944"/>
    <col min="9733" max="9738" width="11.5703125" style="944" customWidth="1"/>
    <col min="9739" max="9739" width="10.85546875" style="944" customWidth="1"/>
    <col min="9740" max="9740" width="3.42578125" style="944" customWidth="1"/>
    <col min="9741" max="9741" width="15.140625" style="944" customWidth="1"/>
    <col min="9742" max="9742" width="23.5703125" style="944" customWidth="1"/>
    <col min="9743" max="9744" width="11.42578125" style="944"/>
    <col min="9745" max="9746" width="11.42578125" style="944" customWidth="1"/>
    <col min="9747" max="9747" width="11.42578125" style="944"/>
    <col min="9748" max="9749" width="11.42578125" style="944" customWidth="1"/>
    <col min="9750" max="9750" width="11.42578125" style="944"/>
    <col min="9751" max="9755" width="11.42578125" style="944" customWidth="1"/>
    <col min="9756" max="9756" width="11.42578125" style="944"/>
    <col min="9757" max="9758" width="11.42578125" style="944" customWidth="1"/>
    <col min="9759" max="9988" width="11.42578125" style="944"/>
    <col min="9989" max="9994" width="11.5703125" style="944" customWidth="1"/>
    <col min="9995" max="9995" width="10.85546875" style="944" customWidth="1"/>
    <col min="9996" max="9996" width="3.42578125" style="944" customWidth="1"/>
    <col min="9997" max="9997" width="15.140625" style="944" customWidth="1"/>
    <col min="9998" max="9998" width="23.5703125" style="944" customWidth="1"/>
    <col min="9999" max="10000" width="11.42578125" style="944"/>
    <col min="10001" max="10002" width="11.42578125" style="944" customWidth="1"/>
    <col min="10003" max="10003" width="11.42578125" style="944"/>
    <col min="10004" max="10005" width="11.42578125" style="944" customWidth="1"/>
    <col min="10006" max="10006" width="11.42578125" style="944"/>
    <col min="10007" max="10011" width="11.42578125" style="944" customWidth="1"/>
    <col min="10012" max="10012" width="11.42578125" style="944"/>
    <col min="10013" max="10014" width="11.42578125" style="944" customWidth="1"/>
    <col min="10015" max="10244" width="11.42578125" style="944"/>
    <col min="10245" max="10250" width="11.5703125" style="944" customWidth="1"/>
    <col min="10251" max="10251" width="10.85546875" style="944" customWidth="1"/>
    <col min="10252" max="10252" width="3.42578125" style="944" customWidth="1"/>
    <col min="10253" max="10253" width="15.140625" style="944" customWidth="1"/>
    <col min="10254" max="10254" width="23.5703125" style="944" customWidth="1"/>
    <col min="10255" max="10256" width="11.42578125" style="944"/>
    <col min="10257" max="10258" width="11.42578125" style="944" customWidth="1"/>
    <col min="10259" max="10259" width="11.42578125" style="944"/>
    <col min="10260" max="10261" width="11.42578125" style="944" customWidth="1"/>
    <col min="10262" max="10262" width="11.42578125" style="944"/>
    <col min="10263" max="10267" width="11.42578125" style="944" customWidth="1"/>
    <col min="10268" max="10268" width="11.42578125" style="944"/>
    <col min="10269" max="10270" width="11.42578125" style="944" customWidth="1"/>
    <col min="10271" max="10500" width="11.42578125" style="944"/>
    <col min="10501" max="10506" width="11.5703125" style="944" customWidth="1"/>
    <col min="10507" max="10507" width="10.85546875" style="944" customWidth="1"/>
    <col min="10508" max="10508" width="3.42578125" style="944" customWidth="1"/>
    <col min="10509" max="10509" width="15.140625" style="944" customWidth="1"/>
    <col min="10510" max="10510" width="23.5703125" style="944" customWidth="1"/>
    <col min="10511" max="10512" width="11.42578125" style="944"/>
    <col min="10513" max="10514" width="11.42578125" style="944" customWidth="1"/>
    <col min="10515" max="10515" width="11.42578125" style="944"/>
    <col min="10516" max="10517" width="11.42578125" style="944" customWidth="1"/>
    <col min="10518" max="10518" width="11.42578125" style="944"/>
    <col min="10519" max="10523" width="11.42578125" style="944" customWidth="1"/>
    <col min="10524" max="10524" width="11.42578125" style="944"/>
    <col min="10525" max="10526" width="11.42578125" style="944" customWidth="1"/>
    <col min="10527" max="10756" width="11.42578125" style="944"/>
    <col min="10757" max="10762" width="11.5703125" style="944" customWidth="1"/>
    <col min="10763" max="10763" width="10.85546875" style="944" customWidth="1"/>
    <col min="10764" max="10764" width="3.42578125" style="944" customWidth="1"/>
    <col min="10765" max="10765" width="15.140625" style="944" customWidth="1"/>
    <col min="10766" max="10766" width="23.5703125" style="944" customWidth="1"/>
    <col min="10767" max="10768" width="11.42578125" style="944"/>
    <col min="10769" max="10770" width="11.42578125" style="944" customWidth="1"/>
    <col min="10771" max="10771" width="11.42578125" style="944"/>
    <col min="10772" max="10773" width="11.42578125" style="944" customWidth="1"/>
    <col min="10774" max="10774" width="11.42578125" style="944"/>
    <col min="10775" max="10779" width="11.42578125" style="944" customWidth="1"/>
    <col min="10780" max="10780" width="11.42578125" style="944"/>
    <col min="10781" max="10782" width="11.42578125" style="944" customWidth="1"/>
    <col min="10783" max="11012" width="11.42578125" style="944"/>
    <col min="11013" max="11018" width="11.5703125" style="944" customWidth="1"/>
    <col min="11019" max="11019" width="10.85546875" style="944" customWidth="1"/>
    <col min="11020" max="11020" width="3.42578125" style="944" customWidth="1"/>
    <col min="11021" max="11021" width="15.140625" style="944" customWidth="1"/>
    <col min="11022" max="11022" width="23.5703125" style="944" customWidth="1"/>
    <col min="11023" max="11024" width="11.42578125" style="944"/>
    <col min="11025" max="11026" width="11.42578125" style="944" customWidth="1"/>
    <col min="11027" max="11027" width="11.42578125" style="944"/>
    <col min="11028" max="11029" width="11.42578125" style="944" customWidth="1"/>
    <col min="11030" max="11030" width="11.42578125" style="944"/>
    <col min="11031" max="11035" width="11.42578125" style="944" customWidth="1"/>
    <col min="11036" max="11036" width="11.42578125" style="944"/>
    <col min="11037" max="11038" width="11.42578125" style="944" customWidth="1"/>
    <col min="11039" max="11268" width="11.42578125" style="944"/>
    <col min="11269" max="11274" width="11.5703125" style="944" customWidth="1"/>
    <col min="11275" max="11275" width="10.85546875" style="944" customWidth="1"/>
    <col min="11276" max="11276" width="3.42578125" style="944" customWidth="1"/>
    <col min="11277" max="11277" width="15.140625" style="944" customWidth="1"/>
    <col min="11278" max="11278" width="23.5703125" style="944" customWidth="1"/>
    <col min="11279" max="11280" width="11.42578125" style="944"/>
    <col min="11281" max="11282" width="11.42578125" style="944" customWidth="1"/>
    <col min="11283" max="11283" width="11.42578125" style="944"/>
    <col min="11284" max="11285" width="11.42578125" style="944" customWidth="1"/>
    <col min="11286" max="11286" width="11.42578125" style="944"/>
    <col min="11287" max="11291" width="11.42578125" style="944" customWidth="1"/>
    <col min="11292" max="11292" width="11.42578125" style="944"/>
    <col min="11293" max="11294" width="11.42578125" style="944" customWidth="1"/>
    <col min="11295" max="11524" width="11.42578125" style="944"/>
    <col min="11525" max="11530" width="11.5703125" style="944" customWidth="1"/>
    <col min="11531" max="11531" width="10.85546875" style="944" customWidth="1"/>
    <col min="11532" max="11532" width="3.42578125" style="944" customWidth="1"/>
    <col min="11533" max="11533" width="15.140625" style="944" customWidth="1"/>
    <col min="11534" max="11534" width="23.5703125" style="944" customWidth="1"/>
    <col min="11535" max="11536" width="11.42578125" style="944"/>
    <col min="11537" max="11538" width="11.42578125" style="944" customWidth="1"/>
    <col min="11539" max="11539" width="11.42578125" style="944"/>
    <col min="11540" max="11541" width="11.42578125" style="944" customWidth="1"/>
    <col min="11542" max="11542" width="11.42578125" style="944"/>
    <col min="11543" max="11547" width="11.42578125" style="944" customWidth="1"/>
    <col min="11548" max="11548" width="11.42578125" style="944"/>
    <col min="11549" max="11550" width="11.42578125" style="944" customWidth="1"/>
    <col min="11551" max="11780" width="11.42578125" style="944"/>
    <col min="11781" max="11786" width="11.5703125" style="944" customWidth="1"/>
    <col min="11787" max="11787" width="10.85546875" style="944" customWidth="1"/>
    <col min="11788" max="11788" width="3.42578125" style="944" customWidth="1"/>
    <col min="11789" max="11789" width="15.140625" style="944" customWidth="1"/>
    <col min="11790" max="11790" width="23.5703125" style="944" customWidth="1"/>
    <col min="11791" max="11792" width="11.42578125" style="944"/>
    <col min="11793" max="11794" width="11.42578125" style="944" customWidth="1"/>
    <col min="11795" max="11795" width="11.42578125" style="944"/>
    <col min="11796" max="11797" width="11.42578125" style="944" customWidth="1"/>
    <col min="11798" max="11798" width="11.42578125" style="944"/>
    <col min="11799" max="11803" width="11.42578125" style="944" customWidth="1"/>
    <col min="11804" max="11804" width="11.42578125" style="944"/>
    <col min="11805" max="11806" width="11.42578125" style="944" customWidth="1"/>
    <col min="11807" max="12036" width="11.42578125" style="944"/>
    <col min="12037" max="12042" width="11.5703125" style="944" customWidth="1"/>
    <col min="12043" max="12043" width="10.85546875" style="944" customWidth="1"/>
    <col min="12044" max="12044" width="3.42578125" style="944" customWidth="1"/>
    <col min="12045" max="12045" width="15.140625" style="944" customWidth="1"/>
    <col min="12046" max="12046" width="23.5703125" style="944" customWidth="1"/>
    <col min="12047" max="12048" width="11.42578125" style="944"/>
    <col min="12049" max="12050" width="11.42578125" style="944" customWidth="1"/>
    <col min="12051" max="12051" width="11.42578125" style="944"/>
    <col min="12052" max="12053" width="11.42578125" style="944" customWidth="1"/>
    <col min="12054" max="12054" width="11.42578125" style="944"/>
    <col min="12055" max="12059" width="11.42578125" style="944" customWidth="1"/>
    <col min="12060" max="12060" width="11.42578125" style="944"/>
    <col min="12061" max="12062" width="11.42578125" style="944" customWidth="1"/>
    <col min="12063" max="12292" width="11.42578125" style="944"/>
    <col min="12293" max="12298" width="11.5703125" style="944" customWidth="1"/>
    <col min="12299" max="12299" width="10.85546875" style="944" customWidth="1"/>
    <col min="12300" max="12300" width="3.42578125" style="944" customWidth="1"/>
    <col min="12301" max="12301" width="15.140625" style="944" customWidth="1"/>
    <col min="12302" max="12302" width="23.5703125" style="944" customWidth="1"/>
    <col min="12303" max="12304" width="11.42578125" style="944"/>
    <col min="12305" max="12306" width="11.42578125" style="944" customWidth="1"/>
    <col min="12307" max="12307" width="11.42578125" style="944"/>
    <col min="12308" max="12309" width="11.42578125" style="944" customWidth="1"/>
    <col min="12310" max="12310" width="11.42578125" style="944"/>
    <col min="12311" max="12315" width="11.42578125" style="944" customWidth="1"/>
    <col min="12316" max="12316" width="11.42578125" style="944"/>
    <col min="12317" max="12318" width="11.42578125" style="944" customWidth="1"/>
    <col min="12319" max="12548" width="11.42578125" style="944"/>
    <col min="12549" max="12554" width="11.5703125" style="944" customWidth="1"/>
    <col min="12555" max="12555" width="10.85546875" style="944" customWidth="1"/>
    <col min="12556" max="12556" width="3.42578125" style="944" customWidth="1"/>
    <col min="12557" max="12557" width="15.140625" style="944" customWidth="1"/>
    <col min="12558" max="12558" width="23.5703125" style="944" customWidth="1"/>
    <col min="12559" max="12560" width="11.42578125" style="944"/>
    <col min="12561" max="12562" width="11.42578125" style="944" customWidth="1"/>
    <col min="12563" max="12563" width="11.42578125" style="944"/>
    <col min="12564" max="12565" width="11.42578125" style="944" customWidth="1"/>
    <col min="12566" max="12566" width="11.42578125" style="944"/>
    <col min="12567" max="12571" width="11.42578125" style="944" customWidth="1"/>
    <col min="12572" max="12572" width="11.42578125" style="944"/>
    <col min="12573" max="12574" width="11.42578125" style="944" customWidth="1"/>
    <col min="12575" max="12804" width="11.42578125" style="944"/>
    <col min="12805" max="12810" width="11.5703125" style="944" customWidth="1"/>
    <col min="12811" max="12811" width="10.85546875" style="944" customWidth="1"/>
    <col min="12812" max="12812" width="3.42578125" style="944" customWidth="1"/>
    <col min="12813" max="12813" width="15.140625" style="944" customWidth="1"/>
    <col min="12814" max="12814" width="23.5703125" style="944" customWidth="1"/>
    <col min="12815" max="12816" width="11.42578125" style="944"/>
    <col min="12817" max="12818" width="11.42578125" style="944" customWidth="1"/>
    <col min="12819" max="12819" width="11.42578125" style="944"/>
    <col min="12820" max="12821" width="11.42578125" style="944" customWidth="1"/>
    <col min="12822" max="12822" width="11.42578125" style="944"/>
    <col min="12823" max="12827" width="11.42578125" style="944" customWidth="1"/>
    <col min="12828" max="12828" width="11.42578125" style="944"/>
    <col min="12829" max="12830" width="11.42578125" style="944" customWidth="1"/>
    <col min="12831" max="13060" width="11.42578125" style="944"/>
    <col min="13061" max="13066" width="11.5703125" style="944" customWidth="1"/>
    <col min="13067" max="13067" width="10.85546875" style="944" customWidth="1"/>
    <col min="13068" max="13068" width="3.42578125" style="944" customWidth="1"/>
    <col min="13069" max="13069" width="15.140625" style="944" customWidth="1"/>
    <col min="13070" max="13070" width="23.5703125" style="944" customWidth="1"/>
    <col min="13071" max="13072" width="11.42578125" style="944"/>
    <col min="13073" max="13074" width="11.42578125" style="944" customWidth="1"/>
    <col min="13075" max="13075" width="11.42578125" style="944"/>
    <col min="13076" max="13077" width="11.42578125" style="944" customWidth="1"/>
    <col min="13078" max="13078" width="11.42578125" style="944"/>
    <col min="13079" max="13083" width="11.42578125" style="944" customWidth="1"/>
    <col min="13084" max="13084" width="11.42578125" style="944"/>
    <col min="13085" max="13086" width="11.42578125" style="944" customWidth="1"/>
    <col min="13087" max="13316" width="11.42578125" style="944"/>
    <col min="13317" max="13322" width="11.5703125" style="944" customWidth="1"/>
    <col min="13323" max="13323" width="10.85546875" style="944" customWidth="1"/>
    <col min="13324" max="13324" width="3.42578125" style="944" customWidth="1"/>
    <col min="13325" max="13325" width="15.140625" style="944" customWidth="1"/>
    <col min="13326" max="13326" width="23.5703125" style="944" customWidth="1"/>
    <col min="13327" max="13328" width="11.42578125" style="944"/>
    <col min="13329" max="13330" width="11.42578125" style="944" customWidth="1"/>
    <col min="13331" max="13331" width="11.42578125" style="944"/>
    <col min="13332" max="13333" width="11.42578125" style="944" customWidth="1"/>
    <col min="13334" max="13334" width="11.42578125" style="944"/>
    <col min="13335" max="13339" width="11.42578125" style="944" customWidth="1"/>
    <col min="13340" max="13340" width="11.42578125" style="944"/>
    <col min="13341" max="13342" width="11.42578125" style="944" customWidth="1"/>
    <col min="13343" max="13572" width="11.42578125" style="944"/>
    <col min="13573" max="13578" width="11.5703125" style="944" customWidth="1"/>
    <col min="13579" max="13579" width="10.85546875" style="944" customWidth="1"/>
    <col min="13580" max="13580" width="3.42578125" style="944" customWidth="1"/>
    <col min="13581" max="13581" width="15.140625" style="944" customWidth="1"/>
    <col min="13582" max="13582" width="23.5703125" style="944" customWidth="1"/>
    <col min="13583" max="13584" width="11.42578125" style="944"/>
    <col min="13585" max="13586" width="11.42578125" style="944" customWidth="1"/>
    <col min="13587" max="13587" width="11.42578125" style="944"/>
    <col min="13588" max="13589" width="11.42578125" style="944" customWidth="1"/>
    <col min="13590" max="13590" width="11.42578125" style="944"/>
    <col min="13591" max="13595" width="11.42578125" style="944" customWidth="1"/>
    <col min="13596" max="13596" width="11.42578125" style="944"/>
    <col min="13597" max="13598" width="11.42578125" style="944" customWidth="1"/>
    <col min="13599" max="13828" width="11.42578125" style="944"/>
    <col min="13829" max="13834" width="11.5703125" style="944" customWidth="1"/>
    <col min="13835" max="13835" width="10.85546875" style="944" customWidth="1"/>
    <col min="13836" max="13836" width="3.42578125" style="944" customWidth="1"/>
    <col min="13837" max="13837" width="15.140625" style="944" customWidth="1"/>
    <col min="13838" max="13838" width="23.5703125" style="944" customWidth="1"/>
    <col min="13839" max="13840" width="11.42578125" style="944"/>
    <col min="13841" max="13842" width="11.42578125" style="944" customWidth="1"/>
    <col min="13843" max="13843" width="11.42578125" style="944"/>
    <col min="13844" max="13845" width="11.42578125" style="944" customWidth="1"/>
    <col min="13846" max="13846" width="11.42578125" style="944"/>
    <col min="13847" max="13851" width="11.42578125" style="944" customWidth="1"/>
    <col min="13852" max="13852" width="11.42578125" style="944"/>
    <col min="13853" max="13854" width="11.42578125" style="944" customWidth="1"/>
    <col min="13855" max="14084" width="11.42578125" style="944"/>
    <col min="14085" max="14090" width="11.5703125" style="944" customWidth="1"/>
    <col min="14091" max="14091" width="10.85546875" style="944" customWidth="1"/>
    <col min="14092" max="14092" width="3.42578125" style="944" customWidth="1"/>
    <col min="14093" max="14093" width="15.140625" style="944" customWidth="1"/>
    <col min="14094" max="14094" width="23.5703125" style="944" customWidth="1"/>
    <col min="14095" max="14096" width="11.42578125" style="944"/>
    <col min="14097" max="14098" width="11.42578125" style="944" customWidth="1"/>
    <col min="14099" max="14099" width="11.42578125" style="944"/>
    <col min="14100" max="14101" width="11.42578125" style="944" customWidth="1"/>
    <col min="14102" max="14102" width="11.42578125" style="944"/>
    <col min="14103" max="14107" width="11.42578125" style="944" customWidth="1"/>
    <col min="14108" max="14108" width="11.42578125" style="944"/>
    <col min="14109" max="14110" width="11.42578125" style="944" customWidth="1"/>
    <col min="14111" max="14340" width="11.42578125" style="944"/>
    <col min="14341" max="14346" width="11.5703125" style="944" customWidth="1"/>
    <col min="14347" max="14347" width="10.85546875" style="944" customWidth="1"/>
    <col min="14348" max="14348" width="3.42578125" style="944" customWidth="1"/>
    <col min="14349" max="14349" width="15.140625" style="944" customWidth="1"/>
    <col min="14350" max="14350" width="23.5703125" style="944" customWidth="1"/>
    <col min="14351" max="14352" width="11.42578125" style="944"/>
    <col min="14353" max="14354" width="11.42578125" style="944" customWidth="1"/>
    <col min="14355" max="14355" width="11.42578125" style="944"/>
    <col min="14356" max="14357" width="11.42578125" style="944" customWidth="1"/>
    <col min="14358" max="14358" width="11.42578125" style="944"/>
    <col min="14359" max="14363" width="11.42578125" style="944" customWidth="1"/>
    <col min="14364" max="14364" width="11.42578125" style="944"/>
    <col min="14365" max="14366" width="11.42578125" style="944" customWidth="1"/>
    <col min="14367" max="14596" width="11.42578125" style="944"/>
    <col min="14597" max="14602" width="11.5703125" style="944" customWidth="1"/>
    <col min="14603" max="14603" width="10.85546875" style="944" customWidth="1"/>
    <col min="14604" max="14604" width="3.42578125" style="944" customWidth="1"/>
    <col min="14605" max="14605" width="15.140625" style="944" customWidth="1"/>
    <col min="14606" max="14606" width="23.5703125" style="944" customWidth="1"/>
    <col min="14607" max="14608" width="11.42578125" style="944"/>
    <col min="14609" max="14610" width="11.42578125" style="944" customWidth="1"/>
    <col min="14611" max="14611" width="11.42578125" style="944"/>
    <col min="14612" max="14613" width="11.42578125" style="944" customWidth="1"/>
    <col min="14614" max="14614" width="11.42578125" style="944"/>
    <col min="14615" max="14619" width="11.42578125" style="944" customWidth="1"/>
    <col min="14620" max="14620" width="11.42578125" style="944"/>
    <col min="14621" max="14622" width="11.42578125" style="944" customWidth="1"/>
    <col min="14623" max="14852" width="11.42578125" style="944"/>
    <col min="14853" max="14858" width="11.5703125" style="944" customWidth="1"/>
    <col min="14859" max="14859" width="10.85546875" style="944" customWidth="1"/>
    <col min="14860" max="14860" width="3.42578125" style="944" customWidth="1"/>
    <col min="14861" max="14861" width="15.140625" style="944" customWidth="1"/>
    <col min="14862" max="14862" width="23.5703125" style="944" customWidth="1"/>
    <col min="14863" max="14864" width="11.42578125" style="944"/>
    <col min="14865" max="14866" width="11.42578125" style="944" customWidth="1"/>
    <col min="14867" max="14867" width="11.42578125" style="944"/>
    <col min="14868" max="14869" width="11.42578125" style="944" customWidth="1"/>
    <col min="14870" max="14870" width="11.42578125" style="944"/>
    <col min="14871" max="14875" width="11.42578125" style="944" customWidth="1"/>
    <col min="14876" max="14876" width="11.42578125" style="944"/>
    <col min="14877" max="14878" width="11.42578125" style="944" customWidth="1"/>
    <col min="14879" max="15108" width="11.42578125" style="944"/>
    <col min="15109" max="15114" width="11.5703125" style="944" customWidth="1"/>
    <col min="15115" max="15115" width="10.85546875" style="944" customWidth="1"/>
    <col min="15116" max="15116" width="3.42578125" style="944" customWidth="1"/>
    <col min="15117" max="15117" width="15.140625" style="944" customWidth="1"/>
    <col min="15118" max="15118" width="23.5703125" style="944" customWidth="1"/>
    <col min="15119" max="15120" width="11.42578125" style="944"/>
    <col min="15121" max="15122" width="11.42578125" style="944" customWidth="1"/>
    <col min="15123" max="15123" width="11.42578125" style="944"/>
    <col min="15124" max="15125" width="11.42578125" style="944" customWidth="1"/>
    <col min="15126" max="15126" width="11.42578125" style="944"/>
    <col min="15127" max="15131" width="11.42578125" style="944" customWidth="1"/>
    <col min="15132" max="15132" width="11.42578125" style="944"/>
    <col min="15133" max="15134" width="11.42578125" style="944" customWidth="1"/>
    <col min="15135" max="15364" width="11.42578125" style="944"/>
    <col min="15365" max="15370" width="11.5703125" style="944" customWidth="1"/>
    <col min="15371" max="15371" width="10.85546875" style="944" customWidth="1"/>
    <col min="15372" max="15372" width="3.42578125" style="944" customWidth="1"/>
    <col min="15373" max="15373" width="15.140625" style="944" customWidth="1"/>
    <col min="15374" max="15374" width="23.5703125" style="944" customWidth="1"/>
    <col min="15375" max="15376" width="11.42578125" style="944"/>
    <col min="15377" max="15378" width="11.42578125" style="944" customWidth="1"/>
    <col min="15379" max="15379" width="11.42578125" style="944"/>
    <col min="15380" max="15381" width="11.42578125" style="944" customWidth="1"/>
    <col min="15382" max="15382" width="11.42578125" style="944"/>
    <col min="15383" max="15387" width="11.42578125" style="944" customWidth="1"/>
    <col min="15388" max="15388" width="11.42578125" style="944"/>
    <col min="15389" max="15390" width="11.42578125" style="944" customWidth="1"/>
    <col min="15391" max="15620" width="11.42578125" style="944"/>
    <col min="15621" max="15626" width="11.5703125" style="944" customWidth="1"/>
    <col min="15627" max="15627" width="10.85546875" style="944" customWidth="1"/>
    <col min="15628" max="15628" width="3.42578125" style="944" customWidth="1"/>
    <col min="15629" max="15629" width="15.140625" style="944" customWidth="1"/>
    <col min="15630" max="15630" width="23.5703125" style="944" customWidth="1"/>
    <col min="15631" max="15632" width="11.42578125" style="944"/>
    <col min="15633" max="15634" width="11.42578125" style="944" customWidth="1"/>
    <col min="15635" max="15635" width="11.42578125" style="944"/>
    <col min="15636" max="15637" width="11.42578125" style="944" customWidth="1"/>
    <col min="15638" max="15638" width="11.42578125" style="944"/>
    <col min="15639" max="15643" width="11.42578125" style="944" customWidth="1"/>
    <col min="15644" max="15644" width="11.42578125" style="944"/>
    <col min="15645" max="15646" width="11.42578125" style="944" customWidth="1"/>
    <col min="15647" max="15876" width="11.42578125" style="944"/>
    <col min="15877" max="15882" width="11.5703125" style="944" customWidth="1"/>
    <col min="15883" max="15883" width="10.85546875" style="944" customWidth="1"/>
    <col min="15884" max="15884" width="3.42578125" style="944" customWidth="1"/>
    <col min="15885" max="15885" width="15.140625" style="944" customWidth="1"/>
    <col min="15886" max="15886" width="23.5703125" style="944" customWidth="1"/>
    <col min="15887" max="15888" width="11.42578125" style="944"/>
    <col min="15889" max="15890" width="11.42578125" style="944" customWidth="1"/>
    <col min="15891" max="15891" width="11.42578125" style="944"/>
    <col min="15892" max="15893" width="11.42578125" style="944" customWidth="1"/>
    <col min="15894" max="15894" width="11.42578125" style="944"/>
    <col min="15895" max="15899" width="11.42578125" style="944" customWidth="1"/>
    <col min="15900" max="15900" width="11.42578125" style="944"/>
    <col min="15901" max="15902" width="11.42578125" style="944" customWidth="1"/>
    <col min="15903" max="16132" width="11.42578125" style="944"/>
    <col min="16133" max="16138" width="11.5703125" style="944" customWidth="1"/>
    <col min="16139" max="16139" width="10.85546875" style="944" customWidth="1"/>
    <col min="16140" max="16140" width="3.42578125" style="944" customWidth="1"/>
    <col min="16141" max="16141" width="15.140625" style="944" customWidth="1"/>
    <col min="16142" max="16142" width="23.5703125" style="944" customWidth="1"/>
    <col min="16143" max="16144" width="11.42578125" style="944"/>
    <col min="16145" max="16146" width="11.42578125" style="944" customWidth="1"/>
    <col min="16147" max="16147" width="11.42578125" style="944"/>
    <col min="16148" max="16149" width="11.42578125" style="944" customWidth="1"/>
    <col min="16150" max="16150" width="11.42578125" style="944"/>
    <col min="16151" max="16155" width="11.42578125" style="944" customWidth="1"/>
    <col min="16156" max="16156" width="11.42578125" style="944"/>
    <col min="16157" max="16158" width="11.42578125" style="944" customWidth="1"/>
    <col min="16159" max="16384" width="11.42578125" style="944"/>
  </cols>
  <sheetData>
    <row r="2" spans="2:14">
      <c r="N2" s="955" t="s">
        <v>1496</v>
      </c>
    </row>
    <row r="3" spans="2:14" s="453" customFormat="1" ht="6.75">
      <c r="B3" s="961"/>
      <c r="C3" s="961"/>
      <c r="D3" s="961"/>
      <c r="E3" s="961"/>
      <c r="F3" s="961"/>
      <c r="G3" s="961"/>
      <c r="H3" s="961"/>
      <c r="I3" s="961"/>
      <c r="J3" s="961"/>
    </row>
    <row r="4" spans="2:14">
      <c r="B4" s="962"/>
      <c r="J4" s="945"/>
      <c r="M4" s="946" t="s">
        <v>1110</v>
      </c>
      <c r="N4" s="956" t="s">
        <v>1111</v>
      </c>
    </row>
    <row r="5" spans="2:14">
      <c r="B5" s="962"/>
      <c r="J5" s="945"/>
      <c r="M5" s="946" t="s">
        <v>1112</v>
      </c>
      <c r="N5" s="956">
        <v>12343456</v>
      </c>
    </row>
    <row r="6" spans="2:14">
      <c r="B6" s="962"/>
      <c r="J6" s="945"/>
      <c r="M6" s="946" t="s">
        <v>1113</v>
      </c>
      <c r="N6" s="956" t="s">
        <v>1114</v>
      </c>
    </row>
    <row r="7" spans="2:14">
      <c r="B7" s="962"/>
      <c r="J7" s="945"/>
      <c r="M7" s="947" t="s">
        <v>1115</v>
      </c>
      <c r="N7" s="956" t="s">
        <v>1116</v>
      </c>
    </row>
    <row r="8" spans="2:14">
      <c r="B8" s="962"/>
      <c r="J8" s="945"/>
      <c r="M8" s="947" t="s">
        <v>1117</v>
      </c>
      <c r="N8" s="956" t="s">
        <v>1118</v>
      </c>
    </row>
    <row r="9" spans="2:14">
      <c r="B9" s="962"/>
      <c r="J9" s="945"/>
      <c r="M9" s="947" t="s">
        <v>164</v>
      </c>
      <c r="N9" s="957">
        <v>5555555555</v>
      </c>
    </row>
    <row r="10" spans="2:14">
      <c r="B10" s="962"/>
      <c r="J10" s="945"/>
    </row>
    <row r="11" spans="2:14">
      <c r="B11" s="962"/>
      <c r="J11" s="945"/>
    </row>
    <row r="12" spans="2:14">
      <c r="B12" s="962"/>
      <c r="J12" s="945"/>
      <c r="M12" s="947" t="s">
        <v>1119</v>
      </c>
      <c r="N12" s="956" t="s">
        <v>1120</v>
      </c>
    </row>
    <row r="13" spans="2:14">
      <c r="B13" s="962"/>
      <c r="J13" s="945"/>
      <c r="M13" s="947" t="s">
        <v>1121</v>
      </c>
      <c r="N13" s="956" t="s">
        <v>1122</v>
      </c>
    </row>
    <row r="14" spans="2:14">
      <c r="B14" s="962"/>
      <c r="J14" s="945"/>
      <c r="N14" s="948"/>
    </row>
    <row r="15" spans="2:14">
      <c r="B15" s="962"/>
      <c r="J15" s="945"/>
      <c r="M15" s="946" t="s">
        <v>1123</v>
      </c>
      <c r="N15" s="956">
        <v>123456</v>
      </c>
    </row>
    <row r="16" spans="2:14">
      <c r="B16" s="962"/>
      <c r="J16" s="945"/>
      <c r="M16" s="946" t="s">
        <v>1124</v>
      </c>
      <c r="N16" s="958">
        <v>2018</v>
      </c>
    </row>
    <row r="17" spans="2:16">
      <c r="B17" s="962"/>
      <c r="J17" s="945"/>
      <c r="M17" s="947" t="s">
        <v>1125</v>
      </c>
      <c r="N17" s="956">
        <v>12</v>
      </c>
    </row>
    <row r="18" spans="2:16">
      <c r="B18" s="962"/>
      <c r="J18" s="945"/>
    </row>
    <row r="19" spans="2:16" ht="33">
      <c r="B19" s="962"/>
      <c r="E19" s="949"/>
      <c r="J19" s="945"/>
      <c r="M19" s="953" t="s">
        <v>1128</v>
      </c>
    </row>
    <row r="20" spans="2:16">
      <c r="B20" s="962"/>
      <c r="J20" s="945"/>
      <c r="M20" s="2113"/>
      <c r="N20" s="2113"/>
      <c r="O20" s="2113"/>
      <c r="P20" s="2113"/>
    </row>
    <row r="21" spans="2:16">
      <c r="B21" s="962"/>
      <c r="J21" s="945"/>
      <c r="M21" s="2113"/>
      <c r="N21" s="2113"/>
      <c r="O21" s="2113"/>
      <c r="P21" s="2113"/>
    </row>
    <row r="22" spans="2:16">
      <c r="B22" s="962"/>
      <c r="J22" s="945"/>
      <c r="M22" s="2113"/>
      <c r="N22" s="2113"/>
      <c r="O22" s="2113"/>
      <c r="P22" s="2113"/>
    </row>
    <row r="23" spans="2:16">
      <c r="B23" s="962"/>
      <c r="J23" s="945"/>
      <c r="M23" s="2113"/>
      <c r="N23" s="2113"/>
      <c r="O23" s="2113"/>
      <c r="P23" s="2113"/>
    </row>
    <row r="24" spans="2:16">
      <c r="B24" s="962"/>
      <c r="J24" s="945"/>
      <c r="M24" s="2113"/>
      <c r="N24" s="2113"/>
      <c r="O24" s="2113"/>
      <c r="P24" s="2113"/>
    </row>
    <row r="25" spans="2:16">
      <c r="B25" s="962"/>
      <c r="J25" s="945"/>
      <c r="M25" s="2113"/>
      <c r="N25" s="2113"/>
      <c r="O25" s="2113"/>
      <c r="P25" s="2113"/>
    </row>
    <row r="26" spans="2:16">
      <c r="B26" s="962"/>
      <c r="J26" s="945"/>
      <c r="M26" s="2113"/>
      <c r="N26" s="2113"/>
      <c r="O26" s="2113"/>
      <c r="P26" s="2113"/>
    </row>
    <row r="27" spans="2:16">
      <c r="B27" s="962"/>
      <c r="J27" s="945"/>
      <c r="M27" s="2113"/>
      <c r="N27" s="2113"/>
      <c r="O27" s="2113"/>
      <c r="P27" s="2113"/>
    </row>
    <row r="28" spans="2:16">
      <c r="B28" s="962"/>
      <c r="J28" s="945"/>
    </row>
    <row r="29" spans="2:16">
      <c r="B29" s="962"/>
      <c r="J29" s="945"/>
      <c r="M29" s="950" t="s">
        <v>1126</v>
      </c>
      <c r="N29" s="951" t="str">
        <f xml:space="preserve"> CONCATENATE("Diagnostic de transition BIO ",N16)</f>
        <v>Diagnostic de transition BIO 2018</v>
      </c>
    </row>
    <row r="30" spans="2:16">
      <c r="B30" s="962"/>
      <c r="J30" s="945"/>
      <c r="M30" s="950" t="s">
        <v>1127</v>
      </c>
      <c r="N30" s="952">
        <f ca="1">TODAY()</f>
        <v>44110</v>
      </c>
    </row>
    <row r="31" spans="2:16">
      <c r="B31" s="962"/>
      <c r="J31" s="945"/>
      <c r="M31" s="950" t="s">
        <v>1113</v>
      </c>
      <c r="N31" s="951" t="str">
        <f>CONCATENATE($N$7,", ",$N$8)</f>
        <v>St-Foinfoin, H0H 0H0</v>
      </c>
    </row>
    <row r="32" spans="2:16">
      <c r="B32" s="962"/>
      <c r="J32" s="945"/>
      <c r="M32" s="950" t="s">
        <v>1121</v>
      </c>
      <c r="N32" s="951" t="str">
        <f>CONCATENATE(N13)</f>
        <v>Mon conseiller</v>
      </c>
    </row>
    <row r="33" spans="2:10">
      <c r="B33" s="962"/>
      <c r="J33" s="945"/>
    </row>
    <row r="34" spans="2:10">
      <c r="B34" s="962"/>
      <c r="J34" s="945"/>
    </row>
    <row r="35" spans="2:10">
      <c r="B35" s="962"/>
      <c r="J35" s="945"/>
    </row>
    <row r="36" spans="2:10">
      <c r="B36" s="962"/>
      <c r="J36" s="945"/>
    </row>
    <row r="37" spans="2:10">
      <c r="B37" s="962"/>
      <c r="J37" s="945"/>
    </row>
    <row r="38" spans="2:10">
      <c r="B38" s="962"/>
      <c r="J38" s="945"/>
    </row>
    <row r="39" spans="2:10">
      <c r="B39" s="962"/>
      <c r="J39" s="945"/>
    </row>
    <row r="40" spans="2:10">
      <c r="B40" s="962"/>
      <c r="J40" s="945"/>
    </row>
    <row r="41" spans="2:10">
      <c r="B41" s="962"/>
      <c r="J41" s="945"/>
    </row>
    <row r="42" spans="2:10">
      <c r="B42" s="962"/>
      <c r="J42" s="945"/>
    </row>
    <row r="43" spans="2:10" s="54" customFormat="1" ht="6.75">
      <c r="B43" s="963"/>
      <c r="C43" s="963"/>
      <c r="D43" s="963"/>
      <c r="E43" s="963"/>
      <c r="F43" s="963"/>
      <c r="G43" s="963"/>
      <c r="H43" s="963"/>
      <c r="I43" s="963"/>
      <c r="J43" s="963"/>
    </row>
  </sheetData>
  <sheetProtection sheet="1" objects="1" scenarios="1" selectLockedCells="1"/>
  <mergeCells count="1">
    <mergeCell ref="M20:P27"/>
  </mergeCells>
  <conditionalFormatting sqref="N29 N12:N13">
    <cfRule type="cellIs" priority="3" stopIfTrue="1" operator="equal">
      <formula>0</formula>
    </cfRule>
  </conditionalFormatting>
  <conditionalFormatting sqref="N5:N9">
    <cfRule type="cellIs" priority="5" stopIfTrue="1" operator="equal">
      <formula>0</formula>
    </cfRule>
  </conditionalFormatting>
  <conditionalFormatting sqref="N30">
    <cfRule type="cellIs" priority="2" stopIfTrue="1" operator="equal">
      <formula>0</formula>
    </cfRule>
  </conditionalFormatting>
  <conditionalFormatting sqref="N15:N17">
    <cfRule type="cellIs" priority="4" stopIfTrue="1" operator="equal">
      <formula>0</formula>
    </cfRule>
  </conditionalFormatting>
  <conditionalFormatting sqref="N4">
    <cfRule type="cellIs" priority="1" stopIfTrue="1" operator="equal">
      <formula>0</formula>
    </cfRule>
  </conditionalFormatting>
  <printOptions horizontalCentered="1" verticalCentered="1"/>
  <pageMargins left="0.23622047244094491" right="0.27559055118110237" top="0.43307086614173229" bottom="0.35433070866141736" header="0.31496062992125984" footer="0.31496062992125984"/>
  <pageSetup scale="124" orientation="portrait" blackAndWhite="1" horizontalDpi="300" verticalDpi="300" r:id="rId1"/>
  <rowBreaks count="1" manualBreakCount="1">
    <brk id="43" min="2" max="8"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Button 1">
              <controlPr defaultSize="0" print="0" autoFill="0" autoPict="0" macro="[0]!RemplacerLogo">
                <anchor moveWithCells="1">
                  <from>
                    <xdr:col>14</xdr:col>
                    <xdr:colOff>285750</xdr:colOff>
                    <xdr:row>3</xdr:row>
                    <xdr:rowOff>0</xdr:rowOff>
                  </from>
                  <to>
                    <xdr:col>16</xdr:col>
                    <xdr:colOff>0</xdr:colOff>
                    <xdr:row>4</xdr:row>
                    <xdr:rowOff>85725</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RefChampOrig">
    <tabColor theme="5"/>
  </sheetPr>
  <dimension ref="A1:DZ113"/>
  <sheetViews>
    <sheetView workbookViewId="0"/>
  </sheetViews>
  <sheetFormatPr baseColWidth="10" defaultColWidth="9.5703125" defaultRowHeight="14.25"/>
  <cols>
    <col min="1" max="1" width="2.140625" style="1128" customWidth="1"/>
    <col min="2" max="2" width="45.5703125" style="1128" customWidth="1"/>
    <col min="3" max="3" width="9.5703125" style="1148"/>
    <col min="4" max="4" width="9.5703125" style="1214"/>
    <col min="5" max="5" width="9.5703125" style="1213"/>
    <col min="6" max="6" width="9.5703125" style="1128"/>
    <col min="7" max="8" width="9.5703125" style="1213"/>
    <col min="9" max="9" width="9.5703125" style="1128"/>
    <col min="10" max="11" width="9.5703125" style="1213"/>
    <col min="12" max="12" width="9.5703125" style="1128"/>
    <col min="13" max="14" width="9.5703125" style="1213"/>
    <col min="15" max="15" width="9.5703125" style="1128"/>
    <col min="16" max="17" width="9.5703125" style="1213"/>
    <col min="18" max="18" width="9.5703125" style="1128"/>
    <col min="19" max="20" width="9.5703125" style="1213"/>
    <col min="21" max="21" width="9.5703125" style="1128"/>
    <col min="22" max="22" width="10.5703125" style="1238" customWidth="1"/>
    <col min="23" max="23" width="9.5703125" style="1213"/>
    <col min="24" max="24" width="9.5703125" style="1128"/>
    <col min="25" max="26" width="9.5703125" style="1213"/>
    <col min="27" max="27" width="9.5703125" style="1128"/>
    <col min="28" max="28" width="9.5703125" style="1238"/>
    <col min="29" max="29" width="9.5703125" style="1213"/>
    <col min="30" max="30" width="9.5703125" style="1128"/>
    <col min="31" max="31" width="9.5703125" style="1238"/>
    <col min="32" max="32" width="9.5703125" style="1213"/>
    <col min="33" max="33" width="9.5703125" style="1128"/>
    <col min="34" max="34" width="9.5703125" style="1238"/>
    <col min="35" max="35" width="9.5703125" style="1213"/>
    <col min="36" max="36" width="9.5703125" style="1128"/>
    <col min="37" max="37" width="9.5703125" style="1238"/>
    <col min="38" max="38" width="9.5703125" style="1213"/>
    <col min="39" max="39" width="9.5703125" style="1128" customWidth="1"/>
    <col min="40" max="40" width="9.5703125" style="1238" customWidth="1"/>
    <col min="41" max="41" width="9.5703125" style="1213" customWidth="1"/>
    <col min="42" max="42" width="9.5703125" style="1128" customWidth="1"/>
    <col min="43" max="43" width="9.5703125" style="1238" customWidth="1"/>
    <col min="44" max="44" width="9.5703125" style="1213" customWidth="1"/>
    <col min="45" max="45" width="9.5703125" style="1128"/>
    <col min="46" max="46" width="9.5703125" style="1238"/>
    <col min="47" max="47" width="9.5703125" style="1213"/>
    <col min="48" max="48" width="9.5703125" style="1128"/>
    <col min="49" max="50" width="9.5703125" style="1213"/>
    <col min="51" max="51" width="9.5703125" style="1128" customWidth="1"/>
    <col min="52" max="52" width="9.5703125" style="1238" customWidth="1"/>
    <col min="53" max="53" width="9.5703125" style="1213" customWidth="1"/>
    <col min="54" max="54" width="9.5703125" style="1128" customWidth="1"/>
    <col min="55" max="55" width="9.5703125" style="1238" customWidth="1"/>
    <col min="56" max="56" width="9.5703125" style="1213" customWidth="1"/>
    <col min="57" max="57" width="9.5703125" style="1128" customWidth="1"/>
    <col min="58" max="58" width="9.5703125" style="1213" customWidth="1"/>
    <col min="59" max="59" width="9.5703125" style="1259" customWidth="1"/>
    <col min="60" max="60" width="9.5703125" style="1128" customWidth="1"/>
    <col min="61" max="61" width="9.5703125" style="1238" customWidth="1"/>
    <col min="62" max="62" width="9.5703125" style="1259" customWidth="1"/>
    <col min="63" max="63" width="9.5703125" style="1128"/>
    <col min="64" max="64" width="9.5703125" style="1238"/>
    <col min="65" max="65" width="11.28515625" style="1259" customWidth="1"/>
    <col min="66" max="66" width="9.5703125" style="1128"/>
    <col min="67" max="67" width="9.5703125" style="1238"/>
    <col min="68" max="68" width="9.5703125" style="1259"/>
    <col min="69" max="69" width="9.5703125" style="1128" customWidth="1"/>
    <col min="70" max="70" width="9.5703125" style="1213" customWidth="1"/>
    <col min="71" max="71" width="9.5703125" style="1259" customWidth="1"/>
    <col min="72" max="72" width="9.5703125" style="1128" customWidth="1"/>
    <col min="73" max="73" width="9.5703125" style="1238" customWidth="1"/>
    <col min="74" max="74" width="9.5703125" style="1213" customWidth="1"/>
    <col min="75" max="75" width="9.5703125" style="1128" customWidth="1"/>
    <col min="76" max="76" width="9.5703125" style="1238" customWidth="1"/>
    <col min="77" max="77" width="9.5703125" style="1213" customWidth="1"/>
    <col min="78" max="78" width="9.5703125" style="1128" customWidth="1"/>
    <col min="79" max="79" width="9.5703125" style="1238" customWidth="1"/>
    <col min="80" max="80" width="9.5703125" style="1213" customWidth="1"/>
    <col min="81" max="81" width="9.5703125" style="1128" customWidth="1"/>
    <col min="82" max="82" width="13.85546875" style="1238" customWidth="1"/>
    <col min="83" max="83" width="9.5703125" style="1213" customWidth="1"/>
    <col min="84" max="84" width="9.5703125" style="1128"/>
    <col min="85" max="85" width="9.5703125" style="1238"/>
    <col min="86" max="86" width="9.5703125" style="1213"/>
    <col min="87" max="87" width="9.5703125" style="1128"/>
    <col min="88" max="88" width="9.5703125" style="1238"/>
    <col min="89" max="89" width="9.5703125" style="1213"/>
    <col min="90" max="90" width="9.5703125" style="1128" customWidth="1"/>
    <col min="91" max="91" width="9.5703125" style="1238" customWidth="1"/>
    <col min="92" max="92" width="9.5703125" style="1213" customWidth="1"/>
    <col min="93" max="93" width="9.5703125" style="1128" customWidth="1"/>
    <col min="94" max="94" width="9.5703125" style="1238" customWidth="1"/>
    <col min="95" max="95" width="9.5703125" style="1213" customWidth="1"/>
    <col min="96" max="96" width="9.5703125" style="1128" customWidth="1"/>
    <col min="97" max="97" width="9.5703125" style="1238" customWidth="1"/>
    <col min="98" max="98" width="9.5703125" style="1213" customWidth="1"/>
    <col min="99" max="99" width="9.5703125" style="1128" customWidth="1"/>
    <col min="100" max="100" width="9.5703125" style="1238" customWidth="1"/>
    <col min="101" max="101" width="9.5703125" style="1213" customWidth="1"/>
    <col min="102" max="102" width="9.5703125" style="1128" customWidth="1"/>
    <col min="103" max="103" width="9.5703125" style="1238" customWidth="1"/>
    <col min="104" max="104" width="9.5703125" style="1213" customWidth="1"/>
    <col min="105" max="105" width="9.5703125" style="1128" customWidth="1"/>
    <col min="106" max="106" width="9.5703125" style="1238" customWidth="1"/>
    <col min="107" max="107" width="9.5703125" style="1213" customWidth="1"/>
    <col min="108" max="108" width="9.5703125" style="1128"/>
    <col min="109" max="110" width="9.5703125" style="1213"/>
    <col min="111" max="111" width="9.5703125" style="1128"/>
    <col min="112" max="113" width="9.5703125" style="1213"/>
    <col min="114" max="114" width="9.5703125" style="1128"/>
    <col min="115" max="116" width="9.5703125" style="1213"/>
    <col min="117" max="117" width="9.5703125" style="1128"/>
    <col min="118" max="119" width="9.5703125" style="1213"/>
    <col min="120" max="120" width="9.5703125" style="1128"/>
    <col min="121" max="122" width="9.5703125" style="1213"/>
    <col min="123" max="123" width="9.5703125" style="1128"/>
    <col min="124" max="125" width="9.5703125" style="1213"/>
    <col min="126" max="126" width="9.5703125" style="1128"/>
    <col min="127" max="128" width="9.5703125" style="1213"/>
    <col min="129" max="16384" width="9.5703125" style="1128"/>
  </cols>
  <sheetData>
    <row r="1" spans="1:130" ht="48.75" thickBot="1">
      <c r="A1" s="1267"/>
      <c r="B1" s="1671" t="s">
        <v>1365</v>
      </c>
      <c r="C1" s="1268" t="s">
        <v>0</v>
      </c>
      <c r="D1" s="1268" t="s">
        <v>0</v>
      </c>
      <c r="E1" s="1268" t="s">
        <v>0</v>
      </c>
      <c r="F1" s="1268" t="s">
        <v>0</v>
      </c>
      <c r="G1" s="1268" t="s">
        <v>0</v>
      </c>
      <c r="H1" s="1268" t="s">
        <v>0</v>
      </c>
      <c r="I1" s="1268" t="s">
        <v>1</v>
      </c>
      <c r="J1" s="1268" t="s">
        <v>1</v>
      </c>
      <c r="K1" s="1268" t="s">
        <v>1</v>
      </c>
      <c r="L1" s="1268" t="s">
        <v>1</v>
      </c>
      <c r="M1" s="1268" t="s">
        <v>1</v>
      </c>
      <c r="N1" s="1268" t="s">
        <v>1</v>
      </c>
      <c r="O1" s="1268" t="s">
        <v>3</v>
      </c>
      <c r="P1" s="1268" t="s">
        <v>3</v>
      </c>
      <c r="Q1" s="1268" t="s">
        <v>3</v>
      </c>
      <c r="R1" s="1268" t="s">
        <v>3</v>
      </c>
      <c r="S1" s="1268" t="s">
        <v>3</v>
      </c>
      <c r="T1" s="1268" t="s">
        <v>3</v>
      </c>
      <c r="U1" s="1268" t="s">
        <v>6</v>
      </c>
      <c r="V1" s="1268" t="s">
        <v>6</v>
      </c>
      <c r="W1" s="1268" t="s">
        <v>6</v>
      </c>
      <c r="X1" s="1268" t="s">
        <v>6</v>
      </c>
      <c r="Y1" s="1268" t="s">
        <v>6</v>
      </c>
      <c r="Z1" s="1268" t="s">
        <v>6</v>
      </c>
      <c r="AA1" s="1268" t="s">
        <v>4</v>
      </c>
      <c r="AB1" s="1268" t="s">
        <v>4</v>
      </c>
      <c r="AC1" s="1268" t="s">
        <v>4</v>
      </c>
      <c r="AD1" s="1268" t="s">
        <v>4</v>
      </c>
      <c r="AE1" s="1268" t="s">
        <v>4</v>
      </c>
      <c r="AF1" s="1268" t="s">
        <v>4</v>
      </c>
      <c r="AG1" s="1268" t="s">
        <v>5</v>
      </c>
      <c r="AH1" s="1268" t="s">
        <v>5</v>
      </c>
      <c r="AI1" s="1268" t="s">
        <v>5</v>
      </c>
      <c r="AJ1" s="1268" t="s">
        <v>5</v>
      </c>
      <c r="AK1" s="1268" t="s">
        <v>5</v>
      </c>
      <c r="AL1" s="1268" t="s">
        <v>5</v>
      </c>
      <c r="AM1" s="1268" t="s">
        <v>1260</v>
      </c>
      <c r="AN1" s="1268" t="s">
        <v>1260</v>
      </c>
      <c r="AO1" s="1268" t="s">
        <v>1260</v>
      </c>
      <c r="AP1" s="1268" t="s">
        <v>1260</v>
      </c>
      <c r="AQ1" s="1268" t="s">
        <v>1260</v>
      </c>
      <c r="AR1" s="1268" t="s">
        <v>1260</v>
      </c>
      <c r="AS1" s="1268" t="s">
        <v>11</v>
      </c>
      <c r="AT1" s="1268" t="s">
        <v>11</v>
      </c>
      <c r="AU1" s="1268" t="s">
        <v>11</v>
      </c>
      <c r="AV1" s="1268" t="s">
        <v>11</v>
      </c>
      <c r="AW1" s="1268" t="s">
        <v>11</v>
      </c>
      <c r="AX1" s="1268" t="s">
        <v>11</v>
      </c>
      <c r="AY1" s="1268" t="s">
        <v>2</v>
      </c>
      <c r="AZ1" s="1268" t="s">
        <v>2</v>
      </c>
      <c r="BA1" s="1268" t="s">
        <v>2</v>
      </c>
      <c r="BB1" s="1268" t="s">
        <v>2</v>
      </c>
      <c r="BC1" s="1268" t="s">
        <v>2</v>
      </c>
      <c r="BD1" s="1268" t="s">
        <v>2</v>
      </c>
      <c r="BE1" s="1268" t="s">
        <v>142</v>
      </c>
      <c r="BF1" s="1268" t="s">
        <v>142</v>
      </c>
      <c r="BG1" s="1268" t="s">
        <v>142</v>
      </c>
      <c r="BH1" s="1268" t="s">
        <v>142</v>
      </c>
      <c r="BI1" s="1268" t="s">
        <v>142</v>
      </c>
      <c r="BJ1" s="1268" t="s">
        <v>142</v>
      </c>
      <c r="BK1" s="1268" t="s">
        <v>140</v>
      </c>
      <c r="BL1" s="1268" t="s">
        <v>140</v>
      </c>
      <c r="BM1" s="1268" t="s">
        <v>140</v>
      </c>
      <c r="BN1" s="1268" t="s">
        <v>140</v>
      </c>
      <c r="BO1" s="1268" t="s">
        <v>140</v>
      </c>
      <c r="BP1" s="1268" t="s">
        <v>140</v>
      </c>
      <c r="BQ1" s="1268" t="s">
        <v>1148</v>
      </c>
      <c r="BR1" s="1268" t="s">
        <v>1148</v>
      </c>
      <c r="BS1" s="1268" t="s">
        <v>1148</v>
      </c>
      <c r="BT1" s="1268" t="s">
        <v>1291</v>
      </c>
      <c r="BU1" s="1268" t="s">
        <v>1291</v>
      </c>
      <c r="BV1" s="1268" t="s">
        <v>1291</v>
      </c>
      <c r="BW1" s="1268" t="s">
        <v>1291</v>
      </c>
      <c r="BX1" s="1268" t="s">
        <v>1291</v>
      </c>
      <c r="BY1" s="1268" t="s">
        <v>1291</v>
      </c>
      <c r="BZ1" s="1268" t="s">
        <v>1294</v>
      </c>
      <c r="CA1" s="1268" t="s">
        <v>1294</v>
      </c>
      <c r="CB1" s="1268" t="s">
        <v>1294</v>
      </c>
      <c r="CC1" s="1268" t="s">
        <v>1294</v>
      </c>
      <c r="CD1" s="1268" t="s">
        <v>1294</v>
      </c>
      <c r="CE1" s="1268" t="s">
        <v>1294</v>
      </c>
      <c r="CF1" s="1268" t="s">
        <v>218</v>
      </c>
      <c r="CG1" s="1268" t="s">
        <v>218</v>
      </c>
      <c r="CH1" s="1268" t="s">
        <v>218</v>
      </c>
      <c r="CI1" s="1268" t="s">
        <v>218</v>
      </c>
      <c r="CJ1" s="1268" t="s">
        <v>218</v>
      </c>
      <c r="CK1" s="1268" t="s">
        <v>218</v>
      </c>
      <c r="CL1" s="1268" t="s">
        <v>1261</v>
      </c>
      <c r="CM1" s="1268" t="s">
        <v>1261</v>
      </c>
      <c r="CN1" s="1268" t="s">
        <v>1261</v>
      </c>
      <c r="CO1" s="1268" t="s">
        <v>1261</v>
      </c>
      <c r="CP1" s="1268" t="s">
        <v>1261</v>
      </c>
      <c r="CQ1" s="1268" t="s">
        <v>1261</v>
      </c>
      <c r="CR1" s="1268" t="s">
        <v>219</v>
      </c>
      <c r="CS1" s="1268" t="s">
        <v>219</v>
      </c>
      <c r="CT1" s="1268" t="s">
        <v>219</v>
      </c>
      <c r="CU1" s="1268" t="s">
        <v>219</v>
      </c>
      <c r="CV1" s="1268" t="s">
        <v>219</v>
      </c>
      <c r="CW1" s="1268" t="s">
        <v>219</v>
      </c>
      <c r="CX1" s="1268" t="s">
        <v>1262</v>
      </c>
      <c r="CY1" s="1268" t="s">
        <v>1262</v>
      </c>
      <c r="CZ1" s="1268" t="s">
        <v>1262</v>
      </c>
      <c r="DA1" s="1268" t="s">
        <v>1262</v>
      </c>
      <c r="DB1" s="1268" t="s">
        <v>1262</v>
      </c>
      <c r="DC1" s="1268" t="s">
        <v>1262</v>
      </c>
      <c r="DD1" s="1268" t="str">
        <f t="shared" ref="DD1:DI1" si="0">nAutre1</f>
        <v>Autre #1</v>
      </c>
      <c r="DE1" s="1268" t="str">
        <f t="shared" si="0"/>
        <v>Autre #1</v>
      </c>
      <c r="DF1" s="1268" t="str">
        <f t="shared" si="0"/>
        <v>Autre #1</v>
      </c>
      <c r="DG1" s="1268" t="str">
        <f t="shared" si="0"/>
        <v>Autre #1</v>
      </c>
      <c r="DH1" s="1268" t="str">
        <f t="shared" si="0"/>
        <v>Autre #1</v>
      </c>
      <c r="DI1" s="1268" t="str">
        <f t="shared" si="0"/>
        <v>Autre #1</v>
      </c>
      <c r="DJ1" s="1268" t="str">
        <f t="shared" ref="DJ1:DO1" si="1">nAutre2</f>
        <v>Autre #2</v>
      </c>
      <c r="DK1" s="1268" t="str">
        <f t="shared" si="1"/>
        <v>Autre #2</v>
      </c>
      <c r="DL1" s="1268" t="str">
        <f t="shared" si="1"/>
        <v>Autre #2</v>
      </c>
      <c r="DM1" s="1268" t="str">
        <f t="shared" si="1"/>
        <v>Autre #2</v>
      </c>
      <c r="DN1" s="1268" t="str">
        <f t="shared" si="1"/>
        <v>Autre #2</v>
      </c>
      <c r="DO1" s="1268" t="str">
        <f t="shared" si="1"/>
        <v>Autre #2</v>
      </c>
      <c r="DP1" s="1268" t="str">
        <f t="shared" ref="DP1:DU1" si="2">nAutre3</f>
        <v>Autre #3</v>
      </c>
      <c r="DQ1" s="1268" t="str">
        <f t="shared" si="2"/>
        <v>Autre #3</v>
      </c>
      <c r="DR1" s="1268" t="str">
        <f t="shared" si="2"/>
        <v>Autre #3</v>
      </c>
      <c r="DS1" s="1268" t="str">
        <f t="shared" si="2"/>
        <v>Autre #3</v>
      </c>
      <c r="DT1" s="1268" t="str">
        <f t="shared" si="2"/>
        <v>Autre #3</v>
      </c>
      <c r="DU1" s="1268" t="str">
        <f t="shared" si="2"/>
        <v>Autre #3</v>
      </c>
      <c r="DV1" s="1268" t="s">
        <v>26</v>
      </c>
      <c r="DW1" s="1268" t="s">
        <v>26</v>
      </c>
      <c r="DX1" s="1268" t="s">
        <v>26</v>
      </c>
    </row>
    <row r="2" spans="1:130" s="1278" customFormat="1" ht="29.25" thickTop="1">
      <c r="A2" s="1283" t="s">
        <v>294</v>
      </c>
      <c r="B2" s="1269" t="s">
        <v>1263</v>
      </c>
      <c r="C2" s="1270" t="s">
        <v>1216</v>
      </c>
      <c r="D2" s="1271"/>
      <c r="E2" s="1271"/>
      <c r="F2" s="1270" t="s">
        <v>1217</v>
      </c>
      <c r="G2" s="1272"/>
      <c r="H2" s="1272"/>
      <c r="I2" s="1270" t="s">
        <v>1219</v>
      </c>
      <c r="J2" s="1272"/>
      <c r="K2" s="1272"/>
      <c r="L2" s="1270" t="s">
        <v>1218</v>
      </c>
      <c r="M2" s="1272"/>
      <c r="N2" s="1272"/>
      <c r="O2" s="1270" t="s">
        <v>1220</v>
      </c>
      <c r="P2" s="1272"/>
      <c r="Q2" s="1272"/>
      <c r="R2" s="1270" t="s">
        <v>1221</v>
      </c>
      <c r="S2" s="1272"/>
      <c r="T2" s="1272"/>
      <c r="U2" s="1270" t="s">
        <v>1222</v>
      </c>
      <c r="V2" s="1273"/>
      <c r="W2" s="1272"/>
      <c r="X2" s="1270" t="s">
        <v>1223</v>
      </c>
      <c r="Y2" s="1272"/>
      <c r="Z2" s="1272"/>
      <c r="AA2" s="1270" t="s">
        <v>1224</v>
      </c>
      <c r="AB2" s="1273"/>
      <c r="AC2" s="1272"/>
      <c r="AD2" s="1270" t="s">
        <v>1225</v>
      </c>
      <c r="AE2" s="1273"/>
      <c r="AF2" s="1272"/>
      <c r="AG2" s="1270" t="s">
        <v>1226</v>
      </c>
      <c r="AH2" s="1273"/>
      <c r="AI2" s="1272"/>
      <c r="AJ2" s="1270" t="s">
        <v>1227</v>
      </c>
      <c r="AK2" s="1273"/>
      <c r="AL2" s="1273"/>
      <c r="AM2" s="1270" t="s">
        <v>1228</v>
      </c>
      <c r="AN2" s="1273"/>
      <c r="AO2" s="1273"/>
      <c r="AP2" s="1270" t="s">
        <v>1229</v>
      </c>
      <c r="AQ2" s="1272"/>
      <c r="AR2" s="1272"/>
      <c r="AS2" s="1270" t="s">
        <v>1230</v>
      </c>
      <c r="AT2" s="1272"/>
      <c r="AU2" s="1272"/>
      <c r="AV2" s="1274" t="s">
        <v>1231</v>
      </c>
      <c r="AW2" s="1272"/>
      <c r="AX2" s="1275"/>
      <c r="AY2" s="1276" t="s">
        <v>1232</v>
      </c>
      <c r="AZ2" s="1277" t="s">
        <v>970</v>
      </c>
      <c r="BA2" s="1277" t="s">
        <v>1233</v>
      </c>
      <c r="BB2" s="1276" t="s">
        <v>1234</v>
      </c>
      <c r="BC2" s="1275"/>
      <c r="BD2" s="1275"/>
      <c r="BE2" s="1278" t="s">
        <v>1235</v>
      </c>
      <c r="BF2" s="1275"/>
      <c r="BG2" s="1279"/>
      <c r="BH2" s="1278" t="s">
        <v>1236</v>
      </c>
      <c r="BI2" s="1277"/>
      <c r="BJ2" s="1279"/>
      <c r="BK2" s="1278" t="s">
        <v>1237</v>
      </c>
      <c r="BL2" s="1277"/>
      <c r="BM2" s="1279"/>
      <c r="BN2" s="1278" t="s">
        <v>1238</v>
      </c>
      <c r="BO2" s="1277"/>
      <c r="BP2" s="1279"/>
      <c r="BR2" s="1275"/>
      <c r="BS2" s="1279"/>
      <c r="BT2" s="1270" t="s">
        <v>1239</v>
      </c>
      <c r="BU2" s="1277"/>
      <c r="BV2" s="1272"/>
      <c r="BW2" s="1270" t="s">
        <v>1240</v>
      </c>
      <c r="BX2" s="1277"/>
      <c r="BY2" s="1272"/>
      <c r="BZ2" s="1270" t="s">
        <v>1241</v>
      </c>
      <c r="CA2" s="1277"/>
      <c r="CB2" s="1272"/>
      <c r="CC2" s="1270" t="s">
        <v>1242</v>
      </c>
      <c r="CD2" s="1272"/>
      <c r="CE2" s="1272"/>
      <c r="CF2" s="1270" t="s">
        <v>1243</v>
      </c>
      <c r="CG2" s="1273"/>
      <c r="CH2" s="1272"/>
      <c r="CI2" s="1270" t="s">
        <v>1244</v>
      </c>
      <c r="CJ2" s="1273"/>
      <c r="CK2" s="1272"/>
      <c r="CL2" s="1270" t="s">
        <v>1245</v>
      </c>
      <c r="CM2" s="1273"/>
      <c r="CN2" s="1272"/>
      <c r="CO2" s="1270" t="s">
        <v>1245</v>
      </c>
      <c r="CP2" s="1273"/>
      <c r="CQ2" s="1272"/>
      <c r="CR2" s="1270" t="s">
        <v>1246</v>
      </c>
      <c r="CS2" s="1273"/>
      <c r="CT2" s="1272"/>
      <c r="CU2" s="1270" t="s">
        <v>1247</v>
      </c>
      <c r="CV2" s="1273"/>
      <c r="CW2" s="1272"/>
      <c r="CX2" s="1270" t="s">
        <v>1275</v>
      </c>
      <c r="CY2" s="1273"/>
      <c r="CZ2" s="1272"/>
      <c r="DA2" s="1270" t="s">
        <v>1248</v>
      </c>
      <c r="DB2" s="1273"/>
      <c r="DC2" s="1272"/>
      <c r="DD2" s="1270"/>
      <c r="DE2" s="1272"/>
      <c r="DF2" s="1272"/>
      <c r="DG2" s="1270"/>
      <c r="DH2" s="1272"/>
      <c r="DI2" s="1272"/>
      <c r="DJ2" s="1270"/>
      <c r="DK2" s="1272"/>
      <c r="DL2" s="1272"/>
      <c r="DM2" s="1270"/>
      <c r="DN2" s="1272"/>
      <c r="DO2" s="1272"/>
      <c r="DP2" s="1270"/>
      <c r="DQ2" s="1272"/>
      <c r="DR2" s="1272"/>
      <c r="DS2" s="1270"/>
      <c r="DT2" s="1272"/>
      <c r="DU2" s="1272"/>
      <c r="DV2" s="1270"/>
      <c r="DW2" s="1272"/>
      <c r="DX2" s="1272"/>
      <c r="DY2" s="1270"/>
      <c r="DZ2" s="1270"/>
    </row>
    <row r="3" spans="1:130" s="1282" customFormat="1" ht="19.5" thickBot="1">
      <c r="A3" s="1284"/>
      <c r="B3" s="1284" t="s">
        <v>1264</v>
      </c>
      <c r="C3" s="2197" t="s">
        <v>607</v>
      </c>
      <c r="D3" s="2197"/>
      <c r="E3" s="2197"/>
      <c r="F3" s="2197" t="s">
        <v>608</v>
      </c>
      <c r="G3" s="2197"/>
      <c r="H3" s="2197"/>
      <c r="I3" s="1284" t="s">
        <v>325</v>
      </c>
      <c r="J3" s="1280"/>
      <c r="K3" s="1280"/>
      <c r="L3" s="1284" t="s">
        <v>340</v>
      </c>
      <c r="M3" s="1280"/>
      <c r="N3" s="1280"/>
      <c r="O3" s="1284" t="s">
        <v>345</v>
      </c>
      <c r="P3" s="1280"/>
      <c r="Q3" s="1280"/>
      <c r="R3" s="1284" t="s">
        <v>346</v>
      </c>
      <c r="S3" s="1280"/>
      <c r="T3" s="1280"/>
      <c r="U3" s="1284" t="s">
        <v>343</v>
      </c>
      <c r="V3" s="1281"/>
      <c r="W3" s="1280"/>
      <c r="X3" s="1284" t="s">
        <v>344</v>
      </c>
      <c r="Y3" s="1280"/>
      <c r="Z3" s="1280"/>
      <c r="AA3" s="1284" t="s">
        <v>347</v>
      </c>
      <c r="AB3" s="1281"/>
      <c r="AC3" s="1280"/>
      <c r="AD3" s="1284" t="s">
        <v>348</v>
      </c>
      <c r="AE3" s="1281"/>
      <c r="AF3" s="1280"/>
      <c r="AG3" s="1284" t="s">
        <v>349</v>
      </c>
      <c r="AH3" s="1281"/>
      <c r="AI3" s="1280"/>
      <c r="AJ3" s="1284" t="s">
        <v>350</v>
      </c>
      <c r="AK3" s="1281"/>
      <c r="AL3" s="1280"/>
      <c r="AM3" s="1284" t="s">
        <v>614</v>
      </c>
      <c r="AN3" s="1281"/>
      <c r="AO3" s="1280"/>
      <c r="AP3" s="1284" t="s">
        <v>615</v>
      </c>
      <c r="AQ3" s="1281"/>
      <c r="AR3" s="1280"/>
      <c r="AS3" s="1284" t="s">
        <v>341</v>
      </c>
      <c r="AT3" s="1281"/>
      <c r="AU3" s="1280"/>
      <c r="AV3" s="1284" t="s">
        <v>342</v>
      </c>
      <c r="AW3" s="1280"/>
      <c r="AX3" s="1280"/>
      <c r="AY3" s="1284" t="s">
        <v>1204</v>
      </c>
      <c r="AZ3" s="1281"/>
      <c r="BA3" s="1280"/>
      <c r="BB3" s="1284" t="s">
        <v>1205</v>
      </c>
      <c r="BC3" s="1281"/>
      <c r="BD3" s="1280"/>
      <c r="BE3" s="1284" t="s">
        <v>954</v>
      </c>
      <c r="BF3" s="1280"/>
      <c r="BG3" s="1280"/>
      <c r="BH3" s="1284" t="s">
        <v>958</v>
      </c>
      <c r="BI3" s="1281"/>
      <c r="BJ3" s="1280"/>
      <c r="BK3" s="1284" t="s">
        <v>955</v>
      </c>
      <c r="BL3" s="1281"/>
      <c r="BM3" s="1280"/>
      <c r="BN3" s="1284" t="s">
        <v>956</v>
      </c>
      <c r="BO3" s="1281"/>
      <c r="BP3" s="1280"/>
      <c r="BQ3" s="1284" t="s">
        <v>1148</v>
      </c>
      <c r="BR3" s="1280"/>
      <c r="BS3" s="1280"/>
      <c r="BT3" s="1284" t="s">
        <v>1206</v>
      </c>
      <c r="BU3" s="1281"/>
      <c r="BV3" s="1280"/>
      <c r="BW3" s="1284" t="s">
        <v>1207</v>
      </c>
      <c r="BX3" s="1281"/>
      <c r="BY3" s="1280"/>
      <c r="BZ3" s="1284" t="s">
        <v>1208</v>
      </c>
      <c r="CA3" s="1281"/>
      <c r="CB3" s="1280"/>
      <c r="CC3" s="1284" t="s">
        <v>1209</v>
      </c>
      <c r="CD3" s="1281"/>
      <c r="CE3" s="1280"/>
      <c r="CF3" s="1284" t="s">
        <v>1210</v>
      </c>
      <c r="CG3" s="1281"/>
      <c r="CH3" s="1280"/>
      <c r="CI3" s="1284" t="s">
        <v>1211</v>
      </c>
      <c r="CJ3" s="1281"/>
      <c r="CK3" s="1280"/>
      <c r="CL3" s="1284" t="s">
        <v>1212</v>
      </c>
      <c r="CM3" s="1281"/>
      <c r="CN3" s="1280"/>
      <c r="CO3" s="1284" t="s">
        <v>1213</v>
      </c>
      <c r="CP3" s="1281"/>
      <c r="CQ3" s="1280"/>
      <c r="CR3" s="1284" t="s">
        <v>1149</v>
      </c>
      <c r="CS3" s="1281"/>
      <c r="CT3" s="1280"/>
      <c r="CU3" s="1284" t="s">
        <v>1150</v>
      </c>
      <c r="CV3" s="1281"/>
      <c r="CW3" s="1280"/>
      <c r="CX3" s="1284" t="s">
        <v>1214</v>
      </c>
      <c r="CY3" s="1281"/>
      <c r="CZ3" s="1280"/>
      <c r="DA3" s="1284" t="s">
        <v>1215</v>
      </c>
      <c r="DB3" s="1281"/>
      <c r="DC3" s="1280"/>
      <c r="DD3" s="1284" t="str">
        <f>nAutre1&amp;" bio"</f>
        <v>Autre #1 bio</v>
      </c>
      <c r="DE3" s="1280"/>
      <c r="DF3" s="1280"/>
      <c r="DG3" s="1284" t="str">
        <f>nAutre1&amp;" conv"</f>
        <v>Autre #1 conv</v>
      </c>
      <c r="DH3" s="1280"/>
      <c r="DI3" s="1280"/>
      <c r="DJ3" s="1284" t="str">
        <f>nAutre2&amp;" bio"</f>
        <v>Autre #2 bio</v>
      </c>
      <c r="DK3" s="1280"/>
      <c r="DL3" s="1280"/>
      <c r="DM3" s="1284" t="str">
        <f>nAutre2&amp;" conv"</f>
        <v>Autre #2 conv</v>
      </c>
      <c r="DN3" s="1280"/>
      <c r="DO3" s="1280"/>
      <c r="DP3" s="1284" t="str">
        <f>nAutre3&amp;" bio"</f>
        <v>Autre #3 bio</v>
      </c>
      <c r="DQ3" s="1280"/>
      <c r="DR3" s="1280"/>
      <c r="DS3" s="1284" t="str">
        <f>nAutre3&amp;" conv"</f>
        <v>Autre #3 conv</v>
      </c>
      <c r="DT3" s="1280"/>
      <c r="DU3" s="1280"/>
      <c r="DV3" s="1284" t="s">
        <v>26</v>
      </c>
      <c r="DW3" s="1280"/>
      <c r="DX3" s="1280"/>
    </row>
    <row r="4" spans="1:130" s="1129" customFormat="1" ht="15" thickTop="1">
      <c r="A4" s="1071"/>
      <c r="B4" s="1301" t="s">
        <v>282</v>
      </c>
      <c r="C4" s="1151" t="s">
        <v>143</v>
      </c>
      <c r="D4" s="1191" t="s">
        <v>144</v>
      </c>
      <c r="E4" s="1192" t="s">
        <v>145</v>
      </c>
      <c r="F4" s="1152" t="s">
        <v>143</v>
      </c>
      <c r="G4" s="1215" t="s">
        <v>144</v>
      </c>
      <c r="H4" s="1192" t="s">
        <v>145</v>
      </c>
      <c r="I4" s="1152" t="s">
        <v>143</v>
      </c>
      <c r="J4" s="1215" t="s">
        <v>144</v>
      </c>
      <c r="K4" s="1192" t="s">
        <v>145</v>
      </c>
      <c r="L4" s="1152" t="s">
        <v>143</v>
      </c>
      <c r="M4" s="1215" t="s">
        <v>144</v>
      </c>
      <c r="N4" s="1192" t="s">
        <v>145</v>
      </c>
      <c r="O4" s="1152" t="s">
        <v>143</v>
      </c>
      <c r="P4" s="1215" t="s">
        <v>144</v>
      </c>
      <c r="Q4" s="1192" t="s">
        <v>145</v>
      </c>
      <c r="R4" s="1152" t="s">
        <v>143</v>
      </c>
      <c r="S4" s="1215" t="s">
        <v>144</v>
      </c>
      <c r="T4" s="1192" t="s">
        <v>145</v>
      </c>
      <c r="U4" s="1152" t="s">
        <v>143</v>
      </c>
      <c r="V4" s="1229" t="s">
        <v>144</v>
      </c>
      <c r="W4" s="1192" t="s">
        <v>145</v>
      </c>
      <c r="X4" s="1152" t="s">
        <v>143</v>
      </c>
      <c r="Y4" s="1215" t="s">
        <v>144</v>
      </c>
      <c r="Z4" s="1192" t="s">
        <v>145</v>
      </c>
      <c r="AA4" s="1152" t="s">
        <v>143</v>
      </c>
      <c r="AB4" s="1229" t="s">
        <v>144</v>
      </c>
      <c r="AC4" s="1192" t="s">
        <v>145</v>
      </c>
      <c r="AD4" s="1152" t="s">
        <v>143</v>
      </c>
      <c r="AE4" s="1229" t="s">
        <v>144</v>
      </c>
      <c r="AF4" s="1192" t="s">
        <v>145</v>
      </c>
      <c r="AG4" s="1152" t="s">
        <v>143</v>
      </c>
      <c r="AH4" s="1229" t="s">
        <v>144</v>
      </c>
      <c r="AI4" s="1192" t="s">
        <v>145</v>
      </c>
      <c r="AJ4" s="1152" t="s">
        <v>143</v>
      </c>
      <c r="AK4" s="1229" t="s">
        <v>144</v>
      </c>
      <c r="AL4" s="1192" t="s">
        <v>145</v>
      </c>
      <c r="AM4" s="1152" t="s">
        <v>143</v>
      </c>
      <c r="AN4" s="1229" t="s">
        <v>144</v>
      </c>
      <c r="AO4" s="1192" t="s">
        <v>145</v>
      </c>
      <c r="AP4" s="1152" t="s">
        <v>143</v>
      </c>
      <c r="AQ4" s="1229" t="s">
        <v>144</v>
      </c>
      <c r="AR4" s="1192" t="s">
        <v>145</v>
      </c>
      <c r="AS4" s="1152" t="s">
        <v>143</v>
      </c>
      <c r="AT4" s="1229" t="s">
        <v>144</v>
      </c>
      <c r="AU4" s="1192" t="s">
        <v>145</v>
      </c>
      <c r="AV4" s="1152" t="s">
        <v>143</v>
      </c>
      <c r="AW4" s="1215" t="s">
        <v>144</v>
      </c>
      <c r="AX4" s="1192" t="s">
        <v>145</v>
      </c>
      <c r="AY4" s="1152" t="s">
        <v>143</v>
      </c>
      <c r="AZ4" s="1229" t="s">
        <v>144</v>
      </c>
      <c r="BA4" s="1192" t="s">
        <v>145</v>
      </c>
      <c r="BB4" s="1152" t="s">
        <v>143</v>
      </c>
      <c r="BC4" s="1229" t="s">
        <v>144</v>
      </c>
      <c r="BD4" s="1192" t="s">
        <v>145</v>
      </c>
      <c r="BE4" s="1152" t="s">
        <v>143</v>
      </c>
      <c r="BF4" s="1215" t="s">
        <v>144</v>
      </c>
      <c r="BG4" s="1192" t="s">
        <v>145</v>
      </c>
      <c r="BH4" s="1152" t="s">
        <v>143</v>
      </c>
      <c r="BI4" s="1229" t="s">
        <v>144</v>
      </c>
      <c r="BJ4" s="1192" t="s">
        <v>145</v>
      </c>
      <c r="BK4" s="1152" t="s">
        <v>143</v>
      </c>
      <c r="BL4" s="1229" t="s">
        <v>144</v>
      </c>
      <c r="BM4" s="1192" t="s">
        <v>145</v>
      </c>
      <c r="BN4" s="1152" t="s">
        <v>143</v>
      </c>
      <c r="BO4" s="1229" t="s">
        <v>144</v>
      </c>
      <c r="BP4" s="1192" t="s">
        <v>145</v>
      </c>
      <c r="BQ4" s="1152" t="s">
        <v>143</v>
      </c>
      <c r="BR4" s="1215" t="s">
        <v>144</v>
      </c>
      <c r="BS4" s="1252" t="s">
        <v>145</v>
      </c>
      <c r="BT4" s="1152" t="s">
        <v>143</v>
      </c>
      <c r="BU4" s="1229" t="s">
        <v>144</v>
      </c>
      <c r="BV4" s="1192" t="s">
        <v>145</v>
      </c>
      <c r="BW4" s="1152" t="s">
        <v>143</v>
      </c>
      <c r="BX4" s="1229" t="s">
        <v>144</v>
      </c>
      <c r="BY4" s="1192" t="s">
        <v>145</v>
      </c>
      <c r="BZ4" s="1152" t="s">
        <v>143</v>
      </c>
      <c r="CA4" s="1229" t="s">
        <v>144</v>
      </c>
      <c r="CB4" s="1192" t="s">
        <v>145</v>
      </c>
      <c r="CC4" s="1152" t="s">
        <v>143</v>
      </c>
      <c r="CD4" s="1229" t="s">
        <v>144</v>
      </c>
      <c r="CE4" s="1192" t="s">
        <v>145</v>
      </c>
      <c r="CF4" s="1152" t="s">
        <v>143</v>
      </c>
      <c r="CG4" s="1229" t="s">
        <v>144</v>
      </c>
      <c r="CH4" s="1192" t="s">
        <v>145</v>
      </c>
      <c r="CI4" s="1152" t="s">
        <v>143</v>
      </c>
      <c r="CJ4" s="1229" t="s">
        <v>144</v>
      </c>
      <c r="CK4" s="1192" t="s">
        <v>145</v>
      </c>
      <c r="CL4" s="1152" t="s">
        <v>143</v>
      </c>
      <c r="CM4" s="1229" t="s">
        <v>144</v>
      </c>
      <c r="CN4" s="1192" t="s">
        <v>145</v>
      </c>
      <c r="CO4" s="1152" t="s">
        <v>143</v>
      </c>
      <c r="CP4" s="1229" t="s">
        <v>144</v>
      </c>
      <c r="CQ4" s="1192" t="s">
        <v>145</v>
      </c>
      <c r="CR4" s="1152" t="s">
        <v>143</v>
      </c>
      <c r="CS4" s="1229" t="s">
        <v>144</v>
      </c>
      <c r="CT4" s="1192" t="s">
        <v>145</v>
      </c>
      <c r="CU4" s="1152" t="s">
        <v>143</v>
      </c>
      <c r="CV4" s="1229" t="s">
        <v>144</v>
      </c>
      <c r="CW4" s="1192" t="s">
        <v>145</v>
      </c>
      <c r="CX4" s="1152" t="s">
        <v>143</v>
      </c>
      <c r="CY4" s="1229" t="s">
        <v>144</v>
      </c>
      <c r="CZ4" s="1192" t="s">
        <v>145</v>
      </c>
      <c r="DA4" s="1152" t="s">
        <v>143</v>
      </c>
      <c r="DB4" s="1229" t="s">
        <v>144</v>
      </c>
      <c r="DC4" s="1192" t="s">
        <v>145</v>
      </c>
      <c r="DD4" s="1152" t="s">
        <v>143</v>
      </c>
      <c r="DE4" s="1215" t="s">
        <v>144</v>
      </c>
      <c r="DF4" s="1192" t="s">
        <v>145</v>
      </c>
      <c r="DG4" s="1152" t="s">
        <v>143</v>
      </c>
      <c r="DH4" s="1215" t="s">
        <v>144</v>
      </c>
      <c r="DI4" s="1192" t="s">
        <v>145</v>
      </c>
      <c r="DJ4" s="1152" t="s">
        <v>143</v>
      </c>
      <c r="DK4" s="1215" t="s">
        <v>144</v>
      </c>
      <c r="DL4" s="1192" t="s">
        <v>145</v>
      </c>
      <c r="DM4" s="1152" t="s">
        <v>143</v>
      </c>
      <c r="DN4" s="1215" t="s">
        <v>144</v>
      </c>
      <c r="DO4" s="1192" t="s">
        <v>145</v>
      </c>
      <c r="DP4" s="1152" t="s">
        <v>143</v>
      </c>
      <c r="DQ4" s="1215" t="s">
        <v>144</v>
      </c>
      <c r="DR4" s="1192" t="s">
        <v>145</v>
      </c>
      <c r="DS4" s="1152" t="s">
        <v>143</v>
      </c>
      <c r="DT4" s="1215" t="s">
        <v>144</v>
      </c>
      <c r="DU4" s="1192" t="s">
        <v>145</v>
      </c>
      <c r="DV4" s="1152" t="s">
        <v>143</v>
      </c>
      <c r="DW4" s="1215" t="s">
        <v>144</v>
      </c>
      <c r="DX4" s="1239" t="s">
        <v>145</v>
      </c>
    </row>
    <row r="5" spans="1:130">
      <c r="A5" s="1149"/>
      <c r="B5" s="1302" t="s">
        <v>284</v>
      </c>
      <c r="C5" s="1153">
        <v>8</v>
      </c>
      <c r="D5" s="1193">
        <v>485</v>
      </c>
      <c r="E5" s="1194">
        <f>IFERROR(D5*C5,0)</f>
        <v>3880</v>
      </c>
      <c r="F5" s="1154">
        <v>9.34</v>
      </c>
      <c r="G5" s="1193">
        <v>193</v>
      </c>
      <c r="H5" s="1194">
        <f>G5*F5</f>
        <v>1802.62</v>
      </c>
      <c r="I5" s="1154">
        <v>2.8</v>
      </c>
      <c r="J5" s="1219">
        <v>1048</v>
      </c>
      <c r="K5" s="1220">
        <f>I5*J5</f>
        <v>2934.3999999999996</v>
      </c>
      <c r="L5" s="1154">
        <v>2.6</v>
      </c>
      <c r="M5" s="1219">
        <v>460</v>
      </c>
      <c r="N5" s="1220">
        <f>M5*L5</f>
        <v>1196</v>
      </c>
      <c r="O5" s="1154">
        <v>3.2</v>
      </c>
      <c r="P5" s="1219">
        <v>575</v>
      </c>
      <c r="Q5" s="1220">
        <f>P5*O5</f>
        <v>1840</v>
      </c>
      <c r="R5" s="1154">
        <v>3.1</v>
      </c>
      <c r="S5" s="1219">
        <v>265</v>
      </c>
      <c r="T5" s="1228">
        <f>S5*R5</f>
        <v>821.5</v>
      </c>
      <c r="U5" s="1154">
        <v>3.2</v>
      </c>
      <c r="V5" s="1219">
        <v>575</v>
      </c>
      <c r="W5" s="1220">
        <f>V5*U5</f>
        <v>1840</v>
      </c>
      <c r="X5" s="1154">
        <v>4.2</v>
      </c>
      <c r="Y5" s="1219">
        <v>265</v>
      </c>
      <c r="Z5" s="1220">
        <f>Y5*X5</f>
        <v>1113</v>
      </c>
      <c r="AA5" s="1154">
        <v>2.7</v>
      </c>
      <c r="AB5" s="1193">
        <v>425</v>
      </c>
      <c r="AC5" s="1220">
        <f>AB5*AA5</f>
        <v>1147.5</v>
      </c>
      <c r="AD5" s="1154">
        <v>2.89</v>
      </c>
      <c r="AE5" s="1193">
        <v>190</v>
      </c>
      <c r="AF5" s="1220">
        <f>AE5*AD5</f>
        <v>549.1</v>
      </c>
      <c r="AG5" s="1154">
        <v>2.23</v>
      </c>
      <c r="AH5" s="1193">
        <v>400</v>
      </c>
      <c r="AI5" s="1220">
        <f>AH5*AG5</f>
        <v>892</v>
      </c>
      <c r="AJ5" s="1154">
        <v>2.13</v>
      </c>
      <c r="AK5" s="1193">
        <v>190</v>
      </c>
      <c r="AL5" s="1220">
        <f>AK5*AJ5</f>
        <v>404.7</v>
      </c>
      <c r="AM5" s="1154">
        <v>4</v>
      </c>
      <c r="AN5" s="1193">
        <v>550</v>
      </c>
      <c r="AO5" s="1220">
        <f>AN5*AM5</f>
        <v>2200</v>
      </c>
      <c r="AP5" s="1154">
        <v>4</v>
      </c>
      <c r="AQ5" s="1193">
        <v>190</v>
      </c>
      <c r="AR5" s="1220">
        <f>AQ5*AP5</f>
        <v>760</v>
      </c>
      <c r="AS5" s="1154">
        <v>3</v>
      </c>
      <c r="AT5" s="1193">
        <v>462.5</v>
      </c>
      <c r="AU5" s="1220">
        <f>AT5*AS5</f>
        <v>1387.5</v>
      </c>
      <c r="AV5" s="1154">
        <v>3</v>
      </c>
      <c r="AW5" s="1193">
        <v>190</v>
      </c>
      <c r="AX5" s="1220">
        <f>AW5*AV5</f>
        <v>570</v>
      </c>
      <c r="AY5" s="1154"/>
      <c r="AZ5" s="1193"/>
      <c r="BA5" s="1220">
        <f>AZ5*AY5</f>
        <v>0</v>
      </c>
      <c r="BB5" s="1154"/>
      <c r="BC5" s="1193"/>
      <c r="BD5" s="1220">
        <f>BC5*BB5</f>
        <v>0</v>
      </c>
      <c r="BE5" s="1670">
        <f>2.1/5</f>
        <v>0.42000000000000004</v>
      </c>
      <c r="BF5" s="1193">
        <v>425</v>
      </c>
      <c r="BG5" s="1220">
        <f>BF5*BE5</f>
        <v>178.50000000000003</v>
      </c>
      <c r="BH5" s="1670">
        <f>2.1/5</f>
        <v>0.42000000000000004</v>
      </c>
      <c r="BI5" s="1193">
        <v>190</v>
      </c>
      <c r="BJ5" s="1220">
        <f>BI5*BH5</f>
        <v>79.800000000000011</v>
      </c>
      <c r="BK5" s="1154"/>
      <c r="BL5" s="1193"/>
      <c r="BM5" s="1220">
        <f>BL5*BK5</f>
        <v>0</v>
      </c>
      <c r="BN5" s="1154"/>
      <c r="BO5" s="1193"/>
      <c r="BP5" s="1220">
        <f>BO5*BN5</f>
        <v>0</v>
      </c>
      <c r="BQ5" s="1154"/>
      <c r="BR5" s="1193"/>
      <c r="BS5" s="1220">
        <f>BR5*BQ5</f>
        <v>0</v>
      </c>
      <c r="BT5" s="1154">
        <v>2.5</v>
      </c>
      <c r="BU5" s="1193">
        <v>600</v>
      </c>
      <c r="BV5" s="1220">
        <f>BU5*BT5</f>
        <v>1500</v>
      </c>
      <c r="BW5" s="1154">
        <v>2.5</v>
      </c>
      <c r="BX5" s="1193">
        <v>190</v>
      </c>
      <c r="BY5" s="1220">
        <f>BX5*BW5</f>
        <v>475</v>
      </c>
      <c r="BZ5" s="1154">
        <v>2.5</v>
      </c>
      <c r="CA5" s="1193">
        <v>600</v>
      </c>
      <c r="CB5" s="1220">
        <f>CA5*BZ5</f>
        <v>1500</v>
      </c>
      <c r="CC5" s="1154">
        <v>2.5</v>
      </c>
      <c r="CD5" s="1193">
        <v>190</v>
      </c>
      <c r="CE5" s="1220">
        <f>CD5*CC5</f>
        <v>475</v>
      </c>
      <c r="CF5" s="1154">
        <v>1.5</v>
      </c>
      <c r="CG5" s="1251">
        <v>1192</v>
      </c>
      <c r="CH5" s="1220">
        <f>CG5*CF5</f>
        <v>1788</v>
      </c>
      <c r="CI5" s="1154">
        <v>1.57</v>
      </c>
      <c r="CJ5" s="1251">
        <v>485</v>
      </c>
      <c r="CK5" s="1220">
        <f>CJ5*CI5</f>
        <v>761.45</v>
      </c>
      <c r="CL5" s="1154">
        <f>0.7*0.9</f>
        <v>0.63</v>
      </c>
      <c r="CM5" s="1251">
        <v>950</v>
      </c>
      <c r="CN5" s="1220">
        <f>CM5*CL5</f>
        <v>598.5</v>
      </c>
      <c r="CO5" s="1154">
        <f>0.7*0.9</f>
        <v>0.63</v>
      </c>
      <c r="CP5" s="1251">
        <v>600</v>
      </c>
      <c r="CQ5" s="1220">
        <f>CP5*CO5</f>
        <v>378</v>
      </c>
      <c r="CR5" s="1154">
        <v>1</v>
      </c>
      <c r="CS5" s="1251">
        <v>3950</v>
      </c>
      <c r="CT5" s="1220">
        <f>CS5*CR5</f>
        <v>3950</v>
      </c>
      <c r="CU5" s="1154">
        <v>1</v>
      </c>
      <c r="CV5" s="1251">
        <v>1100</v>
      </c>
      <c r="CW5" s="1220">
        <f>CV5*CU5</f>
        <v>1100</v>
      </c>
      <c r="CX5" s="1154">
        <v>2</v>
      </c>
      <c r="CY5" s="1251">
        <v>2000</v>
      </c>
      <c r="CZ5" s="1220">
        <f>CY5*CX5</f>
        <v>4000</v>
      </c>
      <c r="DA5" s="1154">
        <v>2</v>
      </c>
      <c r="DB5" s="1251">
        <v>875</v>
      </c>
      <c r="DC5" s="1220">
        <f>DB5*DA5</f>
        <v>1750</v>
      </c>
      <c r="DD5" s="1154"/>
      <c r="DE5" s="1240"/>
      <c r="DF5" s="1220">
        <f>DE5*DD5</f>
        <v>0</v>
      </c>
      <c r="DG5" s="1154"/>
      <c r="DH5" s="1240"/>
      <c r="DI5" s="1220">
        <f>DH5*DG5</f>
        <v>0</v>
      </c>
      <c r="DJ5" s="1154"/>
      <c r="DK5" s="1240"/>
      <c r="DL5" s="1220">
        <f>DK5*DJ5</f>
        <v>0</v>
      </c>
      <c r="DM5" s="1154"/>
      <c r="DN5" s="1240"/>
      <c r="DO5" s="1220">
        <f>DN5*DM5</f>
        <v>0</v>
      </c>
      <c r="DP5" s="1154"/>
      <c r="DQ5" s="1240"/>
      <c r="DR5" s="1220">
        <f>DQ5*DP5</f>
        <v>0</v>
      </c>
      <c r="DS5" s="1154"/>
      <c r="DT5" s="1240"/>
      <c r="DU5" s="1220">
        <f>DT5*DS5</f>
        <v>0</v>
      </c>
      <c r="DV5" s="1154"/>
      <c r="DW5" s="1240"/>
      <c r="DX5" s="1241">
        <f>DW5*DV5</f>
        <v>0</v>
      </c>
    </row>
    <row r="6" spans="1:130">
      <c r="A6" s="1149"/>
      <c r="B6" s="1302" t="s">
        <v>957</v>
      </c>
      <c r="C6" s="1155"/>
      <c r="D6" s="1195"/>
      <c r="E6" s="1194">
        <f>D6*C6</f>
        <v>0</v>
      </c>
      <c r="F6" s="1156"/>
      <c r="G6" s="1195"/>
      <c r="H6" s="1194">
        <f>G6*F6</f>
        <v>0</v>
      </c>
      <c r="I6" s="1156"/>
      <c r="J6" s="1217"/>
      <c r="K6" s="1194">
        <f>J6*I6</f>
        <v>0</v>
      </c>
      <c r="L6" s="1156"/>
      <c r="M6" s="1217"/>
      <c r="N6" s="1194">
        <f>M6*L6</f>
        <v>0</v>
      </c>
      <c r="O6" s="1156"/>
      <c r="P6" s="1217"/>
      <c r="Q6" s="1194">
        <f>P6*O6</f>
        <v>0</v>
      </c>
      <c r="R6" s="1156"/>
      <c r="S6" s="1217"/>
      <c r="T6" s="1194">
        <f>S6*R6</f>
        <v>0</v>
      </c>
      <c r="U6" s="1156"/>
      <c r="V6" s="1217"/>
      <c r="W6" s="1194">
        <f>V6*U6</f>
        <v>0</v>
      </c>
      <c r="X6" s="1156"/>
      <c r="Y6" s="1217"/>
      <c r="Z6" s="1194">
        <f>Y6*X6</f>
        <v>0</v>
      </c>
      <c r="AA6" s="1156"/>
      <c r="AB6" s="1195"/>
      <c r="AC6" s="1194">
        <f>AB6*AA6</f>
        <v>0</v>
      </c>
      <c r="AD6" s="1156"/>
      <c r="AE6" s="1195"/>
      <c r="AF6" s="1194">
        <f>AE6*AD6</f>
        <v>0</v>
      </c>
      <c r="AG6" s="1156"/>
      <c r="AH6" s="1195"/>
      <c r="AI6" s="1194">
        <f>AH6*AG6</f>
        <v>0</v>
      </c>
      <c r="AJ6" s="1156"/>
      <c r="AK6" s="1195"/>
      <c r="AL6" s="1194">
        <f>AK6*AJ6</f>
        <v>0</v>
      </c>
      <c r="AM6" s="1156"/>
      <c r="AN6" s="1195"/>
      <c r="AO6" s="1194">
        <f>AN6*AM6</f>
        <v>0</v>
      </c>
      <c r="AP6" s="1156"/>
      <c r="AQ6" s="1195"/>
      <c r="AR6" s="1194">
        <f>AQ6*AP6</f>
        <v>0</v>
      </c>
      <c r="AS6" s="1156"/>
      <c r="AT6" s="1195"/>
      <c r="AU6" s="1194">
        <f>AT6*AS6</f>
        <v>0</v>
      </c>
      <c r="AV6" s="1156"/>
      <c r="AW6" s="1195"/>
      <c r="AX6" s="1194">
        <f>AW6*AV6</f>
        <v>0</v>
      </c>
      <c r="AY6" s="1669">
        <f>4.3*89%</f>
        <v>3.827</v>
      </c>
      <c r="AZ6" s="1195">
        <v>112</v>
      </c>
      <c r="BA6" s="1220">
        <f>AZ6*AY6</f>
        <v>428.62400000000002</v>
      </c>
      <c r="BB6" s="1669">
        <f>4.3*89%</f>
        <v>3.827</v>
      </c>
      <c r="BC6" s="1195">
        <v>112</v>
      </c>
      <c r="BD6" s="1220">
        <f>BC6*BB6</f>
        <v>428.62400000000002</v>
      </c>
      <c r="BE6" s="1654">
        <v>5.21</v>
      </c>
      <c r="BF6" s="1195">
        <v>112</v>
      </c>
      <c r="BG6" s="1220">
        <f>BF6*BE6</f>
        <v>583.52</v>
      </c>
      <c r="BH6" s="1654">
        <v>5.21</v>
      </c>
      <c r="BI6" s="1195">
        <v>112</v>
      </c>
      <c r="BJ6" s="1220">
        <f>BI6*BH6</f>
        <v>583.52</v>
      </c>
      <c r="BK6" s="1670">
        <f>35*35%</f>
        <v>12.25</v>
      </c>
      <c r="BL6" s="1193">
        <f>55/35%</f>
        <v>157.14285714285714</v>
      </c>
      <c r="BM6" s="1194">
        <f>BL6*BK6</f>
        <v>1925</v>
      </c>
      <c r="BN6" s="1670">
        <f>35*35%</f>
        <v>12.25</v>
      </c>
      <c r="BO6" s="1193">
        <f>55/35%</f>
        <v>157.14285714285714</v>
      </c>
      <c r="BP6" s="1194">
        <f>BO6*BN6</f>
        <v>1925</v>
      </c>
      <c r="BQ6" s="1154"/>
      <c r="BR6" s="1193"/>
      <c r="BS6" s="1194">
        <f>BR6*BQ6</f>
        <v>0</v>
      </c>
      <c r="BT6" s="1156"/>
      <c r="BU6" s="1195"/>
      <c r="BV6" s="1194">
        <f>BU6*BT6</f>
        <v>0</v>
      </c>
      <c r="BW6" s="1156"/>
      <c r="BX6" s="1195"/>
      <c r="BY6" s="1194">
        <f>BX6*BW6</f>
        <v>0</v>
      </c>
      <c r="BZ6" s="1156"/>
      <c r="CA6" s="1195"/>
      <c r="CB6" s="1194">
        <f>CA6*BZ6</f>
        <v>0</v>
      </c>
      <c r="CC6" s="1156"/>
      <c r="CD6" s="1195"/>
      <c r="CE6" s="1194">
        <f>CD6*CC6</f>
        <v>0</v>
      </c>
      <c r="CF6" s="1154"/>
      <c r="CG6" s="1251"/>
      <c r="CH6" s="1194">
        <f>CG6*CF6</f>
        <v>0</v>
      </c>
      <c r="CI6" s="1154"/>
      <c r="CJ6" s="1251"/>
      <c r="CK6" s="1194">
        <f>CJ6*CI6</f>
        <v>0</v>
      </c>
      <c r="CL6" s="1154"/>
      <c r="CM6" s="1251"/>
      <c r="CN6" s="1194">
        <f>CM6*CL6</f>
        <v>0</v>
      </c>
      <c r="CO6" s="1154"/>
      <c r="CP6" s="1251"/>
      <c r="CQ6" s="1194">
        <f>CP6*CO6</f>
        <v>0</v>
      </c>
      <c r="CR6" s="1154"/>
      <c r="CS6" s="1251"/>
      <c r="CT6" s="1194">
        <f>CS6*CR6</f>
        <v>0</v>
      </c>
      <c r="CU6" s="1154"/>
      <c r="CV6" s="1251"/>
      <c r="CW6" s="1194">
        <f>CV6*CU6</f>
        <v>0</v>
      </c>
      <c r="CX6" s="1154"/>
      <c r="CY6" s="1251"/>
      <c r="CZ6" s="1194">
        <f>CY6*CX6</f>
        <v>0</v>
      </c>
      <c r="DA6" s="1154"/>
      <c r="DB6" s="1251"/>
      <c r="DC6" s="1194">
        <f>DB6*DA6</f>
        <v>0</v>
      </c>
      <c r="DD6" s="1154"/>
      <c r="DE6" s="1240"/>
      <c r="DF6" s="1220">
        <f>DE6*DD6</f>
        <v>0</v>
      </c>
      <c r="DG6" s="1154"/>
      <c r="DH6" s="1240"/>
      <c r="DI6" s="1220">
        <f>DH6*DG6</f>
        <v>0</v>
      </c>
      <c r="DJ6" s="1154"/>
      <c r="DK6" s="1240"/>
      <c r="DL6" s="1220">
        <f>DK6*DJ6</f>
        <v>0</v>
      </c>
      <c r="DM6" s="1154"/>
      <c r="DN6" s="1240"/>
      <c r="DO6" s="1220">
        <f>DN6*DM6</f>
        <v>0</v>
      </c>
      <c r="DP6" s="1154"/>
      <c r="DQ6" s="1240"/>
      <c r="DR6" s="1220">
        <f>DQ6*DP6</f>
        <v>0</v>
      </c>
      <c r="DS6" s="1154"/>
      <c r="DT6" s="1240"/>
      <c r="DU6" s="1220">
        <f>DT6*DS6</f>
        <v>0</v>
      </c>
      <c r="DV6" s="1154"/>
      <c r="DW6" s="1240"/>
      <c r="DX6" s="1241">
        <f>DW6*DV6</f>
        <v>0</v>
      </c>
    </row>
    <row r="7" spans="1:130">
      <c r="A7" s="1149"/>
      <c r="B7" s="1302" t="s">
        <v>619</v>
      </c>
      <c r="C7" s="1155"/>
      <c r="D7" s="1195"/>
      <c r="E7" s="1194">
        <f>D7*C7</f>
        <v>0</v>
      </c>
      <c r="F7" s="1156"/>
      <c r="G7" s="1195"/>
      <c r="H7" s="1194">
        <f>G7*F7</f>
        <v>0</v>
      </c>
      <c r="I7" s="1156"/>
      <c r="J7" s="1217"/>
      <c r="K7" s="1220">
        <f>I7*J7</f>
        <v>0</v>
      </c>
      <c r="L7" s="1156">
        <v>1.17</v>
      </c>
      <c r="M7" s="1217">
        <v>0</v>
      </c>
      <c r="N7" s="1220">
        <f>M7*L7</f>
        <v>0</v>
      </c>
      <c r="O7" s="1156"/>
      <c r="P7" s="1217"/>
      <c r="Q7" s="1220">
        <f>P7*O7</f>
        <v>0</v>
      </c>
      <c r="R7" s="1669">
        <f>30/2.20462262*150/1000</f>
        <v>2.0411656667117026</v>
      </c>
      <c r="S7" s="1655">
        <f>1.5/30*2.20462262*1000</f>
        <v>110.23113099999999</v>
      </c>
      <c r="T7" s="1228">
        <f>S7*R7</f>
        <v>225</v>
      </c>
      <c r="U7" s="1156"/>
      <c r="V7" s="1217"/>
      <c r="W7" s="1220">
        <f>V7*U7</f>
        <v>0</v>
      </c>
      <c r="X7" s="1669">
        <f>30/2.20462262*125/1000</f>
        <v>1.7009713889264186</v>
      </c>
      <c r="Y7" s="1655">
        <f>1.5/30*2.20462262*1000</f>
        <v>110.23113099999999</v>
      </c>
      <c r="Z7" s="1220">
        <f>Y7*X7</f>
        <v>187.5</v>
      </c>
      <c r="AA7" s="1156"/>
      <c r="AB7" s="1195"/>
      <c r="AC7" s="1220">
        <f>AB7*AA7</f>
        <v>0</v>
      </c>
      <c r="AD7" s="1669">
        <f>30/2.20462262*125/1000</f>
        <v>1.7009713889264186</v>
      </c>
      <c r="AE7" s="1655">
        <f>1.5/30*2.20462262*1000</f>
        <v>110.23113099999999</v>
      </c>
      <c r="AF7" s="1220">
        <f>AE7*AD7</f>
        <v>187.5</v>
      </c>
      <c r="AG7" s="1156"/>
      <c r="AH7" s="1195"/>
      <c r="AI7" s="1220">
        <f>AH7*AG7</f>
        <v>0</v>
      </c>
      <c r="AJ7" s="1669">
        <f>30/2.20462262*125/1000</f>
        <v>1.7009713889264186</v>
      </c>
      <c r="AK7" s="1655">
        <f>1.5/30*2.20462262*1000</f>
        <v>110.23113099999999</v>
      </c>
      <c r="AL7" s="1220">
        <f>AK7*AJ7</f>
        <v>187.5</v>
      </c>
      <c r="AM7" s="1156"/>
      <c r="AN7" s="1195"/>
      <c r="AO7" s="1220">
        <f>AN7*AM7</f>
        <v>0</v>
      </c>
      <c r="AP7" s="1156">
        <v>125</v>
      </c>
      <c r="AQ7" s="1195">
        <v>1.5</v>
      </c>
      <c r="AR7" s="1220">
        <f>AQ7*AP7</f>
        <v>187.5</v>
      </c>
      <c r="AS7" s="1156"/>
      <c r="AT7" s="1195"/>
      <c r="AU7" s="1220">
        <f>AT7*AS7</f>
        <v>0</v>
      </c>
      <c r="AV7" s="1669">
        <f>30/2.20462262*125/1000</f>
        <v>1.7009713889264186</v>
      </c>
      <c r="AW7" s="1655">
        <f>1.5/30*2.20462262*1000</f>
        <v>110.23113099999999</v>
      </c>
      <c r="AX7" s="1220">
        <f>AW7*AV7</f>
        <v>187.5</v>
      </c>
      <c r="AY7" s="1156"/>
      <c r="AZ7" s="1195"/>
      <c r="BA7" s="1220">
        <f>AZ7*AY7</f>
        <v>0</v>
      </c>
      <c r="BB7" s="1156"/>
      <c r="BC7" s="1195"/>
      <c r="BD7" s="1220">
        <f>BC7*BB7</f>
        <v>0</v>
      </c>
      <c r="BE7" s="1156"/>
      <c r="BF7" s="1195"/>
      <c r="BG7" s="1220">
        <f>BF7*BE7</f>
        <v>0</v>
      </c>
      <c r="BH7" s="1156"/>
      <c r="BI7" s="1195"/>
      <c r="BJ7" s="1220">
        <f>BI7*BH7</f>
        <v>0</v>
      </c>
      <c r="BK7" s="1156"/>
      <c r="BL7" s="1195"/>
      <c r="BM7" s="1220">
        <f>BL7*BK7</f>
        <v>0</v>
      </c>
      <c r="BN7" s="1156"/>
      <c r="BO7" s="1195"/>
      <c r="BP7" s="1220">
        <f>BO7*BN7</f>
        <v>0</v>
      </c>
      <c r="BQ7" s="1156">
        <v>1.7</v>
      </c>
      <c r="BR7" s="1195">
        <v>167</v>
      </c>
      <c r="BS7" s="1220">
        <f>BR7*BQ7</f>
        <v>283.89999999999998</v>
      </c>
      <c r="BT7" s="1156"/>
      <c r="BU7" s="1195"/>
      <c r="BV7" s="1220">
        <f>BU7*BT7</f>
        <v>0</v>
      </c>
      <c r="BW7" s="1156"/>
      <c r="BX7" s="1195"/>
      <c r="BY7" s="1220">
        <f>BX7*BW7</f>
        <v>0</v>
      </c>
      <c r="BZ7" s="1156">
        <v>3</v>
      </c>
      <c r="CA7" s="1195"/>
      <c r="CB7" s="1220">
        <f>CA7*BZ7</f>
        <v>0</v>
      </c>
      <c r="CC7" s="1156">
        <v>3</v>
      </c>
      <c r="CD7" s="1195"/>
      <c r="CE7" s="1220">
        <f>CD7*CC7</f>
        <v>0</v>
      </c>
      <c r="CF7" s="1154"/>
      <c r="CG7" s="1251"/>
      <c r="CH7" s="1220">
        <f>CG7*CF7</f>
        <v>0</v>
      </c>
      <c r="CI7" s="1154"/>
      <c r="CJ7" s="1251"/>
      <c r="CK7" s="1220">
        <f>CJ7*CI7</f>
        <v>0</v>
      </c>
      <c r="CL7" s="1154"/>
      <c r="CM7" s="1251"/>
      <c r="CN7" s="1220">
        <f>CM7*CL7</f>
        <v>0</v>
      </c>
      <c r="CO7" s="1154"/>
      <c r="CP7" s="1251"/>
      <c r="CQ7" s="1220">
        <f>CP7*CO7</f>
        <v>0</v>
      </c>
      <c r="CR7" s="1154"/>
      <c r="CS7" s="1251"/>
      <c r="CT7" s="1220">
        <f>CS7*CR7</f>
        <v>0</v>
      </c>
      <c r="CU7" s="1154"/>
      <c r="CV7" s="1251"/>
      <c r="CW7" s="1220">
        <f>CV7*CU7</f>
        <v>0</v>
      </c>
      <c r="CX7" s="1154"/>
      <c r="CY7" s="1251"/>
      <c r="CZ7" s="1220">
        <f>CY7*CX7</f>
        <v>0</v>
      </c>
      <c r="DA7" s="1154"/>
      <c r="DB7" s="1251"/>
      <c r="DC7" s="1220">
        <f>DB7*DA7</f>
        <v>0</v>
      </c>
      <c r="DD7" s="1154"/>
      <c r="DE7" s="1240"/>
      <c r="DF7" s="1220">
        <f>DE7*DD7</f>
        <v>0</v>
      </c>
      <c r="DG7" s="1154"/>
      <c r="DH7" s="1240"/>
      <c r="DI7" s="1220">
        <f>DH7*DG7</f>
        <v>0</v>
      </c>
      <c r="DJ7" s="1154"/>
      <c r="DK7" s="1240"/>
      <c r="DL7" s="1220">
        <f>DK7*DJ7</f>
        <v>0</v>
      </c>
      <c r="DM7" s="1154"/>
      <c r="DN7" s="1240"/>
      <c r="DO7" s="1220">
        <f>DN7*DM7</f>
        <v>0</v>
      </c>
      <c r="DP7" s="1154"/>
      <c r="DQ7" s="1240"/>
      <c r="DR7" s="1220">
        <f>DQ7*DP7</f>
        <v>0</v>
      </c>
      <c r="DS7" s="1154"/>
      <c r="DT7" s="1240"/>
      <c r="DU7" s="1220">
        <f>DT7*DS7</f>
        <v>0</v>
      </c>
      <c r="DV7" s="1154"/>
      <c r="DW7" s="1240"/>
      <c r="DX7" s="1241">
        <f>DW7*DV7</f>
        <v>0</v>
      </c>
    </row>
    <row r="8" spans="1:130">
      <c r="A8" s="1149"/>
      <c r="B8" s="1302" t="s">
        <v>966</v>
      </c>
      <c r="C8" s="1155"/>
      <c r="D8" s="1195"/>
      <c r="E8" s="1194">
        <f>D8*C8</f>
        <v>0</v>
      </c>
      <c r="F8" s="1156"/>
      <c r="G8" s="1195"/>
      <c r="H8" s="1194">
        <f>G8*F8</f>
        <v>0</v>
      </c>
      <c r="I8" s="1156"/>
      <c r="J8" s="1217"/>
      <c r="K8" s="1220">
        <f>I8*J8</f>
        <v>0</v>
      </c>
      <c r="L8" s="1156"/>
      <c r="M8" s="1217"/>
      <c r="N8" s="1220">
        <f>M8*L8</f>
        <v>0</v>
      </c>
      <c r="O8" s="1156">
        <v>1</v>
      </c>
      <c r="P8" s="1217">
        <v>334.84</v>
      </c>
      <c r="Q8" s="1220">
        <f>P8*O8</f>
        <v>334.84</v>
      </c>
      <c r="R8" s="1156">
        <v>1</v>
      </c>
      <c r="S8" s="1217">
        <v>147.52000000000001</v>
      </c>
      <c r="T8" s="1228">
        <f>S8*R8</f>
        <v>147.52000000000001</v>
      </c>
      <c r="U8" s="1156">
        <v>1</v>
      </c>
      <c r="V8" s="1217">
        <v>334.84</v>
      </c>
      <c r="W8" s="1220">
        <f>V8*U8</f>
        <v>334.84</v>
      </c>
      <c r="X8" s="1156">
        <v>1</v>
      </c>
      <c r="Y8" s="1217">
        <v>147.52000000000001</v>
      </c>
      <c r="Z8" s="1220">
        <f>Y8*X8</f>
        <v>147.52000000000001</v>
      </c>
      <c r="AA8" s="1156">
        <v>1</v>
      </c>
      <c r="AB8" s="1195">
        <v>204.12</v>
      </c>
      <c r="AC8" s="1220">
        <f>AB8*AA8</f>
        <v>204.12</v>
      </c>
      <c r="AD8" s="1156">
        <v>1</v>
      </c>
      <c r="AE8" s="1195">
        <v>204.12</v>
      </c>
      <c r="AF8" s="1220">
        <f>AE8*AD8</f>
        <v>204.12</v>
      </c>
      <c r="AG8" s="1156">
        <v>1</v>
      </c>
      <c r="AH8" s="1195">
        <v>309.23</v>
      </c>
      <c r="AI8" s="1220">
        <f>AH8*AG8</f>
        <v>309.23</v>
      </c>
      <c r="AJ8" s="1156">
        <v>1</v>
      </c>
      <c r="AK8" s="1195">
        <v>309.23</v>
      </c>
      <c r="AL8" s="1220">
        <f>AK8*AJ8</f>
        <v>309.23</v>
      </c>
      <c r="AM8" s="1156"/>
      <c r="AN8" s="1195"/>
      <c r="AO8" s="1220">
        <f>AN8*AM8</f>
        <v>0</v>
      </c>
      <c r="AP8" s="1156"/>
      <c r="AQ8" s="1195"/>
      <c r="AR8" s="1220">
        <f>AQ8*AP8</f>
        <v>0</v>
      </c>
      <c r="AS8" s="1156">
        <v>1</v>
      </c>
      <c r="AT8" s="1195">
        <v>147.52000000000001</v>
      </c>
      <c r="AU8" s="1220">
        <f>AT8*AS8</f>
        <v>147.52000000000001</v>
      </c>
      <c r="AV8" s="1156">
        <v>1</v>
      </c>
      <c r="AW8" s="1195">
        <v>147.52000000000001</v>
      </c>
      <c r="AX8" s="1220">
        <f>AW8*AV8</f>
        <v>147.52000000000001</v>
      </c>
      <c r="AY8" s="1156"/>
      <c r="AZ8" s="1195"/>
      <c r="BA8" s="1220">
        <f>AZ8*AY8</f>
        <v>0</v>
      </c>
      <c r="BB8" s="1156"/>
      <c r="BC8" s="1195"/>
      <c r="BD8" s="1220">
        <f>BC8*BB8</f>
        <v>0</v>
      </c>
      <c r="BE8" s="1154">
        <f>1/5</f>
        <v>0.2</v>
      </c>
      <c r="BF8" s="1195">
        <v>204.12</v>
      </c>
      <c r="BG8" s="1220">
        <f>BF8*BE8</f>
        <v>40.824000000000005</v>
      </c>
      <c r="BH8" s="1154">
        <f>1/5</f>
        <v>0.2</v>
      </c>
      <c r="BI8" s="1195">
        <v>204.12</v>
      </c>
      <c r="BJ8" s="1220">
        <f>BI8*BH8</f>
        <v>40.824000000000005</v>
      </c>
      <c r="BK8" s="1156"/>
      <c r="BL8" s="1195"/>
      <c r="BM8" s="1220">
        <f>BL8*BK8</f>
        <v>0</v>
      </c>
      <c r="BN8" s="1156"/>
      <c r="BO8" s="1195"/>
      <c r="BP8" s="1220">
        <f>BO8*BN8</f>
        <v>0</v>
      </c>
      <c r="BQ8" s="1156"/>
      <c r="BR8" s="1195"/>
      <c r="BS8" s="1220">
        <f>BR8*BQ8</f>
        <v>0</v>
      </c>
      <c r="BT8" s="1156">
        <v>1</v>
      </c>
      <c r="BU8" s="1195">
        <v>147.52000000000001</v>
      </c>
      <c r="BV8" s="1220">
        <f>BU8*BT8</f>
        <v>147.52000000000001</v>
      </c>
      <c r="BW8" s="1156">
        <v>1</v>
      </c>
      <c r="BX8" s="1195">
        <v>147.52000000000001</v>
      </c>
      <c r="BY8" s="1220">
        <f>BX8*BW8</f>
        <v>147.52000000000001</v>
      </c>
      <c r="BZ8" s="1156">
        <v>1</v>
      </c>
      <c r="CA8" s="1195">
        <v>147.52000000000001</v>
      </c>
      <c r="CB8" s="1220">
        <f>CA8*BZ8</f>
        <v>147.52000000000001</v>
      </c>
      <c r="CC8" s="1156">
        <v>1</v>
      </c>
      <c r="CD8" s="1195">
        <v>147.52000000000001</v>
      </c>
      <c r="CE8" s="1220">
        <f>CD8*CC8</f>
        <v>147.52000000000001</v>
      </c>
      <c r="CF8" s="1154">
        <v>1</v>
      </c>
      <c r="CG8" s="1251"/>
      <c r="CH8" s="1220">
        <f>CG8*CF8</f>
        <v>0</v>
      </c>
      <c r="CI8" s="1154">
        <v>1</v>
      </c>
      <c r="CJ8" s="1251">
        <v>127.44</v>
      </c>
      <c r="CK8" s="1220">
        <f>CJ8*CI8</f>
        <v>127.44</v>
      </c>
      <c r="CL8" s="1154"/>
      <c r="CM8" s="1251"/>
      <c r="CN8" s="1220">
        <f>CM8*CL8</f>
        <v>0</v>
      </c>
      <c r="CO8" s="1154"/>
      <c r="CP8" s="1251"/>
      <c r="CQ8" s="1220">
        <f>CP8*CO8</f>
        <v>0</v>
      </c>
      <c r="CR8" s="1154"/>
      <c r="CS8" s="1251"/>
      <c r="CT8" s="1220">
        <f>CS8*CR8</f>
        <v>0</v>
      </c>
      <c r="CU8" s="1154"/>
      <c r="CV8" s="1251"/>
      <c r="CW8" s="1220">
        <f>CV8*CU8</f>
        <v>0</v>
      </c>
      <c r="CX8" s="1154"/>
      <c r="CY8" s="1251"/>
      <c r="CZ8" s="1220">
        <f>CY8*CX8</f>
        <v>0</v>
      </c>
      <c r="DA8" s="1154"/>
      <c r="DB8" s="1251"/>
      <c r="DC8" s="1220">
        <f>DB8*DA8</f>
        <v>0</v>
      </c>
      <c r="DD8" s="1154"/>
      <c r="DE8" s="1240"/>
      <c r="DF8" s="1220">
        <f>DE8*DD8</f>
        <v>0</v>
      </c>
      <c r="DG8" s="1154"/>
      <c r="DH8" s="1240"/>
      <c r="DI8" s="1220">
        <f>DH8*DG8</f>
        <v>0</v>
      </c>
      <c r="DJ8" s="1154"/>
      <c r="DK8" s="1240"/>
      <c r="DL8" s="1220">
        <f>DK8*DJ8</f>
        <v>0</v>
      </c>
      <c r="DM8" s="1154"/>
      <c r="DN8" s="1240"/>
      <c r="DO8" s="1220">
        <f>DN8*DM8</f>
        <v>0</v>
      </c>
      <c r="DP8" s="1154"/>
      <c r="DQ8" s="1240"/>
      <c r="DR8" s="1220">
        <f>DQ8*DP8</f>
        <v>0</v>
      </c>
      <c r="DS8" s="1154"/>
      <c r="DT8" s="1240"/>
      <c r="DU8" s="1220">
        <f>DT8*DS8</f>
        <v>0</v>
      </c>
      <c r="DV8" s="1154"/>
      <c r="DW8" s="1240"/>
      <c r="DX8" s="1241">
        <f>DW8*DV8</f>
        <v>0</v>
      </c>
    </row>
    <row r="9" spans="1:130">
      <c r="A9" s="1149"/>
      <c r="B9" s="1302" t="s">
        <v>326</v>
      </c>
      <c r="C9" s="1157">
        <v>4.2000000000000003E-2</v>
      </c>
      <c r="D9" s="1196">
        <f>(E5+E7)-E12</f>
        <v>3616.99</v>
      </c>
      <c r="E9" s="1194">
        <f>C9*D9</f>
        <v>151.91358</v>
      </c>
      <c r="F9" s="1157">
        <v>4.2000000000000003E-2</v>
      </c>
      <c r="G9" s="1196">
        <f>(H5+H7)-H12</f>
        <v>1506.85</v>
      </c>
      <c r="H9" s="1194">
        <f>G9*F9</f>
        <v>63.287700000000001</v>
      </c>
      <c r="I9" s="1157">
        <v>4.2000000000000003E-2</v>
      </c>
      <c r="J9" s="1196">
        <f>(K5+K7)-K12</f>
        <v>2646.8999999999996</v>
      </c>
      <c r="K9" s="1220">
        <f>I9*J9</f>
        <v>111.1698</v>
      </c>
      <c r="L9" s="1157">
        <v>4.2000000000000003E-2</v>
      </c>
      <c r="M9" s="1196">
        <f>(N5+N7)-N12</f>
        <v>964.39</v>
      </c>
      <c r="N9" s="1220">
        <f>M9*L9</f>
        <v>40.504380000000005</v>
      </c>
      <c r="O9" s="1157">
        <v>0.01</v>
      </c>
      <c r="P9" s="1196">
        <f>(Q5+Q7)-Q12</f>
        <v>1532</v>
      </c>
      <c r="Q9" s="1220">
        <f>P9*O9</f>
        <v>15.32</v>
      </c>
      <c r="R9" s="1157">
        <v>0.01</v>
      </c>
      <c r="S9" s="1196">
        <f>(T5+T7)-T12</f>
        <v>846.5</v>
      </c>
      <c r="T9" s="1228">
        <f>S9*R9</f>
        <v>8.4649999999999999</v>
      </c>
      <c r="U9" s="1157">
        <v>0.01</v>
      </c>
      <c r="V9" s="1196">
        <f>(W5+W7)-W12</f>
        <v>1560</v>
      </c>
      <c r="W9" s="1220">
        <f>V9*U9</f>
        <v>15.6</v>
      </c>
      <c r="X9" s="1157">
        <v>0.01</v>
      </c>
      <c r="Y9" s="1196">
        <f>(Z5+Z7)-Z12</f>
        <v>1130.5</v>
      </c>
      <c r="Z9" s="1220">
        <f>Y9*X9</f>
        <v>11.305</v>
      </c>
      <c r="AA9" s="1157">
        <v>0.01</v>
      </c>
      <c r="AB9" s="1196">
        <f>(AC5+AC7)-AC12</f>
        <v>985.5</v>
      </c>
      <c r="AC9" s="1220">
        <f>AB9*AA9</f>
        <v>9.8550000000000004</v>
      </c>
      <c r="AD9" s="1157">
        <v>0.01</v>
      </c>
      <c r="AE9" s="1196">
        <f>(AF5+AF7)-AF12</f>
        <v>601.75</v>
      </c>
      <c r="AF9" s="1220">
        <f>AE9*AD9</f>
        <v>6.0175000000000001</v>
      </c>
      <c r="AG9" s="1157">
        <v>0.01</v>
      </c>
      <c r="AH9" s="1196">
        <f>(AI5+AI7)-AI12</f>
        <v>547.75</v>
      </c>
      <c r="AI9" s="1220">
        <f>AH9*AG9</f>
        <v>5.4775</v>
      </c>
      <c r="AJ9" s="1157">
        <v>0.01</v>
      </c>
      <c r="AK9" s="1196">
        <f>(AL5+AL7)-AL12</f>
        <v>493.30000000000007</v>
      </c>
      <c r="AL9" s="1220">
        <f>AK9*AJ9</f>
        <v>4.9330000000000007</v>
      </c>
      <c r="AM9" s="1157">
        <v>4.2000000000000003E-2</v>
      </c>
      <c r="AN9" s="1196">
        <f>(AO5+AO7)-AO12</f>
        <v>2007.5</v>
      </c>
      <c r="AO9" s="1220">
        <f>AN9*AM9</f>
        <v>84.315000000000012</v>
      </c>
      <c r="AP9" s="1157">
        <v>4.2000000000000003E-2</v>
      </c>
      <c r="AQ9" s="1196">
        <f>(AR5+AR7)-AR12</f>
        <v>755</v>
      </c>
      <c r="AR9" s="1220">
        <f>AQ9*AP9</f>
        <v>31.71</v>
      </c>
      <c r="AS9" s="1157">
        <v>0.01</v>
      </c>
      <c r="AT9" s="1196">
        <f>(AU5+AU7)-AU12</f>
        <v>1195.5</v>
      </c>
      <c r="AU9" s="1220">
        <f>AT9*AS9</f>
        <v>11.955</v>
      </c>
      <c r="AV9" s="1157">
        <v>0.01</v>
      </c>
      <c r="AW9" s="1196">
        <f>(AX5+AX7)-AX12</f>
        <v>565.5</v>
      </c>
      <c r="AX9" s="1220">
        <f>AW9*AV9</f>
        <v>5.6550000000000002</v>
      </c>
      <c r="AY9" s="1158"/>
      <c r="AZ9" s="1196"/>
      <c r="BA9" s="1220">
        <f>AZ9*AY9</f>
        <v>0</v>
      </c>
      <c r="BB9" s="1158"/>
      <c r="BC9" s="1196"/>
      <c r="BD9" s="1220">
        <f>BC9*BB9</f>
        <v>0</v>
      </c>
      <c r="BE9" s="1157">
        <v>0.01</v>
      </c>
      <c r="BF9" s="1196">
        <f>(BG5+BG7)-BG12</f>
        <v>125.98800000000003</v>
      </c>
      <c r="BG9" s="1220">
        <f>BF9*BE9</f>
        <v>1.2598800000000003</v>
      </c>
      <c r="BH9" s="1157">
        <v>0.01</v>
      </c>
      <c r="BI9" s="1196">
        <f>(BJ5+BJ7)-BJ12</f>
        <v>27.288000000000011</v>
      </c>
      <c r="BJ9" s="1220">
        <f>BI9*BH9</f>
        <v>0.27288000000000012</v>
      </c>
      <c r="BK9" s="1157"/>
      <c r="BL9" s="1196"/>
      <c r="BM9" s="1220">
        <f>BL9*BK9</f>
        <v>0</v>
      </c>
      <c r="BN9" s="1157"/>
      <c r="BO9" s="1196"/>
      <c r="BP9" s="1220">
        <f>BO9*BN9</f>
        <v>0</v>
      </c>
      <c r="BQ9" s="1157"/>
      <c r="BR9" s="1196"/>
      <c r="BS9" s="1220">
        <f>BR9*BQ9</f>
        <v>0</v>
      </c>
      <c r="BT9" s="1157">
        <v>0.01</v>
      </c>
      <c r="BU9" s="1196">
        <f>(BV5+BV7)-BV12</f>
        <v>1150</v>
      </c>
      <c r="BV9" s="1220">
        <f>BU9*BT9</f>
        <v>11.5</v>
      </c>
      <c r="BW9" s="1157">
        <v>0.01</v>
      </c>
      <c r="BX9" s="1196">
        <f>(BY5+BY7)-BY12</f>
        <v>125</v>
      </c>
      <c r="BY9" s="1220">
        <f>BX9*BW9</f>
        <v>1.25</v>
      </c>
      <c r="BZ9" s="1157">
        <v>0.01</v>
      </c>
      <c r="CA9" s="1196">
        <f>(CB5+CB7)-CB12</f>
        <v>1115</v>
      </c>
      <c r="CB9" s="1220">
        <f>CA9*BZ9</f>
        <v>11.15</v>
      </c>
      <c r="CC9" s="1157">
        <v>0.01</v>
      </c>
      <c r="CD9" s="1196">
        <f>(CE5+CE7)-CE12</f>
        <v>90</v>
      </c>
      <c r="CE9" s="1220">
        <f>CD9*CC9</f>
        <v>0.9</v>
      </c>
      <c r="CF9" s="1157">
        <v>0.01</v>
      </c>
      <c r="CG9" s="1196">
        <f>(CH5+CH7)-CH12</f>
        <v>1724.8</v>
      </c>
      <c r="CH9" s="1220">
        <f>CG9*CF9</f>
        <v>17.248000000000001</v>
      </c>
      <c r="CI9" s="1157">
        <v>0.01</v>
      </c>
      <c r="CJ9" s="1196">
        <f>(CK5+CK7)-CK12</f>
        <v>582.44000000000005</v>
      </c>
      <c r="CK9" s="1220">
        <f>CJ9*CI9</f>
        <v>5.8244000000000007</v>
      </c>
      <c r="CL9" s="1157">
        <v>0.01</v>
      </c>
      <c r="CM9" s="1196">
        <f>(CN5+CN7)-CN12</f>
        <v>467.6</v>
      </c>
      <c r="CN9" s="1220">
        <f>CM9*CL9</f>
        <v>4.6760000000000002</v>
      </c>
      <c r="CO9" s="1157">
        <v>0.01</v>
      </c>
      <c r="CP9" s="1196">
        <f>(CQ5+CQ7)-CQ12</f>
        <v>274.82</v>
      </c>
      <c r="CQ9" s="1220">
        <f>CP9*CO9</f>
        <v>2.7482000000000002</v>
      </c>
      <c r="CR9" s="1157">
        <v>4.2000000000000003E-2</v>
      </c>
      <c r="CS9" s="1196">
        <f>(CT5+CT7)-CT12</f>
        <v>3710</v>
      </c>
      <c r="CT9" s="1220">
        <f>CS9*CR9</f>
        <v>155.82000000000002</v>
      </c>
      <c r="CU9" s="1157">
        <v>4.2000000000000003E-2</v>
      </c>
      <c r="CV9" s="1196">
        <f>(CW5+CW7)-CW12</f>
        <v>860</v>
      </c>
      <c r="CW9" s="1220">
        <f>CV9*CU9</f>
        <v>36.120000000000005</v>
      </c>
      <c r="CX9" s="1157">
        <v>4.2000000000000003E-2</v>
      </c>
      <c r="CY9" s="1196">
        <f>(CZ5+CZ7)-CZ12</f>
        <v>3772</v>
      </c>
      <c r="CZ9" s="1220">
        <f>CY9*CX9</f>
        <v>158.42400000000001</v>
      </c>
      <c r="DA9" s="1157">
        <v>4.2000000000000003E-2</v>
      </c>
      <c r="DB9" s="1196">
        <f>(DC5+DC7)-DC12</f>
        <v>1522</v>
      </c>
      <c r="DC9" s="1220">
        <f>DB9*DA9</f>
        <v>63.924000000000007</v>
      </c>
      <c r="DD9" s="1154"/>
      <c r="DE9" s="1242"/>
      <c r="DF9" s="1220">
        <f>DE9*DD9</f>
        <v>0</v>
      </c>
      <c r="DG9" s="1154"/>
      <c r="DH9" s="1242"/>
      <c r="DI9" s="1220">
        <f>DH9*DG9</f>
        <v>0</v>
      </c>
      <c r="DJ9" s="1154"/>
      <c r="DK9" s="1242"/>
      <c r="DL9" s="1220">
        <f>DK9*DJ9</f>
        <v>0</v>
      </c>
      <c r="DM9" s="1154"/>
      <c r="DN9" s="1242"/>
      <c r="DO9" s="1220">
        <f>DN9*DM9</f>
        <v>0</v>
      </c>
      <c r="DP9" s="1154"/>
      <c r="DQ9" s="1242"/>
      <c r="DR9" s="1220">
        <f>DQ9*DP9</f>
        <v>0</v>
      </c>
      <c r="DS9" s="1154"/>
      <c r="DT9" s="1242"/>
      <c r="DU9" s="1220">
        <f>DT9*DS9</f>
        <v>0</v>
      </c>
      <c r="DV9" s="1154"/>
      <c r="DW9" s="1242"/>
      <c r="DX9" s="1241">
        <f>DW9*DV9</f>
        <v>0</v>
      </c>
    </row>
    <row r="10" spans="1:130" ht="15" thickBot="1">
      <c r="A10" s="1150"/>
      <c r="B10" s="1303" t="s">
        <v>609</v>
      </c>
      <c r="C10" s="1159"/>
      <c r="D10" s="1197"/>
      <c r="E10" s="1198">
        <f>SUM(E5:E9)</f>
        <v>4031.9135799999999</v>
      </c>
      <c r="F10" s="1160"/>
      <c r="G10" s="1198"/>
      <c r="H10" s="1198">
        <f>SUM(H5:H9)</f>
        <v>1865.9077</v>
      </c>
      <c r="I10" s="1161"/>
      <c r="J10" s="1204"/>
      <c r="K10" s="1221">
        <f>SUM(K5:K9)</f>
        <v>3045.5697999999998</v>
      </c>
      <c r="L10" s="1161"/>
      <c r="M10" s="1204"/>
      <c r="N10" s="1221">
        <f>SUM(N5:N9)</f>
        <v>1236.5043800000001</v>
      </c>
      <c r="O10" s="1161"/>
      <c r="P10" s="1204"/>
      <c r="Q10" s="1221">
        <f>SUM(Q5:Q9)</f>
        <v>2190.1600000000003</v>
      </c>
      <c r="R10" s="1162"/>
      <c r="S10" s="1204"/>
      <c r="T10" s="1204">
        <f>SUM(T5:T9)</f>
        <v>1202.4849999999999</v>
      </c>
      <c r="U10" s="1161"/>
      <c r="V10" s="1230"/>
      <c r="W10" s="1204">
        <f>SUM(W5:W9)</f>
        <v>2190.44</v>
      </c>
      <c r="X10" s="1161"/>
      <c r="Y10" s="1204"/>
      <c r="Z10" s="1221">
        <f>SUM(Z5:Z9)</f>
        <v>1459.325</v>
      </c>
      <c r="AA10" s="1161"/>
      <c r="AB10" s="1230"/>
      <c r="AC10" s="1221">
        <f>SUM(AC5:AC9)</f>
        <v>1361.4749999999999</v>
      </c>
      <c r="AD10" s="1162"/>
      <c r="AE10" s="1230"/>
      <c r="AF10" s="1204">
        <f>SUM(AF5:AF9)</f>
        <v>946.73750000000007</v>
      </c>
      <c r="AG10" s="1162"/>
      <c r="AH10" s="1230"/>
      <c r="AI10" s="1204">
        <f>SUM(AI5:AI9)</f>
        <v>1206.7075</v>
      </c>
      <c r="AJ10" s="1162"/>
      <c r="AK10" s="1230"/>
      <c r="AL10" s="1204">
        <f>SUM(AL5:AL9)</f>
        <v>906.36300000000006</v>
      </c>
      <c r="AM10" s="1161"/>
      <c r="AN10" s="1230"/>
      <c r="AO10" s="1204">
        <f>SUM(AO5:AO9)</f>
        <v>2284.3150000000001</v>
      </c>
      <c r="AP10" s="1161"/>
      <c r="AQ10" s="1230"/>
      <c r="AR10" s="1204">
        <f>SUM(AR5:AR9)</f>
        <v>979.21</v>
      </c>
      <c r="AS10" s="1161"/>
      <c r="AT10" s="1230"/>
      <c r="AU10" s="1204">
        <f>SUM(AU5:AU9)</f>
        <v>1546.9749999999999</v>
      </c>
      <c r="AV10" s="1161"/>
      <c r="AW10" s="1204"/>
      <c r="AX10" s="1204">
        <f>SUM(AX5:AX9)</f>
        <v>910.67499999999995</v>
      </c>
      <c r="AY10" s="1161"/>
      <c r="AZ10" s="1230"/>
      <c r="BA10" s="1204">
        <f>SUM(BA5:BA9)</f>
        <v>428.62400000000002</v>
      </c>
      <c r="BB10" s="1161"/>
      <c r="BC10" s="1230"/>
      <c r="BD10" s="1204">
        <f>SUM(BD5:BD9)</f>
        <v>428.62400000000002</v>
      </c>
      <c r="BE10" s="1162"/>
      <c r="BF10" s="1204"/>
      <c r="BG10" s="1260">
        <f>SUM(BG5:BG9)</f>
        <v>804.10387999999989</v>
      </c>
      <c r="BH10" s="1162"/>
      <c r="BI10" s="1230"/>
      <c r="BJ10" s="1260">
        <f>SUM(BJ5:BJ9)</f>
        <v>704.41687999999988</v>
      </c>
      <c r="BK10" s="1162"/>
      <c r="BL10" s="1230"/>
      <c r="BM10" s="1265">
        <f>SUM(BM5:BM9)</f>
        <v>1925</v>
      </c>
      <c r="BN10" s="1162"/>
      <c r="BO10" s="1230"/>
      <c r="BP10" s="1260">
        <f>SUM(BP5:BP9)</f>
        <v>1925</v>
      </c>
      <c r="BQ10" s="1162"/>
      <c r="BR10" s="1204"/>
      <c r="BS10" s="1253">
        <f>SUM(BS5:BS9)</f>
        <v>283.89999999999998</v>
      </c>
      <c r="BT10" s="1162"/>
      <c r="BU10" s="1230"/>
      <c r="BV10" s="1204">
        <f>SUM(BV5:BV9)</f>
        <v>1659.02</v>
      </c>
      <c r="BW10" s="1162"/>
      <c r="BX10" s="1230"/>
      <c r="BY10" s="1204">
        <f>SUM(BY5:BY9)</f>
        <v>623.77</v>
      </c>
      <c r="BZ10" s="1162"/>
      <c r="CA10" s="1230"/>
      <c r="CB10" s="1204">
        <f>SUM(CB5:CB9)</f>
        <v>1658.67</v>
      </c>
      <c r="CC10" s="1162"/>
      <c r="CD10" s="1230"/>
      <c r="CE10" s="1204">
        <f>SUM(CE5:CE9)</f>
        <v>623.41999999999996</v>
      </c>
      <c r="CF10" s="1162"/>
      <c r="CG10" s="1230"/>
      <c r="CH10" s="1204">
        <f>SUM(CH5:CH9)</f>
        <v>1805.248</v>
      </c>
      <c r="CI10" s="1162"/>
      <c r="CJ10" s="1230"/>
      <c r="CK10" s="1204">
        <f>SUM(CK5:CK9)</f>
        <v>894.71440000000007</v>
      </c>
      <c r="CL10" s="1162"/>
      <c r="CM10" s="1230"/>
      <c r="CN10" s="1204">
        <f>SUM(CN5:CN9)</f>
        <v>603.17600000000004</v>
      </c>
      <c r="CO10" s="1162"/>
      <c r="CP10" s="1230"/>
      <c r="CQ10" s="1204">
        <f>SUM(CQ5:CQ9)</f>
        <v>380.7482</v>
      </c>
      <c r="CR10" s="1162"/>
      <c r="CS10" s="1230"/>
      <c r="CT10" s="1204">
        <f>SUM(CT5:CT9)</f>
        <v>4105.82</v>
      </c>
      <c r="CU10" s="1162"/>
      <c r="CV10" s="1230"/>
      <c r="CW10" s="1204">
        <f>SUM(CW5:CW9)</f>
        <v>1136.1199999999999</v>
      </c>
      <c r="CX10" s="1162"/>
      <c r="CY10" s="1230"/>
      <c r="CZ10" s="1204">
        <f>SUM(CZ5:CZ9)</f>
        <v>4158.424</v>
      </c>
      <c r="DA10" s="1162"/>
      <c r="DB10" s="1230"/>
      <c r="DC10" s="1204">
        <f>SUM(DC5:DC9)</f>
        <v>1813.924</v>
      </c>
      <c r="DD10" s="1162"/>
      <c r="DE10" s="1204"/>
      <c r="DF10" s="1204">
        <f>SUM(DF5:DF9)</f>
        <v>0</v>
      </c>
      <c r="DG10" s="1162"/>
      <c r="DH10" s="1204"/>
      <c r="DI10" s="1204">
        <f>SUM(DI5:DI9)</f>
        <v>0</v>
      </c>
      <c r="DJ10" s="1162"/>
      <c r="DK10" s="1204"/>
      <c r="DL10" s="1204">
        <f>SUM(DL5:DL9)</f>
        <v>0</v>
      </c>
      <c r="DM10" s="1162"/>
      <c r="DN10" s="1204"/>
      <c r="DO10" s="1204">
        <f>SUM(DO5:DO9)</f>
        <v>0</v>
      </c>
      <c r="DP10" s="1162"/>
      <c r="DQ10" s="1204"/>
      <c r="DR10" s="1204">
        <f>SUM(DR5:DR9)</f>
        <v>0</v>
      </c>
      <c r="DS10" s="1162"/>
      <c r="DT10" s="1204"/>
      <c r="DU10" s="1204">
        <f>SUM(DU5:DU9)</f>
        <v>0</v>
      </c>
      <c r="DV10" s="1162"/>
      <c r="DW10" s="1204"/>
      <c r="DX10" s="1243">
        <f>SUM(DX5:DX9)</f>
        <v>0</v>
      </c>
    </row>
    <row r="11" spans="1:130" s="1300" customFormat="1" ht="15" thickTop="1">
      <c r="A11" s="1299"/>
      <c r="B11" s="1304" t="s">
        <v>146</v>
      </c>
      <c r="C11" s="1173" t="s">
        <v>143</v>
      </c>
      <c r="D11" s="1202" t="s">
        <v>144</v>
      </c>
      <c r="E11" s="1203" t="s">
        <v>145</v>
      </c>
      <c r="F11" s="1174" t="s">
        <v>143</v>
      </c>
      <c r="G11" s="1216" t="s">
        <v>144</v>
      </c>
      <c r="H11" s="1203" t="s">
        <v>145</v>
      </c>
      <c r="I11" s="1174" t="s">
        <v>143</v>
      </c>
      <c r="J11" s="1216" t="s">
        <v>144</v>
      </c>
      <c r="K11" s="1203" t="s">
        <v>145</v>
      </c>
      <c r="L11" s="1174" t="s">
        <v>143</v>
      </c>
      <c r="M11" s="1216" t="s">
        <v>144</v>
      </c>
      <c r="N11" s="1203" t="s">
        <v>145</v>
      </c>
      <c r="O11" s="1174"/>
      <c r="P11" s="1216"/>
      <c r="Q11" s="1227"/>
      <c r="R11" s="1174"/>
      <c r="S11" s="1216"/>
      <c r="T11" s="1216"/>
      <c r="U11" s="1174" t="s">
        <v>143</v>
      </c>
      <c r="V11" s="1232" t="s">
        <v>144</v>
      </c>
      <c r="W11" s="1233" t="s">
        <v>145</v>
      </c>
      <c r="X11" s="1174"/>
      <c r="Y11" s="1216"/>
      <c r="Z11" s="1227"/>
      <c r="AA11" s="1174"/>
      <c r="AB11" s="1232"/>
      <c r="AC11" s="1227"/>
      <c r="AD11" s="1174"/>
      <c r="AE11" s="1232"/>
      <c r="AF11" s="1216"/>
      <c r="AG11" s="1174"/>
      <c r="AH11" s="1232"/>
      <c r="AI11" s="1216"/>
      <c r="AJ11" s="1174"/>
      <c r="AK11" s="1232"/>
      <c r="AL11" s="1216"/>
      <c r="AM11" s="1174"/>
      <c r="AN11" s="1232"/>
      <c r="AO11" s="1216"/>
      <c r="AP11" s="1174"/>
      <c r="AQ11" s="1232"/>
      <c r="AR11" s="1216"/>
      <c r="AS11" s="1174" t="s">
        <v>143</v>
      </c>
      <c r="AT11" s="1232" t="s">
        <v>144</v>
      </c>
      <c r="AU11" s="1216"/>
      <c r="AV11" s="1174" t="s">
        <v>143</v>
      </c>
      <c r="AW11" s="1216" t="s">
        <v>144</v>
      </c>
      <c r="AX11" s="1216"/>
      <c r="AY11" s="1174"/>
      <c r="AZ11" s="1232"/>
      <c r="BA11" s="1216"/>
      <c r="BB11" s="1174"/>
      <c r="BC11" s="1232"/>
      <c r="BD11" s="1216"/>
      <c r="BE11" s="1174"/>
      <c r="BF11" s="1216"/>
      <c r="BG11" s="1203"/>
      <c r="BH11" s="1174"/>
      <c r="BI11" s="1232"/>
      <c r="BJ11" s="1203"/>
      <c r="BK11" s="1174"/>
      <c r="BL11" s="1232"/>
      <c r="BM11" s="1203"/>
      <c r="BN11" s="1174"/>
      <c r="BO11" s="1232"/>
      <c r="BP11" s="1203"/>
      <c r="BQ11" s="1174"/>
      <c r="BR11" s="1216"/>
      <c r="BS11" s="1255"/>
      <c r="BT11" s="1174"/>
      <c r="BU11" s="1232"/>
      <c r="BV11" s="1216"/>
      <c r="BW11" s="1174"/>
      <c r="BX11" s="1232"/>
      <c r="BY11" s="1216"/>
      <c r="BZ11" s="1174"/>
      <c r="CA11" s="1232"/>
      <c r="CB11" s="1216"/>
      <c r="CC11" s="1174"/>
      <c r="CD11" s="1232"/>
      <c r="CE11" s="1216"/>
      <c r="CF11" s="1174"/>
      <c r="CG11" s="1232"/>
      <c r="CH11" s="1216"/>
      <c r="CI11" s="1174"/>
      <c r="CJ11" s="1232"/>
      <c r="CK11" s="1216"/>
      <c r="CL11" s="1174"/>
      <c r="CM11" s="1232"/>
      <c r="CN11" s="1216"/>
      <c r="CO11" s="1174"/>
      <c r="CP11" s="1232"/>
      <c r="CQ11" s="1216"/>
      <c r="CR11" s="1174"/>
      <c r="CS11" s="1232"/>
      <c r="CT11" s="1216"/>
      <c r="CU11" s="1174"/>
      <c r="CV11" s="1232"/>
      <c r="CW11" s="1216"/>
      <c r="CX11" s="1174"/>
      <c r="CY11" s="1232"/>
      <c r="CZ11" s="1216"/>
      <c r="DA11" s="1174"/>
      <c r="DB11" s="1232"/>
      <c r="DC11" s="1216"/>
      <c r="DD11" s="1174"/>
      <c r="DE11" s="1216"/>
      <c r="DF11" s="1216"/>
      <c r="DG11" s="1174"/>
      <c r="DH11" s="1216"/>
      <c r="DI11" s="1216"/>
      <c r="DJ11" s="1174"/>
      <c r="DK11" s="1216"/>
      <c r="DL11" s="1216"/>
      <c r="DM11" s="1174"/>
      <c r="DN11" s="1216"/>
      <c r="DO11" s="1216"/>
      <c r="DP11" s="1174"/>
      <c r="DQ11" s="1216"/>
      <c r="DR11" s="1216"/>
      <c r="DS11" s="1174"/>
      <c r="DT11" s="1216"/>
      <c r="DU11" s="1216"/>
      <c r="DV11" s="1174"/>
      <c r="DW11" s="1216"/>
      <c r="DX11" s="1246"/>
    </row>
    <row r="12" spans="1:130">
      <c r="B12" s="1305" t="s">
        <v>147</v>
      </c>
      <c r="C12" s="1153">
        <v>1.1000000000000001</v>
      </c>
      <c r="D12" s="1193">
        <v>239.1</v>
      </c>
      <c r="E12" s="1199">
        <f t="shared" ref="E12:E17" si="3">D12*C12</f>
        <v>263.01</v>
      </c>
      <c r="F12" s="1154">
        <v>1</v>
      </c>
      <c r="G12" s="1193">
        <v>295.77</v>
      </c>
      <c r="H12" s="1199">
        <f t="shared" ref="H12:H18" si="4">G12*F12</f>
        <v>295.77</v>
      </c>
      <c r="I12" s="1154">
        <v>125</v>
      </c>
      <c r="J12" s="1193">
        <v>2.2999999999999998</v>
      </c>
      <c r="K12" s="1222">
        <f t="shared" ref="K12:K18" si="5">J12*I12</f>
        <v>287.5</v>
      </c>
      <c r="L12" s="1154">
        <v>437</v>
      </c>
      <c r="M12" s="1219">
        <v>0.53</v>
      </c>
      <c r="N12" s="1222">
        <f t="shared" ref="N12:N18" si="6">M12*L12</f>
        <v>231.61</v>
      </c>
      <c r="O12" s="1154">
        <v>220</v>
      </c>
      <c r="P12" s="1219">
        <v>1.4</v>
      </c>
      <c r="Q12" s="1222">
        <f t="shared" ref="Q12:Q18" si="7">P12*O12</f>
        <v>308</v>
      </c>
      <c r="R12" s="1154">
        <v>200</v>
      </c>
      <c r="S12" s="1219">
        <v>1</v>
      </c>
      <c r="T12" s="1222">
        <f t="shared" ref="T12:T18" si="8">S12*R12</f>
        <v>200</v>
      </c>
      <c r="U12" s="1154">
        <v>200</v>
      </c>
      <c r="V12" s="1219">
        <v>1.4</v>
      </c>
      <c r="W12" s="1222">
        <f t="shared" ref="W12:W18" si="9">V12*U12</f>
        <v>280</v>
      </c>
      <c r="X12" s="1154">
        <v>170</v>
      </c>
      <c r="Y12" s="1219">
        <v>1</v>
      </c>
      <c r="Z12" s="1222">
        <f t="shared" ref="Z12:Z18" si="10">Y12*X12</f>
        <v>170</v>
      </c>
      <c r="AA12" s="1154">
        <v>150</v>
      </c>
      <c r="AB12" s="1193">
        <v>1.08</v>
      </c>
      <c r="AC12" s="1222">
        <f t="shared" ref="AC12:AC18" si="11">AB12*AA12</f>
        <v>162</v>
      </c>
      <c r="AD12" s="1154">
        <v>155</v>
      </c>
      <c r="AE12" s="1193">
        <v>0.87</v>
      </c>
      <c r="AF12" s="1222">
        <f t="shared" ref="AF12:AF18" si="12">AE12*AD12</f>
        <v>134.85</v>
      </c>
      <c r="AG12" s="1154">
        <v>225</v>
      </c>
      <c r="AH12" s="1193">
        <v>1.53</v>
      </c>
      <c r="AI12" s="1222">
        <f t="shared" ref="AI12:AI18" si="13">AH12*AG12</f>
        <v>344.25</v>
      </c>
      <c r="AJ12" s="1154">
        <v>115</v>
      </c>
      <c r="AK12" s="1193">
        <v>0.86</v>
      </c>
      <c r="AL12" s="1222">
        <f t="shared" ref="AL12:AL18" si="14">AK12*AJ12</f>
        <v>98.899999999999991</v>
      </c>
      <c r="AM12" s="1154">
        <v>175</v>
      </c>
      <c r="AN12" s="1193">
        <v>1.1000000000000001</v>
      </c>
      <c r="AO12" s="1222">
        <f t="shared" ref="AO12:AO18" si="15">AN12*AM12</f>
        <v>192.50000000000003</v>
      </c>
      <c r="AP12" s="1154">
        <v>175</v>
      </c>
      <c r="AQ12" s="1193">
        <v>1.1000000000000001</v>
      </c>
      <c r="AR12" s="1222">
        <f t="shared" ref="AR12:AR18" si="16">AQ12*AP12</f>
        <v>192.50000000000003</v>
      </c>
      <c r="AS12" s="1154">
        <v>150</v>
      </c>
      <c r="AT12" s="1193">
        <v>1.28</v>
      </c>
      <c r="AU12" s="1222">
        <f t="shared" ref="AU12:AU18" si="17">AT12*AS12</f>
        <v>192</v>
      </c>
      <c r="AV12" s="1154">
        <v>150</v>
      </c>
      <c r="AW12" s="1193">
        <v>1.28</v>
      </c>
      <c r="AX12" s="1222">
        <f t="shared" ref="AX12:AX18" si="18">AW12*AV12</f>
        <v>192</v>
      </c>
      <c r="AY12" s="1154">
        <f>1/5</f>
        <v>0.2</v>
      </c>
      <c r="AZ12" s="1193">
        <f>(80*21.4/25)+(7*159/25)+(2*296/25)</f>
        <v>136.68</v>
      </c>
      <c r="BA12" s="1222">
        <f t="shared" ref="BA12:BA18" si="19">AZ12*AY12</f>
        <v>27.336000000000002</v>
      </c>
      <c r="BB12" s="1154">
        <f>1/5</f>
        <v>0.2</v>
      </c>
      <c r="BC12" s="1193">
        <f>(80*21.4/25)+(7*159/25)+(2*296/25)</f>
        <v>136.68</v>
      </c>
      <c r="BD12" s="1222">
        <f t="shared" ref="BD12:BD18" si="20">BC12*BB12</f>
        <v>27.336000000000002</v>
      </c>
      <c r="BE12" s="1154">
        <f>1/5</f>
        <v>0.2</v>
      </c>
      <c r="BF12" s="1193">
        <f>((100*0.87)+(364/25*9)+(159/25*7))</f>
        <v>262.56</v>
      </c>
      <c r="BG12" s="1222">
        <f t="shared" ref="BG12:BG18" si="21">BF12*BE12</f>
        <v>52.512</v>
      </c>
      <c r="BH12" s="1154">
        <f>1/5</f>
        <v>0.2</v>
      </c>
      <c r="BI12" s="1193">
        <f>((100*0.87)+(364/25*9)+(159/25*7))</f>
        <v>262.56</v>
      </c>
      <c r="BJ12" s="1222">
        <f t="shared" ref="BJ12:BJ18" si="22">BI12*BH12</f>
        <v>52.512</v>
      </c>
      <c r="BK12" s="1154">
        <v>1</v>
      </c>
      <c r="BL12" s="1193">
        <v>279</v>
      </c>
      <c r="BM12" s="1222">
        <f t="shared" ref="BM12:BM18" si="23">BL12*BK12</f>
        <v>279</v>
      </c>
      <c r="BN12" s="1154">
        <v>1</v>
      </c>
      <c r="BO12" s="1193">
        <v>279</v>
      </c>
      <c r="BP12" s="1222">
        <f t="shared" ref="BP12:BP18" si="24">BO12*BN12</f>
        <v>279</v>
      </c>
      <c r="BQ12" s="1154"/>
      <c r="BR12" s="1219"/>
      <c r="BS12" s="1222">
        <f t="shared" ref="BS12:BS18" si="25">BR12*BQ12</f>
        <v>0</v>
      </c>
      <c r="BT12" s="1154">
        <v>200</v>
      </c>
      <c r="BU12" s="1193">
        <v>1.75</v>
      </c>
      <c r="BV12" s="1222">
        <f t="shared" ref="BV12:BV18" si="26">BU12*BT12</f>
        <v>350</v>
      </c>
      <c r="BW12" s="1154">
        <v>200</v>
      </c>
      <c r="BX12" s="1193">
        <v>1.75</v>
      </c>
      <c r="BY12" s="1222">
        <f t="shared" ref="BY12:BY18" si="27">BX12*BW12</f>
        <v>350</v>
      </c>
      <c r="BZ12" s="1154">
        <v>220</v>
      </c>
      <c r="CA12" s="1193">
        <v>1.75</v>
      </c>
      <c r="CB12" s="1222">
        <f t="shared" ref="CB12:CB18" si="28">CA12*BZ12</f>
        <v>385</v>
      </c>
      <c r="CC12" s="1154">
        <v>220</v>
      </c>
      <c r="CD12" s="1193">
        <v>1.75</v>
      </c>
      <c r="CE12" s="1222">
        <f t="shared" ref="CE12:CE18" si="29">CD12*CC12</f>
        <v>385</v>
      </c>
      <c r="CF12" s="1154">
        <v>8</v>
      </c>
      <c r="CG12" s="1193">
        <v>7.9</v>
      </c>
      <c r="CH12" s="1222">
        <f t="shared" ref="CH12:CH18" si="30">CG12*CF12</f>
        <v>63.2</v>
      </c>
      <c r="CI12" s="1154">
        <v>6.5</v>
      </c>
      <c r="CJ12" s="1193">
        <v>27.54</v>
      </c>
      <c r="CK12" s="1222">
        <f t="shared" ref="CK12:CK18" si="31">CJ12*CI12</f>
        <v>179.01</v>
      </c>
      <c r="CL12" s="1154">
        <v>55</v>
      </c>
      <c r="CM12" s="1193">
        <v>2.38</v>
      </c>
      <c r="CN12" s="1222">
        <f t="shared" ref="CN12:CN18" si="32">CM12*CL12</f>
        <v>130.9</v>
      </c>
      <c r="CO12" s="1154">
        <v>55</v>
      </c>
      <c r="CP12" s="1193">
        <f>46.9/25</f>
        <v>1.8759999999999999</v>
      </c>
      <c r="CQ12" s="1222">
        <f t="shared" ref="CQ12:CQ18" si="33">CP12*CO12</f>
        <v>103.17999999999999</v>
      </c>
      <c r="CR12" s="1154">
        <v>40</v>
      </c>
      <c r="CS12" s="1193">
        <v>6</v>
      </c>
      <c r="CT12" s="1222">
        <f t="shared" ref="CT12:CT18" si="34">CS12*CR12</f>
        <v>240</v>
      </c>
      <c r="CU12" s="1154">
        <v>40</v>
      </c>
      <c r="CV12" s="1193">
        <v>6</v>
      </c>
      <c r="CW12" s="1222">
        <f t="shared" ref="CW12:CW18" si="35">CV12*CU12</f>
        <v>240</v>
      </c>
      <c r="CX12" s="1154">
        <v>150</v>
      </c>
      <c r="CY12" s="1193">
        <v>1.52</v>
      </c>
      <c r="CZ12" s="1222">
        <f t="shared" ref="CZ12:CZ18" si="36">CY12*CX12</f>
        <v>228</v>
      </c>
      <c r="DA12" s="1154">
        <v>150</v>
      </c>
      <c r="DB12" s="1193">
        <v>1.52</v>
      </c>
      <c r="DC12" s="1222">
        <f t="shared" ref="DC12:DC18" si="37">DB12*DA12</f>
        <v>228</v>
      </c>
      <c r="DD12" s="1154"/>
      <c r="DE12" s="1219"/>
      <c r="DF12" s="1222">
        <f t="shared" ref="DF12:DF18" si="38">DE12*DD12</f>
        <v>0</v>
      </c>
      <c r="DG12" s="1154"/>
      <c r="DH12" s="1219"/>
      <c r="DI12" s="1222">
        <f t="shared" ref="DI12:DI18" si="39">DH12*DG12</f>
        <v>0</v>
      </c>
      <c r="DJ12" s="1154"/>
      <c r="DK12" s="1219"/>
      <c r="DL12" s="1222">
        <f t="shared" ref="DL12:DL18" si="40">DK12*DJ12</f>
        <v>0</v>
      </c>
      <c r="DM12" s="1154"/>
      <c r="DN12" s="1219"/>
      <c r="DO12" s="1222">
        <f>DN12*DM12</f>
        <v>0</v>
      </c>
      <c r="DP12" s="1154"/>
      <c r="DQ12" s="1219"/>
      <c r="DR12" s="1222">
        <f t="shared" ref="DR12:DR18" si="41">DQ12*DP12</f>
        <v>0</v>
      </c>
      <c r="DS12" s="1154"/>
      <c r="DT12" s="1219"/>
      <c r="DU12" s="1222">
        <f t="shared" ref="DU12:DU18" si="42">DT12*DS12</f>
        <v>0</v>
      </c>
      <c r="DV12" s="1154"/>
      <c r="DW12" s="1219"/>
      <c r="DX12" s="1244">
        <f t="shared" ref="DX12:DX18" si="43">DW12*DV12</f>
        <v>0</v>
      </c>
    </row>
    <row r="13" spans="1:130">
      <c r="B13" s="1305" t="s">
        <v>1249</v>
      </c>
      <c r="C13" s="1155"/>
      <c r="D13" s="1195"/>
      <c r="E13" s="1199">
        <f t="shared" si="3"/>
        <v>0</v>
      </c>
      <c r="F13" s="1156">
        <v>1</v>
      </c>
      <c r="G13" s="1195">
        <v>423.45</v>
      </c>
      <c r="H13" s="1199">
        <f t="shared" si="4"/>
        <v>423.45</v>
      </c>
      <c r="I13" s="1156"/>
      <c r="J13" s="1195"/>
      <c r="K13" s="1222">
        <f t="shared" si="5"/>
        <v>0</v>
      </c>
      <c r="L13" s="1156">
        <v>130</v>
      </c>
      <c r="M13" s="1217">
        <v>0.7</v>
      </c>
      <c r="N13" s="1222">
        <f t="shared" si="6"/>
        <v>91</v>
      </c>
      <c r="O13" s="1156"/>
      <c r="P13" s="1217"/>
      <c r="Q13" s="1222">
        <f t="shared" si="7"/>
        <v>0</v>
      </c>
      <c r="R13" s="1156">
        <v>464</v>
      </c>
      <c r="S13" s="1217">
        <v>0.72</v>
      </c>
      <c r="T13" s="1222">
        <f t="shared" si="8"/>
        <v>334.08</v>
      </c>
      <c r="U13" s="1156"/>
      <c r="V13" s="1217"/>
      <c r="W13" s="1222">
        <f t="shared" si="9"/>
        <v>0</v>
      </c>
      <c r="X13" s="1156">
        <v>464</v>
      </c>
      <c r="Y13" s="1217">
        <v>0.72</v>
      </c>
      <c r="Z13" s="1222">
        <f t="shared" si="10"/>
        <v>334.08</v>
      </c>
      <c r="AA13" s="1156"/>
      <c r="AB13" s="1195"/>
      <c r="AC13" s="1222">
        <f t="shared" si="11"/>
        <v>0</v>
      </c>
      <c r="AD13" s="1156">
        <v>320</v>
      </c>
      <c r="AE13" s="1195">
        <v>0.74</v>
      </c>
      <c r="AF13" s="1222">
        <f t="shared" si="12"/>
        <v>236.8</v>
      </c>
      <c r="AG13" s="1156"/>
      <c r="AH13" s="1195"/>
      <c r="AI13" s="1222">
        <f t="shared" si="13"/>
        <v>0</v>
      </c>
      <c r="AJ13" s="1156">
        <v>194</v>
      </c>
      <c r="AK13" s="1195">
        <v>0.76</v>
      </c>
      <c r="AL13" s="1222">
        <f t="shared" si="14"/>
        <v>147.44</v>
      </c>
      <c r="AM13" s="1156"/>
      <c r="AN13" s="1195"/>
      <c r="AO13" s="1222">
        <f t="shared" si="15"/>
        <v>0</v>
      </c>
      <c r="AP13" s="1156"/>
      <c r="AQ13" s="1195"/>
      <c r="AR13" s="1222">
        <f t="shared" si="16"/>
        <v>0</v>
      </c>
      <c r="AS13" s="1156"/>
      <c r="AT13" s="1195"/>
      <c r="AU13" s="1222">
        <f t="shared" si="17"/>
        <v>0</v>
      </c>
      <c r="AV13" s="1156">
        <v>320</v>
      </c>
      <c r="AW13" s="1195">
        <v>0.74</v>
      </c>
      <c r="AX13" s="1222">
        <f t="shared" si="18"/>
        <v>236.8</v>
      </c>
      <c r="AY13" s="1156"/>
      <c r="AZ13" s="1195"/>
      <c r="BA13" s="1222">
        <f t="shared" si="19"/>
        <v>0</v>
      </c>
      <c r="BB13" s="1156">
        <f>(0.35+0.25+0.25+0.2+0.21)/5</f>
        <v>0.252</v>
      </c>
      <c r="BC13" s="1195">
        <f>(725+644.2+658.6+748+748)/5</f>
        <v>704.76</v>
      </c>
      <c r="BD13" s="1222">
        <f t="shared" si="20"/>
        <v>177.59952000000001</v>
      </c>
      <c r="BE13" s="1156"/>
      <c r="BF13" s="1195"/>
      <c r="BG13" s="1222">
        <f t="shared" si="21"/>
        <v>0</v>
      </c>
      <c r="BH13" s="1156">
        <f>(0.31+0.36+0.36+0.37+0.35)/5</f>
        <v>0.35</v>
      </c>
      <c r="BI13" s="1195">
        <f>(764+735+713.17+699.97+715)/5</f>
        <v>725.42800000000011</v>
      </c>
      <c r="BJ13" s="1222">
        <f t="shared" si="22"/>
        <v>253.89980000000003</v>
      </c>
      <c r="BK13" s="1156"/>
      <c r="BL13" s="1195"/>
      <c r="BM13" s="1222">
        <f t="shared" si="23"/>
        <v>0</v>
      </c>
      <c r="BN13" s="1156">
        <v>176</v>
      </c>
      <c r="BO13" s="1195">
        <v>0.72199999999999998</v>
      </c>
      <c r="BP13" s="1222">
        <f t="shared" si="24"/>
        <v>127.072</v>
      </c>
      <c r="BQ13" s="1154"/>
      <c r="BR13" s="1219"/>
      <c r="BS13" s="1222">
        <f t="shared" si="25"/>
        <v>0</v>
      </c>
      <c r="BT13" s="1156"/>
      <c r="BU13" s="1195"/>
      <c r="BV13" s="1222">
        <f t="shared" si="26"/>
        <v>0</v>
      </c>
      <c r="BW13" s="1156"/>
      <c r="BX13" s="1195"/>
      <c r="BY13" s="1222">
        <f t="shared" si="27"/>
        <v>0</v>
      </c>
      <c r="BZ13" s="1156"/>
      <c r="CA13" s="1195"/>
      <c r="CB13" s="1222">
        <f t="shared" si="28"/>
        <v>0</v>
      </c>
      <c r="CC13" s="1156"/>
      <c r="CD13" s="1195"/>
      <c r="CE13" s="1222">
        <f t="shared" si="29"/>
        <v>0</v>
      </c>
      <c r="CF13" s="1154"/>
      <c r="CG13" s="1195"/>
      <c r="CH13" s="1222">
        <f t="shared" si="30"/>
        <v>0</v>
      </c>
      <c r="CI13" s="1154">
        <v>2</v>
      </c>
      <c r="CJ13" s="1195">
        <v>151</v>
      </c>
      <c r="CK13" s="1222">
        <f t="shared" si="31"/>
        <v>302</v>
      </c>
      <c r="CL13" s="1156"/>
      <c r="CM13" s="1195"/>
      <c r="CN13" s="1222">
        <f t="shared" si="32"/>
        <v>0</v>
      </c>
      <c r="CO13" s="1156">
        <v>150</v>
      </c>
      <c r="CP13" s="1195">
        <v>0.78</v>
      </c>
      <c r="CQ13" s="1222">
        <f t="shared" si="33"/>
        <v>117</v>
      </c>
      <c r="CR13" s="1156"/>
      <c r="CS13" s="1195"/>
      <c r="CT13" s="1222">
        <f t="shared" si="34"/>
        <v>0</v>
      </c>
      <c r="CU13" s="1156">
        <v>464</v>
      </c>
      <c r="CV13" s="1195">
        <v>0.72</v>
      </c>
      <c r="CW13" s="1222">
        <f t="shared" si="35"/>
        <v>334.08</v>
      </c>
      <c r="CX13" s="1156"/>
      <c r="CY13" s="1195"/>
      <c r="CZ13" s="1222">
        <f t="shared" si="36"/>
        <v>0</v>
      </c>
      <c r="DA13" s="1156">
        <v>0.33</v>
      </c>
      <c r="DB13" s="1195">
        <v>737.06</v>
      </c>
      <c r="DC13" s="1222">
        <f t="shared" si="37"/>
        <v>243.22979999999998</v>
      </c>
      <c r="DD13" s="1156"/>
      <c r="DE13" s="1217"/>
      <c r="DF13" s="1222">
        <f t="shared" si="38"/>
        <v>0</v>
      </c>
      <c r="DG13" s="1156"/>
      <c r="DH13" s="1217"/>
      <c r="DI13" s="1222">
        <f t="shared" si="39"/>
        <v>0</v>
      </c>
      <c r="DJ13" s="1156"/>
      <c r="DK13" s="1217"/>
      <c r="DL13" s="1222">
        <f t="shared" si="40"/>
        <v>0</v>
      </c>
      <c r="DM13" s="1156"/>
      <c r="DN13" s="1217"/>
      <c r="DO13" s="1222">
        <f t="shared" ref="DO13:DO18" si="44">DN13*DM13</f>
        <v>0</v>
      </c>
      <c r="DP13" s="1156"/>
      <c r="DQ13" s="1217"/>
      <c r="DR13" s="1222">
        <f t="shared" si="41"/>
        <v>0</v>
      </c>
      <c r="DS13" s="1156"/>
      <c r="DT13" s="1217"/>
      <c r="DU13" s="1222">
        <f t="shared" si="42"/>
        <v>0</v>
      </c>
      <c r="DV13" s="1156"/>
      <c r="DW13" s="1217"/>
      <c r="DX13" s="1244">
        <f t="shared" si="43"/>
        <v>0</v>
      </c>
    </row>
    <row r="14" spans="1:130">
      <c r="B14" s="1305" t="s">
        <v>1250</v>
      </c>
      <c r="C14" s="1155"/>
      <c r="D14" s="1195"/>
      <c r="E14" s="1199"/>
      <c r="F14" s="1156">
        <v>1</v>
      </c>
      <c r="G14" s="1195">
        <v>75</v>
      </c>
      <c r="H14" s="1199">
        <f t="shared" si="4"/>
        <v>75</v>
      </c>
      <c r="I14" s="1156"/>
      <c r="J14" s="1195"/>
      <c r="K14" s="1222">
        <f t="shared" si="5"/>
        <v>0</v>
      </c>
      <c r="L14" s="1156">
        <v>1</v>
      </c>
      <c r="M14" s="1217">
        <v>87.48</v>
      </c>
      <c r="N14" s="1222">
        <f t="shared" si="6"/>
        <v>87.48</v>
      </c>
      <c r="O14" s="1156"/>
      <c r="P14" s="1217"/>
      <c r="Q14" s="1222">
        <f t="shared" si="7"/>
        <v>0</v>
      </c>
      <c r="R14" s="1156">
        <v>1</v>
      </c>
      <c r="S14" s="1217">
        <f>27.31+32.73</f>
        <v>60.039999999999992</v>
      </c>
      <c r="T14" s="1222">
        <f t="shared" si="8"/>
        <v>60.039999999999992</v>
      </c>
      <c r="U14" s="1156"/>
      <c r="V14" s="1217"/>
      <c r="W14" s="1222">
        <f t="shared" si="9"/>
        <v>0</v>
      </c>
      <c r="X14" s="1156">
        <v>1</v>
      </c>
      <c r="Y14" s="1217">
        <f>23.03+32.73</f>
        <v>55.76</v>
      </c>
      <c r="Z14" s="1222">
        <f t="shared" si="10"/>
        <v>55.76</v>
      </c>
      <c r="AA14" s="1156"/>
      <c r="AB14" s="1195"/>
      <c r="AC14" s="1222">
        <f t="shared" si="11"/>
        <v>0</v>
      </c>
      <c r="AD14" s="1156">
        <v>1</v>
      </c>
      <c r="AE14" s="1195">
        <v>18.850000000000001</v>
      </c>
      <c r="AF14" s="1222">
        <f t="shared" si="12"/>
        <v>18.850000000000001</v>
      </c>
      <c r="AG14" s="1156"/>
      <c r="AH14" s="1195"/>
      <c r="AI14" s="1222">
        <f t="shared" si="13"/>
        <v>0</v>
      </c>
      <c r="AJ14" s="1156">
        <v>1</v>
      </c>
      <c r="AK14" s="1195">
        <v>23.03</v>
      </c>
      <c r="AL14" s="1222">
        <f t="shared" si="14"/>
        <v>23.03</v>
      </c>
      <c r="AM14" s="1156"/>
      <c r="AN14" s="1195"/>
      <c r="AO14" s="1222">
        <f t="shared" si="15"/>
        <v>0</v>
      </c>
      <c r="AP14" s="1156"/>
      <c r="AQ14" s="1195"/>
      <c r="AR14" s="1222">
        <f t="shared" si="16"/>
        <v>0</v>
      </c>
      <c r="AS14" s="1156"/>
      <c r="AT14" s="1195"/>
      <c r="AU14" s="1222">
        <f t="shared" si="17"/>
        <v>0</v>
      </c>
      <c r="AV14" s="1156">
        <v>1</v>
      </c>
      <c r="AW14" s="1195">
        <v>18.850000000000001</v>
      </c>
      <c r="AX14" s="1222">
        <f t="shared" si="18"/>
        <v>18.850000000000001</v>
      </c>
      <c r="AY14" s="1156"/>
      <c r="AZ14" s="1195"/>
      <c r="BA14" s="1222">
        <f t="shared" si="19"/>
        <v>0</v>
      </c>
      <c r="BB14" s="1154">
        <f>1/5</f>
        <v>0.2</v>
      </c>
      <c r="BC14" s="1195">
        <v>62.55</v>
      </c>
      <c r="BD14" s="1222">
        <f t="shared" si="20"/>
        <v>12.51</v>
      </c>
      <c r="BE14" s="1154"/>
      <c r="BF14" s="1195"/>
      <c r="BG14" s="1222">
        <f t="shared" si="21"/>
        <v>0</v>
      </c>
      <c r="BH14" s="1154">
        <f>1/5</f>
        <v>0.2</v>
      </c>
      <c r="BI14" s="1195">
        <v>66.680000000000007</v>
      </c>
      <c r="BJ14" s="1222">
        <f t="shared" si="22"/>
        <v>13.336000000000002</v>
      </c>
      <c r="BK14" s="1156"/>
      <c r="BL14" s="1195"/>
      <c r="BM14" s="1222">
        <f t="shared" si="23"/>
        <v>0</v>
      </c>
      <c r="BN14" s="1156">
        <v>2</v>
      </c>
      <c r="BO14" s="1195">
        <v>30</v>
      </c>
      <c r="BP14" s="1222">
        <f t="shared" si="24"/>
        <v>60</v>
      </c>
      <c r="BQ14" s="1154"/>
      <c r="BR14" s="1219"/>
      <c r="BS14" s="1222">
        <f t="shared" si="25"/>
        <v>0</v>
      </c>
      <c r="BT14" s="1155"/>
      <c r="BU14" s="1195"/>
      <c r="BV14" s="1222">
        <f t="shared" si="26"/>
        <v>0</v>
      </c>
      <c r="BW14" s="1155"/>
      <c r="BX14" s="1195"/>
      <c r="BY14" s="1222">
        <f t="shared" si="27"/>
        <v>0</v>
      </c>
      <c r="BZ14" s="1155"/>
      <c r="CA14" s="1195"/>
      <c r="CB14" s="1222">
        <f t="shared" si="28"/>
        <v>0</v>
      </c>
      <c r="CC14" s="1155"/>
      <c r="CD14" s="1195"/>
      <c r="CE14" s="1222">
        <f t="shared" si="29"/>
        <v>0</v>
      </c>
      <c r="CF14" s="1154"/>
      <c r="CG14" s="1195"/>
      <c r="CH14" s="1222">
        <f t="shared" si="30"/>
        <v>0</v>
      </c>
      <c r="CI14" s="1154">
        <v>1</v>
      </c>
      <c r="CJ14" s="1195">
        <v>19.52</v>
      </c>
      <c r="CK14" s="1222">
        <f t="shared" si="31"/>
        <v>19.52</v>
      </c>
      <c r="CL14" s="1156"/>
      <c r="CM14" s="1195"/>
      <c r="CN14" s="1222">
        <f t="shared" si="32"/>
        <v>0</v>
      </c>
      <c r="CO14" s="1154"/>
      <c r="CP14" s="1195"/>
      <c r="CQ14" s="1222">
        <f t="shared" si="33"/>
        <v>0</v>
      </c>
      <c r="CR14" s="1154"/>
      <c r="CS14" s="1195"/>
      <c r="CT14" s="1222">
        <f t="shared" si="34"/>
        <v>0</v>
      </c>
      <c r="CU14" s="1154"/>
      <c r="CV14" s="1195"/>
      <c r="CW14" s="1222">
        <f t="shared" si="35"/>
        <v>0</v>
      </c>
      <c r="CX14" s="1154">
        <v>1</v>
      </c>
      <c r="CY14" s="1195">
        <v>122.32</v>
      </c>
      <c r="CZ14" s="1222">
        <f t="shared" si="36"/>
        <v>122.32</v>
      </c>
      <c r="DA14" s="1154">
        <v>1</v>
      </c>
      <c r="DB14" s="1195">
        <f>59.59+48.02+122.32</f>
        <v>229.93</v>
      </c>
      <c r="DC14" s="1222">
        <f t="shared" si="37"/>
        <v>229.93</v>
      </c>
      <c r="DD14" s="1154"/>
      <c r="DE14" s="1217"/>
      <c r="DF14" s="1222">
        <f t="shared" si="38"/>
        <v>0</v>
      </c>
      <c r="DG14" s="1154"/>
      <c r="DH14" s="1217"/>
      <c r="DI14" s="1222">
        <f t="shared" si="39"/>
        <v>0</v>
      </c>
      <c r="DJ14" s="1154"/>
      <c r="DK14" s="1217"/>
      <c r="DL14" s="1222">
        <f t="shared" si="40"/>
        <v>0</v>
      </c>
      <c r="DM14" s="1156"/>
      <c r="DN14" s="1217"/>
      <c r="DO14" s="1222">
        <f t="shared" si="44"/>
        <v>0</v>
      </c>
      <c r="DP14" s="1156"/>
      <c r="DQ14" s="1217"/>
      <c r="DR14" s="1222">
        <f t="shared" si="41"/>
        <v>0</v>
      </c>
      <c r="DS14" s="1156"/>
      <c r="DT14" s="1217"/>
      <c r="DU14" s="1222">
        <f t="shared" si="42"/>
        <v>0</v>
      </c>
      <c r="DV14" s="1156"/>
      <c r="DW14" s="1217"/>
      <c r="DX14" s="1244">
        <f t="shared" si="43"/>
        <v>0</v>
      </c>
    </row>
    <row r="15" spans="1:130">
      <c r="B15" s="1305" t="s">
        <v>148</v>
      </c>
      <c r="C15" s="1155">
        <v>15</v>
      </c>
      <c r="D15" s="1195">
        <v>12</v>
      </c>
      <c r="E15" s="1199">
        <f t="shared" si="3"/>
        <v>180</v>
      </c>
      <c r="F15" s="1156"/>
      <c r="G15" s="1195"/>
      <c r="H15" s="1199">
        <f t="shared" si="4"/>
        <v>0</v>
      </c>
      <c r="I15" s="1156"/>
      <c r="J15" s="1195"/>
      <c r="K15" s="1222">
        <f t="shared" si="5"/>
        <v>0</v>
      </c>
      <c r="L15" s="1156"/>
      <c r="M15" s="1217"/>
      <c r="N15" s="1222">
        <f t="shared" si="6"/>
        <v>0</v>
      </c>
      <c r="O15" s="1156">
        <v>13</v>
      </c>
      <c r="P15" s="1217">
        <v>12</v>
      </c>
      <c r="Q15" s="1222">
        <f t="shared" si="7"/>
        <v>156</v>
      </c>
      <c r="R15" s="1156"/>
      <c r="S15" s="1217"/>
      <c r="T15" s="1222">
        <f t="shared" si="8"/>
        <v>0</v>
      </c>
      <c r="U15" s="1156">
        <v>13</v>
      </c>
      <c r="V15" s="1217">
        <v>12</v>
      </c>
      <c r="W15" s="1222">
        <f t="shared" si="9"/>
        <v>156</v>
      </c>
      <c r="X15" s="1156"/>
      <c r="Y15" s="1217"/>
      <c r="Z15" s="1222">
        <f t="shared" si="10"/>
        <v>0</v>
      </c>
      <c r="AA15" s="1156">
        <v>6</v>
      </c>
      <c r="AB15" s="1195">
        <v>13.2</v>
      </c>
      <c r="AC15" s="1222">
        <f t="shared" si="11"/>
        <v>79.199999999999989</v>
      </c>
      <c r="AD15" s="1156"/>
      <c r="AE15" s="1195"/>
      <c r="AF15" s="1222">
        <f t="shared" si="12"/>
        <v>0</v>
      </c>
      <c r="AG15" s="1156">
        <v>6</v>
      </c>
      <c r="AH15" s="1195">
        <v>13.2</v>
      </c>
      <c r="AI15" s="1222">
        <f t="shared" si="13"/>
        <v>79.199999999999989</v>
      </c>
      <c r="AJ15" s="1156"/>
      <c r="AK15" s="1195"/>
      <c r="AL15" s="1222">
        <f t="shared" si="14"/>
        <v>0</v>
      </c>
      <c r="AM15" s="1156">
        <v>9</v>
      </c>
      <c r="AN15" s="1195">
        <v>13.2</v>
      </c>
      <c r="AO15" s="1222">
        <f t="shared" si="15"/>
        <v>118.8</v>
      </c>
      <c r="AP15" s="1156">
        <v>9</v>
      </c>
      <c r="AQ15" s="1195">
        <v>13.2</v>
      </c>
      <c r="AR15" s="1222">
        <f t="shared" si="16"/>
        <v>118.8</v>
      </c>
      <c r="AS15" s="1156">
        <v>12</v>
      </c>
      <c r="AT15" s="1195">
        <v>13.2</v>
      </c>
      <c r="AU15" s="1222">
        <f t="shared" si="17"/>
        <v>158.39999999999998</v>
      </c>
      <c r="AV15" s="1156"/>
      <c r="AW15" s="1195"/>
      <c r="AX15" s="1222">
        <f t="shared" si="18"/>
        <v>0</v>
      </c>
      <c r="AY15" s="1156">
        <v>25</v>
      </c>
      <c r="AZ15" s="1195"/>
      <c r="BA15" s="1222">
        <f t="shared" si="19"/>
        <v>0</v>
      </c>
      <c r="BB15" s="1156"/>
      <c r="BC15" s="1195"/>
      <c r="BD15" s="1222">
        <f t="shared" si="20"/>
        <v>0</v>
      </c>
      <c r="BE15" s="1156">
        <v>35</v>
      </c>
      <c r="BF15" s="1195"/>
      <c r="BG15" s="1222">
        <f t="shared" si="21"/>
        <v>0</v>
      </c>
      <c r="BH15" s="1156"/>
      <c r="BI15" s="1195"/>
      <c r="BJ15" s="1222">
        <f t="shared" si="22"/>
        <v>0</v>
      </c>
      <c r="BK15" s="1156">
        <v>35</v>
      </c>
      <c r="BL15" s="1195"/>
      <c r="BM15" s="1222">
        <f t="shared" si="23"/>
        <v>0</v>
      </c>
      <c r="BN15" s="1156">
        <v>35</v>
      </c>
      <c r="BO15" s="1195"/>
      <c r="BP15" s="1222">
        <f t="shared" si="24"/>
        <v>0</v>
      </c>
      <c r="BQ15" s="1154"/>
      <c r="BR15" s="1219"/>
      <c r="BS15" s="1222">
        <f t="shared" si="25"/>
        <v>0</v>
      </c>
      <c r="BT15" s="1156">
        <v>4</v>
      </c>
      <c r="BU15" s="1195">
        <v>13.2</v>
      </c>
      <c r="BV15" s="1222">
        <f t="shared" si="26"/>
        <v>52.8</v>
      </c>
      <c r="BW15" s="1156">
        <v>4</v>
      </c>
      <c r="BX15" s="1195">
        <v>13.2</v>
      </c>
      <c r="BY15" s="1222">
        <f t="shared" si="27"/>
        <v>52.8</v>
      </c>
      <c r="BZ15" s="1156">
        <v>4</v>
      </c>
      <c r="CA15" s="1195">
        <v>13.2</v>
      </c>
      <c r="CB15" s="1222">
        <f t="shared" si="28"/>
        <v>52.8</v>
      </c>
      <c r="CC15" s="1156">
        <v>4</v>
      </c>
      <c r="CD15" s="1195">
        <v>13.2</v>
      </c>
      <c r="CE15" s="1222">
        <f t="shared" si="29"/>
        <v>52.8</v>
      </c>
      <c r="CF15" s="1154">
        <v>8</v>
      </c>
      <c r="CG15" s="1195">
        <v>13.2</v>
      </c>
      <c r="CH15" s="1222">
        <f t="shared" si="30"/>
        <v>105.6</v>
      </c>
      <c r="CI15" s="1154"/>
      <c r="CJ15" s="1195"/>
      <c r="CK15" s="1222">
        <f t="shared" si="31"/>
        <v>0</v>
      </c>
      <c r="CL15" s="1156">
        <v>4</v>
      </c>
      <c r="CM15" s="1195">
        <v>13.2</v>
      </c>
      <c r="CN15" s="1222">
        <f t="shared" si="32"/>
        <v>52.8</v>
      </c>
      <c r="CO15" s="1154"/>
      <c r="CP15" s="1195"/>
      <c r="CQ15" s="1222">
        <f t="shared" si="33"/>
        <v>0</v>
      </c>
      <c r="CR15" s="1154">
        <v>12</v>
      </c>
      <c r="CS15" s="1195">
        <v>13.2</v>
      </c>
      <c r="CT15" s="1222">
        <f t="shared" si="34"/>
        <v>158.39999999999998</v>
      </c>
      <c r="CU15" s="1154"/>
      <c r="CV15" s="1195"/>
      <c r="CW15" s="1222">
        <f t="shared" si="35"/>
        <v>0</v>
      </c>
      <c r="CX15" s="1156">
        <v>6</v>
      </c>
      <c r="CY15" s="1195">
        <v>13.2</v>
      </c>
      <c r="CZ15" s="1222">
        <f t="shared" si="36"/>
        <v>79.199999999999989</v>
      </c>
      <c r="DA15" s="1154"/>
      <c r="DB15" s="1195"/>
      <c r="DC15" s="1222">
        <f t="shared" si="37"/>
        <v>0</v>
      </c>
      <c r="DD15" s="1154"/>
      <c r="DE15" s="1217"/>
      <c r="DF15" s="1222">
        <f t="shared" si="38"/>
        <v>0</v>
      </c>
      <c r="DG15" s="1154"/>
      <c r="DH15" s="1217"/>
      <c r="DI15" s="1222">
        <f t="shared" si="39"/>
        <v>0</v>
      </c>
      <c r="DJ15" s="1154"/>
      <c r="DK15" s="1217"/>
      <c r="DL15" s="1222">
        <f t="shared" si="40"/>
        <v>0</v>
      </c>
      <c r="DM15" s="1156"/>
      <c r="DN15" s="1217"/>
      <c r="DO15" s="1222">
        <f t="shared" si="44"/>
        <v>0</v>
      </c>
      <c r="DP15" s="1156"/>
      <c r="DQ15" s="1217"/>
      <c r="DR15" s="1222">
        <f t="shared" si="41"/>
        <v>0</v>
      </c>
      <c r="DS15" s="1156"/>
      <c r="DT15" s="1217"/>
      <c r="DU15" s="1222">
        <f t="shared" si="42"/>
        <v>0</v>
      </c>
      <c r="DV15" s="1156"/>
      <c r="DW15" s="1217"/>
      <c r="DX15" s="1244">
        <f t="shared" si="43"/>
        <v>0</v>
      </c>
    </row>
    <row r="16" spans="1:130">
      <c r="B16" s="1306" t="s">
        <v>969</v>
      </c>
      <c r="C16" s="1155"/>
      <c r="D16" s="1195"/>
      <c r="E16" s="1199">
        <f t="shared" si="3"/>
        <v>0</v>
      </c>
      <c r="F16" s="1156"/>
      <c r="G16" s="1195"/>
      <c r="H16" s="1199">
        <f t="shared" si="4"/>
        <v>0</v>
      </c>
      <c r="I16" s="1156"/>
      <c r="J16" s="1195"/>
      <c r="K16" s="1222">
        <f t="shared" si="5"/>
        <v>0</v>
      </c>
      <c r="L16" s="1156"/>
      <c r="M16" s="1217"/>
      <c r="N16" s="1222">
        <f t="shared" si="6"/>
        <v>0</v>
      </c>
      <c r="O16" s="1156"/>
      <c r="P16" s="1217"/>
      <c r="Q16" s="1222">
        <f t="shared" si="7"/>
        <v>0</v>
      </c>
      <c r="R16" s="1156"/>
      <c r="S16" s="1217"/>
      <c r="T16" s="1222">
        <f t="shared" si="8"/>
        <v>0</v>
      </c>
      <c r="U16" s="1156"/>
      <c r="V16" s="1217"/>
      <c r="W16" s="1222">
        <f t="shared" si="9"/>
        <v>0</v>
      </c>
      <c r="X16" s="1156"/>
      <c r="Y16" s="1217"/>
      <c r="Z16" s="1222">
        <f t="shared" si="10"/>
        <v>0</v>
      </c>
      <c r="AA16" s="1156"/>
      <c r="AB16" s="1195"/>
      <c r="AC16" s="1222">
        <f t="shared" si="11"/>
        <v>0</v>
      </c>
      <c r="AD16" s="1156"/>
      <c r="AE16" s="1195"/>
      <c r="AF16" s="1222">
        <f t="shared" si="12"/>
        <v>0</v>
      </c>
      <c r="AG16" s="1156"/>
      <c r="AH16" s="1195"/>
      <c r="AI16" s="1222">
        <f t="shared" si="13"/>
        <v>0</v>
      </c>
      <c r="AJ16" s="1156"/>
      <c r="AK16" s="1195"/>
      <c r="AL16" s="1222">
        <f t="shared" si="14"/>
        <v>0</v>
      </c>
      <c r="AM16" s="1156"/>
      <c r="AN16" s="1195"/>
      <c r="AO16" s="1222">
        <f t="shared" si="15"/>
        <v>0</v>
      </c>
      <c r="AP16" s="1156"/>
      <c r="AQ16" s="1195"/>
      <c r="AR16" s="1222">
        <f t="shared" si="16"/>
        <v>0</v>
      </c>
      <c r="AS16" s="1156"/>
      <c r="AT16" s="1195"/>
      <c r="AU16" s="1222">
        <f t="shared" si="17"/>
        <v>0</v>
      </c>
      <c r="AV16" s="1156"/>
      <c r="AW16" s="1195"/>
      <c r="AX16" s="1222">
        <f t="shared" si="18"/>
        <v>0</v>
      </c>
      <c r="AY16" s="1156"/>
      <c r="AZ16" s="1195"/>
      <c r="BA16" s="1222">
        <f t="shared" si="19"/>
        <v>0</v>
      </c>
      <c r="BB16" s="1156"/>
      <c r="BC16" s="1195"/>
      <c r="BD16" s="1222">
        <f t="shared" si="20"/>
        <v>0</v>
      </c>
      <c r="BE16" s="1156">
        <f>(206+472+472+354+236)/5</f>
        <v>348</v>
      </c>
      <c r="BF16" s="1195">
        <v>5.2999999999999999E-2</v>
      </c>
      <c r="BG16" s="1222">
        <f t="shared" si="21"/>
        <v>18.443999999999999</v>
      </c>
      <c r="BH16" s="1156">
        <f>(206+472+472+354+236)/5</f>
        <v>348</v>
      </c>
      <c r="BI16" s="1195">
        <v>5.2999999999999999E-2</v>
      </c>
      <c r="BJ16" s="1222">
        <f t="shared" si="22"/>
        <v>18.443999999999999</v>
      </c>
      <c r="BK16" s="1156"/>
      <c r="BL16" s="1195"/>
      <c r="BM16" s="1222">
        <f t="shared" si="23"/>
        <v>0</v>
      </c>
      <c r="BN16" s="1156"/>
      <c r="BO16" s="1195"/>
      <c r="BP16" s="1222">
        <f t="shared" si="24"/>
        <v>0</v>
      </c>
      <c r="BQ16" s="1154"/>
      <c r="BR16" s="1219"/>
      <c r="BS16" s="1222">
        <f t="shared" si="25"/>
        <v>0</v>
      </c>
      <c r="BT16" s="1163"/>
      <c r="BU16" s="1195"/>
      <c r="BV16" s="1222">
        <f t="shared" si="26"/>
        <v>0</v>
      </c>
      <c r="BW16" s="1163"/>
      <c r="BX16" s="1195"/>
      <c r="BY16" s="1222">
        <f t="shared" si="27"/>
        <v>0</v>
      </c>
      <c r="BZ16" s="1163"/>
      <c r="CA16" s="1195"/>
      <c r="CB16" s="1222">
        <f t="shared" si="28"/>
        <v>0</v>
      </c>
      <c r="CC16" s="1163"/>
      <c r="CD16" s="1195"/>
      <c r="CE16" s="1222">
        <f t="shared" si="29"/>
        <v>0</v>
      </c>
      <c r="CF16" s="1154"/>
      <c r="CG16" s="1195"/>
      <c r="CH16" s="1222">
        <f t="shared" si="30"/>
        <v>0</v>
      </c>
      <c r="CI16" s="1154"/>
      <c r="CJ16" s="1195"/>
      <c r="CK16" s="1222">
        <f t="shared" si="31"/>
        <v>0</v>
      </c>
      <c r="CL16" s="1156"/>
      <c r="CM16" s="1195"/>
      <c r="CN16" s="1222">
        <f t="shared" si="32"/>
        <v>0</v>
      </c>
      <c r="CO16" s="1154"/>
      <c r="CP16" s="1195"/>
      <c r="CQ16" s="1222">
        <f t="shared" si="33"/>
        <v>0</v>
      </c>
      <c r="CR16" s="1154"/>
      <c r="CS16" s="1195"/>
      <c r="CT16" s="1222">
        <f t="shared" si="34"/>
        <v>0</v>
      </c>
      <c r="CU16" s="1154"/>
      <c r="CV16" s="1195"/>
      <c r="CW16" s="1222">
        <f t="shared" si="35"/>
        <v>0</v>
      </c>
      <c r="CX16" s="1154"/>
      <c r="CY16" s="1195"/>
      <c r="CZ16" s="1222">
        <f t="shared" si="36"/>
        <v>0</v>
      </c>
      <c r="DA16" s="1154"/>
      <c r="DB16" s="1195"/>
      <c r="DC16" s="1222">
        <f t="shared" si="37"/>
        <v>0</v>
      </c>
      <c r="DD16" s="1154"/>
      <c r="DE16" s="1217"/>
      <c r="DF16" s="1222">
        <f t="shared" si="38"/>
        <v>0</v>
      </c>
      <c r="DG16" s="1154"/>
      <c r="DH16" s="1217"/>
      <c r="DI16" s="1222">
        <f t="shared" si="39"/>
        <v>0</v>
      </c>
      <c r="DJ16" s="1154"/>
      <c r="DK16" s="1217"/>
      <c r="DL16" s="1222">
        <f t="shared" si="40"/>
        <v>0</v>
      </c>
      <c r="DM16" s="1156"/>
      <c r="DN16" s="1217"/>
      <c r="DO16" s="1222">
        <f t="shared" si="44"/>
        <v>0</v>
      </c>
      <c r="DP16" s="1156"/>
      <c r="DQ16" s="1217"/>
      <c r="DR16" s="1222">
        <f t="shared" si="41"/>
        <v>0</v>
      </c>
      <c r="DS16" s="1156"/>
      <c r="DT16" s="1217"/>
      <c r="DU16" s="1222">
        <f t="shared" si="42"/>
        <v>0</v>
      </c>
      <c r="DV16" s="1156"/>
      <c r="DW16" s="1217"/>
      <c r="DX16" s="1244">
        <f t="shared" si="43"/>
        <v>0</v>
      </c>
    </row>
    <row r="17" spans="1:128">
      <c r="B17" s="1305" t="s">
        <v>149</v>
      </c>
      <c r="C17" s="1155">
        <f>12*1/2</f>
        <v>6</v>
      </c>
      <c r="D17" s="1195">
        <v>8.4600000000000009</v>
      </c>
      <c r="E17" s="1199">
        <f t="shared" si="3"/>
        <v>50.760000000000005</v>
      </c>
      <c r="F17" s="1156"/>
      <c r="G17" s="1195"/>
      <c r="H17" s="1199">
        <f t="shared" si="4"/>
        <v>0</v>
      </c>
      <c r="I17" s="1156">
        <f>12*1/6</f>
        <v>2</v>
      </c>
      <c r="J17" s="1195">
        <v>8.4499999999999993</v>
      </c>
      <c r="K17" s="1222">
        <f t="shared" si="5"/>
        <v>16.899999999999999</v>
      </c>
      <c r="L17" s="1156"/>
      <c r="M17" s="1217"/>
      <c r="N17" s="1222">
        <f t="shared" si="6"/>
        <v>0</v>
      </c>
      <c r="O17" s="1164">
        <f>12*1/3</f>
        <v>4</v>
      </c>
      <c r="P17" s="1217">
        <v>8.4600000000000009</v>
      </c>
      <c r="Q17" s="1222">
        <f t="shared" si="7"/>
        <v>33.840000000000003</v>
      </c>
      <c r="R17" s="1156"/>
      <c r="S17" s="1217">
        <f>27.31+32.73</f>
        <v>60.039999999999992</v>
      </c>
      <c r="T17" s="1222">
        <f t="shared" si="8"/>
        <v>0</v>
      </c>
      <c r="U17" s="1164">
        <f>12*1/3</f>
        <v>4</v>
      </c>
      <c r="V17" s="1217">
        <v>8.4600000000000009</v>
      </c>
      <c r="W17" s="1222">
        <f t="shared" si="9"/>
        <v>33.840000000000003</v>
      </c>
      <c r="X17" s="1156"/>
      <c r="Y17" s="1217"/>
      <c r="Z17" s="1222">
        <f t="shared" si="10"/>
        <v>0</v>
      </c>
      <c r="AA17" s="1156">
        <f>12*1/3</f>
        <v>4</v>
      </c>
      <c r="AB17" s="1195">
        <v>11.11</v>
      </c>
      <c r="AC17" s="1222">
        <f t="shared" si="11"/>
        <v>44.44</v>
      </c>
      <c r="AD17" s="1156"/>
      <c r="AE17" s="1195"/>
      <c r="AF17" s="1222">
        <f t="shared" si="12"/>
        <v>0</v>
      </c>
      <c r="AG17" s="1156">
        <f>12*1/3</f>
        <v>4</v>
      </c>
      <c r="AH17" s="1195"/>
      <c r="AI17" s="1222">
        <f t="shared" si="13"/>
        <v>0</v>
      </c>
      <c r="AJ17" s="1156"/>
      <c r="AK17" s="1195"/>
      <c r="AL17" s="1222">
        <f t="shared" si="14"/>
        <v>0</v>
      </c>
      <c r="AM17" s="1156"/>
      <c r="AN17" s="1195"/>
      <c r="AO17" s="1222">
        <f t="shared" si="15"/>
        <v>0</v>
      </c>
      <c r="AP17" s="1156"/>
      <c r="AQ17" s="1195"/>
      <c r="AR17" s="1222">
        <f t="shared" si="16"/>
        <v>0</v>
      </c>
      <c r="AS17" s="1156"/>
      <c r="AT17" s="1195"/>
      <c r="AU17" s="1222">
        <f t="shared" si="17"/>
        <v>0</v>
      </c>
      <c r="AV17" s="1156"/>
      <c r="AW17" s="1195"/>
      <c r="AX17" s="1222">
        <f t="shared" si="18"/>
        <v>0</v>
      </c>
      <c r="AY17" s="1156"/>
      <c r="AZ17" s="1195"/>
      <c r="BA17" s="1222">
        <f t="shared" si="19"/>
        <v>0</v>
      </c>
      <c r="BB17" s="1156"/>
      <c r="BC17" s="1195"/>
      <c r="BD17" s="1222">
        <f t="shared" si="20"/>
        <v>0</v>
      </c>
      <c r="BE17" s="1156"/>
      <c r="BF17" s="1195"/>
      <c r="BG17" s="1222">
        <f t="shared" si="21"/>
        <v>0</v>
      </c>
      <c r="BH17" s="1156"/>
      <c r="BI17" s="1195"/>
      <c r="BJ17" s="1222">
        <f t="shared" si="22"/>
        <v>0</v>
      </c>
      <c r="BK17" s="1156"/>
      <c r="BL17" s="1195"/>
      <c r="BM17" s="1222">
        <f t="shared" si="23"/>
        <v>0</v>
      </c>
      <c r="BN17" s="1156"/>
      <c r="BO17" s="1195"/>
      <c r="BP17" s="1222">
        <f t="shared" si="24"/>
        <v>0</v>
      </c>
      <c r="BQ17" s="1154"/>
      <c r="BR17" s="1219"/>
      <c r="BS17" s="1222">
        <f t="shared" si="25"/>
        <v>0</v>
      </c>
      <c r="BT17" s="1165">
        <f>12*1/3</f>
        <v>4</v>
      </c>
      <c r="BU17" s="1195">
        <v>10.16</v>
      </c>
      <c r="BV17" s="1222">
        <f t="shared" si="26"/>
        <v>40.64</v>
      </c>
      <c r="BW17" s="1166"/>
      <c r="BX17" s="1195"/>
      <c r="BY17" s="1222">
        <f t="shared" si="27"/>
        <v>0</v>
      </c>
      <c r="BZ17" s="1165">
        <f>12*1/4</f>
        <v>3</v>
      </c>
      <c r="CA17" s="1195">
        <v>10.16</v>
      </c>
      <c r="CB17" s="1222">
        <f t="shared" si="28"/>
        <v>30.48</v>
      </c>
      <c r="CC17" s="1165">
        <f>12*1/4</f>
        <v>3</v>
      </c>
      <c r="CD17" s="1195">
        <v>10.16</v>
      </c>
      <c r="CE17" s="1222">
        <f t="shared" si="29"/>
        <v>30.48</v>
      </c>
      <c r="CF17" s="1154"/>
      <c r="CG17" s="1195"/>
      <c r="CH17" s="1222">
        <f t="shared" si="30"/>
        <v>0</v>
      </c>
      <c r="CI17" s="1154"/>
      <c r="CJ17" s="1195"/>
      <c r="CK17" s="1222">
        <f t="shared" si="31"/>
        <v>0</v>
      </c>
      <c r="CL17" s="1156"/>
      <c r="CM17" s="1195"/>
      <c r="CN17" s="1222">
        <f t="shared" si="32"/>
        <v>0</v>
      </c>
      <c r="CO17" s="1154"/>
      <c r="CP17" s="1195"/>
      <c r="CQ17" s="1222">
        <f t="shared" si="33"/>
        <v>0</v>
      </c>
      <c r="CR17" s="1154"/>
      <c r="CS17" s="1195"/>
      <c r="CT17" s="1222">
        <f t="shared" si="34"/>
        <v>0</v>
      </c>
      <c r="CU17" s="1154"/>
      <c r="CV17" s="1195"/>
      <c r="CW17" s="1222">
        <f t="shared" si="35"/>
        <v>0</v>
      </c>
      <c r="CX17" s="1154"/>
      <c r="CY17" s="1195"/>
      <c r="CZ17" s="1222">
        <f t="shared" si="36"/>
        <v>0</v>
      </c>
      <c r="DA17" s="1154"/>
      <c r="DB17" s="1195"/>
      <c r="DC17" s="1222">
        <f t="shared" si="37"/>
        <v>0</v>
      </c>
      <c r="DD17" s="1154"/>
      <c r="DE17" s="1217"/>
      <c r="DF17" s="1222">
        <f t="shared" si="38"/>
        <v>0</v>
      </c>
      <c r="DG17" s="1154"/>
      <c r="DH17" s="1217"/>
      <c r="DI17" s="1222">
        <f t="shared" si="39"/>
        <v>0</v>
      </c>
      <c r="DJ17" s="1154"/>
      <c r="DK17" s="1217"/>
      <c r="DL17" s="1222">
        <f t="shared" si="40"/>
        <v>0</v>
      </c>
      <c r="DM17" s="1156"/>
      <c r="DN17" s="1217"/>
      <c r="DO17" s="1222">
        <f t="shared" si="44"/>
        <v>0</v>
      </c>
      <c r="DP17" s="1156"/>
      <c r="DQ17" s="1217"/>
      <c r="DR17" s="1222">
        <f t="shared" si="41"/>
        <v>0</v>
      </c>
      <c r="DS17" s="1156"/>
      <c r="DT17" s="1217"/>
      <c r="DU17" s="1222">
        <f t="shared" si="42"/>
        <v>0</v>
      </c>
      <c r="DV17" s="1156"/>
      <c r="DW17" s="1217"/>
      <c r="DX17" s="1244">
        <f t="shared" si="43"/>
        <v>0</v>
      </c>
    </row>
    <row r="18" spans="1:128">
      <c r="B18" s="1305" t="s">
        <v>150</v>
      </c>
      <c r="C18" s="1167">
        <v>0.33</v>
      </c>
      <c r="D18" s="1196">
        <v>41</v>
      </c>
      <c r="E18" s="1199">
        <f>D18*C18</f>
        <v>13.530000000000001</v>
      </c>
      <c r="F18" s="1158">
        <v>0.5</v>
      </c>
      <c r="G18" s="1196">
        <v>46</v>
      </c>
      <c r="H18" s="1199">
        <f t="shared" si="4"/>
        <v>23</v>
      </c>
      <c r="I18" s="1168">
        <f>1/3</f>
        <v>0.33333333333333331</v>
      </c>
      <c r="J18" s="1196">
        <v>41</v>
      </c>
      <c r="K18" s="1222">
        <f t="shared" si="5"/>
        <v>13.666666666666666</v>
      </c>
      <c r="L18" s="1158">
        <v>0.2</v>
      </c>
      <c r="M18" s="1218">
        <v>46</v>
      </c>
      <c r="N18" s="1222">
        <f t="shared" si="6"/>
        <v>9.2000000000000011</v>
      </c>
      <c r="O18" s="1168">
        <f>1/3</f>
        <v>0.33333333333333331</v>
      </c>
      <c r="P18" s="1218">
        <v>41</v>
      </c>
      <c r="Q18" s="1222">
        <f t="shared" si="7"/>
        <v>13.666666666666666</v>
      </c>
      <c r="R18" s="1158">
        <v>0.3</v>
      </c>
      <c r="S18" s="1218">
        <v>46</v>
      </c>
      <c r="T18" s="1222">
        <f t="shared" si="8"/>
        <v>13.799999999999999</v>
      </c>
      <c r="U18" s="1168">
        <f>1/3</f>
        <v>0.33333333333333331</v>
      </c>
      <c r="V18" s="1218">
        <v>41</v>
      </c>
      <c r="W18" s="1222">
        <f t="shared" si="9"/>
        <v>13.666666666666666</v>
      </c>
      <c r="X18" s="1158">
        <v>0.3</v>
      </c>
      <c r="Y18" s="1218">
        <v>46</v>
      </c>
      <c r="Z18" s="1222">
        <f t="shared" si="10"/>
        <v>13.799999999999999</v>
      </c>
      <c r="AA18" s="1168">
        <f>1/3</f>
        <v>0.33333333333333331</v>
      </c>
      <c r="AB18" s="1196">
        <v>46</v>
      </c>
      <c r="AC18" s="1222">
        <f t="shared" si="11"/>
        <v>15.333333333333332</v>
      </c>
      <c r="AD18" s="1158">
        <v>0.3</v>
      </c>
      <c r="AE18" s="1196">
        <v>46</v>
      </c>
      <c r="AF18" s="1222">
        <f t="shared" si="12"/>
        <v>13.799999999999999</v>
      </c>
      <c r="AG18" s="1168">
        <f>1*1/3</f>
        <v>0.33333333333333331</v>
      </c>
      <c r="AH18" s="1196">
        <v>46</v>
      </c>
      <c r="AI18" s="1222">
        <f t="shared" si="13"/>
        <v>15.333333333333332</v>
      </c>
      <c r="AJ18" s="1158">
        <v>0.3</v>
      </c>
      <c r="AK18" s="1196">
        <v>46</v>
      </c>
      <c r="AL18" s="1222">
        <f t="shared" si="14"/>
        <v>13.799999999999999</v>
      </c>
      <c r="AM18" s="1168">
        <f>1/3</f>
        <v>0.33333333333333331</v>
      </c>
      <c r="AN18" s="1196">
        <v>46</v>
      </c>
      <c r="AO18" s="1222">
        <f t="shared" si="15"/>
        <v>15.333333333333332</v>
      </c>
      <c r="AP18" s="1168">
        <f>1/3</f>
        <v>0.33333333333333331</v>
      </c>
      <c r="AQ18" s="1196">
        <v>46</v>
      </c>
      <c r="AR18" s="1222">
        <f t="shared" si="16"/>
        <v>15.333333333333332</v>
      </c>
      <c r="AS18" s="1168">
        <f>1/3</f>
        <v>0.33333333333333331</v>
      </c>
      <c r="AT18" s="1196">
        <v>46</v>
      </c>
      <c r="AU18" s="1222">
        <f t="shared" si="17"/>
        <v>15.333333333333332</v>
      </c>
      <c r="AV18" s="1158">
        <v>0.3</v>
      </c>
      <c r="AW18" s="1196">
        <v>46</v>
      </c>
      <c r="AX18" s="1222">
        <f t="shared" si="18"/>
        <v>13.799999999999999</v>
      </c>
      <c r="AY18" s="1158">
        <f>2.5/5</f>
        <v>0.5</v>
      </c>
      <c r="AZ18" s="1196">
        <v>46</v>
      </c>
      <c r="BA18" s="1222">
        <f t="shared" si="19"/>
        <v>23</v>
      </c>
      <c r="BB18" s="1158">
        <f>2.5/5</f>
        <v>0.5</v>
      </c>
      <c r="BC18" s="1196">
        <v>46</v>
      </c>
      <c r="BD18" s="1222">
        <f t="shared" si="20"/>
        <v>23</v>
      </c>
      <c r="BE18" s="1158">
        <f>2.5/5</f>
        <v>0.5</v>
      </c>
      <c r="BF18" s="1196">
        <v>46</v>
      </c>
      <c r="BG18" s="1222">
        <f t="shared" si="21"/>
        <v>23</v>
      </c>
      <c r="BH18" s="1158">
        <f>2.5/5</f>
        <v>0.5</v>
      </c>
      <c r="BI18" s="1196">
        <v>46</v>
      </c>
      <c r="BJ18" s="1222">
        <f t="shared" si="22"/>
        <v>23</v>
      </c>
      <c r="BK18" s="1168">
        <f>1/3</f>
        <v>0.33333333333333331</v>
      </c>
      <c r="BL18" s="1196">
        <v>46</v>
      </c>
      <c r="BM18" s="1222">
        <f t="shared" si="23"/>
        <v>15.333333333333332</v>
      </c>
      <c r="BN18" s="1158">
        <v>0.5</v>
      </c>
      <c r="BO18" s="1196">
        <v>44</v>
      </c>
      <c r="BP18" s="1222">
        <f t="shared" si="24"/>
        <v>22</v>
      </c>
      <c r="BQ18" s="1154"/>
      <c r="BR18" s="1219"/>
      <c r="BS18" s="1222">
        <f t="shared" si="25"/>
        <v>0</v>
      </c>
      <c r="BT18" s="1168">
        <f>1/3</f>
        <v>0.33333333333333331</v>
      </c>
      <c r="BU18" s="1196">
        <v>46</v>
      </c>
      <c r="BV18" s="1222">
        <f t="shared" si="26"/>
        <v>15.333333333333332</v>
      </c>
      <c r="BW18" s="1168">
        <f>1/3</f>
        <v>0.33333333333333331</v>
      </c>
      <c r="BX18" s="1196">
        <v>46</v>
      </c>
      <c r="BY18" s="1222">
        <f t="shared" si="27"/>
        <v>15.333333333333332</v>
      </c>
      <c r="BZ18" s="1168">
        <f>1/3</f>
        <v>0.33333333333333331</v>
      </c>
      <c r="CA18" s="1196">
        <v>46</v>
      </c>
      <c r="CB18" s="1222">
        <f t="shared" si="28"/>
        <v>15.333333333333332</v>
      </c>
      <c r="CC18" s="1168">
        <f>1/3</f>
        <v>0.33333333333333331</v>
      </c>
      <c r="CD18" s="1196">
        <v>46</v>
      </c>
      <c r="CE18" s="1222">
        <f t="shared" si="29"/>
        <v>15.333333333333332</v>
      </c>
      <c r="CF18" s="1168">
        <f>1/3</f>
        <v>0.33333333333333331</v>
      </c>
      <c r="CG18" s="1196">
        <v>44</v>
      </c>
      <c r="CH18" s="1222">
        <f t="shared" si="30"/>
        <v>14.666666666666666</v>
      </c>
      <c r="CI18" s="1168">
        <f>1/3</f>
        <v>0.33333333333333331</v>
      </c>
      <c r="CJ18" s="1196">
        <v>46</v>
      </c>
      <c r="CK18" s="1222">
        <f t="shared" si="31"/>
        <v>15.333333333333332</v>
      </c>
      <c r="CL18" s="1156"/>
      <c r="CM18" s="1196"/>
      <c r="CN18" s="1222">
        <f t="shared" si="32"/>
        <v>0</v>
      </c>
      <c r="CO18" s="1154"/>
      <c r="CP18" s="1196"/>
      <c r="CQ18" s="1222">
        <f t="shared" si="33"/>
        <v>0</v>
      </c>
      <c r="CR18" s="1169">
        <f>1/3</f>
        <v>0.33333333333333331</v>
      </c>
      <c r="CS18" s="1196">
        <v>46</v>
      </c>
      <c r="CT18" s="1222">
        <f t="shared" si="34"/>
        <v>15.333333333333332</v>
      </c>
      <c r="CU18" s="1169">
        <f>1/3</f>
        <v>0.33333333333333331</v>
      </c>
      <c r="CV18" s="1196">
        <v>46</v>
      </c>
      <c r="CW18" s="1222">
        <f t="shared" si="35"/>
        <v>15.333333333333332</v>
      </c>
      <c r="CX18" s="1169">
        <f>1/3</f>
        <v>0.33333333333333331</v>
      </c>
      <c r="CY18" s="1196">
        <v>46</v>
      </c>
      <c r="CZ18" s="1222">
        <f t="shared" si="36"/>
        <v>15.333333333333332</v>
      </c>
      <c r="DA18" s="1169">
        <v>0.2</v>
      </c>
      <c r="DB18" s="1196">
        <v>37</v>
      </c>
      <c r="DC18" s="1222">
        <f t="shared" si="37"/>
        <v>7.4</v>
      </c>
      <c r="DD18" s="1154"/>
      <c r="DE18" s="1218"/>
      <c r="DF18" s="1222">
        <f t="shared" si="38"/>
        <v>0</v>
      </c>
      <c r="DG18" s="1154"/>
      <c r="DH18" s="1218"/>
      <c r="DI18" s="1222">
        <f t="shared" si="39"/>
        <v>0</v>
      </c>
      <c r="DJ18" s="1154"/>
      <c r="DK18" s="1218"/>
      <c r="DL18" s="1222">
        <f t="shared" si="40"/>
        <v>0</v>
      </c>
      <c r="DM18" s="1158"/>
      <c r="DN18" s="1218"/>
      <c r="DO18" s="1222">
        <f t="shared" si="44"/>
        <v>0</v>
      </c>
      <c r="DP18" s="1158"/>
      <c r="DQ18" s="1218"/>
      <c r="DR18" s="1222">
        <f t="shared" si="41"/>
        <v>0</v>
      </c>
      <c r="DS18" s="1158"/>
      <c r="DT18" s="1218"/>
      <c r="DU18" s="1222">
        <f t="shared" si="42"/>
        <v>0</v>
      </c>
      <c r="DV18" s="1158"/>
      <c r="DW18" s="1218"/>
      <c r="DX18" s="1244">
        <f t="shared" si="43"/>
        <v>0</v>
      </c>
    </row>
    <row r="19" spans="1:128" ht="15" thickBot="1">
      <c r="A19" s="1134"/>
      <c r="B19" s="1307" t="s">
        <v>327</v>
      </c>
      <c r="C19" s="1170"/>
      <c r="D19" s="1200"/>
      <c r="E19" s="1201">
        <f>SUM(E12:E18)</f>
        <v>507.29999999999995</v>
      </c>
      <c r="F19" s="1171"/>
      <c r="G19" s="1201"/>
      <c r="H19" s="1201">
        <f>SUM(H12:H18)</f>
        <v>817.22</v>
      </c>
      <c r="I19" s="1171"/>
      <c r="J19" s="1201"/>
      <c r="K19" s="1223">
        <f>SUM(K12:K18)</f>
        <v>318.06666666666666</v>
      </c>
      <c r="L19" s="1171"/>
      <c r="M19" s="1201"/>
      <c r="N19" s="1223">
        <f>SUM(N12:N18)</f>
        <v>419.29</v>
      </c>
      <c r="O19" s="1171"/>
      <c r="P19" s="1201"/>
      <c r="Q19" s="1223">
        <f>SUM(Q12:Q18)</f>
        <v>511.50666666666672</v>
      </c>
      <c r="R19" s="1171"/>
      <c r="S19" s="1201"/>
      <c r="T19" s="1201">
        <f>SUM(T12:T18)</f>
        <v>607.91999999999985</v>
      </c>
      <c r="U19" s="1171"/>
      <c r="V19" s="1231"/>
      <c r="W19" s="1223">
        <f>SUM(W12:W18)</f>
        <v>483.50666666666672</v>
      </c>
      <c r="X19" s="1171"/>
      <c r="Y19" s="1201"/>
      <c r="Z19" s="1223">
        <f>SUM(Z12:Z18)</f>
        <v>573.64</v>
      </c>
      <c r="AA19" s="1171"/>
      <c r="AB19" s="1231"/>
      <c r="AC19" s="1223">
        <f>SUM(AC12:AC18)</f>
        <v>300.9733333333333</v>
      </c>
      <c r="AD19" s="1171"/>
      <c r="AE19" s="1231"/>
      <c r="AF19" s="1201">
        <f>SUM(AF12:AF18)</f>
        <v>404.3</v>
      </c>
      <c r="AG19" s="1171"/>
      <c r="AH19" s="1231"/>
      <c r="AI19" s="1223">
        <f>SUM(AI12:AI18)</f>
        <v>438.7833333333333</v>
      </c>
      <c r="AJ19" s="1171"/>
      <c r="AK19" s="1231"/>
      <c r="AL19" s="1201">
        <f>SUM(AL12:AL18)</f>
        <v>283.17</v>
      </c>
      <c r="AM19" s="1171"/>
      <c r="AN19" s="1231"/>
      <c r="AO19" s="1201">
        <f>SUM(AO12:AO18)</f>
        <v>326.63333333333333</v>
      </c>
      <c r="AP19" s="1171"/>
      <c r="AQ19" s="1231"/>
      <c r="AR19" s="1201">
        <f>SUM(AR12:AR18)</f>
        <v>326.63333333333333</v>
      </c>
      <c r="AS19" s="1171"/>
      <c r="AT19" s="1231"/>
      <c r="AU19" s="1201">
        <f>SUM(AU12:AU18)</f>
        <v>365.73333333333329</v>
      </c>
      <c r="AV19" s="1171"/>
      <c r="AW19" s="1201"/>
      <c r="AX19" s="1201">
        <f>SUM(AX12:AX18)</f>
        <v>461.45000000000005</v>
      </c>
      <c r="AY19" s="1171"/>
      <c r="AZ19" s="1231"/>
      <c r="BA19" s="1201">
        <f>SUM(BA12:BA18)</f>
        <v>50.335999999999999</v>
      </c>
      <c r="BB19" s="1171"/>
      <c r="BC19" s="1231"/>
      <c r="BD19" s="1201">
        <f>SUM(BD12:BD18)</f>
        <v>240.44552000000002</v>
      </c>
      <c r="BE19" s="1171"/>
      <c r="BF19" s="1201"/>
      <c r="BG19" s="1261">
        <f>SUM(BG12:BG18)</f>
        <v>93.956000000000003</v>
      </c>
      <c r="BH19" s="1171"/>
      <c r="BI19" s="1231"/>
      <c r="BJ19" s="1261">
        <f>SUM(BJ12:BJ18)</f>
        <v>361.19180000000006</v>
      </c>
      <c r="BK19" s="1172"/>
      <c r="BL19" s="1231"/>
      <c r="BM19" s="1261">
        <f>SUM(BM12:BM18)</f>
        <v>294.33333333333331</v>
      </c>
      <c r="BN19" s="1172"/>
      <c r="BO19" s="1231"/>
      <c r="BP19" s="1261">
        <f>SUM(BP12:BP18)</f>
        <v>488.072</v>
      </c>
      <c r="BQ19" s="1172"/>
      <c r="BR19" s="1201"/>
      <c r="BS19" s="1254">
        <f>SUM(BS12:BS18)</f>
        <v>0</v>
      </c>
      <c r="BT19" s="1172"/>
      <c r="BU19" s="1231"/>
      <c r="BV19" s="1201">
        <f>SUM(BV12:BV18)</f>
        <v>458.77333333333331</v>
      </c>
      <c r="BW19" s="1172"/>
      <c r="BX19" s="1231"/>
      <c r="BY19" s="1201">
        <f>SUM(BY12:BY18)</f>
        <v>418.13333333333333</v>
      </c>
      <c r="BZ19" s="1172"/>
      <c r="CA19" s="1231"/>
      <c r="CB19" s="1201">
        <f>SUM(CB12:CB18)</f>
        <v>483.61333333333334</v>
      </c>
      <c r="CC19" s="1172"/>
      <c r="CD19" s="1231"/>
      <c r="CE19" s="1201">
        <f>SUM(CE12:CE18)</f>
        <v>483.61333333333334</v>
      </c>
      <c r="CF19" s="1172"/>
      <c r="CG19" s="1231"/>
      <c r="CH19" s="1201">
        <f>SUM(CH12:CH18)</f>
        <v>183.46666666666667</v>
      </c>
      <c r="CI19" s="1172"/>
      <c r="CJ19" s="1231"/>
      <c r="CK19" s="1201">
        <f>SUM(CK12:CK18)</f>
        <v>515.86333333333334</v>
      </c>
      <c r="CL19" s="1172"/>
      <c r="CM19" s="1231"/>
      <c r="CN19" s="1201">
        <f>SUM(CN12:CN18)</f>
        <v>183.7</v>
      </c>
      <c r="CO19" s="1172"/>
      <c r="CP19" s="1231"/>
      <c r="CQ19" s="1201">
        <f>SUM(CQ12:CQ18)</f>
        <v>220.18</v>
      </c>
      <c r="CR19" s="1172"/>
      <c r="CS19" s="1231"/>
      <c r="CT19" s="1201">
        <f>SUM(CT12:CT18)</f>
        <v>413.73333333333329</v>
      </c>
      <c r="CU19" s="1172"/>
      <c r="CV19" s="1231"/>
      <c r="CW19" s="1201">
        <f>SUM(CW12:CW18)</f>
        <v>589.4133333333333</v>
      </c>
      <c r="CX19" s="1172"/>
      <c r="CY19" s="1231"/>
      <c r="CZ19" s="1201">
        <f>SUM(CZ12:CZ18)</f>
        <v>444.8533333333333</v>
      </c>
      <c r="DA19" s="1172"/>
      <c r="DB19" s="1231"/>
      <c r="DC19" s="1201">
        <f>SUM(DC12:DC18)</f>
        <v>708.55979999999988</v>
      </c>
      <c r="DD19" s="1172"/>
      <c r="DE19" s="1201"/>
      <c r="DF19" s="1201">
        <f>SUM(DF12:DF18)</f>
        <v>0</v>
      </c>
      <c r="DG19" s="1172"/>
      <c r="DH19" s="1201"/>
      <c r="DI19" s="1201">
        <f>SUM(DI12:DI18)</f>
        <v>0</v>
      </c>
      <c r="DJ19" s="1172"/>
      <c r="DK19" s="1201"/>
      <c r="DL19" s="1201">
        <f>SUM(DL12:DL18)</f>
        <v>0</v>
      </c>
      <c r="DM19" s="1172"/>
      <c r="DN19" s="1201"/>
      <c r="DO19" s="1201">
        <f>SUM(DO12:DO18)</f>
        <v>0</v>
      </c>
      <c r="DP19" s="1172"/>
      <c r="DQ19" s="1201"/>
      <c r="DR19" s="1201">
        <f>SUM(DR12:DR18)</f>
        <v>0</v>
      </c>
      <c r="DS19" s="1172"/>
      <c r="DT19" s="1201"/>
      <c r="DU19" s="1201">
        <f>SUM(DU12:DU18)</f>
        <v>0</v>
      </c>
      <c r="DV19" s="1172"/>
      <c r="DW19" s="1201"/>
      <c r="DX19" s="1245">
        <f>SUM(DX12:DX18)</f>
        <v>0</v>
      </c>
    </row>
    <row r="20" spans="1:128" ht="15" thickTop="1">
      <c r="A20" s="1070"/>
      <c r="B20" s="1304" t="s">
        <v>151</v>
      </c>
      <c r="C20" s="1173" t="s">
        <v>143</v>
      </c>
      <c r="D20" s="1202" t="s">
        <v>144</v>
      </c>
      <c r="E20" s="1203" t="s">
        <v>145</v>
      </c>
      <c r="F20" s="1174" t="s">
        <v>143</v>
      </c>
      <c r="G20" s="1216" t="s">
        <v>144</v>
      </c>
      <c r="H20" s="1203" t="s">
        <v>145</v>
      </c>
      <c r="I20" s="1174" t="s">
        <v>143</v>
      </c>
      <c r="J20" s="1216" t="s">
        <v>144</v>
      </c>
      <c r="K20" s="1203" t="s">
        <v>145</v>
      </c>
      <c r="L20" s="1174" t="s">
        <v>143</v>
      </c>
      <c r="M20" s="1216" t="s">
        <v>144</v>
      </c>
      <c r="N20" s="1203" t="s">
        <v>145</v>
      </c>
      <c r="O20" s="1174" t="s">
        <v>143</v>
      </c>
      <c r="P20" s="1216" t="s">
        <v>144</v>
      </c>
      <c r="Q20" s="1227" t="s">
        <v>145</v>
      </c>
      <c r="R20" s="1174" t="s">
        <v>143</v>
      </c>
      <c r="S20" s="1216" t="s">
        <v>144</v>
      </c>
      <c r="T20" s="1216" t="s">
        <v>145</v>
      </c>
      <c r="U20" s="1174" t="s">
        <v>143</v>
      </c>
      <c r="V20" s="1232" t="s">
        <v>144</v>
      </c>
      <c r="W20" s="1233" t="s">
        <v>145</v>
      </c>
      <c r="X20" s="1174" t="s">
        <v>143</v>
      </c>
      <c r="Y20" s="1216" t="s">
        <v>144</v>
      </c>
      <c r="Z20" s="1227" t="s">
        <v>145</v>
      </c>
      <c r="AA20" s="1174" t="s">
        <v>143</v>
      </c>
      <c r="AB20" s="1232" t="s">
        <v>144</v>
      </c>
      <c r="AC20" s="1227" t="s">
        <v>145</v>
      </c>
      <c r="AD20" s="1174" t="s">
        <v>143</v>
      </c>
      <c r="AE20" s="1232" t="s">
        <v>144</v>
      </c>
      <c r="AF20" s="1216" t="s">
        <v>145</v>
      </c>
      <c r="AG20" s="1174" t="s">
        <v>143</v>
      </c>
      <c r="AH20" s="1232" t="s">
        <v>144</v>
      </c>
      <c r="AI20" s="1216" t="s">
        <v>145</v>
      </c>
      <c r="AJ20" s="1174" t="s">
        <v>143</v>
      </c>
      <c r="AK20" s="1232" t="s">
        <v>144</v>
      </c>
      <c r="AL20" s="1216" t="s">
        <v>145</v>
      </c>
      <c r="AM20" s="1174" t="s">
        <v>143</v>
      </c>
      <c r="AN20" s="1232" t="s">
        <v>144</v>
      </c>
      <c r="AO20" s="1216" t="s">
        <v>145</v>
      </c>
      <c r="AP20" s="1174" t="s">
        <v>143</v>
      </c>
      <c r="AQ20" s="1232" t="s">
        <v>144</v>
      </c>
      <c r="AR20" s="1216" t="s">
        <v>145</v>
      </c>
      <c r="AS20" s="1174" t="s">
        <v>143</v>
      </c>
      <c r="AT20" s="1232" t="s">
        <v>144</v>
      </c>
      <c r="AU20" s="1216" t="s">
        <v>145</v>
      </c>
      <c r="AV20" s="1174" t="s">
        <v>143</v>
      </c>
      <c r="AW20" s="1216" t="s">
        <v>144</v>
      </c>
      <c r="AX20" s="1216" t="s">
        <v>145</v>
      </c>
      <c r="AY20" s="1174" t="s">
        <v>143</v>
      </c>
      <c r="AZ20" s="1232" t="s">
        <v>144</v>
      </c>
      <c r="BA20" s="1216" t="s">
        <v>145</v>
      </c>
      <c r="BB20" s="1174" t="s">
        <v>143</v>
      </c>
      <c r="BC20" s="1232" t="s">
        <v>144</v>
      </c>
      <c r="BD20" s="1216" t="s">
        <v>145</v>
      </c>
      <c r="BE20" s="1174" t="s">
        <v>143</v>
      </c>
      <c r="BF20" s="1216" t="s">
        <v>144</v>
      </c>
      <c r="BG20" s="1203" t="s">
        <v>145</v>
      </c>
      <c r="BH20" s="1174" t="s">
        <v>143</v>
      </c>
      <c r="BI20" s="1232" t="s">
        <v>144</v>
      </c>
      <c r="BJ20" s="1203" t="s">
        <v>145</v>
      </c>
      <c r="BK20" s="1174" t="s">
        <v>143</v>
      </c>
      <c r="BL20" s="1232" t="s">
        <v>144</v>
      </c>
      <c r="BM20" s="1203" t="s">
        <v>145</v>
      </c>
      <c r="BN20" s="1174" t="s">
        <v>143</v>
      </c>
      <c r="BO20" s="1232" t="s">
        <v>144</v>
      </c>
      <c r="BP20" s="1203" t="s">
        <v>145</v>
      </c>
      <c r="BQ20" s="1174" t="s">
        <v>143</v>
      </c>
      <c r="BR20" s="1216" t="s">
        <v>144</v>
      </c>
      <c r="BS20" s="1255" t="s">
        <v>145</v>
      </c>
      <c r="BT20" s="1174" t="s">
        <v>143</v>
      </c>
      <c r="BU20" s="1232" t="s">
        <v>144</v>
      </c>
      <c r="BV20" s="1216" t="s">
        <v>145</v>
      </c>
      <c r="BW20" s="1174" t="s">
        <v>143</v>
      </c>
      <c r="BX20" s="1232" t="s">
        <v>144</v>
      </c>
      <c r="BY20" s="1216" t="s">
        <v>145</v>
      </c>
      <c r="BZ20" s="1174" t="s">
        <v>143</v>
      </c>
      <c r="CA20" s="1232" t="s">
        <v>144</v>
      </c>
      <c r="CB20" s="1216" t="s">
        <v>145</v>
      </c>
      <c r="CC20" s="1174" t="s">
        <v>143</v>
      </c>
      <c r="CD20" s="1232" t="s">
        <v>144</v>
      </c>
      <c r="CE20" s="1216" t="s">
        <v>145</v>
      </c>
      <c r="CF20" s="1174" t="s">
        <v>143</v>
      </c>
      <c r="CG20" s="1232" t="s">
        <v>144</v>
      </c>
      <c r="CH20" s="1216" t="s">
        <v>145</v>
      </c>
      <c r="CI20" s="1174" t="s">
        <v>143</v>
      </c>
      <c r="CJ20" s="1232" t="s">
        <v>144</v>
      </c>
      <c r="CK20" s="1216" t="s">
        <v>145</v>
      </c>
      <c r="CL20" s="1174" t="s">
        <v>143</v>
      </c>
      <c r="CM20" s="1232" t="s">
        <v>144</v>
      </c>
      <c r="CN20" s="1216" t="s">
        <v>145</v>
      </c>
      <c r="CO20" s="1174" t="s">
        <v>143</v>
      </c>
      <c r="CP20" s="1232" t="s">
        <v>144</v>
      </c>
      <c r="CQ20" s="1216" t="s">
        <v>145</v>
      </c>
      <c r="CR20" s="1174" t="s">
        <v>143</v>
      </c>
      <c r="CS20" s="1232" t="s">
        <v>144</v>
      </c>
      <c r="CT20" s="1216" t="s">
        <v>145</v>
      </c>
      <c r="CU20" s="1174" t="s">
        <v>143</v>
      </c>
      <c r="CV20" s="1232" t="s">
        <v>144</v>
      </c>
      <c r="CW20" s="1216" t="s">
        <v>145</v>
      </c>
      <c r="CX20" s="1174" t="s">
        <v>143</v>
      </c>
      <c r="CY20" s="1232" t="s">
        <v>144</v>
      </c>
      <c r="CZ20" s="1216" t="s">
        <v>145</v>
      </c>
      <c r="DA20" s="1174" t="s">
        <v>143</v>
      </c>
      <c r="DB20" s="1232" t="s">
        <v>144</v>
      </c>
      <c r="DC20" s="1216" t="s">
        <v>145</v>
      </c>
      <c r="DD20" s="1174" t="s">
        <v>143</v>
      </c>
      <c r="DE20" s="1216" t="s">
        <v>144</v>
      </c>
      <c r="DF20" s="1216" t="s">
        <v>145</v>
      </c>
      <c r="DG20" s="1174" t="s">
        <v>143</v>
      </c>
      <c r="DH20" s="1216" t="s">
        <v>144</v>
      </c>
      <c r="DI20" s="1216" t="s">
        <v>145</v>
      </c>
      <c r="DJ20" s="1174" t="s">
        <v>143</v>
      </c>
      <c r="DK20" s="1216" t="s">
        <v>144</v>
      </c>
      <c r="DL20" s="1216" t="s">
        <v>145</v>
      </c>
      <c r="DM20" s="1174" t="s">
        <v>143</v>
      </c>
      <c r="DN20" s="1216" t="s">
        <v>144</v>
      </c>
      <c r="DO20" s="1216" t="s">
        <v>145</v>
      </c>
      <c r="DP20" s="1174" t="s">
        <v>143</v>
      </c>
      <c r="DQ20" s="1216" t="s">
        <v>144</v>
      </c>
      <c r="DR20" s="1216" t="s">
        <v>145</v>
      </c>
      <c r="DS20" s="1174" t="s">
        <v>143</v>
      </c>
      <c r="DT20" s="1216" t="s">
        <v>144</v>
      </c>
      <c r="DU20" s="1216" t="s">
        <v>145</v>
      </c>
      <c r="DV20" s="1174" t="s">
        <v>143</v>
      </c>
      <c r="DW20" s="1216" t="s">
        <v>144</v>
      </c>
      <c r="DX20" s="1246" t="s">
        <v>145</v>
      </c>
    </row>
    <row r="21" spans="1:128">
      <c r="B21" s="1305" t="s">
        <v>152</v>
      </c>
      <c r="C21" s="1175">
        <v>1</v>
      </c>
      <c r="D21" s="1195">
        <v>62.41</v>
      </c>
      <c r="E21" s="1199">
        <f t="shared" ref="E21:E37" si="45">D21*C21</f>
        <v>62.41</v>
      </c>
      <c r="F21" s="1176">
        <v>1</v>
      </c>
      <c r="G21" s="1217">
        <v>61.45</v>
      </c>
      <c r="H21" s="1199">
        <f t="shared" ref="H21:H37" si="46">G21*F21</f>
        <v>61.45</v>
      </c>
      <c r="I21" s="1176">
        <v>1</v>
      </c>
      <c r="J21" s="1217">
        <v>62.41</v>
      </c>
      <c r="K21" s="1222">
        <f t="shared" ref="K21:K37" si="47">J21*I21</f>
        <v>62.41</v>
      </c>
      <c r="L21" s="1176">
        <v>1</v>
      </c>
      <c r="M21" s="1217">
        <v>61.45</v>
      </c>
      <c r="N21" s="1222">
        <f t="shared" ref="N21:N37" si="48">M21*L21</f>
        <v>61.45</v>
      </c>
      <c r="O21" s="1176">
        <v>1</v>
      </c>
      <c r="P21" s="1217">
        <v>62.41</v>
      </c>
      <c r="Q21" s="1222">
        <f t="shared" ref="Q21:Q37" si="49">P21*O21</f>
        <v>62.41</v>
      </c>
      <c r="R21" s="1176">
        <v>1</v>
      </c>
      <c r="S21" s="1217">
        <v>61.45</v>
      </c>
      <c r="T21" s="1222">
        <f t="shared" ref="T21:T37" si="50">S21*R21</f>
        <v>61.45</v>
      </c>
      <c r="U21" s="1176">
        <v>1</v>
      </c>
      <c r="V21" s="1217">
        <v>61.45</v>
      </c>
      <c r="W21" s="1222">
        <f t="shared" ref="W21:W37" si="51">V21*U21</f>
        <v>61.45</v>
      </c>
      <c r="X21" s="1176">
        <v>1</v>
      </c>
      <c r="Y21" s="1217">
        <v>61.45</v>
      </c>
      <c r="Z21" s="1222">
        <f t="shared" ref="Z21:Z37" si="52">Y21*X21</f>
        <v>61.45</v>
      </c>
      <c r="AA21" s="1176">
        <v>1</v>
      </c>
      <c r="AB21" s="1195">
        <v>59.05</v>
      </c>
      <c r="AC21" s="1222">
        <f t="shared" ref="AC21:AC37" si="53">AB21*AA21</f>
        <v>59.05</v>
      </c>
      <c r="AD21" s="1176">
        <v>1</v>
      </c>
      <c r="AE21" s="1195">
        <v>61.45</v>
      </c>
      <c r="AF21" s="1222">
        <f t="shared" ref="AF21:AF37" si="54">AE21*AD21</f>
        <v>61.45</v>
      </c>
      <c r="AG21" s="1176">
        <v>1</v>
      </c>
      <c r="AH21" s="1195">
        <v>59.05</v>
      </c>
      <c r="AI21" s="1222">
        <f t="shared" ref="AI21:AI37" si="55">AH21*AG21</f>
        <v>59.05</v>
      </c>
      <c r="AJ21" s="1176">
        <v>1</v>
      </c>
      <c r="AK21" s="1195">
        <v>61.45</v>
      </c>
      <c r="AL21" s="1222">
        <f t="shared" ref="AL21:AL37" si="56">AK21*AJ21</f>
        <v>61.45</v>
      </c>
      <c r="AM21" s="1176">
        <v>1</v>
      </c>
      <c r="AN21" s="1195">
        <v>59.05</v>
      </c>
      <c r="AO21" s="1222">
        <f t="shared" ref="AO21:AO37" si="57">AN21*AM21</f>
        <v>59.05</v>
      </c>
      <c r="AP21" s="1176">
        <v>1</v>
      </c>
      <c r="AQ21" s="1195">
        <v>59.05</v>
      </c>
      <c r="AR21" s="1222">
        <f t="shared" ref="AR21:AR37" si="58">AQ21*AP21</f>
        <v>59.05</v>
      </c>
      <c r="AS21" s="1176">
        <v>1</v>
      </c>
      <c r="AT21" s="1195">
        <v>59.05</v>
      </c>
      <c r="AU21" s="1222">
        <f t="shared" ref="AU21:AU37" si="59">AT21*AS21</f>
        <v>59.05</v>
      </c>
      <c r="AV21" s="1176">
        <v>1</v>
      </c>
      <c r="AW21" s="1195">
        <v>61.45</v>
      </c>
      <c r="AX21" s="1222">
        <f t="shared" ref="AX21:AX37" si="60">AW21*AV21</f>
        <v>61.45</v>
      </c>
      <c r="AY21" s="1177">
        <f>1/5</f>
        <v>0.2</v>
      </c>
      <c r="AZ21" s="1195">
        <v>49.52</v>
      </c>
      <c r="BA21" s="1222">
        <f>AZ21*AY21</f>
        <v>9.9040000000000017</v>
      </c>
      <c r="BB21" s="1177">
        <f>1/5</f>
        <v>0.2</v>
      </c>
      <c r="BC21" s="1195">
        <v>49.52</v>
      </c>
      <c r="BD21" s="1222">
        <f t="shared" ref="BD21:BD37" si="61">BC21*BB21</f>
        <v>9.9040000000000017</v>
      </c>
      <c r="BE21" s="1177">
        <f>1/5</f>
        <v>0.2</v>
      </c>
      <c r="BF21" s="1195">
        <v>49.52</v>
      </c>
      <c r="BG21" s="1266">
        <f t="shared" ref="BG21:BG37" si="62">BF21*BE21</f>
        <v>9.9040000000000017</v>
      </c>
      <c r="BH21" s="1177">
        <f>1/5</f>
        <v>0.2</v>
      </c>
      <c r="BI21" s="1195">
        <v>49.52</v>
      </c>
      <c r="BJ21" s="1222">
        <f t="shared" ref="BJ21:BJ37" si="63">BI21*BH21</f>
        <v>9.9040000000000017</v>
      </c>
      <c r="BK21" s="1156">
        <v>1</v>
      </c>
      <c r="BL21" s="1195">
        <v>62.41</v>
      </c>
      <c r="BM21" s="1222">
        <f t="shared" ref="BM21:BM37" si="64">BL21*BK21</f>
        <v>62.41</v>
      </c>
      <c r="BN21" s="1156">
        <v>1</v>
      </c>
      <c r="BO21" s="1195">
        <v>49.52</v>
      </c>
      <c r="BP21" s="1222">
        <f t="shared" ref="BP21:BP37" si="65">BO21*BN21</f>
        <v>49.52</v>
      </c>
      <c r="BQ21" s="1156"/>
      <c r="BR21" s="1217"/>
      <c r="BS21" s="1222">
        <f t="shared" ref="BS21:BS37" si="66">BR21*BQ21</f>
        <v>0</v>
      </c>
      <c r="BT21" s="1164">
        <f>1/3</f>
        <v>0.33333333333333331</v>
      </c>
      <c r="BU21" s="1195">
        <v>59.05</v>
      </c>
      <c r="BV21" s="1222">
        <f t="shared" ref="BV21:BV37" si="67">BU21*BT21</f>
        <v>19.68333333333333</v>
      </c>
      <c r="BW21" s="1164">
        <f>1/3</f>
        <v>0.33333333333333331</v>
      </c>
      <c r="BX21" s="1195">
        <v>59.05</v>
      </c>
      <c r="BY21" s="1222">
        <f t="shared" ref="BY21:BY37" si="68">BX21*BW21</f>
        <v>19.68333333333333</v>
      </c>
      <c r="BZ21" s="1156">
        <v>1</v>
      </c>
      <c r="CA21" s="1195">
        <v>59.05</v>
      </c>
      <c r="CB21" s="1222">
        <f t="shared" ref="CB21:CB37" si="69">CA21*BZ21</f>
        <v>59.05</v>
      </c>
      <c r="CC21" s="1156">
        <v>1</v>
      </c>
      <c r="CD21" s="1195">
        <v>59.05</v>
      </c>
      <c r="CE21" s="1222">
        <f t="shared" ref="CE21:CE37" si="70">CD21*CC21</f>
        <v>59.05</v>
      </c>
      <c r="CF21" s="1156">
        <v>1</v>
      </c>
      <c r="CG21" s="1195">
        <v>61.45</v>
      </c>
      <c r="CH21" s="1222">
        <f t="shared" ref="CH21:CH37" si="71">CG21*CF21</f>
        <v>61.45</v>
      </c>
      <c r="CI21" s="1176">
        <v>1</v>
      </c>
      <c r="CJ21" s="1195">
        <v>61.45</v>
      </c>
      <c r="CK21" s="1222">
        <f t="shared" ref="CK21:CK37" si="72">CJ21*CI21</f>
        <v>61.45</v>
      </c>
      <c r="CL21" s="1156">
        <v>1</v>
      </c>
      <c r="CM21" s="1195">
        <v>59.05</v>
      </c>
      <c r="CN21" s="1222">
        <f t="shared" ref="CN21:CN37" si="73">CM21*CL21</f>
        <v>59.05</v>
      </c>
      <c r="CO21" s="1156">
        <v>1</v>
      </c>
      <c r="CP21" s="1195">
        <v>61.45</v>
      </c>
      <c r="CQ21" s="1222">
        <f t="shared" ref="CQ21:CQ37" si="74">CP21*CO21</f>
        <v>61.45</v>
      </c>
      <c r="CR21" s="1156"/>
      <c r="CS21" s="1195"/>
      <c r="CT21" s="1222">
        <f t="shared" ref="CT21:CT37" si="75">CS21*CR21</f>
        <v>0</v>
      </c>
      <c r="CU21" s="1156"/>
      <c r="CV21" s="1195"/>
      <c r="CW21" s="1222">
        <f t="shared" ref="CW21:CW37" si="76">CV21*CU21</f>
        <v>0</v>
      </c>
      <c r="CX21" s="1156">
        <v>1</v>
      </c>
      <c r="CY21" s="1195">
        <v>63.23</v>
      </c>
      <c r="CZ21" s="1222">
        <f t="shared" ref="CZ21:CZ37" si="77">CY21*CX21</f>
        <v>63.23</v>
      </c>
      <c r="DA21" s="1156">
        <v>1</v>
      </c>
      <c r="DB21" s="1195">
        <v>63.23</v>
      </c>
      <c r="DC21" s="1222">
        <f t="shared" ref="DC21:DC37" si="78">DB21*DA21</f>
        <v>63.23</v>
      </c>
      <c r="DD21" s="1156"/>
      <c r="DE21" s="1217"/>
      <c r="DF21" s="1222">
        <f t="shared" ref="DF21:DF37" si="79">DE21*DD21</f>
        <v>0</v>
      </c>
      <c r="DG21" s="1156"/>
      <c r="DH21" s="1217"/>
      <c r="DI21" s="1222">
        <f t="shared" ref="DI21:DI37" si="80">DH21*DG21</f>
        <v>0</v>
      </c>
      <c r="DJ21" s="1156"/>
      <c r="DK21" s="1217"/>
      <c r="DL21" s="1222">
        <f t="shared" ref="DL21:DL37" si="81">DK21*DJ21</f>
        <v>0</v>
      </c>
      <c r="DM21" s="1156"/>
      <c r="DN21" s="1217"/>
      <c r="DO21" s="1222">
        <f t="shared" ref="DO21:DO37" si="82">DN21*DM21</f>
        <v>0</v>
      </c>
      <c r="DP21" s="1156"/>
      <c r="DQ21" s="1217"/>
      <c r="DR21" s="1222">
        <f t="shared" ref="DR21:DR37" si="83">DQ21*DP21</f>
        <v>0</v>
      </c>
      <c r="DS21" s="1156"/>
      <c r="DT21" s="1217"/>
      <c r="DU21" s="1222">
        <f t="shared" ref="DU21:DU37" si="84">DT21*DS21</f>
        <v>0</v>
      </c>
      <c r="DV21" s="1156"/>
      <c r="DW21" s="1217"/>
      <c r="DX21" s="1244">
        <f t="shared" ref="DX21:DX37" si="85">DW21*DV21</f>
        <v>0</v>
      </c>
    </row>
    <row r="22" spans="1:128">
      <c r="B22" s="1305" t="s">
        <v>1251</v>
      </c>
      <c r="C22" s="1175">
        <v>15</v>
      </c>
      <c r="D22" s="1195">
        <v>3.64</v>
      </c>
      <c r="E22" s="1199">
        <f t="shared" si="45"/>
        <v>54.6</v>
      </c>
      <c r="F22" s="1176">
        <v>1</v>
      </c>
      <c r="G22" s="1217">
        <v>14.15</v>
      </c>
      <c r="H22" s="1199">
        <f t="shared" si="46"/>
        <v>14.15</v>
      </c>
      <c r="I22" s="1176"/>
      <c r="J22" s="1217"/>
      <c r="K22" s="1222">
        <f t="shared" si="47"/>
        <v>0</v>
      </c>
      <c r="L22" s="1176">
        <v>1</v>
      </c>
      <c r="M22" s="1217">
        <v>2.56</v>
      </c>
      <c r="N22" s="1222">
        <f t="shared" si="48"/>
        <v>2.56</v>
      </c>
      <c r="O22" s="1176">
        <v>13</v>
      </c>
      <c r="P22" s="1217">
        <v>3.84</v>
      </c>
      <c r="Q22" s="1222">
        <f t="shared" si="49"/>
        <v>49.92</v>
      </c>
      <c r="R22" s="1176">
        <v>2</v>
      </c>
      <c r="S22" s="1217">
        <v>2.56</v>
      </c>
      <c r="T22" s="1222">
        <f t="shared" si="50"/>
        <v>5.12</v>
      </c>
      <c r="U22" s="1176">
        <v>13</v>
      </c>
      <c r="V22" s="1217">
        <v>3.84</v>
      </c>
      <c r="W22" s="1222">
        <f t="shared" si="51"/>
        <v>49.92</v>
      </c>
      <c r="X22" s="1176">
        <v>2</v>
      </c>
      <c r="Y22" s="1217">
        <v>2.56</v>
      </c>
      <c r="Z22" s="1222">
        <f t="shared" si="52"/>
        <v>5.12</v>
      </c>
      <c r="AA22" s="1176">
        <v>6</v>
      </c>
      <c r="AB22" s="1195">
        <v>3.84</v>
      </c>
      <c r="AC22" s="1222">
        <f t="shared" si="53"/>
        <v>23.04</v>
      </c>
      <c r="AD22" s="1176">
        <v>1</v>
      </c>
      <c r="AE22" s="1195">
        <v>2.56</v>
      </c>
      <c r="AF22" s="1222">
        <f t="shared" si="54"/>
        <v>2.56</v>
      </c>
      <c r="AG22" s="1176">
        <v>6</v>
      </c>
      <c r="AH22" s="1195">
        <v>3.84</v>
      </c>
      <c r="AI22" s="1222">
        <f t="shared" si="55"/>
        <v>23.04</v>
      </c>
      <c r="AJ22" s="1176">
        <v>1</v>
      </c>
      <c r="AK22" s="1195">
        <v>2.56</v>
      </c>
      <c r="AL22" s="1222">
        <f t="shared" si="56"/>
        <v>2.56</v>
      </c>
      <c r="AM22" s="1176">
        <v>9</v>
      </c>
      <c r="AN22" s="1195">
        <v>3.84</v>
      </c>
      <c r="AO22" s="1222">
        <f t="shared" si="57"/>
        <v>34.56</v>
      </c>
      <c r="AP22" s="1176">
        <v>2</v>
      </c>
      <c r="AQ22" s="1195">
        <v>2.56</v>
      </c>
      <c r="AR22" s="1222">
        <f t="shared" si="58"/>
        <v>5.12</v>
      </c>
      <c r="AS22" s="1176">
        <v>12</v>
      </c>
      <c r="AT22" s="1195">
        <v>3.84</v>
      </c>
      <c r="AU22" s="1222">
        <f t="shared" si="59"/>
        <v>46.08</v>
      </c>
      <c r="AV22" s="1176">
        <v>1</v>
      </c>
      <c r="AW22" s="1195">
        <v>2.56</v>
      </c>
      <c r="AX22" s="1222">
        <f t="shared" si="60"/>
        <v>2.56</v>
      </c>
      <c r="AY22" s="1156">
        <v>1</v>
      </c>
      <c r="AZ22" s="1195">
        <f>16.24+51.45</f>
        <v>67.69</v>
      </c>
      <c r="BA22" s="1222">
        <f>AZ22*AY22</f>
        <v>67.69</v>
      </c>
      <c r="BB22" s="1176">
        <v>1</v>
      </c>
      <c r="BC22" s="1195">
        <v>2.56</v>
      </c>
      <c r="BD22" s="1222">
        <f t="shared" si="61"/>
        <v>2.56</v>
      </c>
      <c r="BE22" s="1156">
        <v>1</v>
      </c>
      <c r="BF22" s="1195">
        <f>16.24+51.45</f>
        <v>67.69</v>
      </c>
      <c r="BG22" s="1266">
        <f t="shared" si="62"/>
        <v>67.69</v>
      </c>
      <c r="BH22" s="1177">
        <v>1</v>
      </c>
      <c r="BI22" s="1195">
        <v>2.56</v>
      </c>
      <c r="BJ22" s="1222">
        <f t="shared" si="63"/>
        <v>2.56</v>
      </c>
      <c r="BK22" s="1156">
        <v>1</v>
      </c>
      <c r="BL22" s="1195">
        <f>16.24+51.45</f>
        <v>67.69</v>
      </c>
      <c r="BM22" s="1222">
        <f t="shared" si="64"/>
        <v>67.69</v>
      </c>
      <c r="BN22" s="1156">
        <v>1</v>
      </c>
      <c r="BO22" s="1195">
        <f>16.24+51.45+2.56</f>
        <v>70.25</v>
      </c>
      <c r="BP22" s="1222">
        <f t="shared" si="65"/>
        <v>70.25</v>
      </c>
      <c r="BQ22" s="1156"/>
      <c r="BR22" s="1217"/>
      <c r="BS22" s="1222">
        <f t="shared" si="66"/>
        <v>0</v>
      </c>
      <c r="BT22" s="1156">
        <v>3</v>
      </c>
      <c r="BU22" s="1195">
        <v>3.84</v>
      </c>
      <c r="BV22" s="1222">
        <f t="shared" si="67"/>
        <v>11.52</v>
      </c>
      <c r="BW22" s="1156">
        <v>3</v>
      </c>
      <c r="BX22" s="1195">
        <v>3.84</v>
      </c>
      <c r="BY22" s="1222">
        <f t="shared" si="68"/>
        <v>11.52</v>
      </c>
      <c r="BZ22" s="1156">
        <v>1</v>
      </c>
      <c r="CA22" s="1195">
        <v>3.84</v>
      </c>
      <c r="CB22" s="1222">
        <f t="shared" si="69"/>
        <v>3.84</v>
      </c>
      <c r="CC22" s="1156">
        <v>1</v>
      </c>
      <c r="CD22" s="1195">
        <v>3.84</v>
      </c>
      <c r="CE22" s="1222">
        <f t="shared" si="70"/>
        <v>3.84</v>
      </c>
      <c r="CF22" s="1156">
        <v>8</v>
      </c>
      <c r="CG22" s="1195">
        <v>2.4700000000000002</v>
      </c>
      <c r="CH22" s="1222">
        <f t="shared" si="71"/>
        <v>19.760000000000002</v>
      </c>
      <c r="CI22" s="1176">
        <v>2</v>
      </c>
      <c r="CJ22" s="1195">
        <v>2.56</v>
      </c>
      <c r="CK22" s="1222">
        <f t="shared" si="72"/>
        <v>5.12</v>
      </c>
      <c r="CL22" s="1156">
        <v>4</v>
      </c>
      <c r="CM22" s="1195">
        <v>3.84</v>
      </c>
      <c r="CN22" s="1222">
        <f t="shared" si="73"/>
        <v>15.36</v>
      </c>
      <c r="CO22" s="1156">
        <v>1</v>
      </c>
      <c r="CP22" s="1195">
        <v>2.56</v>
      </c>
      <c r="CQ22" s="1222">
        <f t="shared" si="74"/>
        <v>2.56</v>
      </c>
      <c r="CR22" s="1156">
        <v>12</v>
      </c>
      <c r="CS22" s="1195">
        <v>3.84</v>
      </c>
      <c r="CT22" s="1222">
        <f t="shared" si="75"/>
        <v>46.08</v>
      </c>
      <c r="CU22" s="1176">
        <v>1</v>
      </c>
      <c r="CV22" s="1195">
        <v>2.56</v>
      </c>
      <c r="CW22" s="1222">
        <f t="shared" si="76"/>
        <v>2.56</v>
      </c>
      <c r="CX22" s="1176">
        <v>1</v>
      </c>
      <c r="CY22" s="1195">
        <v>3.84</v>
      </c>
      <c r="CZ22" s="1222">
        <f t="shared" si="77"/>
        <v>3.84</v>
      </c>
      <c r="DA22" s="1176">
        <v>1</v>
      </c>
      <c r="DB22" s="1195">
        <v>2.59</v>
      </c>
      <c r="DC22" s="1222">
        <f t="shared" si="78"/>
        <v>2.59</v>
      </c>
      <c r="DD22" s="1156"/>
      <c r="DE22" s="1217"/>
      <c r="DF22" s="1222">
        <f t="shared" si="79"/>
        <v>0</v>
      </c>
      <c r="DG22" s="1156"/>
      <c r="DH22" s="1217"/>
      <c r="DI22" s="1222">
        <f t="shared" si="80"/>
        <v>0</v>
      </c>
      <c r="DJ22" s="1156"/>
      <c r="DK22" s="1217"/>
      <c r="DL22" s="1222">
        <f t="shared" si="81"/>
        <v>0</v>
      </c>
      <c r="DM22" s="1156"/>
      <c r="DN22" s="1217"/>
      <c r="DO22" s="1222">
        <f t="shared" si="82"/>
        <v>0</v>
      </c>
      <c r="DP22" s="1156"/>
      <c r="DQ22" s="1217"/>
      <c r="DR22" s="1222">
        <f t="shared" si="83"/>
        <v>0</v>
      </c>
      <c r="DS22" s="1156"/>
      <c r="DT22" s="1217"/>
      <c r="DU22" s="1222">
        <f t="shared" si="84"/>
        <v>0</v>
      </c>
      <c r="DV22" s="1156"/>
      <c r="DW22" s="1217"/>
      <c r="DX22" s="1244">
        <f t="shared" si="85"/>
        <v>0</v>
      </c>
    </row>
    <row r="23" spans="1:128">
      <c r="B23" s="1305" t="s">
        <v>1252</v>
      </c>
      <c r="C23" s="1175"/>
      <c r="D23" s="1195"/>
      <c r="E23" s="1199">
        <f t="shared" si="45"/>
        <v>0</v>
      </c>
      <c r="F23" s="1176">
        <v>1</v>
      </c>
      <c r="G23" s="1217">
        <v>5.36</v>
      </c>
      <c r="H23" s="1199">
        <f t="shared" si="46"/>
        <v>5.36</v>
      </c>
      <c r="I23" s="1176"/>
      <c r="J23" s="1217"/>
      <c r="K23" s="1222">
        <f t="shared" si="47"/>
        <v>0</v>
      </c>
      <c r="L23" s="1176">
        <v>1</v>
      </c>
      <c r="M23" s="1217">
        <v>5.36</v>
      </c>
      <c r="N23" s="1222">
        <f>M23*L23</f>
        <v>5.36</v>
      </c>
      <c r="O23" s="1176"/>
      <c r="P23" s="1217"/>
      <c r="Q23" s="1222">
        <f t="shared" si="49"/>
        <v>0</v>
      </c>
      <c r="R23" s="1176">
        <v>2</v>
      </c>
      <c r="S23" s="1217">
        <v>5.36</v>
      </c>
      <c r="T23" s="1222">
        <f t="shared" si="50"/>
        <v>10.72</v>
      </c>
      <c r="U23" s="1176"/>
      <c r="V23" s="1217"/>
      <c r="W23" s="1222">
        <f t="shared" si="51"/>
        <v>0</v>
      </c>
      <c r="X23" s="1176">
        <v>2</v>
      </c>
      <c r="Y23" s="1217">
        <v>5.36</v>
      </c>
      <c r="Z23" s="1222">
        <f t="shared" si="52"/>
        <v>10.72</v>
      </c>
      <c r="AA23" s="1176"/>
      <c r="AB23" s="1195"/>
      <c r="AC23" s="1222">
        <f t="shared" si="53"/>
        <v>0</v>
      </c>
      <c r="AD23" s="1176">
        <v>1</v>
      </c>
      <c r="AE23" s="1195">
        <v>5.36</v>
      </c>
      <c r="AF23" s="1222">
        <f t="shared" si="54"/>
        <v>5.36</v>
      </c>
      <c r="AG23" s="1176"/>
      <c r="AH23" s="1195"/>
      <c r="AI23" s="1222">
        <f t="shared" si="55"/>
        <v>0</v>
      </c>
      <c r="AJ23" s="1176">
        <v>1</v>
      </c>
      <c r="AK23" s="1195">
        <v>5.36</v>
      </c>
      <c r="AL23" s="1222">
        <f t="shared" si="56"/>
        <v>5.36</v>
      </c>
      <c r="AM23" s="1176"/>
      <c r="AN23" s="1195"/>
      <c r="AO23" s="1222">
        <f t="shared" si="57"/>
        <v>0</v>
      </c>
      <c r="AP23" s="1176">
        <v>2</v>
      </c>
      <c r="AQ23" s="1195">
        <v>5.36</v>
      </c>
      <c r="AR23" s="1222">
        <f t="shared" si="58"/>
        <v>10.72</v>
      </c>
      <c r="AS23" s="1176"/>
      <c r="AT23" s="1195"/>
      <c r="AU23" s="1222">
        <f t="shared" si="59"/>
        <v>0</v>
      </c>
      <c r="AV23" s="1176">
        <v>1</v>
      </c>
      <c r="AW23" s="1195">
        <v>5.36</v>
      </c>
      <c r="AX23" s="1222">
        <f t="shared" si="60"/>
        <v>5.36</v>
      </c>
      <c r="AY23" s="1176"/>
      <c r="AZ23" s="1195"/>
      <c r="BA23" s="1222">
        <f>AZ23*AY23</f>
        <v>0</v>
      </c>
      <c r="BB23" s="1177">
        <f>1/5</f>
        <v>0.2</v>
      </c>
      <c r="BC23" s="1195">
        <v>5.36</v>
      </c>
      <c r="BD23" s="1222">
        <f t="shared" si="61"/>
        <v>1.0720000000000001</v>
      </c>
      <c r="BE23" s="1177"/>
      <c r="BF23" s="1195"/>
      <c r="BG23" s="1266"/>
      <c r="BH23" s="1177">
        <f>1/5</f>
        <v>0.2</v>
      </c>
      <c r="BI23" s="1195">
        <v>5.36</v>
      </c>
      <c r="BJ23" s="1222">
        <f t="shared" si="63"/>
        <v>1.0720000000000001</v>
      </c>
      <c r="BK23" s="1176"/>
      <c r="BL23" s="1195"/>
      <c r="BM23" s="1222">
        <f t="shared" si="64"/>
        <v>0</v>
      </c>
      <c r="BN23" s="1156">
        <v>1</v>
      </c>
      <c r="BO23" s="1195">
        <v>5.36</v>
      </c>
      <c r="BP23" s="1222">
        <f t="shared" si="65"/>
        <v>5.36</v>
      </c>
      <c r="BQ23" s="1156"/>
      <c r="BR23" s="1217"/>
      <c r="BS23" s="1222">
        <f t="shared" si="66"/>
        <v>0</v>
      </c>
      <c r="BT23" s="1156"/>
      <c r="BU23" s="1195"/>
      <c r="BV23" s="1222">
        <f t="shared" si="67"/>
        <v>0</v>
      </c>
      <c r="BW23" s="1176"/>
      <c r="BX23" s="1217"/>
      <c r="BY23" s="1222">
        <f t="shared" si="68"/>
        <v>0</v>
      </c>
      <c r="BZ23" s="1156"/>
      <c r="CA23" s="1195"/>
      <c r="CB23" s="1222">
        <f t="shared" si="69"/>
        <v>0</v>
      </c>
      <c r="CC23" s="1156"/>
      <c r="CD23" s="1195"/>
      <c r="CE23" s="1222">
        <f t="shared" si="70"/>
        <v>0</v>
      </c>
      <c r="CF23" s="1156"/>
      <c r="CG23" s="1195"/>
      <c r="CH23" s="1222">
        <f t="shared" si="71"/>
        <v>0</v>
      </c>
      <c r="CI23" s="1176">
        <v>1</v>
      </c>
      <c r="CJ23" s="1195">
        <v>5.36</v>
      </c>
      <c r="CK23" s="1222">
        <f t="shared" si="72"/>
        <v>5.36</v>
      </c>
      <c r="CL23" s="1156"/>
      <c r="CM23" s="1195"/>
      <c r="CN23" s="1222">
        <f t="shared" si="73"/>
        <v>0</v>
      </c>
      <c r="CO23" s="1156"/>
      <c r="CP23" s="1195"/>
      <c r="CQ23" s="1222">
        <f t="shared" si="74"/>
        <v>0</v>
      </c>
      <c r="CR23" s="1156"/>
      <c r="CS23" s="1195"/>
      <c r="CT23" s="1222">
        <f t="shared" si="75"/>
        <v>0</v>
      </c>
      <c r="CU23" s="1156"/>
      <c r="CV23" s="1195"/>
      <c r="CW23" s="1222">
        <f t="shared" si="76"/>
        <v>0</v>
      </c>
      <c r="CX23" s="1156">
        <v>1</v>
      </c>
      <c r="CY23" s="1195">
        <v>5.33</v>
      </c>
      <c r="CZ23" s="1222">
        <f t="shared" si="77"/>
        <v>5.33</v>
      </c>
      <c r="DA23" s="1156">
        <v>3</v>
      </c>
      <c r="DB23" s="1195">
        <v>5.33</v>
      </c>
      <c r="DC23" s="1222">
        <f t="shared" si="78"/>
        <v>15.99</v>
      </c>
      <c r="DD23" s="1156"/>
      <c r="DE23" s="1217"/>
      <c r="DF23" s="1222">
        <f t="shared" si="79"/>
        <v>0</v>
      </c>
      <c r="DG23" s="1156"/>
      <c r="DH23" s="1217"/>
      <c r="DI23" s="1222">
        <f t="shared" si="80"/>
        <v>0</v>
      </c>
      <c r="DJ23" s="1156"/>
      <c r="DK23" s="1217"/>
      <c r="DL23" s="1222">
        <f t="shared" si="81"/>
        <v>0</v>
      </c>
      <c r="DM23" s="1156"/>
      <c r="DN23" s="1217"/>
      <c r="DO23" s="1222">
        <f t="shared" si="82"/>
        <v>0</v>
      </c>
      <c r="DP23" s="1156"/>
      <c r="DQ23" s="1217"/>
      <c r="DR23" s="1222">
        <f t="shared" si="83"/>
        <v>0</v>
      </c>
      <c r="DS23" s="1156"/>
      <c r="DT23" s="1217"/>
      <c r="DU23" s="1222">
        <f t="shared" si="84"/>
        <v>0</v>
      </c>
      <c r="DV23" s="1156"/>
      <c r="DW23" s="1217"/>
      <c r="DX23" s="1244">
        <f t="shared" si="85"/>
        <v>0</v>
      </c>
    </row>
    <row r="24" spans="1:128">
      <c r="B24" s="1305" t="s">
        <v>1253</v>
      </c>
      <c r="C24" s="1175"/>
      <c r="D24" s="1195"/>
      <c r="E24" s="1199">
        <f t="shared" si="45"/>
        <v>0</v>
      </c>
      <c r="F24" s="1176"/>
      <c r="G24" s="1217"/>
      <c r="H24" s="1199">
        <f t="shared" si="46"/>
        <v>0</v>
      </c>
      <c r="I24" s="1176"/>
      <c r="J24" s="1217"/>
      <c r="K24" s="1199">
        <f t="shared" si="47"/>
        <v>0</v>
      </c>
      <c r="L24" s="1176"/>
      <c r="M24" s="1217"/>
      <c r="N24" s="1199">
        <f>M24*L24</f>
        <v>0</v>
      </c>
      <c r="O24" s="1176"/>
      <c r="P24" s="1217"/>
      <c r="Q24" s="1222"/>
      <c r="R24" s="1176"/>
      <c r="S24" s="1217"/>
      <c r="T24" s="1199">
        <f t="shared" si="50"/>
        <v>0</v>
      </c>
      <c r="U24" s="1176"/>
      <c r="V24" s="1217"/>
      <c r="W24" s="1199">
        <f t="shared" si="51"/>
        <v>0</v>
      </c>
      <c r="X24" s="1176"/>
      <c r="Y24" s="1217"/>
      <c r="Z24" s="1199">
        <f t="shared" si="52"/>
        <v>0</v>
      </c>
      <c r="AA24" s="1176"/>
      <c r="AB24" s="1195"/>
      <c r="AC24" s="1199">
        <f t="shared" si="53"/>
        <v>0</v>
      </c>
      <c r="AD24" s="1176"/>
      <c r="AE24" s="1195"/>
      <c r="AF24" s="1199">
        <f t="shared" si="54"/>
        <v>0</v>
      </c>
      <c r="AG24" s="1176"/>
      <c r="AH24" s="1195"/>
      <c r="AI24" s="1199">
        <f t="shared" si="55"/>
        <v>0</v>
      </c>
      <c r="AJ24" s="1176"/>
      <c r="AK24" s="1195"/>
      <c r="AL24" s="1199">
        <f t="shared" si="56"/>
        <v>0</v>
      </c>
      <c r="AM24" s="1176"/>
      <c r="AN24" s="1195"/>
      <c r="AO24" s="1199">
        <f t="shared" si="57"/>
        <v>0</v>
      </c>
      <c r="AP24" s="1176">
        <v>2</v>
      </c>
      <c r="AQ24" s="1195">
        <v>23.29</v>
      </c>
      <c r="AR24" s="1199">
        <f t="shared" si="58"/>
        <v>46.58</v>
      </c>
      <c r="AS24" s="1176"/>
      <c r="AT24" s="1195"/>
      <c r="AU24" s="1222"/>
      <c r="AV24" s="1176"/>
      <c r="AW24" s="1195"/>
      <c r="AX24" s="1199">
        <f t="shared" si="60"/>
        <v>0</v>
      </c>
      <c r="AY24" s="1177">
        <f>1/5</f>
        <v>0.2</v>
      </c>
      <c r="AZ24" s="1195">
        <v>11.25</v>
      </c>
      <c r="BA24" s="1199">
        <f>AZ24*AY24</f>
        <v>2.25</v>
      </c>
      <c r="BB24" s="1177">
        <f>1/5</f>
        <v>0.2</v>
      </c>
      <c r="BC24" s="1195">
        <v>11.25</v>
      </c>
      <c r="BD24" s="1199">
        <f t="shared" si="61"/>
        <v>2.25</v>
      </c>
      <c r="BE24" s="1177">
        <f>1/5</f>
        <v>0.2</v>
      </c>
      <c r="BF24" s="1195">
        <v>11.25</v>
      </c>
      <c r="BG24" s="1199">
        <f>BF24*BE24</f>
        <v>2.25</v>
      </c>
      <c r="BH24" s="1177">
        <f>1/5</f>
        <v>0.2</v>
      </c>
      <c r="BI24" s="1195">
        <v>11.25</v>
      </c>
      <c r="BJ24" s="1222">
        <f t="shared" si="63"/>
        <v>2.25</v>
      </c>
      <c r="BK24" s="1176"/>
      <c r="BL24" s="1195"/>
      <c r="BM24" s="1222">
        <f t="shared" si="64"/>
        <v>0</v>
      </c>
      <c r="BN24" s="1156"/>
      <c r="BO24" s="1195"/>
      <c r="BP24" s="1222">
        <f t="shared" si="65"/>
        <v>0</v>
      </c>
      <c r="BQ24" s="1156"/>
      <c r="BR24" s="1217"/>
      <c r="BS24" s="1222">
        <f t="shared" si="66"/>
        <v>0</v>
      </c>
      <c r="BT24" s="1156">
        <v>1</v>
      </c>
      <c r="BU24" s="1195">
        <v>23.29</v>
      </c>
      <c r="BV24" s="1199">
        <f t="shared" si="67"/>
        <v>23.29</v>
      </c>
      <c r="BW24" s="1156">
        <v>1</v>
      </c>
      <c r="BX24" s="1195">
        <v>23.29</v>
      </c>
      <c r="BY24" s="1199">
        <f t="shared" si="68"/>
        <v>23.29</v>
      </c>
      <c r="BZ24" s="1156"/>
      <c r="CA24" s="1195"/>
      <c r="CB24" s="1199">
        <f t="shared" si="69"/>
        <v>0</v>
      </c>
      <c r="CC24" s="1156"/>
      <c r="CD24" s="1195"/>
      <c r="CE24" s="1199">
        <f t="shared" si="70"/>
        <v>0</v>
      </c>
      <c r="CF24" s="1156"/>
      <c r="CG24" s="1195"/>
      <c r="CH24" s="1199">
        <f t="shared" si="71"/>
        <v>0</v>
      </c>
      <c r="CI24" s="1176"/>
      <c r="CJ24" s="1195"/>
      <c r="CK24" s="1222">
        <f t="shared" si="72"/>
        <v>0</v>
      </c>
      <c r="CL24" s="1156"/>
      <c r="CM24" s="1195"/>
      <c r="CN24" s="1222">
        <f t="shared" si="73"/>
        <v>0</v>
      </c>
      <c r="CO24" s="1156"/>
      <c r="CP24" s="1195"/>
      <c r="CQ24" s="1222">
        <f t="shared" si="74"/>
        <v>0</v>
      </c>
      <c r="CR24" s="1156">
        <v>1</v>
      </c>
      <c r="CS24" s="1195">
        <v>24.78</v>
      </c>
      <c r="CT24" s="1222">
        <f t="shared" si="75"/>
        <v>24.78</v>
      </c>
      <c r="CU24" s="1156">
        <v>1</v>
      </c>
      <c r="CV24" s="1195">
        <v>24.78</v>
      </c>
      <c r="CW24" s="1222">
        <f t="shared" si="76"/>
        <v>24.78</v>
      </c>
      <c r="CX24" s="1156">
        <v>2</v>
      </c>
      <c r="CY24" s="1195">
        <v>9.49</v>
      </c>
      <c r="CZ24" s="1222">
        <f t="shared" si="77"/>
        <v>18.98</v>
      </c>
      <c r="DA24" s="1156">
        <v>2</v>
      </c>
      <c r="DB24" s="1195">
        <v>9.49</v>
      </c>
      <c r="DC24" s="1222">
        <f t="shared" si="78"/>
        <v>18.98</v>
      </c>
      <c r="DD24" s="1156"/>
      <c r="DE24" s="1217"/>
      <c r="DF24" s="1222"/>
      <c r="DG24" s="1156"/>
      <c r="DH24" s="1217"/>
      <c r="DI24" s="1222"/>
      <c r="DJ24" s="1156"/>
      <c r="DK24" s="1217"/>
      <c r="DL24" s="1222"/>
      <c r="DM24" s="1156"/>
      <c r="DN24" s="1217"/>
      <c r="DO24" s="1222"/>
      <c r="DP24" s="1156"/>
      <c r="DQ24" s="1217"/>
      <c r="DR24" s="1222"/>
      <c r="DS24" s="1156"/>
      <c r="DT24" s="1217"/>
      <c r="DU24" s="1222"/>
      <c r="DV24" s="1156"/>
      <c r="DW24" s="1217"/>
      <c r="DX24" s="1244"/>
    </row>
    <row r="25" spans="1:128">
      <c r="B25" s="1305" t="s">
        <v>153</v>
      </c>
      <c r="C25" s="1175">
        <v>2</v>
      </c>
      <c r="D25" s="1195">
        <v>11.27</v>
      </c>
      <c r="E25" s="1199">
        <f>D25*C25</f>
        <v>22.54</v>
      </c>
      <c r="F25" s="1176">
        <v>1</v>
      </c>
      <c r="G25" s="1217">
        <v>10.4</v>
      </c>
      <c r="H25" s="1199">
        <f>G25*F25</f>
        <v>10.4</v>
      </c>
      <c r="I25" s="1176">
        <v>2</v>
      </c>
      <c r="J25" s="1217">
        <v>11.27</v>
      </c>
      <c r="K25" s="1222">
        <f>J25*I25</f>
        <v>22.54</v>
      </c>
      <c r="L25" s="1176">
        <v>1</v>
      </c>
      <c r="M25" s="1217">
        <v>10.4</v>
      </c>
      <c r="N25" s="1222">
        <f>M25*L25</f>
        <v>10.4</v>
      </c>
      <c r="O25" s="1176">
        <v>1</v>
      </c>
      <c r="P25" s="1217">
        <v>11.27</v>
      </c>
      <c r="Q25" s="1222">
        <f>P25*O25</f>
        <v>11.27</v>
      </c>
      <c r="R25" s="1176">
        <v>1</v>
      </c>
      <c r="S25" s="1217">
        <v>10.4</v>
      </c>
      <c r="T25" s="1222">
        <f>S25*R25</f>
        <v>10.4</v>
      </c>
      <c r="U25" s="1176">
        <v>1</v>
      </c>
      <c r="V25" s="1217">
        <v>10.4</v>
      </c>
      <c r="W25" s="1222">
        <f>V25*U25</f>
        <v>10.4</v>
      </c>
      <c r="X25" s="1176">
        <v>1</v>
      </c>
      <c r="Y25" s="1217">
        <v>10.4</v>
      </c>
      <c r="Z25" s="1222">
        <f>Y25*X25</f>
        <v>10.4</v>
      </c>
      <c r="AA25" s="1176">
        <v>1</v>
      </c>
      <c r="AB25" s="1195">
        <v>9.98</v>
      </c>
      <c r="AC25" s="1222">
        <f>AB25*AA25</f>
        <v>9.98</v>
      </c>
      <c r="AD25" s="1176">
        <v>1</v>
      </c>
      <c r="AE25" s="1195">
        <v>10.4</v>
      </c>
      <c r="AF25" s="1222">
        <f>AE25*AD25</f>
        <v>10.4</v>
      </c>
      <c r="AG25" s="1176">
        <v>1</v>
      </c>
      <c r="AH25" s="1195">
        <v>8.76</v>
      </c>
      <c r="AI25" s="1222">
        <f>AH25*AG25</f>
        <v>8.76</v>
      </c>
      <c r="AJ25" s="1176">
        <v>1</v>
      </c>
      <c r="AK25" s="1195">
        <v>10.4</v>
      </c>
      <c r="AL25" s="1222">
        <f>AK25*AJ25</f>
        <v>10.4</v>
      </c>
      <c r="AM25" s="1176">
        <v>1</v>
      </c>
      <c r="AN25" s="1195">
        <v>8.76</v>
      </c>
      <c r="AO25" s="1222">
        <f>AN25*AM25</f>
        <v>8.76</v>
      </c>
      <c r="AP25" s="1176">
        <v>1</v>
      </c>
      <c r="AQ25" s="1195">
        <v>8.76</v>
      </c>
      <c r="AR25" s="1222">
        <f>AQ25*AP25</f>
        <v>8.76</v>
      </c>
      <c r="AS25" s="1176">
        <v>2</v>
      </c>
      <c r="AT25" s="1195">
        <v>8.76</v>
      </c>
      <c r="AU25" s="1222">
        <f>AT25*AS25</f>
        <v>17.52</v>
      </c>
      <c r="AV25" s="1176">
        <v>1</v>
      </c>
      <c r="AW25" s="1195">
        <v>10.4</v>
      </c>
      <c r="AX25" s="1222">
        <f>AW25*AV25</f>
        <v>10.4</v>
      </c>
      <c r="AY25" s="1177">
        <f>1/5</f>
        <v>0.2</v>
      </c>
      <c r="AZ25" s="1195">
        <v>8.2200000000000006</v>
      </c>
      <c r="BA25" s="1222">
        <f>AZ25*AY25</f>
        <v>1.6440000000000001</v>
      </c>
      <c r="BB25" s="1177">
        <f>1/5</f>
        <v>0.2</v>
      </c>
      <c r="BC25" s="1195">
        <v>8.2200000000000006</v>
      </c>
      <c r="BD25" s="1222">
        <f>BC25*BB25</f>
        <v>1.6440000000000001</v>
      </c>
      <c r="BE25" s="1177">
        <f>1/5</f>
        <v>0.2</v>
      </c>
      <c r="BF25" s="1195">
        <v>8.76</v>
      </c>
      <c r="BG25" s="1266">
        <f>BF25*BE25</f>
        <v>1.752</v>
      </c>
      <c r="BH25" s="1177">
        <f>1/5</f>
        <v>0.2</v>
      </c>
      <c r="BI25" s="1195">
        <v>8.76</v>
      </c>
      <c r="BJ25" s="1222">
        <f t="shared" si="63"/>
        <v>1.752</v>
      </c>
      <c r="BK25" s="1176">
        <v>2</v>
      </c>
      <c r="BL25" s="1195">
        <v>11.27</v>
      </c>
      <c r="BM25" s="1222">
        <f t="shared" si="64"/>
        <v>22.54</v>
      </c>
      <c r="BN25" s="1156">
        <v>2</v>
      </c>
      <c r="BO25" s="1195">
        <v>10.4</v>
      </c>
      <c r="BP25" s="1222">
        <f t="shared" si="65"/>
        <v>20.8</v>
      </c>
      <c r="BQ25" s="1156"/>
      <c r="BR25" s="1217"/>
      <c r="BS25" s="1222">
        <f t="shared" si="66"/>
        <v>0</v>
      </c>
      <c r="BT25" s="1156">
        <v>1</v>
      </c>
      <c r="BU25" s="1195">
        <v>8.76</v>
      </c>
      <c r="BV25" s="1222">
        <f>BU25*BT25</f>
        <v>8.76</v>
      </c>
      <c r="BW25" s="1156">
        <v>1</v>
      </c>
      <c r="BX25" s="1195">
        <v>8.76</v>
      </c>
      <c r="BY25" s="1222">
        <f>BX25*BW25</f>
        <v>8.76</v>
      </c>
      <c r="BZ25" s="1156">
        <v>1</v>
      </c>
      <c r="CA25" s="1195">
        <v>8.76</v>
      </c>
      <c r="CB25" s="1222">
        <f>CA25*BZ25</f>
        <v>8.76</v>
      </c>
      <c r="CC25" s="1156">
        <v>1</v>
      </c>
      <c r="CD25" s="1195">
        <v>8.76</v>
      </c>
      <c r="CE25" s="1222">
        <f>CD25*CC25</f>
        <v>8.76</v>
      </c>
      <c r="CF25" s="1156">
        <v>2</v>
      </c>
      <c r="CG25" s="1195">
        <v>10.4</v>
      </c>
      <c r="CH25" s="1222">
        <f>CG25*CF25</f>
        <v>20.8</v>
      </c>
      <c r="CI25" s="1176">
        <v>1</v>
      </c>
      <c r="CJ25" s="1195">
        <v>10.4</v>
      </c>
      <c r="CK25" s="1222">
        <f>CJ25*CI25</f>
        <v>10.4</v>
      </c>
      <c r="CL25" s="1156">
        <v>2</v>
      </c>
      <c r="CM25" s="1195">
        <v>9.98</v>
      </c>
      <c r="CN25" s="1222">
        <f>CM25*CL25</f>
        <v>19.96</v>
      </c>
      <c r="CO25" s="1156">
        <v>2</v>
      </c>
      <c r="CP25" s="1195">
        <v>10.4</v>
      </c>
      <c r="CQ25" s="1222">
        <f>CP25*CO25</f>
        <v>20.8</v>
      </c>
      <c r="CR25" s="1156">
        <v>1</v>
      </c>
      <c r="CS25" s="1195">
        <v>9.98</v>
      </c>
      <c r="CT25" s="1222">
        <f t="shared" si="75"/>
        <v>9.98</v>
      </c>
      <c r="CU25" s="1156">
        <v>1</v>
      </c>
      <c r="CV25" s="1195">
        <v>9.98</v>
      </c>
      <c r="CW25" s="1222">
        <f t="shared" si="76"/>
        <v>9.98</v>
      </c>
      <c r="CX25" s="1156"/>
      <c r="CY25" s="1195"/>
      <c r="CZ25" s="1222">
        <f t="shared" si="77"/>
        <v>0</v>
      </c>
      <c r="DA25" s="1156"/>
      <c r="DB25" s="1195"/>
      <c r="DC25" s="1222">
        <f t="shared" si="78"/>
        <v>0</v>
      </c>
      <c r="DD25" s="1156"/>
      <c r="DE25" s="1217"/>
      <c r="DF25" s="1222">
        <f>DE25*DD25</f>
        <v>0</v>
      </c>
      <c r="DG25" s="1156"/>
      <c r="DH25" s="1217"/>
      <c r="DI25" s="1222">
        <f>DH25*DG25</f>
        <v>0</v>
      </c>
      <c r="DJ25" s="1156"/>
      <c r="DK25" s="1217"/>
      <c r="DL25" s="1222">
        <f>DK25*DJ25</f>
        <v>0</v>
      </c>
      <c r="DM25" s="1156"/>
      <c r="DN25" s="1217"/>
      <c r="DO25" s="1222">
        <f>DN25*DM25</f>
        <v>0</v>
      </c>
      <c r="DP25" s="1156"/>
      <c r="DQ25" s="1217"/>
      <c r="DR25" s="1222">
        <f>DQ25*DP25</f>
        <v>0</v>
      </c>
      <c r="DS25" s="1156"/>
      <c r="DT25" s="1217"/>
      <c r="DU25" s="1222">
        <f>DT25*DS25</f>
        <v>0</v>
      </c>
      <c r="DV25" s="1156"/>
      <c r="DW25" s="1217"/>
      <c r="DX25" s="1244">
        <f>DW25*DV25</f>
        <v>0</v>
      </c>
    </row>
    <row r="26" spans="1:128">
      <c r="B26" s="1305" t="s">
        <v>1254</v>
      </c>
      <c r="C26" s="1175">
        <v>2</v>
      </c>
      <c r="D26" s="1195">
        <v>9.8699999999999992</v>
      </c>
      <c r="E26" s="1199">
        <f t="shared" si="45"/>
        <v>19.739999999999998</v>
      </c>
      <c r="F26" s="1176">
        <v>1</v>
      </c>
      <c r="G26" s="1217">
        <v>8.2200000000000006</v>
      </c>
      <c r="H26" s="1199">
        <f t="shared" si="46"/>
        <v>8.2200000000000006</v>
      </c>
      <c r="I26" s="1176"/>
      <c r="J26" s="1217"/>
      <c r="K26" s="1222">
        <f t="shared" si="47"/>
        <v>0</v>
      </c>
      <c r="L26" s="1176">
        <v>1</v>
      </c>
      <c r="M26" s="1217">
        <v>8.2200000000000006</v>
      </c>
      <c r="N26" s="1222">
        <f t="shared" si="48"/>
        <v>8.2200000000000006</v>
      </c>
      <c r="O26" s="1176"/>
      <c r="P26" s="1217"/>
      <c r="Q26" s="1222">
        <f t="shared" si="49"/>
        <v>0</v>
      </c>
      <c r="R26" s="1176">
        <v>1</v>
      </c>
      <c r="S26" s="1217">
        <v>8.2200000000000006</v>
      </c>
      <c r="T26" s="1222">
        <f t="shared" si="50"/>
        <v>8.2200000000000006</v>
      </c>
      <c r="U26" s="1176">
        <v>1</v>
      </c>
      <c r="V26" s="1217">
        <v>8.2200000000000006</v>
      </c>
      <c r="W26" s="1222">
        <f t="shared" si="51"/>
        <v>8.2200000000000006</v>
      </c>
      <c r="X26" s="1176">
        <v>1</v>
      </c>
      <c r="Y26" s="1217">
        <v>8.2200000000000006</v>
      </c>
      <c r="Z26" s="1222">
        <f t="shared" si="52"/>
        <v>8.2200000000000006</v>
      </c>
      <c r="AA26" s="1176"/>
      <c r="AB26" s="1195"/>
      <c r="AC26" s="1222">
        <f t="shared" si="53"/>
        <v>0</v>
      </c>
      <c r="AD26" s="1176">
        <v>1</v>
      </c>
      <c r="AE26" s="1195">
        <v>8.2200000000000006</v>
      </c>
      <c r="AF26" s="1222">
        <f t="shared" si="54"/>
        <v>8.2200000000000006</v>
      </c>
      <c r="AG26" s="1176"/>
      <c r="AH26" s="1195"/>
      <c r="AI26" s="1222">
        <f t="shared" si="55"/>
        <v>0</v>
      </c>
      <c r="AJ26" s="1176">
        <v>1</v>
      </c>
      <c r="AK26" s="1195">
        <v>8.2200000000000006</v>
      </c>
      <c r="AL26" s="1222">
        <f t="shared" si="56"/>
        <v>8.2200000000000006</v>
      </c>
      <c r="AM26" s="1176">
        <v>2</v>
      </c>
      <c r="AN26" s="1195">
        <v>23.29</v>
      </c>
      <c r="AO26" s="1222">
        <f t="shared" si="57"/>
        <v>46.58</v>
      </c>
      <c r="AP26" s="1176"/>
      <c r="AQ26" s="1195"/>
      <c r="AR26" s="1222">
        <f t="shared" si="58"/>
        <v>0</v>
      </c>
      <c r="AS26" s="1176"/>
      <c r="AT26" s="1195"/>
      <c r="AU26" s="1222">
        <f t="shared" si="59"/>
        <v>0</v>
      </c>
      <c r="AV26" s="1176">
        <v>1</v>
      </c>
      <c r="AW26" s="1195">
        <v>8.2200000000000006</v>
      </c>
      <c r="AX26" s="1222">
        <f t="shared" si="60"/>
        <v>8.2200000000000006</v>
      </c>
      <c r="AY26" s="1176"/>
      <c r="AZ26" s="1195"/>
      <c r="BA26" s="1222">
        <f t="shared" ref="BA26:BA37" si="86">AZ26*AY26</f>
        <v>0</v>
      </c>
      <c r="BB26" s="1176"/>
      <c r="BC26" s="1195"/>
      <c r="BD26" s="1222">
        <f t="shared" si="61"/>
        <v>0</v>
      </c>
      <c r="BE26" s="1177"/>
      <c r="BF26" s="1195"/>
      <c r="BG26" s="1266">
        <f t="shared" si="62"/>
        <v>0</v>
      </c>
      <c r="BH26" s="1177"/>
      <c r="BI26" s="1195"/>
      <c r="BJ26" s="1222">
        <f t="shared" si="63"/>
        <v>0</v>
      </c>
      <c r="BK26" s="1176">
        <v>2</v>
      </c>
      <c r="BL26" s="1195">
        <v>9.8699999999999992</v>
      </c>
      <c r="BM26" s="1222">
        <f t="shared" si="64"/>
        <v>19.739999999999998</v>
      </c>
      <c r="BN26" s="1156"/>
      <c r="BO26" s="1195"/>
      <c r="BP26" s="1222">
        <f t="shared" si="65"/>
        <v>0</v>
      </c>
      <c r="BQ26" s="1156"/>
      <c r="BR26" s="1217"/>
      <c r="BS26" s="1222">
        <f t="shared" si="66"/>
        <v>0</v>
      </c>
      <c r="BT26" s="1156"/>
      <c r="BU26" s="1195"/>
      <c r="BV26" s="1222">
        <f t="shared" si="67"/>
        <v>0</v>
      </c>
      <c r="BW26" s="1156"/>
      <c r="BX26" s="1195"/>
      <c r="BY26" s="1222">
        <f t="shared" si="68"/>
        <v>0</v>
      </c>
      <c r="BZ26" s="1156"/>
      <c r="CA26" s="1195"/>
      <c r="CB26" s="1222">
        <f t="shared" si="69"/>
        <v>0</v>
      </c>
      <c r="CC26" s="1156"/>
      <c r="CD26" s="1195"/>
      <c r="CE26" s="1222">
        <f t="shared" si="70"/>
        <v>0</v>
      </c>
      <c r="CF26" s="1156"/>
      <c r="CG26" s="1195"/>
      <c r="CH26" s="1222">
        <f t="shared" si="71"/>
        <v>0</v>
      </c>
      <c r="CI26" s="1176">
        <v>1</v>
      </c>
      <c r="CJ26" s="1195">
        <v>8.2200000000000006</v>
      </c>
      <c r="CK26" s="1222">
        <f t="shared" si="72"/>
        <v>8.2200000000000006</v>
      </c>
      <c r="CL26" s="1156"/>
      <c r="CM26" s="1195"/>
      <c r="CN26" s="1222">
        <f t="shared" si="73"/>
        <v>0</v>
      </c>
      <c r="CO26" s="1156"/>
      <c r="CP26" s="1195"/>
      <c r="CQ26" s="1222">
        <f t="shared" si="74"/>
        <v>0</v>
      </c>
      <c r="CR26" s="1156">
        <v>3</v>
      </c>
      <c r="CS26" s="1195">
        <v>10.98</v>
      </c>
      <c r="CT26" s="1222">
        <f t="shared" si="75"/>
        <v>32.94</v>
      </c>
      <c r="CU26" s="1156">
        <v>3</v>
      </c>
      <c r="CV26" s="1195">
        <v>10.98</v>
      </c>
      <c r="CW26" s="1222">
        <f t="shared" si="76"/>
        <v>32.94</v>
      </c>
      <c r="CX26" s="1156"/>
      <c r="CY26" s="1195"/>
      <c r="CZ26" s="1222">
        <f t="shared" si="77"/>
        <v>0</v>
      </c>
      <c r="DA26" s="1156"/>
      <c r="DB26" s="1195"/>
      <c r="DC26" s="1222">
        <f t="shared" si="78"/>
        <v>0</v>
      </c>
      <c r="DD26" s="1156"/>
      <c r="DE26" s="1217"/>
      <c r="DF26" s="1222">
        <f t="shared" si="79"/>
        <v>0</v>
      </c>
      <c r="DG26" s="1156"/>
      <c r="DH26" s="1217"/>
      <c r="DI26" s="1222">
        <f t="shared" si="80"/>
        <v>0</v>
      </c>
      <c r="DJ26" s="1156"/>
      <c r="DK26" s="1217"/>
      <c r="DL26" s="1222">
        <f t="shared" si="81"/>
        <v>0</v>
      </c>
      <c r="DM26" s="1156"/>
      <c r="DN26" s="1217"/>
      <c r="DO26" s="1222">
        <f t="shared" si="82"/>
        <v>0</v>
      </c>
      <c r="DP26" s="1156"/>
      <c r="DQ26" s="1217"/>
      <c r="DR26" s="1222">
        <f t="shared" si="83"/>
        <v>0</v>
      </c>
      <c r="DS26" s="1156"/>
      <c r="DT26" s="1217"/>
      <c r="DU26" s="1222">
        <f t="shared" si="84"/>
        <v>0</v>
      </c>
      <c r="DV26" s="1156"/>
      <c r="DW26" s="1217"/>
      <c r="DX26" s="1244">
        <f t="shared" si="85"/>
        <v>0</v>
      </c>
    </row>
    <row r="27" spans="1:128">
      <c r="B27" s="1305" t="s">
        <v>154</v>
      </c>
      <c r="C27" s="1175"/>
      <c r="D27" s="1195"/>
      <c r="E27" s="1199">
        <f t="shared" si="45"/>
        <v>0</v>
      </c>
      <c r="F27" s="1176"/>
      <c r="G27" s="1217"/>
      <c r="H27" s="1199">
        <f t="shared" si="46"/>
        <v>0</v>
      </c>
      <c r="I27" s="1176">
        <v>2</v>
      </c>
      <c r="J27" s="1217">
        <v>5.05</v>
      </c>
      <c r="K27" s="1222">
        <f t="shared" si="47"/>
        <v>10.1</v>
      </c>
      <c r="L27" s="1176"/>
      <c r="M27" s="1217"/>
      <c r="N27" s="1222">
        <f t="shared" si="48"/>
        <v>0</v>
      </c>
      <c r="O27" s="1176"/>
      <c r="P27" s="1217"/>
      <c r="Q27" s="1222">
        <f t="shared" si="49"/>
        <v>0</v>
      </c>
      <c r="R27" s="1176"/>
      <c r="S27" s="1217"/>
      <c r="T27" s="1222">
        <f t="shared" si="50"/>
        <v>0</v>
      </c>
      <c r="U27" s="1176"/>
      <c r="V27" s="1217"/>
      <c r="W27" s="1222">
        <f t="shared" si="51"/>
        <v>0</v>
      </c>
      <c r="X27" s="1176"/>
      <c r="Y27" s="1217"/>
      <c r="Z27" s="1222">
        <f t="shared" si="52"/>
        <v>0</v>
      </c>
      <c r="AA27" s="1176"/>
      <c r="AB27" s="1195"/>
      <c r="AC27" s="1222">
        <f t="shared" si="53"/>
        <v>0</v>
      </c>
      <c r="AD27" s="1176"/>
      <c r="AE27" s="1195"/>
      <c r="AF27" s="1222">
        <f t="shared" si="54"/>
        <v>0</v>
      </c>
      <c r="AG27" s="1176"/>
      <c r="AH27" s="1195"/>
      <c r="AI27" s="1222">
        <f t="shared" si="55"/>
        <v>0</v>
      </c>
      <c r="AJ27" s="1176"/>
      <c r="AK27" s="1195"/>
      <c r="AL27" s="1222">
        <f t="shared" si="56"/>
        <v>0</v>
      </c>
      <c r="AM27" s="1176"/>
      <c r="AN27" s="1195"/>
      <c r="AO27" s="1222">
        <f t="shared" si="57"/>
        <v>0</v>
      </c>
      <c r="AP27" s="1176"/>
      <c r="AQ27" s="1195"/>
      <c r="AR27" s="1222">
        <f t="shared" si="58"/>
        <v>0</v>
      </c>
      <c r="AS27" s="1176"/>
      <c r="AT27" s="1195"/>
      <c r="AU27" s="1222">
        <f t="shared" si="59"/>
        <v>0</v>
      </c>
      <c r="AV27" s="1176"/>
      <c r="AW27" s="1195"/>
      <c r="AX27" s="1222">
        <f t="shared" si="60"/>
        <v>0</v>
      </c>
      <c r="AY27" s="1176"/>
      <c r="AZ27" s="1195"/>
      <c r="BA27" s="1222">
        <f t="shared" si="86"/>
        <v>0</v>
      </c>
      <c r="BB27" s="1176"/>
      <c r="BC27" s="1195"/>
      <c r="BD27" s="1222">
        <f t="shared" si="61"/>
        <v>0</v>
      </c>
      <c r="BE27" s="1177"/>
      <c r="BF27" s="1195"/>
      <c r="BG27" s="1266">
        <f t="shared" si="62"/>
        <v>0</v>
      </c>
      <c r="BH27" s="1177"/>
      <c r="BI27" s="1195"/>
      <c r="BJ27" s="1222">
        <f t="shared" si="63"/>
        <v>0</v>
      </c>
      <c r="BK27" s="1176"/>
      <c r="BL27" s="1195"/>
      <c r="BM27" s="1222">
        <f t="shared" si="64"/>
        <v>0</v>
      </c>
      <c r="BN27" s="1156"/>
      <c r="BO27" s="1195"/>
      <c r="BP27" s="1222">
        <f t="shared" si="65"/>
        <v>0</v>
      </c>
      <c r="BQ27" s="1156"/>
      <c r="BR27" s="1217"/>
      <c r="BS27" s="1222">
        <f t="shared" si="66"/>
        <v>0</v>
      </c>
      <c r="BT27" s="1156"/>
      <c r="BU27" s="1195"/>
      <c r="BV27" s="1222">
        <f t="shared" si="67"/>
        <v>0</v>
      </c>
      <c r="BW27" s="1156"/>
      <c r="BX27" s="1195"/>
      <c r="BY27" s="1222">
        <f t="shared" si="68"/>
        <v>0</v>
      </c>
      <c r="BZ27" s="1156"/>
      <c r="CA27" s="1195"/>
      <c r="CB27" s="1222">
        <f t="shared" si="69"/>
        <v>0</v>
      </c>
      <c r="CC27" s="1156"/>
      <c r="CD27" s="1195"/>
      <c r="CE27" s="1222">
        <f t="shared" si="70"/>
        <v>0</v>
      </c>
      <c r="CF27" s="1156"/>
      <c r="CG27" s="1195"/>
      <c r="CH27" s="1222">
        <f t="shared" si="71"/>
        <v>0</v>
      </c>
      <c r="CI27" s="1176"/>
      <c r="CJ27" s="1195"/>
      <c r="CK27" s="1222">
        <f t="shared" si="72"/>
        <v>0</v>
      </c>
      <c r="CL27" s="1156"/>
      <c r="CM27" s="1195"/>
      <c r="CN27" s="1222">
        <f t="shared" si="73"/>
        <v>0</v>
      </c>
      <c r="CO27" s="1156"/>
      <c r="CP27" s="1195"/>
      <c r="CQ27" s="1222">
        <f t="shared" si="74"/>
        <v>0</v>
      </c>
      <c r="CR27" s="1156">
        <v>1</v>
      </c>
      <c r="CS27" s="1195">
        <v>5.05</v>
      </c>
      <c r="CT27" s="1222">
        <f t="shared" si="75"/>
        <v>5.05</v>
      </c>
      <c r="CU27" s="1156"/>
      <c r="CV27" s="1195"/>
      <c r="CW27" s="1222">
        <f t="shared" si="76"/>
        <v>0</v>
      </c>
      <c r="CX27" s="1176">
        <v>2</v>
      </c>
      <c r="CY27" s="1217">
        <v>5.05</v>
      </c>
      <c r="CZ27" s="1222">
        <f t="shared" si="77"/>
        <v>10.1</v>
      </c>
      <c r="DA27" s="1156"/>
      <c r="DB27" s="1195"/>
      <c r="DC27" s="1222">
        <f t="shared" si="78"/>
        <v>0</v>
      </c>
      <c r="DD27" s="1154"/>
      <c r="DE27" s="1217"/>
      <c r="DF27" s="1222">
        <f t="shared" si="79"/>
        <v>0</v>
      </c>
      <c r="DG27" s="1156"/>
      <c r="DH27" s="1217"/>
      <c r="DI27" s="1222">
        <f t="shared" si="80"/>
        <v>0</v>
      </c>
      <c r="DJ27" s="1156"/>
      <c r="DK27" s="1217"/>
      <c r="DL27" s="1222">
        <f t="shared" si="81"/>
        <v>0</v>
      </c>
      <c r="DM27" s="1156"/>
      <c r="DN27" s="1217"/>
      <c r="DO27" s="1222">
        <f t="shared" si="82"/>
        <v>0</v>
      </c>
      <c r="DP27" s="1156"/>
      <c r="DQ27" s="1217"/>
      <c r="DR27" s="1222">
        <f t="shared" si="83"/>
        <v>0</v>
      </c>
      <c r="DS27" s="1156"/>
      <c r="DT27" s="1217"/>
      <c r="DU27" s="1222">
        <f t="shared" si="84"/>
        <v>0</v>
      </c>
      <c r="DV27" s="1156"/>
      <c r="DW27" s="1217"/>
      <c r="DX27" s="1244">
        <f t="shared" si="85"/>
        <v>0</v>
      </c>
    </row>
    <row r="28" spans="1:128">
      <c r="B28" s="1305" t="s">
        <v>155</v>
      </c>
      <c r="C28" s="1175"/>
      <c r="D28" s="1195"/>
      <c r="E28" s="1199">
        <f t="shared" si="45"/>
        <v>0</v>
      </c>
      <c r="F28" s="1176"/>
      <c r="G28" s="1217"/>
      <c r="H28" s="1199">
        <f t="shared" si="46"/>
        <v>0</v>
      </c>
      <c r="I28" s="1176">
        <v>2</v>
      </c>
      <c r="J28" s="1217">
        <v>4.9400000000000004</v>
      </c>
      <c r="K28" s="1222">
        <f t="shared" si="47"/>
        <v>9.8800000000000008</v>
      </c>
      <c r="L28" s="1176"/>
      <c r="M28" s="1217"/>
      <c r="N28" s="1222">
        <f t="shared" si="48"/>
        <v>0</v>
      </c>
      <c r="O28" s="1176"/>
      <c r="P28" s="1217"/>
      <c r="Q28" s="1222">
        <f t="shared" si="49"/>
        <v>0</v>
      </c>
      <c r="R28" s="1176"/>
      <c r="S28" s="1217"/>
      <c r="T28" s="1222">
        <f t="shared" si="50"/>
        <v>0</v>
      </c>
      <c r="U28" s="1176"/>
      <c r="V28" s="1217"/>
      <c r="W28" s="1222">
        <f t="shared" si="51"/>
        <v>0</v>
      </c>
      <c r="X28" s="1176"/>
      <c r="Y28" s="1217"/>
      <c r="Z28" s="1222">
        <f t="shared" si="52"/>
        <v>0</v>
      </c>
      <c r="AA28" s="1176"/>
      <c r="AB28" s="1195"/>
      <c r="AC28" s="1222">
        <f t="shared" si="53"/>
        <v>0</v>
      </c>
      <c r="AD28" s="1176"/>
      <c r="AE28" s="1195"/>
      <c r="AF28" s="1222">
        <f t="shared" si="54"/>
        <v>0</v>
      </c>
      <c r="AG28" s="1176"/>
      <c r="AH28" s="1195"/>
      <c r="AI28" s="1222">
        <f t="shared" si="55"/>
        <v>0</v>
      </c>
      <c r="AJ28" s="1176"/>
      <c r="AK28" s="1195"/>
      <c r="AL28" s="1222">
        <f t="shared" si="56"/>
        <v>0</v>
      </c>
      <c r="AM28" s="1176"/>
      <c r="AN28" s="1195"/>
      <c r="AO28" s="1222">
        <f t="shared" si="57"/>
        <v>0</v>
      </c>
      <c r="AP28" s="1176"/>
      <c r="AQ28" s="1195"/>
      <c r="AR28" s="1222">
        <f t="shared" si="58"/>
        <v>0</v>
      </c>
      <c r="AS28" s="1176"/>
      <c r="AT28" s="1195"/>
      <c r="AU28" s="1222">
        <f t="shared" si="59"/>
        <v>0</v>
      </c>
      <c r="AV28" s="1176"/>
      <c r="AW28" s="1195"/>
      <c r="AX28" s="1222">
        <f t="shared" si="60"/>
        <v>0</v>
      </c>
      <c r="AY28" s="1176"/>
      <c r="AZ28" s="1195"/>
      <c r="BA28" s="1222">
        <f t="shared" si="86"/>
        <v>0</v>
      </c>
      <c r="BB28" s="1176"/>
      <c r="BC28" s="1195"/>
      <c r="BD28" s="1222">
        <f t="shared" si="61"/>
        <v>0</v>
      </c>
      <c r="BE28" s="1177"/>
      <c r="BF28" s="1195"/>
      <c r="BG28" s="1266">
        <f t="shared" si="62"/>
        <v>0</v>
      </c>
      <c r="BH28" s="1177"/>
      <c r="BI28" s="1195"/>
      <c r="BJ28" s="1222">
        <f t="shared" si="63"/>
        <v>0</v>
      </c>
      <c r="BK28" s="1176"/>
      <c r="BL28" s="1195"/>
      <c r="BM28" s="1222">
        <f t="shared" si="64"/>
        <v>0</v>
      </c>
      <c r="BN28" s="1156"/>
      <c r="BO28" s="1195"/>
      <c r="BP28" s="1222">
        <f t="shared" si="65"/>
        <v>0</v>
      </c>
      <c r="BQ28" s="1156"/>
      <c r="BR28" s="1217"/>
      <c r="BS28" s="1222">
        <f t="shared" si="66"/>
        <v>0</v>
      </c>
      <c r="BT28" s="1156"/>
      <c r="BU28" s="1195"/>
      <c r="BV28" s="1222">
        <f t="shared" si="67"/>
        <v>0</v>
      </c>
      <c r="BW28" s="1156"/>
      <c r="BX28" s="1195"/>
      <c r="BY28" s="1222">
        <f t="shared" si="68"/>
        <v>0</v>
      </c>
      <c r="BZ28" s="1156"/>
      <c r="CA28" s="1195"/>
      <c r="CB28" s="1222">
        <f t="shared" si="69"/>
        <v>0</v>
      </c>
      <c r="CC28" s="1156"/>
      <c r="CD28" s="1195"/>
      <c r="CE28" s="1222">
        <f t="shared" si="70"/>
        <v>0</v>
      </c>
      <c r="CF28" s="1156"/>
      <c r="CG28" s="1195"/>
      <c r="CH28" s="1222">
        <f t="shared" si="71"/>
        <v>0</v>
      </c>
      <c r="CI28" s="1176"/>
      <c r="CJ28" s="1195"/>
      <c r="CK28" s="1222">
        <f t="shared" si="72"/>
        <v>0</v>
      </c>
      <c r="CL28" s="1156"/>
      <c r="CM28" s="1195"/>
      <c r="CN28" s="1222">
        <f t="shared" si="73"/>
        <v>0</v>
      </c>
      <c r="CO28" s="1156"/>
      <c r="CP28" s="1195"/>
      <c r="CQ28" s="1222">
        <f t="shared" si="74"/>
        <v>0</v>
      </c>
      <c r="CR28" s="1156"/>
      <c r="CS28" s="1195"/>
      <c r="CT28" s="1222">
        <f t="shared" si="75"/>
        <v>0</v>
      </c>
      <c r="CU28" s="1156"/>
      <c r="CV28" s="1195"/>
      <c r="CW28" s="1222">
        <f t="shared" si="76"/>
        <v>0</v>
      </c>
      <c r="CX28" s="1176">
        <v>2</v>
      </c>
      <c r="CY28" s="1217">
        <v>4.9400000000000004</v>
      </c>
      <c r="CZ28" s="1222">
        <f t="shared" si="77"/>
        <v>9.8800000000000008</v>
      </c>
      <c r="DA28" s="1156"/>
      <c r="DB28" s="1195"/>
      <c r="DC28" s="1222">
        <f t="shared" si="78"/>
        <v>0</v>
      </c>
      <c r="DD28" s="1154"/>
      <c r="DE28" s="1217"/>
      <c r="DF28" s="1222">
        <f t="shared" si="79"/>
        <v>0</v>
      </c>
      <c r="DG28" s="1156"/>
      <c r="DH28" s="1217"/>
      <c r="DI28" s="1222">
        <f t="shared" si="80"/>
        <v>0</v>
      </c>
      <c r="DJ28" s="1156"/>
      <c r="DK28" s="1217"/>
      <c r="DL28" s="1222">
        <f t="shared" si="81"/>
        <v>0</v>
      </c>
      <c r="DM28" s="1156"/>
      <c r="DN28" s="1217"/>
      <c r="DO28" s="1222">
        <f t="shared" si="82"/>
        <v>0</v>
      </c>
      <c r="DP28" s="1156"/>
      <c r="DQ28" s="1217"/>
      <c r="DR28" s="1222">
        <f t="shared" si="83"/>
        <v>0</v>
      </c>
      <c r="DS28" s="1156"/>
      <c r="DT28" s="1217"/>
      <c r="DU28" s="1222">
        <f t="shared" si="84"/>
        <v>0</v>
      </c>
      <c r="DV28" s="1156"/>
      <c r="DW28" s="1217"/>
      <c r="DX28" s="1244">
        <f t="shared" si="85"/>
        <v>0</v>
      </c>
    </row>
    <row r="29" spans="1:128">
      <c r="B29" s="1305" t="s">
        <v>156</v>
      </c>
      <c r="C29" s="1175">
        <v>1</v>
      </c>
      <c r="D29" s="1195">
        <v>24.25</v>
      </c>
      <c r="E29" s="1199">
        <f t="shared" si="45"/>
        <v>24.25</v>
      </c>
      <c r="F29" s="1176">
        <v>1</v>
      </c>
      <c r="G29" s="1217">
        <v>21.17</v>
      </c>
      <c r="H29" s="1199">
        <f t="shared" si="46"/>
        <v>21.17</v>
      </c>
      <c r="I29" s="1176">
        <v>1</v>
      </c>
      <c r="J29" s="1217">
        <v>24.25</v>
      </c>
      <c r="K29" s="1222">
        <f t="shared" si="47"/>
        <v>24.25</v>
      </c>
      <c r="L29" s="1176">
        <v>1</v>
      </c>
      <c r="M29" s="1217">
        <v>19.14</v>
      </c>
      <c r="N29" s="1222">
        <f t="shared" si="48"/>
        <v>19.14</v>
      </c>
      <c r="O29" s="1176">
        <v>1</v>
      </c>
      <c r="P29" s="1217">
        <v>16.510000000000002</v>
      </c>
      <c r="Q29" s="1222">
        <f t="shared" si="49"/>
        <v>16.510000000000002</v>
      </c>
      <c r="R29" s="1176">
        <v>1</v>
      </c>
      <c r="S29" s="1217">
        <v>19.14</v>
      </c>
      <c r="T29" s="1222">
        <f t="shared" si="50"/>
        <v>19.14</v>
      </c>
      <c r="U29" s="1176">
        <v>1</v>
      </c>
      <c r="V29" s="1217">
        <v>19.14</v>
      </c>
      <c r="W29" s="1222">
        <f t="shared" si="51"/>
        <v>19.14</v>
      </c>
      <c r="X29" s="1176">
        <v>1</v>
      </c>
      <c r="Y29" s="1217">
        <v>19.14</v>
      </c>
      <c r="Z29" s="1222">
        <f t="shared" si="52"/>
        <v>19.14</v>
      </c>
      <c r="AA29" s="1176">
        <v>1</v>
      </c>
      <c r="AB29" s="1195">
        <v>18.25</v>
      </c>
      <c r="AC29" s="1222">
        <f t="shared" si="53"/>
        <v>18.25</v>
      </c>
      <c r="AD29" s="1176">
        <v>1</v>
      </c>
      <c r="AE29" s="1195">
        <v>19.14</v>
      </c>
      <c r="AF29" s="1222">
        <f t="shared" si="54"/>
        <v>19.14</v>
      </c>
      <c r="AG29" s="1176">
        <v>1</v>
      </c>
      <c r="AH29" s="1195">
        <v>18.25</v>
      </c>
      <c r="AI29" s="1222">
        <f t="shared" si="55"/>
        <v>18.25</v>
      </c>
      <c r="AJ29" s="1176">
        <v>1</v>
      </c>
      <c r="AK29" s="1195">
        <v>19.14</v>
      </c>
      <c r="AL29" s="1222">
        <f t="shared" si="56"/>
        <v>19.14</v>
      </c>
      <c r="AM29" s="1176">
        <v>1</v>
      </c>
      <c r="AN29" s="1195">
        <v>18.25</v>
      </c>
      <c r="AO29" s="1222">
        <f t="shared" si="57"/>
        <v>18.25</v>
      </c>
      <c r="AP29" s="1176">
        <v>1</v>
      </c>
      <c r="AQ29" s="1195">
        <v>18.25</v>
      </c>
      <c r="AR29" s="1222">
        <f t="shared" si="58"/>
        <v>18.25</v>
      </c>
      <c r="AS29" s="1176">
        <v>1</v>
      </c>
      <c r="AT29" s="1195">
        <v>18.25</v>
      </c>
      <c r="AU29" s="1222">
        <f t="shared" si="59"/>
        <v>18.25</v>
      </c>
      <c r="AV29" s="1176">
        <v>1</v>
      </c>
      <c r="AW29" s="1195">
        <v>19.14</v>
      </c>
      <c r="AX29" s="1222">
        <f t="shared" si="60"/>
        <v>19.14</v>
      </c>
      <c r="AY29" s="1177">
        <f>1/5</f>
        <v>0.2</v>
      </c>
      <c r="AZ29" s="1195">
        <v>19.14</v>
      </c>
      <c r="BA29" s="1222">
        <f t="shared" si="86"/>
        <v>3.8280000000000003</v>
      </c>
      <c r="BB29" s="1177">
        <f>1/5</f>
        <v>0.2</v>
      </c>
      <c r="BC29" s="1195">
        <v>19.440000000000001</v>
      </c>
      <c r="BD29" s="1222">
        <f t="shared" si="61"/>
        <v>3.8880000000000003</v>
      </c>
      <c r="BE29" s="1177">
        <f>1/5</f>
        <v>0.2</v>
      </c>
      <c r="BF29" s="1195">
        <v>21.8</v>
      </c>
      <c r="BG29" s="1266">
        <f t="shared" si="62"/>
        <v>4.3600000000000003</v>
      </c>
      <c r="BH29" s="1177">
        <f>1/5</f>
        <v>0.2</v>
      </c>
      <c r="BI29" s="1195">
        <v>21.8</v>
      </c>
      <c r="BJ29" s="1222">
        <f t="shared" si="63"/>
        <v>4.3600000000000003</v>
      </c>
      <c r="BK29" s="1176">
        <v>1</v>
      </c>
      <c r="BL29" s="1195">
        <v>24.25</v>
      </c>
      <c r="BM29" s="1222">
        <f t="shared" si="64"/>
        <v>24.25</v>
      </c>
      <c r="BN29" s="1156">
        <v>1</v>
      </c>
      <c r="BO29" s="1195">
        <v>21.17</v>
      </c>
      <c r="BP29" s="1222">
        <f t="shared" si="65"/>
        <v>21.17</v>
      </c>
      <c r="BQ29" s="1156"/>
      <c r="BR29" s="1217"/>
      <c r="BS29" s="1222">
        <f t="shared" si="66"/>
        <v>0</v>
      </c>
      <c r="BT29" s="1156">
        <v>1</v>
      </c>
      <c r="BU29" s="1195">
        <v>18.25</v>
      </c>
      <c r="BV29" s="1222">
        <f t="shared" si="67"/>
        <v>18.25</v>
      </c>
      <c r="BW29" s="1156">
        <v>1</v>
      </c>
      <c r="BX29" s="1195">
        <v>18.25</v>
      </c>
      <c r="BY29" s="1222">
        <f t="shared" si="68"/>
        <v>18.25</v>
      </c>
      <c r="BZ29" s="1156">
        <v>1</v>
      </c>
      <c r="CA29" s="1195">
        <v>18.25</v>
      </c>
      <c r="CB29" s="1222">
        <f t="shared" si="69"/>
        <v>18.25</v>
      </c>
      <c r="CC29" s="1156">
        <v>1</v>
      </c>
      <c r="CD29" s="1195">
        <v>18.25</v>
      </c>
      <c r="CE29" s="1222">
        <f t="shared" si="70"/>
        <v>18.25</v>
      </c>
      <c r="CF29" s="1156">
        <v>1</v>
      </c>
      <c r="CG29" s="1195">
        <v>19.14</v>
      </c>
      <c r="CH29" s="1222">
        <f t="shared" si="71"/>
        <v>19.14</v>
      </c>
      <c r="CI29" s="1176">
        <v>1</v>
      </c>
      <c r="CJ29" s="1195">
        <v>19.14</v>
      </c>
      <c r="CK29" s="1222">
        <f t="shared" si="72"/>
        <v>19.14</v>
      </c>
      <c r="CL29" s="1154">
        <v>1</v>
      </c>
      <c r="CM29" s="1195">
        <v>18.25</v>
      </c>
      <c r="CN29" s="1222">
        <f t="shared" si="73"/>
        <v>18.25</v>
      </c>
      <c r="CO29" s="1154">
        <v>1</v>
      </c>
      <c r="CP29" s="1195">
        <v>19.399999999999999</v>
      </c>
      <c r="CQ29" s="1222">
        <f t="shared" si="74"/>
        <v>19.399999999999999</v>
      </c>
      <c r="CR29" s="1154">
        <v>1</v>
      </c>
      <c r="CS29" s="1195">
        <v>18.25</v>
      </c>
      <c r="CT29" s="1222">
        <f t="shared" si="75"/>
        <v>18.25</v>
      </c>
      <c r="CU29" s="1154">
        <v>1</v>
      </c>
      <c r="CV29" s="1195">
        <v>18.25</v>
      </c>
      <c r="CW29" s="1222">
        <f t="shared" si="76"/>
        <v>18.25</v>
      </c>
      <c r="CX29" s="1154">
        <v>1</v>
      </c>
      <c r="CY29" s="1195">
        <v>19.920000000000002</v>
      </c>
      <c r="CZ29" s="1222">
        <f t="shared" si="77"/>
        <v>19.920000000000002</v>
      </c>
      <c r="DA29" s="1154">
        <v>1</v>
      </c>
      <c r="DB29" s="1195">
        <v>19.920000000000002</v>
      </c>
      <c r="DC29" s="1222">
        <f t="shared" si="78"/>
        <v>19.920000000000002</v>
      </c>
      <c r="DD29" s="1154"/>
      <c r="DE29" s="1217"/>
      <c r="DF29" s="1222">
        <f t="shared" si="79"/>
        <v>0</v>
      </c>
      <c r="DG29" s="1156"/>
      <c r="DH29" s="1217"/>
      <c r="DI29" s="1222">
        <f t="shared" si="80"/>
        <v>0</v>
      </c>
      <c r="DJ29" s="1156"/>
      <c r="DK29" s="1217"/>
      <c r="DL29" s="1222">
        <f t="shared" si="81"/>
        <v>0</v>
      </c>
      <c r="DM29" s="1156"/>
      <c r="DN29" s="1217"/>
      <c r="DO29" s="1222">
        <f t="shared" si="82"/>
        <v>0</v>
      </c>
      <c r="DP29" s="1156"/>
      <c r="DQ29" s="1217"/>
      <c r="DR29" s="1222">
        <f t="shared" si="83"/>
        <v>0</v>
      </c>
      <c r="DS29" s="1156"/>
      <c r="DT29" s="1217"/>
      <c r="DU29" s="1222">
        <f t="shared" si="84"/>
        <v>0</v>
      </c>
      <c r="DV29" s="1156"/>
      <c r="DW29" s="1217"/>
      <c r="DX29" s="1244">
        <f t="shared" si="85"/>
        <v>0</v>
      </c>
    </row>
    <row r="30" spans="1:128">
      <c r="B30" s="1305" t="s">
        <v>157</v>
      </c>
      <c r="C30" s="1175">
        <v>2</v>
      </c>
      <c r="D30" s="1195">
        <v>13.95</v>
      </c>
      <c r="E30" s="1199">
        <f t="shared" si="45"/>
        <v>27.9</v>
      </c>
      <c r="F30" s="1176">
        <v>1</v>
      </c>
      <c r="G30" s="1217">
        <v>14.34</v>
      </c>
      <c r="H30" s="1199">
        <f t="shared" si="46"/>
        <v>14.34</v>
      </c>
      <c r="I30" s="1176">
        <v>2</v>
      </c>
      <c r="J30" s="1217">
        <v>13.95</v>
      </c>
      <c r="K30" s="1222">
        <f t="shared" si="47"/>
        <v>27.9</v>
      </c>
      <c r="L30" s="1176"/>
      <c r="M30" s="1217"/>
      <c r="N30" s="1222">
        <f t="shared" si="48"/>
        <v>0</v>
      </c>
      <c r="O30" s="1176"/>
      <c r="P30" s="1217"/>
      <c r="Q30" s="1222">
        <f t="shared" si="49"/>
        <v>0</v>
      </c>
      <c r="R30" s="1176"/>
      <c r="S30" s="1217"/>
      <c r="T30" s="1222">
        <f t="shared" si="50"/>
        <v>0</v>
      </c>
      <c r="U30" s="1176"/>
      <c r="V30" s="1217"/>
      <c r="W30" s="1222">
        <f t="shared" si="51"/>
        <v>0</v>
      </c>
      <c r="X30" s="1176"/>
      <c r="Y30" s="1217"/>
      <c r="Z30" s="1222">
        <f t="shared" si="52"/>
        <v>0</v>
      </c>
      <c r="AA30" s="1176"/>
      <c r="AB30" s="1195"/>
      <c r="AC30" s="1222">
        <f t="shared" si="53"/>
        <v>0</v>
      </c>
      <c r="AD30" s="1176"/>
      <c r="AE30" s="1195"/>
      <c r="AF30" s="1222">
        <f t="shared" si="54"/>
        <v>0</v>
      </c>
      <c r="AG30" s="1176"/>
      <c r="AH30" s="1195"/>
      <c r="AI30" s="1222">
        <f t="shared" si="55"/>
        <v>0</v>
      </c>
      <c r="AJ30" s="1176"/>
      <c r="AK30" s="1195"/>
      <c r="AL30" s="1222">
        <f t="shared" si="56"/>
        <v>0</v>
      </c>
      <c r="AM30" s="1176"/>
      <c r="AN30" s="1195"/>
      <c r="AO30" s="1222">
        <f t="shared" si="57"/>
        <v>0</v>
      </c>
      <c r="AP30" s="1176"/>
      <c r="AQ30" s="1195"/>
      <c r="AR30" s="1222">
        <f t="shared" si="58"/>
        <v>0</v>
      </c>
      <c r="AS30" s="1176"/>
      <c r="AT30" s="1195"/>
      <c r="AU30" s="1222">
        <f t="shared" si="59"/>
        <v>0</v>
      </c>
      <c r="AV30" s="1176"/>
      <c r="AW30" s="1195"/>
      <c r="AX30" s="1222">
        <f t="shared" si="60"/>
        <v>0</v>
      </c>
      <c r="AY30" s="1176"/>
      <c r="AZ30" s="1195"/>
      <c r="BA30" s="1222">
        <f t="shared" si="86"/>
        <v>0</v>
      </c>
      <c r="BB30" s="1176"/>
      <c r="BC30" s="1195"/>
      <c r="BD30" s="1222">
        <f t="shared" si="61"/>
        <v>0</v>
      </c>
      <c r="BE30" s="1177"/>
      <c r="BF30" s="1195"/>
      <c r="BG30" s="1266">
        <f t="shared" si="62"/>
        <v>0</v>
      </c>
      <c r="BH30" s="1177"/>
      <c r="BI30" s="1195"/>
      <c r="BJ30" s="1222">
        <f t="shared" si="63"/>
        <v>0</v>
      </c>
      <c r="BK30" s="1176">
        <v>2</v>
      </c>
      <c r="BL30" s="1195">
        <v>13.95</v>
      </c>
      <c r="BM30" s="1222">
        <f t="shared" si="64"/>
        <v>27.9</v>
      </c>
      <c r="BN30" s="1156">
        <v>1</v>
      </c>
      <c r="BO30" s="1195">
        <v>14.34</v>
      </c>
      <c r="BP30" s="1222">
        <f t="shared" si="65"/>
        <v>14.34</v>
      </c>
      <c r="BQ30" s="1156"/>
      <c r="BR30" s="1217"/>
      <c r="BS30" s="1222">
        <f t="shared" si="66"/>
        <v>0</v>
      </c>
      <c r="BT30" s="1163"/>
      <c r="BU30" s="1195"/>
      <c r="BV30" s="1222">
        <f t="shared" si="67"/>
        <v>0</v>
      </c>
      <c r="BW30" s="1163"/>
      <c r="BX30" s="1195"/>
      <c r="BY30" s="1222">
        <f t="shared" si="68"/>
        <v>0</v>
      </c>
      <c r="BZ30" s="1156"/>
      <c r="CA30" s="1195"/>
      <c r="CB30" s="1222">
        <f t="shared" si="69"/>
        <v>0</v>
      </c>
      <c r="CC30" s="1156"/>
      <c r="CD30" s="1195"/>
      <c r="CE30" s="1222">
        <f t="shared" si="70"/>
        <v>0</v>
      </c>
      <c r="CF30" s="1156"/>
      <c r="CG30" s="1195"/>
      <c r="CH30" s="1222">
        <f t="shared" si="71"/>
        <v>0</v>
      </c>
      <c r="CI30" s="1176"/>
      <c r="CJ30" s="1195"/>
      <c r="CK30" s="1222">
        <f t="shared" si="72"/>
        <v>0</v>
      </c>
      <c r="CL30" s="1154"/>
      <c r="CM30" s="1195"/>
      <c r="CN30" s="1222">
        <f t="shared" si="73"/>
        <v>0</v>
      </c>
      <c r="CO30" s="1154"/>
      <c r="CP30" s="1195"/>
      <c r="CQ30" s="1222">
        <f t="shared" si="74"/>
        <v>0</v>
      </c>
      <c r="CR30" s="1154"/>
      <c r="CS30" s="1195"/>
      <c r="CT30" s="1222">
        <f t="shared" si="75"/>
        <v>0</v>
      </c>
      <c r="CU30" s="1154"/>
      <c r="CV30" s="1195"/>
      <c r="CW30" s="1222">
        <f t="shared" si="76"/>
        <v>0</v>
      </c>
      <c r="CX30" s="1154">
        <v>2</v>
      </c>
      <c r="CY30" s="1195">
        <v>14.17</v>
      </c>
      <c r="CZ30" s="1222">
        <f t="shared" si="77"/>
        <v>28.34</v>
      </c>
      <c r="DA30" s="1154">
        <v>2</v>
      </c>
      <c r="DB30" s="1195">
        <v>14.17</v>
      </c>
      <c r="DC30" s="1222">
        <f t="shared" si="78"/>
        <v>28.34</v>
      </c>
      <c r="DD30" s="1154"/>
      <c r="DE30" s="1217"/>
      <c r="DF30" s="1222">
        <f t="shared" si="79"/>
        <v>0</v>
      </c>
      <c r="DG30" s="1163"/>
      <c r="DH30" s="1217"/>
      <c r="DI30" s="1222">
        <f t="shared" si="80"/>
        <v>0</v>
      </c>
      <c r="DJ30" s="1163"/>
      <c r="DK30" s="1217"/>
      <c r="DL30" s="1222">
        <f t="shared" si="81"/>
        <v>0</v>
      </c>
      <c r="DM30" s="1156"/>
      <c r="DN30" s="1217"/>
      <c r="DO30" s="1222">
        <f t="shared" si="82"/>
        <v>0</v>
      </c>
      <c r="DP30" s="1156"/>
      <c r="DQ30" s="1217"/>
      <c r="DR30" s="1222">
        <f t="shared" si="83"/>
        <v>0</v>
      </c>
      <c r="DS30" s="1156"/>
      <c r="DT30" s="1217"/>
      <c r="DU30" s="1222">
        <f t="shared" si="84"/>
        <v>0</v>
      </c>
      <c r="DV30" s="1156"/>
      <c r="DW30" s="1217"/>
      <c r="DX30" s="1244">
        <f t="shared" si="85"/>
        <v>0</v>
      </c>
    </row>
    <row r="31" spans="1:128">
      <c r="B31" s="1305" t="s">
        <v>835</v>
      </c>
      <c r="C31" s="1175"/>
      <c r="D31" s="1195"/>
      <c r="E31" s="1199">
        <f t="shared" si="45"/>
        <v>0</v>
      </c>
      <c r="F31" s="1176"/>
      <c r="G31" s="1217"/>
      <c r="H31" s="1199">
        <f t="shared" si="46"/>
        <v>0</v>
      </c>
      <c r="I31" s="1176"/>
      <c r="J31" s="1217"/>
      <c r="K31" s="1222">
        <f t="shared" si="47"/>
        <v>0</v>
      </c>
      <c r="L31" s="1176">
        <v>1</v>
      </c>
      <c r="M31" s="1217">
        <v>5.98</v>
      </c>
      <c r="N31" s="1222">
        <f t="shared" si="48"/>
        <v>5.98</v>
      </c>
      <c r="O31" s="1176"/>
      <c r="P31" s="1217"/>
      <c r="Q31" s="1222">
        <f t="shared" si="49"/>
        <v>0</v>
      </c>
      <c r="R31" s="1176"/>
      <c r="S31" s="1217"/>
      <c r="T31" s="1222">
        <f t="shared" si="50"/>
        <v>0</v>
      </c>
      <c r="U31" s="1176"/>
      <c r="V31" s="1217"/>
      <c r="W31" s="1222">
        <f t="shared" si="51"/>
        <v>0</v>
      </c>
      <c r="X31" s="1176"/>
      <c r="Y31" s="1217"/>
      <c r="Z31" s="1222">
        <f t="shared" si="52"/>
        <v>0</v>
      </c>
      <c r="AA31" s="1176"/>
      <c r="AB31" s="1195"/>
      <c r="AC31" s="1222">
        <f t="shared" si="53"/>
        <v>0</v>
      </c>
      <c r="AD31" s="1176"/>
      <c r="AE31" s="1195"/>
      <c r="AF31" s="1222">
        <f t="shared" si="54"/>
        <v>0</v>
      </c>
      <c r="AG31" s="1176"/>
      <c r="AH31" s="1195"/>
      <c r="AI31" s="1222">
        <f t="shared" si="55"/>
        <v>0</v>
      </c>
      <c r="AJ31" s="1176"/>
      <c r="AK31" s="1195"/>
      <c r="AL31" s="1222">
        <f t="shared" si="56"/>
        <v>0</v>
      </c>
      <c r="AM31" s="1176"/>
      <c r="AN31" s="1195"/>
      <c r="AO31" s="1222">
        <f t="shared" si="57"/>
        <v>0</v>
      </c>
      <c r="AP31" s="1176"/>
      <c r="AQ31" s="1195"/>
      <c r="AR31" s="1222">
        <f t="shared" si="58"/>
        <v>0</v>
      </c>
      <c r="AS31" s="1176"/>
      <c r="AT31" s="1195"/>
      <c r="AU31" s="1222">
        <f t="shared" si="59"/>
        <v>0</v>
      </c>
      <c r="AV31" s="1176"/>
      <c r="AW31" s="1195"/>
      <c r="AX31" s="1222">
        <f t="shared" si="60"/>
        <v>0</v>
      </c>
      <c r="AY31" s="1176"/>
      <c r="AZ31" s="1195"/>
      <c r="BA31" s="1222">
        <f t="shared" si="86"/>
        <v>0</v>
      </c>
      <c r="BB31" s="1176"/>
      <c r="BC31" s="1195"/>
      <c r="BD31" s="1222">
        <f t="shared" si="61"/>
        <v>0</v>
      </c>
      <c r="BE31" s="1177"/>
      <c r="BF31" s="1195"/>
      <c r="BG31" s="1266"/>
      <c r="BH31" s="1177"/>
      <c r="BI31" s="1195"/>
      <c r="BJ31" s="1222">
        <f t="shared" si="63"/>
        <v>0</v>
      </c>
      <c r="BK31" s="1176"/>
      <c r="BL31" s="1195"/>
      <c r="BM31" s="1222">
        <f t="shared" si="64"/>
        <v>0</v>
      </c>
      <c r="BN31" s="1156"/>
      <c r="BO31" s="1195"/>
      <c r="BP31" s="1222">
        <f t="shared" si="65"/>
        <v>0</v>
      </c>
      <c r="BQ31" s="1156"/>
      <c r="BR31" s="1217"/>
      <c r="BS31" s="1222">
        <f t="shared" si="66"/>
        <v>0</v>
      </c>
      <c r="BT31" s="1163"/>
      <c r="BU31" s="1195"/>
      <c r="BV31" s="1222">
        <f t="shared" si="67"/>
        <v>0</v>
      </c>
      <c r="BW31" s="1163"/>
      <c r="BX31" s="1195"/>
      <c r="BY31" s="1222">
        <f t="shared" si="68"/>
        <v>0</v>
      </c>
      <c r="BZ31" s="1156">
        <v>1</v>
      </c>
      <c r="CA31" s="1195">
        <v>5.98</v>
      </c>
      <c r="CB31" s="1222">
        <f t="shared" si="69"/>
        <v>5.98</v>
      </c>
      <c r="CC31" s="1156">
        <v>1</v>
      </c>
      <c r="CD31" s="1195">
        <v>5.98</v>
      </c>
      <c r="CE31" s="1222">
        <f t="shared" si="70"/>
        <v>5.98</v>
      </c>
      <c r="CF31" s="1156"/>
      <c r="CG31" s="1195"/>
      <c r="CH31" s="1222">
        <f t="shared" si="71"/>
        <v>0</v>
      </c>
      <c r="CI31" s="1176"/>
      <c r="CJ31" s="1195"/>
      <c r="CK31" s="1222">
        <f t="shared" si="72"/>
        <v>0</v>
      </c>
      <c r="CL31" s="1154"/>
      <c r="CM31" s="1195"/>
      <c r="CN31" s="1222">
        <f t="shared" si="73"/>
        <v>0</v>
      </c>
      <c r="CO31" s="1154"/>
      <c r="CP31" s="1195"/>
      <c r="CQ31" s="1222">
        <f t="shared" si="74"/>
        <v>0</v>
      </c>
      <c r="CR31" s="1154"/>
      <c r="CS31" s="1195"/>
      <c r="CT31" s="1222">
        <f t="shared" si="75"/>
        <v>0</v>
      </c>
      <c r="CU31" s="1154"/>
      <c r="CV31" s="1195"/>
      <c r="CW31" s="1222">
        <f t="shared" si="76"/>
        <v>0</v>
      </c>
      <c r="CX31" s="1154"/>
      <c r="CY31" s="1195"/>
      <c r="CZ31" s="1222">
        <f t="shared" si="77"/>
        <v>0</v>
      </c>
      <c r="DA31" s="1154"/>
      <c r="DB31" s="1195"/>
      <c r="DC31" s="1222">
        <f t="shared" si="78"/>
        <v>0</v>
      </c>
      <c r="DD31" s="1154"/>
      <c r="DE31" s="1217"/>
      <c r="DF31" s="1222">
        <f t="shared" si="79"/>
        <v>0</v>
      </c>
      <c r="DG31" s="1163"/>
      <c r="DH31" s="1217"/>
      <c r="DI31" s="1222">
        <f t="shared" si="80"/>
        <v>0</v>
      </c>
      <c r="DJ31" s="1163"/>
      <c r="DK31" s="1217"/>
      <c r="DL31" s="1222">
        <f t="shared" si="81"/>
        <v>0</v>
      </c>
      <c r="DM31" s="1156"/>
      <c r="DN31" s="1217"/>
      <c r="DO31" s="1222">
        <f t="shared" si="82"/>
        <v>0</v>
      </c>
      <c r="DP31" s="1156"/>
      <c r="DQ31" s="1217"/>
      <c r="DR31" s="1222">
        <f t="shared" si="83"/>
        <v>0</v>
      </c>
      <c r="DS31" s="1156"/>
      <c r="DT31" s="1217"/>
      <c r="DU31" s="1222">
        <f t="shared" si="84"/>
        <v>0</v>
      </c>
      <c r="DV31" s="1156"/>
      <c r="DW31" s="1217"/>
      <c r="DX31" s="1244">
        <f t="shared" si="85"/>
        <v>0</v>
      </c>
    </row>
    <row r="32" spans="1:128">
      <c r="B32" s="1305" t="s">
        <v>1255</v>
      </c>
      <c r="C32" s="1175"/>
      <c r="D32" s="1195"/>
      <c r="E32" s="1199">
        <f t="shared" si="45"/>
        <v>0</v>
      </c>
      <c r="F32" s="1176"/>
      <c r="G32" s="1217"/>
      <c r="H32" s="1199">
        <f t="shared" si="46"/>
        <v>0</v>
      </c>
      <c r="I32" s="1176"/>
      <c r="J32" s="1217"/>
      <c r="K32" s="1222">
        <f t="shared" si="47"/>
        <v>0</v>
      </c>
      <c r="L32" s="1176"/>
      <c r="M32" s="1217"/>
      <c r="N32" s="1222">
        <f t="shared" si="48"/>
        <v>0</v>
      </c>
      <c r="O32" s="1176"/>
      <c r="P32" s="1217"/>
      <c r="Q32" s="1222">
        <f t="shared" si="49"/>
        <v>0</v>
      </c>
      <c r="R32" s="1176"/>
      <c r="S32" s="1217"/>
      <c r="T32" s="1222">
        <f t="shared" si="50"/>
        <v>0</v>
      </c>
      <c r="U32" s="1176"/>
      <c r="V32" s="1217"/>
      <c r="W32" s="1222">
        <f t="shared" si="51"/>
        <v>0</v>
      </c>
      <c r="X32" s="1176"/>
      <c r="Y32" s="1217"/>
      <c r="Z32" s="1222">
        <f t="shared" si="52"/>
        <v>0</v>
      </c>
      <c r="AA32" s="1176"/>
      <c r="AB32" s="1195"/>
      <c r="AC32" s="1222">
        <f t="shared" si="53"/>
        <v>0</v>
      </c>
      <c r="AD32" s="1176"/>
      <c r="AE32" s="1195"/>
      <c r="AF32" s="1222">
        <f t="shared" si="54"/>
        <v>0</v>
      </c>
      <c r="AG32" s="1176"/>
      <c r="AH32" s="1195"/>
      <c r="AI32" s="1222">
        <f t="shared" si="55"/>
        <v>0</v>
      </c>
      <c r="AJ32" s="1176"/>
      <c r="AK32" s="1195"/>
      <c r="AL32" s="1222">
        <f t="shared" si="56"/>
        <v>0</v>
      </c>
      <c r="AM32" s="1176"/>
      <c r="AN32" s="1195"/>
      <c r="AO32" s="1222">
        <f t="shared" si="57"/>
        <v>0</v>
      </c>
      <c r="AP32" s="1176"/>
      <c r="AQ32" s="1195"/>
      <c r="AR32" s="1222">
        <f t="shared" si="58"/>
        <v>0</v>
      </c>
      <c r="AS32" s="1176"/>
      <c r="AT32" s="1195"/>
      <c r="AU32" s="1222">
        <f t="shared" si="59"/>
        <v>0</v>
      </c>
      <c r="AV32" s="1176"/>
      <c r="AW32" s="1195"/>
      <c r="AX32" s="1222">
        <f t="shared" si="60"/>
        <v>0</v>
      </c>
      <c r="AY32" s="1176"/>
      <c r="AZ32" s="1195"/>
      <c r="BA32" s="1222">
        <f t="shared" si="86"/>
        <v>0</v>
      </c>
      <c r="BB32" s="1176"/>
      <c r="BC32" s="1195"/>
      <c r="BD32" s="1222">
        <f t="shared" si="61"/>
        <v>0</v>
      </c>
      <c r="BE32" s="1177">
        <f>12/5</f>
        <v>2.4</v>
      </c>
      <c r="BF32" s="1195">
        <f>16.09+2.9+5.28+(0.1*230)+(0.09*230)</f>
        <v>67.97</v>
      </c>
      <c r="BG32" s="1266"/>
      <c r="BH32" s="1177">
        <f>12/5</f>
        <v>2.4</v>
      </c>
      <c r="BI32" s="1195">
        <f>16.09+2.9+5.28+(0.1*230)+(0.09*230)</f>
        <v>67.97</v>
      </c>
      <c r="BJ32" s="1222">
        <f t="shared" si="63"/>
        <v>163.12799999999999</v>
      </c>
      <c r="BK32" s="1176"/>
      <c r="BL32" s="1195"/>
      <c r="BM32" s="1222">
        <f t="shared" si="64"/>
        <v>0</v>
      </c>
      <c r="BN32" s="1156"/>
      <c r="BO32" s="1195"/>
      <c r="BP32" s="1222">
        <f t="shared" si="65"/>
        <v>0</v>
      </c>
      <c r="BQ32" s="1156"/>
      <c r="BR32" s="1217"/>
      <c r="BS32" s="1222">
        <f t="shared" si="66"/>
        <v>0</v>
      </c>
      <c r="BT32" s="1163"/>
      <c r="BU32" s="1195"/>
      <c r="BV32" s="1222">
        <f t="shared" si="67"/>
        <v>0</v>
      </c>
      <c r="BW32" s="1163"/>
      <c r="BX32" s="1195"/>
      <c r="BY32" s="1222">
        <f t="shared" si="68"/>
        <v>0</v>
      </c>
      <c r="BZ32" s="1156"/>
      <c r="CA32" s="1195"/>
      <c r="CB32" s="1222">
        <f t="shared" si="69"/>
        <v>0</v>
      </c>
      <c r="CC32" s="1156"/>
      <c r="CD32" s="1195"/>
      <c r="CE32" s="1222">
        <f t="shared" si="70"/>
        <v>0</v>
      </c>
      <c r="CF32" s="1156">
        <v>1</v>
      </c>
      <c r="CG32" s="1195">
        <v>15.04</v>
      </c>
      <c r="CH32" s="1222">
        <f t="shared" si="71"/>
        <v>15.04</v>
      </c>
      <c r="CI32" s="1176">
        <v>1</v>
      </c>
      <c r="CJ32" s="1195">
        <v>15.04</v>
      </c>
      <c r="CK32" s="1222">
        <f t="shared" si="72"/>
        <v>15.04</v>
      </c>
      <c r="CL32" s="1154">
        <v>1</v>
      </c>
      <c r="CM32" s="1195">
        <v>15.04</v>
      </c>
      <c r="CN32" s="1222">
        <f t="shared" si="73"/>
        <v>15.04</v>
      </c>
      <c r="CO32" s="1154">
        <v>1</v>
      </c>
      <c r="CP32" s="1195">
        <v>15.04</v>
      </c>
      <c r="CQ32" s="1222">
        <f t="shared" si="74"/>
        <v>15.04</v>
      </c>
      <c r="CR32" s="1154"/>
      <c r="CS32" s="1195"/>
      <c r="CT32" s="1222">
        <f t="shared" si="75"/>
        <v>0</v>
      </c>
      <c r="CU32" s="1154"/>
      <c r="CV32" s="1195"/>
      <c r="CW32" s="1222">
        <f t="shared" si="76"/>
        <v>0</v>
      </c>
      <c r="CX32" s="1154">
        <v>1</v>
      </c>
      <c r="CY32" s="1195">
        <f>11.39+9.18</f>
        <v>20.57</v>
      </c>
      <c r="CZ32" s="1222">
        <f t="shared" si="77"/>
        <v>20.57</v>
      </c>
      <c r="DA32" s="1154">
        <v>1</v>
      </c>
      <c r="DB32" s="1195">
        <f>11.39+9.18</f>
        <v>20.57</v>
      </c>
      <c r="DC32" s="1222">
        <f t="shared" si="78"/>
        <v>20.57</v>
      </c>
      <c r="DD32" s="1154"/>
      <c r="DE32" s="1217"/>
      <c r="DF32" s="1222"/>
      <c r="DG32" s="1163"/>
      <c r="DH32" s="1217"/>
      <c r="DI32" s="1222"/>
      <c r="DJ32" s="1163"/>
      <c r="DK32" s="1217"/>
      <c r="DL32" s="1222"/>
      <c r="DM32" s="1156"/>
      <c r="DN32" s="1217"/>
      <c r="DO32" s="1222"/>
      <c r="DP32" s="1156"/>
      <c r="DQ32" s="1217"/>
      <c r="DR32" s="1222"/>
      <c r="DS32" s="1156"/>
      <c r="DT32" s="1217"/>
      <c r="DU32" s="1222"/>
      <c r="DV32" s="1156"/>
      <c r="DW32" s="1217"/>
      <c r="DX32" s="1244"/>
    </row>
    <row r="33" spans="1:128">
      <c r="B33" s="1305" t="s">
        <v>328</v>
      </c>
      <c r="C33" s="1175">
        <v>1</v>
      </c>
      <c r="D33" s="1195">
        <v>117.73</v>
      </c>
      <c r="E33" s="1199">
        <f t="shared" si="45"/>
        <v>117.73</v>
      </c>
      <c r="F33" s="1176">
        <v>1</v>
      </c>
      <c r="G33" s="1217">
        <v>43.5</v>
      </c>
      <c r="H33" s="1199">
        <f t="shared" si="46"/>
        <v>43.5</v>
      </c>
      <c r="I33" s="1176">
        <v>1</v>
      </c>
      <c r="J33" s="1217">
        <v>84.56</v>
      </c>
      <c r="K33" s="1222">
        <f t="shared" si="47"/>
        <v>84.56</v>
      </c>
      <c r="L33" s="1176">
        <v>1</v>
      </c>
      <c r="M33" s="1217">
        <v>44.56</v>
      </c>
      <c r="N33" s="1222">
        <f t="shared" si="48"/>
        <v>44.56</v>
      </c>
      <c r="O33" s="1176">
        <v>1</v>
      </c>
      <c r="P33" s="1217">
        <v>85.22</v>
      </c>
      <c r="Q33" s="1222">
        <f t="shared" si="49"/>
        <v>85.22</v>
      </c>
      <c r="R33" s="1176">
        <v>1</v>
      </c>
      <c r="S33" s="1217">
        <v>36.799999999999997</v>
      </c>
      <c r="T33" s="1222">
        <f t="shared" si="50"/>
        <v>36.799999999999997</v>
      </c>
      <c r="U33" s="1176">
        <v>1</v>
      </c>
      <c r="V33" s="1217">
        <v>36.799999999999997</v>
      </c>
      <c r="W33" s="1222">
        <f t="shared" si="51"/>
        <v>36.799999999999997</v>
      </c>
      <c r="X33" s="1176">
        <v>1</v>
      </c>
      <c r="Y33" s="1217">
        <v>36.799999999999997</v>
      </c>
      <c r="Z33" s="1222">
        <f t="shared" si="52"/>
        <v>36.799999999999997</v>
      </c>
      <c r="AA33" s="1176">
        <v>1</v>
      </c>
      <c r="AB33" s="1195">
        <v>36.64</v>
      </c>
      <c r="AC33" s="1222">
        <f t="shared" si="53"/>
        <v>36.64</v>
      </c>
      <c r="AD33" s="1176">
        <v>1</v>
      </c>
      <c r="AE33" s="1195">
        <v>36.799999999999997</v>
      </c>
      <c r="AF33" s="1222">
        <f t="shared" si="54"/>
        <v>36.799999999999997</v>
      </c>
      <c r="AG33" s="1176">
        <v>1</v>
      </c>
      <c r="AH33" s="1195">
        <v>36.64</v>
      </c>
      <c r="AI33" s="1222">
        <f t="shared" si="55"/>
        <v>36.64</v>
      </c>
      <c r="AJ33" s="1176">
        <v>1</v>
      </c>
      <c r="AK33" s="1195">
        <v>36.799999999999997</v>
      </c>
      <c r="AL33" s="1222">
        <f t="shared" si="56"/>
        <v>36.799999999999997</v>
      </c>
      <c r="AM33" s="1176">
        <v>1</v>
      </c>
      <c r="AN33" s="1195">
        <v>36.840000000000003</v>
      </c>
      <c r="AO33" s="1222">
        <f t="shared" si="57"/>
        <v>36.840000000000003</v>
      </c>
      <c r="AP33" s="1176">
        <v>1</v>
      </c>
      <c r="AQ33" s="1195">
        <v>36.840000000000003</v>
      </c>
      <c r="AR33" s="1222">
        <f t="shared" si="58"/>
        <v>36.840000000000003</v>
      </c>
      <c r="AS33" s="1176">
        <v>1</v>
      </c>
      <c r="AT33" s="1195">
        <v>36.64</v>
      </c>
      <c r="AU33" s="1222">
        <f t="shared" si="59"/>
        <v>36.64</v>
      </c>
      <c r="AV33" s="1176">
        <v>1</v>
      </c>
      <c r="AW33" s="1195">
        <v>36.799999999999997</v>
      </c>
      <c r="AX33" s="1222">
        <f t="shared" si="60"/>
        <v>36.799999999999997</v>
      </c>
      <c r="AY33" s="1176"/>
      <c r="AZ33" s="1195"/>
      <c r="BA33" s="1222">
        <f t="shared" si="86"/>
        <v>0</v>
      </c>
      <c r="BB33" s="1176"/>
      <c r="BC33" s="1195"/>
      <c r="BD33" s="1222">
        <f t="shared" si="61"/>
        <v>0</v>
      </c>
      <c r="BE33" s="1177">
        <f>1/5</f>
        <v>0.2</v>
      </c>
      <c r="BF33" s="1195">
        <v>36.799999999999997</v>
      </c>
      <c r="BG33" s="1266">
        <f t="shared" si="62"/>
        <v>7.3599999999999994</v>
      </c>
      <c r="BH33" s="1177">
        <f>1/5</f>
        <v>0.2</v>
      </c>
      <c r="BI33" s="1195">
        <v>36.799999999999997</v>
      </c>
      <c r="BJ33" s="1222">
        <f t="shared" si="63"/>
        <v>7.3599999999999994</v>
      </c>
      <c r="BK33" s="1156">
        <v>1</v>
      </c>
      <c r="BL33" s="1195">
        <v>142.81</v>
      </c>
      <c r="BM33" s="1222">
        <f t="shared" si="64"/>
        <v>142.81</v>
      </c>
      <c r="BN33" s="1156">
        <v>1</v>
      </c>
      <c r="BO33" s="1195">
        <v>142.81</v>
      </c>
      <c r="BP33" s="1222">
        <f t="shared" si="65"/>
        <v>142.81</v>
      </c>
      <c r="BQ33" s="1156">
        <f>BQ7</f>
        <v>1.7</v>
      </c>
      <c r="BR33" s="1217">
        <f>10/0.18</f>
        <v>55.555555555555557</v>
      </c>
      <c r="BS33" s="1222">
        <f t="shared" si="66"/>
        <v>94.444444444444443</v>
      </c>
      <c r="BT33" s="1156">
        <v>1</v>
      </c>
      <c r="BU33" s="1195">
        <v>36.64</v>
      </c>
      <c r="BV33" s="1222">
        <f t="shared" si="67"/>
        <v>36.64</v>
      </c>
      <c r="BW33" s="1156">
        <v>1</v>
      </c>
      <c r="BX33" s="1195">
        <v>36.64</v>
      </c>
      <c r="BY33" s="1222">
        <f t="shared" si="68"/>
        <v>36.64</v>
      </c>
      <c r="BZ33" s="1156">
        <v>1</v>
      </c>
      <c r="CA33" s="1195">
        <v>36.64</v>
      </c>
      <c r="CB33" s="1222">
        <f t="shared" si="69"/>
        <v>36.64</v>
      </c>
      <c r="CC33" s="1156">
        <v>1</v>
      </c>
      <c r="CD33" s="1195">
        <v>36.64</v>
      </c>
      <c r="CE33" s="1222">
        <f t="shared" si="70"/>
        <v>36.64</v>
      </c>
      <c r="CF33" s="1156">
        <v>1</v>
      </c>
      <c r="CG33" s="1195">
        <v>43.95</v>
      </c>
      <c r="CH33" s="1222">
        <f t="shared" si="71"/>
        <v>43.95</v>
      </c>
      <c r="CI33" s="1176">
        <v>1</v>
      </c>
      <c r="CJ33" s="1195">
        <v>43.95</v>
      </c>
      <c r="CK33" s="1222">
        <f t="shared" si="72"/>
        <v>43.95</v>
      </c>
      <c r="CL33" s="1176">
        <v>1</v>
      </c>
      <c r="CM33" s="1195">
        <v>43.95</v>
      </c>
      <c r="CN33" s="1222">
        <f t="shared" si="73"/>
        <v>43.95</v>
      </c>
      <c r="CO33" s="1176">
        <v>1</v>
      </c>
      <c r="CP33" s="1195">
        <v>43.95</v>
      </c>
      <c r="CQ33" s="1222">
        <f t="shared" si="74"/>
        <v>43.95</v>
      </c>
      <c r="CR33" s="1154">
        <v>1</v>
      </c>
      <c r="CS33" s="1195">
        <v>69.5</v>
      </c>
      <c r="CT33" s="1222">
        <f t="shared" si="75"/>
        <v>69.5</v>
      </c>
      <c r="CU33" s="1154">
        <v>1</v>
      </c>
      <c r="CV33" s="1195">
        <v>69.5</v>
      </c>
      <c r="CW33" s="1222">
        <f t="shared" si="76"/>
        <v>69.5</v>
      </c>
      <c r="CX33" s="1154">
        <v>1</v>
      </c>
      <c r="CY33" s="1195">
        <v>36.96</v>
      </c>
      <c r="CZ33" s="1222">
        <f t="shared" si="77"/>
        <v>36.96</v>
      </c>
      <c r="DA33" s="1154">
        <v>1</v>
      </c>
      <c r="DB33" s="1195">
        <v>36.96</v>
      </c>
      <c r="DC33" s="1222">
        <f t="shared" si="78"/>
        <v>36.96</v>
      </c>
      <c r="DD33" s="1156"/>
      <c r="DE33" s="1217"/>
      <c r="DF33" s="1222">
        <f t="shared" si="79"/>
        <v>0</v>
      </c>
      <c r="DG33" s="1156"/>
      <c r="DH33" s="1217"/>
      <c r="DI33" s="1222">
        <f t="shared" si="80"/>
        <v>0</v>
      </c>
      <c r="DJ33" s="1156"/>
      <c r="DK33" s="1217"/>
      <c r="DL33" s="1222">
        <f t="shared" si="81"/>
        <v>0</v>
      </c>
      <c r="DM33" s="1156"/>
      <c r="DN33" s="1217"/>
      <c r="DO33" s="1222">
        <f t="shared" si="82"/>
        <v>0</v>
      </c>
      <c r="DP33" s="1156"/>
      <c r="DQ33" s="1217"/>
      <c r="DR33" s="1222">
        <f t="shared" si="83"/>
        <v>0</v>
      </c>
      <c r="DS33" s="1156"/>
      <c r="DT33" s="1217"/>
      <c r="DU33" s="1222">
        <f t="shared" si="84"/>
        <v>0</v>
      </c>
      <c r="DV33" s="1156"/>
      <c r="DW33" s="1217"/>
      <c r="DX33" s="1244">
        <f t="shared" si="85"/>
        <v>0</v>
      </c>
    </row>
    <row r="34" spans="1:128">
      <c r="B34" s="1305" t="s">
        <v>1256</v>
      </c>
      <c r="C34" s="1175">
        <v>1</v>
      </c>
      <c r="D34" s="1195">
        <v>13.55</v>
      </c>
      <c r="E34" s="1199">
        <f t="shared" si="45"/>
        <v>13.55</v>
      </c>
      <c r="F34" s="1176">
        <v>1</v>
      </c>
      <c r="G34" s="1217">
        <v>14.09</v>
      </c>
      <c r="H34" s="1199">
        <f t="shared" si="46"/>
        <v>14.09</v>
      </c>
      <c r="I34" s="1176">
        <v>3</v>
      </c>
      <c r="J34" s="1217">
        <v>4.8499999999999996</v>
      </c>
      <c r="K34" s="1222">
        <f t="shared" si="47"/>
        <v>14.549999999999999</v>
      </c>
      <c r="L34" s="1176">
        <v>2.6</v>
      </c>
      <c r="M34" s="1217">
        <v>4.33</v>
      </c>
      <c r="N34" s="1222">
        <f t="shared" si="48"/>
        <v>11.258000000000001</v>
      </c>
      <c r="O34" s="1176">
        <v>1</v>
      </c>
      <c r="P34" s="1217">
        <v>4.7</v>
      </c>
      <c r="Q34" s="1222">
        <f t="shared" si="49"/>
        <v>4.7</v>
      </c>
      <c r="R34" s="1176">
        <v>1</v>
      </c>
      <c r="S34" s="1217">
        <v>5.61</v>
      </c>
      <c r="T34" s="1222">
        <f t="shared" si="50"/>
        <v>5.61</v>
      </c>
      <c r="U34" s="1176">
        <v>1</v>
      </c>
      <c r="V34" s="1217">
        <v>5.61</v>
      </c>
      <c r="W34" s="1222">
        <f t="shared" si="51"/>
        <v>5.61</v>
      </c>
      <c r="X34" s="1176">
        <v>1</v>
      </c>
      <c r="Y34" s="1217">
        <v>5.61</v>
      </c>
      <c r="Z34" s="1222">
        <f t="shared" si="52"/>
        <v>5.61</v>
      </c>
      <c r="AA34" s="1176">
        <v>1</v>
      </c>
      <c r="AB34" s="1195">
        <v>4.12</v>
      </c>
      <c r="AC34" s="1222">
        <f t="shared" si="53"/>
        <v>4.12</v>
      </c>
      <c r="AD34" s="1176">
        <v>1</v>
      </c>
      <c r="AE34" s="1195">
        <v>5.13</v>
      </c>
      <c r="AF34" s="1222">
        <f t="shared" si="54"/>
        <v>5.13</v>
      </c>
      <c r="AG34" s="1176">
        <v>1</v>
      </c>
      <c r="AH34" s="1195">
        <v>3.55</v>
      </c>
      <c r="AI34" s="1222">
        <f t="shared" si="55"/>
        <v>3.55</v>
      </c>
      <c r="AJ34" s="1176">
        <v>1</v>
      </c>
      <c r="AK34" s="1195">
        <v>5.28</v>
      </c>
      <c r="AL34" s="1222">
        <f t="shared" si="56"/>
        <v>5.28</v>
      </c>
      <c r="AM34" s="1176">
        <v>1</v>
      </c>
      <c r="AN34" s="1195">
        <v>6.2</v>
      </c>
      <c r="AO34" s="1222">
        <f t="shared" si="57"/>
        <v>6.2</v>
      </c>
      <c r="AP34" s="1176">
        <v>1</v>
      </c>
      <c r="AQ34" s="1195">
        <v>6.2</v>
      </c>
      <c r="AR34" s="1222">
        <f t="shared" si="58"/>
        <v>6.2</v>
      </c>
      <c r="AS34" s="1176">
        <v>1</v>
      </c>
      <c r="AT34" s="1195">
        <v>5.52</v>
      </c>
      <c r="AU34" s="1222">
        <f t="shared" si="59"/>
        <v>5.52</v>
      </c>
      <c r="AV34" s="1176">
        <v>1</v>
      </c>
      <c r="AW34" s="1195">
        <v>5.13</v>
      </c>
      <c r="AX34" s="1222">
        <f t="shared" si="60"/>
        <v>5.13</v>
      </c>
      <c r="AY34" s="1176"/>
      <c r="AZ34" s="1195"/>
      <c r="BA34" s="1222">
        <f t="shared" si="86"/>
        <v>0</v>
      </c>
      <c r="BB34" s="1176"/>
      <c r="BC34" s="1195"/>
      <c r="BD34" s="1222">
        <f t="shared" si="61"/>
        <v>0</v>
      </c>
      <c r="BE34" s="1177">
        <f>1/5</f>
        <v>0.2</v>
      </c>
      <c r="BF34" s="1195">
        <v>5.13</v>
      </c>
      <c r="BG34" s="1266">
        <f t="shared" si="62"/>
        <v>1.026</v>
      </c>
      <c r="BH34" s="1177">
        <f>1/5</f>
        <v>0.2</v>
      </c>
      <c r="BI34" s="1195">
        <v>5.13</v>
      </c>
      <c r="BJ34" s="1222">
        <f t="shared" si="63"/>
        <v>1.026</v>
      </c>
      <c r="BK34" s="1156">
        <v>1</v>
      </c>
      <c r="BL34" s="1195">
        <v>99.87</v>
      </c>
      <c r="BM34" s="1222">
        <f t="shared" si="64"/>
        <v>99.87</v>
      </c>
      <c r="BN34" s="1156">
        <v>1</v>
      </c>
      <c r="BO34" s="1195">
        <v>99.87</v>
      </c>
      <c r="BP34" s="1222">
        <f t="shared" si="65"/>
        <v>99.87</v>
      </c>
      <c r="BQ34" s="1156"/>
      <c r="BR34" s="1217"/>
      <c r="BS34" s="1222">
        <f t="shared" si="66"/>
        <v>0</v>
      </c>
      <c r="BT34" s="1156">
        <v>1</v>
      </c>
      <c r="BU34" s="1195">
        <v>5.61</v>
      </c>
      <c r="BV34" s="1222">
        <f t="shared" si="67"/>
        <v>5.61</v>
      </c>
      <c r="BW34" s="1156">
        <v>1</v>
      </c>
      <c r="BX34" s="1195">
        <v>5.61</v>
      </c>
      <c r="BY34" s="1222">
        <f t="shared" si="68"/>
        <v>5.61</v>
      </c>
      <c r="BZ34" s="1156">
        <v>1</v>
      </c>
      <c r="CA34" s="1195">
        <v>5.61</v>
      </c>
      <c r="CB34" s="1222">
        <f t="shared" si="69"/>
        <v>5.61</v>
      </c>
      <c r="CC34" s="1156">
        <v>1</v>
      </c>
      <c r="CD34" s="1195">
        <v>5.61</v>
      </c>
      <c r="CE34" s="1222">
        <f t="shared" si="70"/>
        <v>5.61</v>
      </c>
      <c r="CF34" s="1156">
        <v>2</v>
      </c>
      <c r="CG34" s="1195">
        <v>3.37</v>
      </c>
      <c r="CH34" s="1222">
        <f t="shared" si="71"/>
        <v>6.74</v>
      </c>
      <c r="CI34" s="1176">
        <v>1</v>
      </c>
      <c r="CJ34" s="1195">
        <v>3.37</v>
      </c>
      <c r="CK34" s="1222">
        <f t="shared" si="72"/>
        <v>3.37</v>
      </c>
      <c r="CL34" s="1176">
        <v>1</v>
      </c>
      <c r="CM34" s="1195">
        <v>9.42</v>
      </c>
      <c r="CN34" s="1222">
        <f t="shared" si="73"/>
        <v>9.42</v>
      </c>
      <c r="CO34" s="1176">
        <v>1</v>
      </c>
      <c r="CP34" s="1195">
        <v>9.42</v>
      </c>
      <c r="CQ34" s="1222">
        <f t="shared" si="74"/>
        <v>9.42</v>
      </c>
      <c r="CR34" s="1154">
        <v>1</v>
      </c>
      <c r="CS34" s="1195">
        <v>23.92</v>
      </c>
      <c r="CT34" s="1222">
        <f t="shared" si="75"/>
        <v>23.92</v>
      </c>
      <c r="CU34" s="1154">
        <v>1</v>
      </c>
      <c r="CV34" s="1195">
        <v>23.92</v>
      </c>
      <c r="CW34" s="1222">
        <f t="shared" si="76"/>
        <v>23.92</v>
      </c>
      <c r="CX34" s="1154">
        <v>1</v>
      </c>
      <c r="CY34" s="1195">
        <v>3.24</v>
      </c>
      <c r="CZ34" s="1222">
        <f t="shared" si="77"/>
        <v>3.24</v>
      </c>
      <c r="DA34" s="1154">
        <v>1</v>
      </c>
      <c r="DB34" s="1195">
        <v>3.24</v>
      </c>
      <c r="DC34" s="1222">
        <f t="shared" si="78"/>
        <v>3.24</v>
      </c>
      <c r="DD34" s="1156"/>
      <c r="DE34" s="1217"/>
      <c r="DF34" s="1222">
        <f t="shared" si="79"/>
        <v>0</v>
      </c>
      <c r="DG34" s="1156"/>
      <c r="DH34" s="1217"/>
      <c r="DI34" s="1222">
        <f t="shared" si="80"/>
        <v>0</v>
      </c>
      <c r="DJ34" s="1156"/>
      <c r="DK34" s="1217"/>
      <c r="DL34" s="1222">
        <f t="shared" si="81"/>
        <v>0</v>
      </c>
      <c r="DM34" s="1156"/>
      <c r="DN34" s="1217"/>
      <c r="DO34" s="1222">
        <f t="shared" si="82"/>
        <v>0</v>
      </c>
      <c r="DP34" s="1156"/>
      <c r="DQ34" s="1217"/>
      <c r="DR34" s="1222">
        <f t="shared" si="83"/>
        <v>0</v>
      </c>
      <c r="DS34" s="1156"/>
      <c r="DT34" s="1217"/>
      <c r="DU34" s="1222">
        <f t="shared" si="84"/>
        <v>0</v>
      </c>
      <c r="DV34" s="1156"/>
      <c r="DW34" s="1217"/>
      <c r="DX34" s="1244">
        <f t="shared" si="85"/>
        <v>0</v>
      </c>
    </row>
    <row r="35" spans="1:128">
      <c r="B35" s="1305" t="s">
        <v>1257</v>
      </c>
      <c r="C35" s="1175"/>
      <c r="D35" s="1195"/>
      <c r="E35" s="1199">
        <f t="shared" si="45"/>
        <v>0</v>
      </c>
      <c r="F35" s="1176"/>
      <c r="G35" s="1217"/>
      <c r="H35" s="1199">
        <f t="shared" si="46"/>
        <v>0</v>
      </c>
      <c r="I35" s="1176"/>
      <c r="J35" s="1217"/>
      <c r="K35" s="1222">
        <f t="shared" si="47"/>
        <v>0</v>
      </c>
      <c r="L35" s="1176">
        <v>1</v>
      </c>
      <c r="M35" s="1217">
        <v>32.4</v>
      </c>
      <c r="N35" s="1222">
        <f t="shared" si="48"/>
        <v>32.4</v>
      </c>
      <c r="O35" s="1176"/>
      <c r="P35" s="1217"/>
      <c r="Q35" s="1222">
        <f t="shared" si="49"/>
        <v>0</v>
      </c>
      <c r="R35" s="1176"/>
      <c r="S35" s="1217"/>
      <c r="T35" s="1222">
        <f t="shared" si="50"/>
        <v>0</v>
      </c>
      <c r="U35" s="1156"/>
      <c r="V35" s="1195"/>
      <c r="W35" s="1222">
        <f t="shared" si="51"/>
        <v>0</v>
      </c>
      <c r="X35" s="1176"/>
      <c r="Y35" s="1217"/>
      <c r="Z35" s="1222">
        <f t="shared" si="52"/>
        <v>0</v>
      </c>
      <c r="AA35" s="1176"/>
      <c r="AB35" s="1195"/>
      <c r="AC35" s="1222">
        <f t="shared" si="53"/>
        <v>0</v>
      </c>
      <c r="AD35" s="1176"/>
      <c r="AE35" s="1195"/>
      <c r="AF35" s="1222">
        <f t="shared" si="54"/>
        <v>0</v>
      </c>
      <c r="AG35" s="1176"/>
      <c r="AH35" s="1195"/>
      <c r="AI35" s="1222">
        <f t="shared" si="55"/>
        <v>0</v>
      </c>
      <c r="AJ35" s="1176"/>
      <c r="AK35" s="1195"/>
      <c r="AL35" s="1222">
        <f t="shared" si="56"/>
        <v>0</v>
      </c>
      <c r="AM35" s="1176"/>
      <c r="AN35" s="1195"/>
      <c r="AO35" s="1222">
        <f t="shared" si="57"/>
        <v>0</v>
      </c>
      <c r="AP35" s="1176"/>
      <c r="AQ35" s="1195"/>
      <c r="AR35" s="1222">
        <f t="shared" si="58"/>
        <v>0</v>
      </c>
      <c r="AS35" s="1176"/>
      <c r="AT35" s="1195"/>
      <c r="AU35" s="1222">
        <f t="shared" si="59"/>
        <v>0</v>
      </c>
      <c r="AV35" s="1176"/>
      <c r="AW35" s="1195"/>
      <c r="AX35" s="1222">
        <f t="shared" si="60"/>
        <v>0</v>
      </c>
      <c r="AY35" s="1176"/>
      <c r="AZ35" s="1195"/>
      <c r="BA35" s="1222">
        <f t="shared" si="86"/>
        <v>0</v>
      </c>
      <c r="BB35" s="1176"/>
      <c r="BC35" s="1195"/>
      <c r="BD35" s="1222">
        <f t="shared" si="61"/>
        <v>0</v>
      </c>
      <c r="BE35" s="1177"/>
      <c r="BF35" s="1195"/>
      <c r="BG35" s="1266"/>
      <c r="BH35" s="1177"/>
      <c r="BI35" s="1195"/>
      <c r="BJ35" s="1222">
        <f t="shared" si="63"/>
        <v>0</v>
      </c>
      <c r="BK35" s="1156">
        <v>1</v>
      </c>
      <c r="BL35" s="1195">
        <v>50.64</v>
      </c>
      <c r="BM35" s="1222">
        <f t="shared" si="64"/>
        <v>50.64</v>
      </c>
      <c r="BN35" s="1156">
        <v>1</v>
      </c>
      <c r="BO35" s="1195">
        <v>50.64</v>
      </c>
      <c r="BP35" s="1222">
        <f t="shared" si="65"/>
        <v>50.64</v>
      </c>
      <c r="BQ35" s="1156"/>
      <c r="BR35" s="1217"/>
      <c r="BS35" s="1222">
        <f t="shared" si="66"/>
        <v>0</v>
      </c>
      <c r="BT35" s="1156"/>
      <c r="BU35" s="1195"/>
      <c r="BV35" s="1222">
        <f t="shared" si="67"/>
        <v>0</v>
      </c>
      <c r="BW35" s="1156"/>
      <c r="BX35" s="1195"/>
      <c r="BY35" s="1222">
        <f t="shared" si="68"/>
        <v>0</v>
      </c>
      <c r="BZ35" s="1156"/>
      <c r="CA35" s="1195"/>
      <c r="CB35" s="1222">
        <f t="shared" si="69"/>
        <v>0</v>
      </c>
      <c r="CC35" s="1156"/>
      <c r="CD35" s="1195"/>
      <c r="CE35" s="1222">
        <f t="shared" si="70"/>
        <v>0</v>
      </c>
      <c r="CF35" s="1156"/>
      <c r="CG35" s="1195"/>
      <c r="CH35" s="1222">
        <f t="shared" si="71"/>
        <v>0</v>
      </c>
      <c r="CI35" s="1156"/>
      <c r="CJ35" s="1195"/>
      <c r="CK35" s="1222">
        <f t="shared" si="72"/>
        <v>0</v>
      </c>
      <c r="CL35" s="1156"/>
      <c r="CM35" s="1195"/>
      <c r="CN35" s="1222">
        <f t="shared" si="73"/>
        <v>0</v>
      </c>
      <c r="CO35" s="1156"/>
      <c r="CP35" s="1195"/>
      <c r="CQ35" s="1222">
        <f t="shared" si="74"/>
        <v>0</v>
      </c>
      <c r="CR35" s="1156"/>
      <c r="CS35" s="1195"/>
      <c r="CT35" s="1222">
        <f t="shared" si="75"/>
        <v>0</v>
      </c>
      <c r="CU35" s="1156"/>
      <c r="CV35" s="1195"/>
      <c r="CW35" s="1222">
        <f t="shared" si="76"/>
        <v>0</v>
      </c>
      <c r="CX35" s="1156">
        <v>1</v>
      </c>
      <c r="CY35" s="1195">
        <v>37.17</v>
      </c>
      <c r="CZ35" s="1222">
        <f t="shared" si="77"/>
        <v>37.17</v>
      </c>
      <c r="DA35" s="1156">
        <v>1</v>
      </c>
      <c r="DB35" s="1195">
        <v>37.17</v>
      </c>
      <c r="DC35" s="1222">
        <f t="shared" si="78"/>
        <v>37.17</v>
      </c>
      <c r="DD35" s="1156"/>
      <c r="DE35" s="1217"/>
      <c r="DF35" s="1222">
        <f t="shared" si="79"/>
        <v>0</v>
      </c>
      <c r="DG35" s="1156"/>
      <c r="DH35" s="1217"/>
      <c r="DI35" s="1222">
        <f t="shared" si="80"/>
        <v>0</v>
      </c>
      <c r="DJ35" s="1156"/>
      <c r="DK35" s="1217"/>
      <c r="DL35" s="1222">
        <f t="shared" si="81"/>
        <v>0</v>
      </c>
      <c r="DM35" s="1156"/>
      <c r="DN35" s="1217"/>
      <c r="DO35" s="1222">
        <f t="shared" si="82"/>
        <v>0</v>
      </c>
      <c r="DP35" s="1156"/>
      <c r="DQ35" s="1217"/>
      <c r="DR35" s="1222">
        <f t="shared" si="83"/>
        <v>0</v>
      </c>
      <c r="DS35" s="1156"/>
      <c r="DT35" s="1217"/>
      <c r="DU35" s="1222">
        <f t="shared" si="84"/>
        <v>0</v>
      </c>
      <c r="DV35" s="1156"/>
      <c r="DW35" s="1217"/>
      <c r="DX35" s="1244">
        <f t="shared" si="85"/>
        <v>0</v>
      </c>
    </row>
    <row r="36" spans="1:128">
      <c r="B36" s="1305" t="s">
        <v>971</v>
      </c>
      <c r="C36" s="1175"/>
      <c r="D36" s="1195"/>
      <c r="E36" s="1199">
        <f t="shared" si="45"/>
        <v>0</v>
      </c>
      <c r="F36" s="1176"/>
      <c r="G36" s="1217"/>
      <c r="H36" s="1199">
        <f t="shared" si="46"/>
        <v>0</v>
      </c>
      <c r="I36" s="1176"/>
      <c r="J36" s="1217"/>
      <c r="K36" s="1222">
        <f t="shared" si="47"/>
        <v>0</v>
      </c>
      <c r="L36" s="1176"/>
      <c r="M36" s="1217"/>
      <c r="N36" s="1222">
        <f t="shared" si="48"/>
        <v>0</v>
      </c>
      <c r="O36" s="1176"/>
      <c r="P36" s="1217"/>
      <c r="Q36" s="1222">
        <f t="shared" si="49"/>
        <v>0</v>
      </c>
      <c r="R36" s="1176"/>
      <c r="S36" s="1217"/>
      <c r="T36" s="1222">
        <f t="shared" si="50"/>
        <v>0</v>
      </c>
      <c r="U36" s="1156"/>
      <c r="V36" s="1195"/>
      <c r="W36" s="1222">
        <f t="shared" si="51"/>
        <v>0</v>
      </c>
      <c r="X36" s="1176"/>
      <c r="Y36" s="1217"/>
      <c r="Z36" s="1222">
        <f t="shared" si="52"/>
        <v>0</v>
      </c>
      <c r="AA36" s="1176"/>
      <c r="AB36" s="1195"/>
      <c r="AC36" s="1222">
        <f t="shared" si="53"/>
        <v>0</v>
      </c>
      <c r="AD36" s="1176"/>
      <c r="AE36" s="1195"/>
      <c r="AF36" s="1222">
        <f t="shared" si="54"/>
        <v>0</v>
      </c>
      <c r="AG36" s="1176"/>
      <c r="AH36" s="1195"/>
      <c r="AI36" s="1222">
        <f t="shared" si="55"/>
        <v>0</v>
      </c>
      <c r="AJ36" s="1176"/>
      <c r="AK36" s="1195"/>
      <c r="AL36" s="1222">
        <f t="shared" si="56"/>
        <v>0</v>
      </c>
      <c r="AM36" s="1176"/>
      <c r="AN36" s="1195"/>
      <c r="AO36" s="1222">
        <f t="shared" si="57"/>
        <v>0</v>
      </c>
      <c r="AP36" s="1176"/>
      <c r="AQ36" s="1195"/>
      <c r="AR36" s="1222">
        <f t="shared" si="58"/>
        <v>0</v>
      </c>
      <c r="AS36" s="1176"/>
      <c r="AT36" s="1195"/>
      <c r="AU36" s="1222">
        <f t="shared" si="59"/>
        <v>0</v>
      </c>
      <c r="AV36" s="1176"/>
      <c r="AW36" s="1195"/>
      <c r="AX36" s="1222">
        <f t="shared" si="60"/>
        <v>0</v>
      </c>
      <c r="AY36" s="1176">
        <v>1</v>
      </c>
      <c r="AZ36" s="1195">
        <f>16.09+11.25</f>
        <v>27.34</v>
      </c>
      <c r="BA36" s="1222">
        <f t="shared" si="86"/>
        <v>27.34</v>
      </c>
      <c r="BB36" s="1176">
        <v>1</v>
      </c>
      <c r="BC36" s="1195">
        <f>16.09+11.25</f>
        <v>27.34</v>
      </c>
      <c r="BD36" s="1222">
        <f t="shared" si="61"/>
        <v>27.34</v>
      </c>
      <c r="BE36" s="1176"/>
      <c r="BF36" s="1217"/>
      <c r="BG36" s="1266"/>
      <c r="BH36" s="1177"/>
      <c r="BI36" s="1195"/>
      <c r="BJ36" s="1222">
        <f t="shared" si="63"/>
        <v>0</v>
      </c>
      <c r="BK36" s="1176"/>
      <c r="BL36" s="1195"/>
      <c r="BM36" s="1222">
        <f t="shared" si="64"/>
        <v>0</v>
      </c>
      <c r="BN36" s="1156"/>
      <c r="BO36" s="1195"/>
      <c r="BP36" s="1222">
        <f t="shared" si="65"/>
        <v>0</v>
      </c>
      <c r="BQ36" s="1156"/>
      <c r="BR36" s="1217"/>
      <c r="BS36" s="1222">
        <f t="shared" si="66"/>
        <v>0</v>
      </c>
      <c r="BT36" s="1156"/>
      <c r="BU36" s="1195"/>
      <c r="BV36" s="1222">
        <f t="shared" si="67"/>
        <v>0</v>
      </c>
      <c r="BW36" s="1156"/>
      <c r="BX36" s="1195"/>
      <c r="BY36" s="1222">
        <f t="shared" si="68"/>
        <v>0</v>
      </c>
      <c r="BZ36" s="1156"/>
      <c r="CA36" s="1195"/>
      <c r="CB36" s="1222">
        <f t="shared" si="69"/>
        <v>0</v>
      </c>
      <c r="CC36" s="1156"/>
      <c r="CD36" s="1195"/>
      <c r="CE36" s="1222">
        <f t="shared" si="70"/>
        <v>0</v>
      </c>
      <c r="CF36" s="1156"/>
      <c r="CG36" s="1195"/>
      <c r="CH36" s="1222">
        <f t="shared" si="71"/>
        <v>0</v>
      </c>
      <c r="CI36" s="1156"/>
      <c r="CJ36" s="1195"/>
      <c r="CK36" s="1222">
        <f t="shared" si="72"/>
        <v>0</v>
      </c>
      <c r="CL36" s="1156"/>
      <c r="CM36" s="1195"/>
      <c r="CN36" s="1222">
        <f t="shared" si="73"/>
        <v>0</v>
      </c>
      <c r="CO36" s="1156"/>
      <c r="CP36" s="1195"/>
      <c r="CQ36" s="1222">
        <f t="shared" si="74"/>
        <v>0</v>
      </c>
      <c r="CR36" s="1156"/>
      <c r="CS36" s="1195"/>
      <c r="CT36" s="1222">
        <f t="shared" si="75"/>
        <v>0</v>
      </c>
      <c r="CU36" s="1156"/>
      <c r="CV36" s="1195"/>
      <c r="CW36" s="1222">
        <f t="shared" si="76"/>
        <v>0</v>
      </c>
      <c r="CX36" s="1156"/>
      <c r="CY36" s="1195"/>
      <c r="CZ36" s="1222">
        <f t="shared" si="77"/>
        <v>0</v>
      </c>
      <c r="DA36" s="1156"/>
      <c r="DB36" s="1195"/>
      <c r="DC36" s="1222">
        <f t="shared" si="78"/>
        <v>0</v>
      </c>
      <c r="DD36" s="1156"/>
      <c r="DE36" s="1217"/>
      <c r="DF36" s="1222">
        <f t="shared" si="79"/>
        <v>0</v>
      </c>
      <c r="DG36" s="1156"/>
      <c r="DH36" s="1217"/>
      <c r="DI36" s="1222">
        <f t="shared" si="80"/>
        <v>0</v>
      </c>
      <c r="DJ36" s="1156"/>
      <c r="DK36" s="1217"/>
      <c r="DL36" s="1222">
        <f t="shared" si="81"/>
        <v>0</v>
      </c>
      <c r="DM36" s="1156"/>
      <c r="DN36" s="1217"/>
      <c r="DO36" s="1222">
        <f t="shared" si="82"/>
        <v>0</v>
      </c>
      <c r="DP36" s="1156"/>
      <c r="DQ36" s="1217"/>
      <c r="DR36" s="1222">
        <f t="shared" si="83"/>
        <v>0</v>
      </c>
      <c r="DS36" s="1156"/>
      <c r="DT36" s="1217"/>
      <c r="DU36" s="1222">
        <f t="shared" si="84"/>
        <v>0</v>
      </c>
      <c r="DV36" s="1156"/>
      <c r="DW36" s="1217"/>
      <c r="DX36" s="1244">
        <f t="shared" si="85"/>
        <v>0</v>
      </c>
    </row>
    <row r="37" spans="1:128">
      <c r="B37" s="1305" t="s">
        <v>329</v>
      </c>
      <c r="C37" s="1175"/>
      <c r="D37" s="1195"/>
      <c r="E37" s="1199">
        <f t="shared" si="45"/>
        <v>0</v>
      </c>
      <c r="F37" s="1176"/>
      <c r="G37" s="1218"/>
      <c r="H37" s="1199">
        <f t="shared" si="46"/>
        <v>0</v>
      </c>
      <c r="I37" s="1178"/>
      <c r="J37" s="1218"/>
      <c r="K37" s="1222">
        <f t="shared" si="47"/>
        <v>0</v>
      </c>
      <c r="L37" s="1178"/>
      <c r="M37" s="1218"/>
      <c r="N37" s="1222">
        <f t="shared" si="48"/>
        <v>0</v>
      </c>
      <c r="O37" s="1178"/>
      <c r="P37" s="1218"/>
      <c r="Q37" s="1222">
        <f t="shared" si="49"/>
        <v>0</v>
      </c>
      <c r="R37" s="1178"/>
      <c r="S37" s="1218"/>
      <c r="T37" s="1222">
        <f t="shared" si="50"/>
        <v>0</v>
      </c>
      <c r="U37" s="1158"/>
      <c r="V37" s="1196"/>
      <c r="W37" s="1222">
        <f t="shared" si="51"/>
        <v>0</v>
      </c>
      <c r="X37" s="1178"/>
      <c r="Y37" s="1218"/>
      <c r="Z37" s="1222">
        <f t="shared" si="52"/>
        <v>0</v>
      </c>
      <c r="AA37" s="1178"/>
      <c r="AB37" s="1196"/>
      <c r="AC37" s="1222">
        <f t="shared" si="53"/>
        <v>0</v>
      </c>
      <c r="AD37" s="1178"/>
      <c r="AE37" s="1196"/>
      <c r="AF37" s="1222">
        <f t="shared" si="54"/>
        <v>0</v>
      </c>
      <c r="AG37" s="1178"/>
      <c r="AH37" s="1196"/>
      <c r="AI37" s="1222">
        <f t="shared" si="55"/>
        <v>0</v>
      </c>
      <c r="AJ37" s="1178"/>
      <c r="AK37" s="1196"/>
      <c r="AL37" s="1222">
        <f t="shared" si="56"/>
        <v>0</v>
      </c>
      <c r="AM37" s="1178"/>
      <c r="AN37" s="1196"/>
      <c r="AO37" s="1222">
        <f t="shared" si="57"/>
        <v>0</v>
      </c>
      <c r="AP37" s="1178"/>
      <c r="AQ37" s="1196"/>
      <c r="AR37" s="1222">
        <f t="shared" si="58"/>
        <v>0</v>
      </c>
      <c r="AS37" s="1178"/>
      <c r="AT37" s="1196"/>
      <c r="AU37" s="1222">
        <f t="shared" si="59"/>
        <v>0</v>
      </c>
      <c r="AV37" s="1178"/>
      <c r="AW37" s="1196"/>
      <c r="AX37" s="1222">
        <f t="shared" si="60"/>
        <v>0</v>
      </c>
      <c r="AY37" s="1178"/>
      <c r="AZ37" s="1196"/>
      <c r="BA37" s="1222">
        <f t="shared" si="86"/>
        <v>0</v>
      </c>
      <c r="BB37" s="1178"/>
      <c r="BC37" s="1196"/>
      <c r="BD37" s="1222">
        <f t="shared" si="61"/>
        <v>0</v>
      </c>
      <c r="BE37" s="1178"/>
      <c r="BF37" s="1218"/>
      <c r="BG37" s="1266">
        <f t="shared" si="62"/>
        <v>0</v>
      </c>
      <c r="BH37" s="1179"/>
      <c r="BI37" s="1196"/>
      <c r="BJ37" s="1222">
        <f t="shared" si="63"/>
        <v>0</v>
      </c>
      <c r="BK37" s="1176"/>
      <c r="BL37" s="1195"/>
      <c r="BM37" s="1222">
        <f t="shared" si="64"/>
        <v>0</v>
      </c>
      <c r="BN37" s="1158"/>
      <c r="BO37" s="1196"/>
      <c r="BP37" s="1222">
        <f t="shared" si="65"/>
        <v>0</v>
      </c>
      <c r="BQ37" s="1158"/>
      <c r="BR37" s="1218"/>
      <c r="BS37" s="1222">
        <f t="shared" si="66"/>
        <v>0</v>
      </c>
      <c r="BT37" s="1158"/>
      <c r="BU37" s="1196"/>
      <c r="BV37" s="1222">
        <f t="shared" si="67"/>
        <v>0</v>
      </c>
      <c r="BW37" s="1158"/>
      <c r="BX37" s="1196"/>
      <c r="BY37" s="1222">
        <f t="shared" si="68"/>
        <v>0</v>
      </c>
      <c r="BZ37" s="1158"/>
      <c r="CA37" s="1196"/>
      <c r="CB37" s="1222">
        <f t="shared" si="69"/>
        <v>0</v>
      </c>
      <c r="CC37" s="1158"/>
      <c r="CD37" s="1196"/>
      <c r="CE37" s="1222">
        <f t="shared" si="70"/>
        <v>0</v>
      </c>
      <c r="CF37" s="1158"/>
      <c r="CG37" s="1196"/>
      <c r="CH37" s="1222">
        <f t="shared" si="71"/>
        <v>0</v>
      </c>
      <c r="CI37" s="1158"/>
      <c r="CJ37" s="1196"/>
      <c r="CK37" s="1222">
        <f t="shared" si="72"/>
        <v>0</v>
      </c>
      <c r="CL37" s="1158"/>
      <c r="CM37" s="1196"/>
      <c r="CN37" s="1222">
        <f t="shared" si="73"/>
        <v>0</v>
      </c>
      <c r="CO37" s="1158"/>
      <c r="CP37" s="1196"/>
      <c r="CQ37" s="1222">
        <f t="shared" si="74"/>
        <v>0</v>
      </c>
      <c r="CR37" s="1158"/>
      <c r="CS37" s="1196"/>
      <c r="CT37" s="1222">
        <f t="shared" si="75"/>
        <v>0</v>
      </c>
      <c r="CU37" s="1158"/>
      <c r="CV37" s="1196"/>
      <c r="CW37" s="1222">
        <f t="shared" si="76"/>
        <v>0</v>
      </c>
      <c r="CX37" s="1158"/>
      <c r="CY37" s="1196"/>
      <c r="CZ37" s="1222">
        <f t="shared" si="77"/>
        <v>0</v>
      </c>
      <c r="DA37" s="1158"/>
      <c r="DB37" s="1196"/>
      <c r="DC37" s="1222">
        <f t="shared" si="78"/>
        <v>0</v>
      </c>
      <c r="DD37" s="1158"/>
      <c r="DE37" s="1218"/>
      <c r="DF37" s="1222">
        <f t="shared" si="79"/>
        <v>0</v>
      </c>
      <c r="DG37" s="1158"/>
      <c r="DH37" s="1218"/>
      <c r="DI37" s="1222">
        <f t="shared" si="80"/>
        <v>0</v>
      </c>
      <c r="DJ37" s="1158"/>
      <c r="DK37" s="1218"/>
      <c r="DL37" s="1222">
        <f t="shared" si="81"/>
        <v>0</v>
      </c>
      <c r="DM37" s="1158"/>
      <c r="DN37" s="1218"/>
      <c r="DO37" s="1222">
        <f t="shared" si="82"/>
        <v>0</v>
      </c>
      <c r="DP37" s="1158"/>
      <c r="DQ37" s="1218"/>
      <c r="DR37" s="1222">
        <f t="shared" si="83"/>
        <v>0</v>
      </c>
      <c r="DS37" s="1158"/>
      <c r="DT37" s="1218"/>
      <c r="DU37" s="1222">
        <f t="shared" si="84"/>
        <v>0</v>
      </c>
      <c r="DV37" s="1158"/>
      <c r="DW37" s="1218"/>
      <c r="DX37" s="1244">
        <f t="shared" si="85"/>
        <v>0</v>
      </c>
    </row>
    <row r="38" spans="1:128" ht="15" thickBot="1">
      <c r="A38" s="1130"/>
      <c r="B38" s="1308" t="s">
        <v>330</v>
      </c>
      <c r="C38" s="1180"/>
      <c r="D38" s="1197"/>
      <c r="E38" s="1204">
        <f>SUM(E21:E37)</f>
        <v>342.72</v>
      </c>
      <c r="F38" s="1181"/>
      <c r="G38" s="1204"/>
      <c r="H38" s="1204">
        <f>SUM(H21:H37)</f>
        <v>192.68</v>
      </c>
      <c r="I38" s="1181"/>
      <c r="J38" s="1204"/>
      <c r="K38" s="1221">
        <f>SUM(K21:K37)</f>
        <v>256.19</v>
      </c>
      <c r="L38" s="1161"/>
      <c r="M38" s="1204"/>
      <c r="N38" s="1221">
        <f>SUM(N21:N37)</f>
        <v>201.32800000000003</v>
      </c>
      <c r="O38" s="1162"/>
      <c r="P38" s="1204"/>
      <c r="Q38" s="1221">
        <f>SUM(Q21:Q37)</f>
        <v>230.02999999999997</v>
      </c>
      <c r="R38" s="1162"/>
      <c r="S38" s="1204"/>
      <c r="T38" s="1221">
        <f>SUM(T21:T37)</f>
        <v>157.46000000000004</v>
      </c>
      <c r="U38" s="1181"/>
      <c r="V38" s="1230"/>
      <c r="W38" s="1221">
        <f>SUM(W21:W37)</f>
        <v>191.54000000000002</v>
      </c>
      <c r="X38" s="1162"/>
      <c r="Y38" s="1204"/>
      <c r="Z38" s="1221">
        <f>SUM(Z21:Z37)</f>
        <v>157.46000000000004</v>
      </c>
      <c r="AA38" s="1162"/>
      <c r="AB38" s="1230"/>
      <c r="AC38" s="1221">
        <f>SUM(AC21:AC37)</f>
        <v>151.08000000000001</v>
      </c>
      <c r="AD38" s="1162"/>
      <c r="AE38" s="1230"/>
      <c r="AF38" s="1221">
        <f>SUM(AF21:AF37)</f>
        <v>149.06</v>
      </c>
      <c r="AG38" s="1162"/>
      <c r="AH38" s="1230"/>
      <c r="AI38" s="1221">
        <f>SUM(AI21:AI37)</f>
        <v>149.29000000000002</v>
      </c>
      <c r="AJ38" s="1162"/>
      <c r="AK38" s="1230"/>
      <c r="AL38" s="1204">
        <f>SUM(AL21:AL37)</f>
        <v>149.21</v>
      </c>
      <c r="AM38" s="1162"/>
      <c r="AN38" s="1230"/>
      <c r="AO38" s="1204">
        <f>SUM(AO21:AO37)</f>
        <v>210.23999999999998</v>
      </c>
      <c r="AP38" s="1162"/>
      <c r="AQ38" s="1230"/>
      <c r="AR38" s="1204">
        <f>SUM(AR21:AR37)</f>
        <v>191.51999999999998</v>
      </c>
      <c r="AS38" s="1181"/>
      <c r="AT38" s="1230"/>
      <c r="AU38" s="1204">
        <f>SUM(AU21:AU37)</f>
        <v>183.05999999999997</v>
      </c>
      <c r="AV38" s="1162"/>
      <c r="AW38" s="1230"/>
      <c r="AX38" s="1204">
        <f>SUM(AX21:AX37)</f>
        <v>149.06</v>
      </c>
      <c r="AY38" s="1162"/>
      <c r="AZ38" s="1230"/>
      <c r="BA38" s="1204">
        <f>SUM(BA21:BA37)</f>
        <v>112.65600000000001</v>
      </c>
      <c r="BB38" s="1162"/>
      <c r="BC38" s="1230"/>
      <c r="BD38" s="1204">
        <f>SUM(BD21:BD37)</f>
        <v>48.658000000000001</v>
      </c>
      <c r="BE38" s="1162"/>
      <c r="BF38" s="1204"/>
      <c r="BG38" s="1260">
        <f>IF(SUM(BG21:BG37)=0,357,SUM(BG21:BG37))-18</f>
        <v>76.341999999999985</v>
      </c>
      <c r="BH38" s="1162"/>
      <c r="BI38" s="1230"/>
      <c r="BJ38" s="1260">
        <f>IF(SUM(BJ21:BJ37)=0,376,SUM(BJ21:BJ37))-30</f>
        <v>163.41199999999998</v>
      </c>
      <c r="BK38" s="1162"/>
      <c r="BL38" s="1230"/>
      <c r="BM38" s="1204">
        <f>SUM(BM21:BM37)</f>
        <v>517.85</v>
      </c>
      <c r="BN38" s="1162"/>
      <c r="BO38" s="1230"/>
      <c r="BP38" s="1204">
        <f>SUM(BP21:BP37)</f>
        <v>474.76</v>
      </c>
      <c r="BQ38" s="1162"/>
      <c r="BR38" s="1204"/>
      <c r="BS38" s="1204">
        <f>SUM(BS21:BS37)</f>
        <v>94.444444444444443</v>
      </c>
      <c r="BT38" s="1162"/>
      <c r="BU38" s="1230"/>
      <c r="BV38" s="1204">
        <f>SUM(BV21:BV37)</f>
        <v>123.75333333333333</v>
      </c>
      <c r="BW38" s="1162"/>
      <c r="BX38" s="1230"/>
      <c r="BY38" s="1204">
        <f>SUM(BY21:BY37)</f>
        <v>123.75333333333333</v>
      </c>
      <c r="BZ38" s="1162"/>
      <c r="CA38" s="1230"/>
      <c r="CB38" s="1204">
        <f>SUM(CB21:CB37)</f>
        <v>138.13000000000002</v>
      </c>
      <c r="CC38" s="1162"/>
      <c r="CD38" s="1230"/>
      <c r="CE38" s="1204">
        <f>SUM(CE21:CE37)</f>
        <v>138.13000000000002</v>
      </c>
      <c r="CF38" s="1162"/>
      <c r="CG38" s="1230"/>
      <c r="CH38" s="1204">
        <f>SUM(CH21:CH37)</f>
        <v>186.88</v>
      </c>
      <c r="CI38" s="1162"/>
      <c r="CJ38" s="1230"/>
      <c r="CK38" s="1204">
        <f>SUM(CK21:CK37)</f>
        <v>172.05</v>
      </c>
      <c r="CL38" s="1162"/>
      <c r="CM38" s="1230"/>
      <c r="CN38" s="1204">
        <f>SUM(CN21:CN37)</f>
        <v>181.03</v>
      </c>
      <c r="CO38" s="1162"/>
      <c r="CP38" s="1230"/>
      <c r="CQ38" s="1204">
        <f>SUM(CQ21:CQ37)</f>
        <v>172.61999999999998</v>
      </c>
      <c r="CR38" s="1162"/>
      <c r="CS38" s="1230"/>
      <c r="CT38" s="1204">
        <f>SUM(CT21:CT37)</f>
        <v>230.5</v>
      </c>
      <c r="CU38" s="1162"/>
      <c r="CV38" s="1230"/>
      <c r="CW38" s="1204">
        <f>SUM(CW21:CW37)</f>
        <v>181.93</v>
      </c>
      <c r="CX38" s="1162"/>
      <c r="CY38" s="1230"/>
      <c r="CZ38" s="1204">
        <f>SUM(CZ21:CZ37)</f>
        <v>257.56</v>
      </c>
      <c r="DA38" s="1162"/>
      <c r="DB38" s="1230"/>
      <c r="DC38" s="1204">
        <f>SUM(DC21:DC37)</f>
        <v>246.99</v>
      </c>
      <c r="DD38" s="1162"/>
      <c r="DE38" s="1204"/>
      <c r="DF38" s="1204">
        <f>SUM(DF21:DF37)</f>
        <v>0</v>
      </c>
      <c r="DG38" s="1162"/>
      <c r="DH38" s="1204"/>
      <c r="DI38" s="1204">
        <f>SUM(DI21:DI37)</f>
        <v>0</v>
      </c>
      <c r="DJ38" s="1162"/>
      <c r="DK38" s="1204"/>
      <c r="DL38" s="1204">
        <f>SUM(DL21:DL37)</f>
        <v>0</v>
      </c>
      <c r="DM38" s="1162"/>
      <c r="DN38" s="1204"/>
      <c r="DO38" s="1204">
        <f>SUM(DO21:DO37)</f>
        <v>0</v>
      </c>
      <c r="DP38" s="1162"/>
      <c r="DQ38" s="1204"/>
      <c r="DR38" s="1204">
        <f>SUM(DR21:DR37)</f>
        <v>0</v>
      </c>
      <c r="DS38" s="1162"/>
      <c r="DT38" s="1204"/>
      <c r="DU38" s="1204">
        <f>SUM(DU21:DU37)</f>
        <v>0</v>
      </c>
      <c r="DV38" s="1162"/>
      <c r="DW38" s="1204"/>
      <c r="DX38" s="1243">
        <f>SUM(DX21:DX37)</f>
        <v>0</v>
      </c>
    </row>
    <row r="39" spans="1:128" ht="15" thickTop="1">
      <c r="A39" s="1070"/>
      <c r="B39" s="1304" t="s">
        <v>331</v>
      </c>
      <c r="C39" s="1173" t="s">
        <v>143</v>
      </c>
      <c r="D39" s="1202" t="s">
        <v>144</v>
      </c>
      <c r="E39" s="1203" t="s">
        <v>145</v>
      </c>
      <c r="F39" s="1174" t="s">
        <v>143</v>
      </c>
      <c r="G39" s="1216" t="s">
        <v>144</v>
      </c>
      <c r="H39" s="1203" t="s">
        <v>145</v>
      </c>
      <c r="I39" s="1174" t="s">
        <v>143</v>
      </c>
      <c r="J39" s="1216" t="s">
        <v>144</v>
      </c>
      <c r="K39" s="1203" t="s">
        <v>145</v>
      </c>
      <c r="L39" s="1174" t="s">
        <v>143</v>
      </c>
      <c r="M39" s="1216" t="s">
        <v>144</v>
      </c>
      <c r="N39" s="1203" t="s">
        <v>145</v>
      </c>
      <c r="O39" s="1174" t="s">
        <v>143</v>
      </c>
      <c r="P39" s="1216" t="s">
        <v>144</v>
      </c>
      <c r="Q39" s="1227" t="s">
        <v>145</v>
      </c>
      <c r="R39" s="1174" t="s">
        <v>143</v>
      </c>
      <c r="S39" s="1216" t="s">
        <v>144</v>
      </c>
      <c r="T39" s="1216" t="s">
        <v>145</v>
      </c>
      <c r="U39" s="1174" t="s">
        <v>143</v>
      </c>
      <c r="V39" s="1232" t="s">
        <v>144</v>
      </c>
      <c r="W39" s="1233" t="s">
        <v>145</v>
      </c>
      <c r="X39" s="1174" t="s">
        <v>143</v>
      </c>
      <c r="Y39" s="1216" t="s">
        <v>144</v>
      </c>
      <c r="Z39" s="1227" t="s">
        <v>145</v>
      </c>
      <c r="AA39" s="1174" t="s">
        <v>143</v>
      </c>
      <c r="AB39" s="1232" t="s">
        <v>144</v>
      </c>
      <c r="AC39" s="1227" t="s">
        <v>145</v>
      </c>
      <c r="AD39" s="1174" t="s">
        <v>143</v>
      </c>
      <c r="AE39" s="1232" t="s">
        <v>144</v>
      </c>
      <c r="AF39" s="1216" t="s">
        <v>145</v>
      </c>
      <c r="AG39" s="1174" t="s">
        <v>143</v>
      </c>
      <c r="AH39" s="1232" t="s">
        <v>144</v>
      </c>
      <c r="AI39" s="1216" t="s">
        <v>145</v>
      </c>
      <c r="AJ39" s="1174" t="s">
        <v>143</v>
      </c>
      <c r="AK39" s="1232" t="s">
        <v>144</v>
      </c>
      <c r="AL39" s="1216" t="s">
        <v>145</v>
      </c>
      <c r="AM39" s="1174" t="s">
        <v>143</v>
      </c>
      <c r="AN39" s="1232" t="s">
        <v>144</v>
      </c>
      <c r="AO39" s="1216" t="s">
        <v>145</v>
      </c>
      <c r="AP39" s="1174" t="s">
        <v>143</v>
      </c>
      <c r="AQ39" s="1232" t="s">
        <v>144</v>
      </c>
      <c r="AR39" s="1216" t="s">
        <v>145</v>
      </c>
      <c r="AS39" s="1174" t="s">
        <v>143</v>
      </c>
      <c r="AT39" s="1232" t="s">
        <v>144</v>
      </c>
      <c r="AU39" s="1216" t="s">
        <v>145</v>
      </c>
      <c r="AV39" s="1174" t="s">
        <v>143</v>
      </c>
      <c r="AW39" s="1232" t="s">
        <v>144</v>
      </c>
      <c r="AX39" s="1216" t="s">
        <v>145</v>
      </c>
      <c r="AY39" s="1174" t="s">
        <v>143</v>
      </c>
      <c r="AZ39" s="1232" t="s">
        <v>144</v>
      </c>
      <c r="BA39" s="1216" t="s">
        <v>145</v>
      </c>
      <c r="BB39" s="1174" t="s">
        <v>143</v>
      </c>
      <c r="BC39" s="1232" t="s">
        <v>144</v>
      </c>
      <c r="BD39" s="1216" t="s">
        <v>145</v>
      </c>
      <c r="BE39" s="1174" t="s">
        <v>143</v>
      </c>
      <c r="BF39" s="1216" t="s">
        <v>144</v>
      </c>
      <c r="BG39" s="1203" t="s">
        <v>145</v>
      </c>
      <c r="BH39" s="1174" t="s">
        <v>143</v>
      </c>
      <c r="BI39" s="1232" t="s">
        <v>144</v>
      </c>
      <c r="BJ39" s="1203" t="s">
        <v>145</v>
      </c>
      <c r="BK39" s="1174" t="s">
        <v>143</v>
      </c>
      <c r="BL39" s="1232" t="s">
        <v>144</v>
      </c>
      <c r="BM39" s="1203" t="s">
        <v>145</v>
      </c>
      <c r="BN39" s="1174" t="s">
        <v>143</v>
      </c>
      <c r="BO39" s="1232" t="s">
        <v>144</v>
      </c>
      <c r="BP39" s="1203" t="s">
        <v>145</v>
      </c>
      <c r="BQ39" s="1174" t="s">
        <v>143</v>
      </c>
      <c r="BR39" s="1216" t="s">
        <v>144</v>
      </c>
      <c r="BS39" s="1255" t="s">
        <v>145</v>
      </c>
      <c r="BT39" s="1174" t="s">
        <v>143</v>
      </c>
      <c r="BU39" s="1232" t="s">
        <v>144</v>
      </c>
      <c r="BV39" s="1216" t="s">
        <v>145</v>
      </c>
      <c r="BW39" s="1174" t="s">
        <v>143</v>
      </c>
      <c r="BX39" s="1232" t="s">
        <v>144</v>
      </c>
      <c r="BY39" s="1216" t="s">
        <v>145</v>
      </c>
      <c r="BZ39" s="1174" t="s">
        <v>143</v>
      </c>
      <c r="CA39" s="1232" t="s">
        <v>144</v>
      </c>
      <c r="CB39" s="1216" t="s">
        <v>145</v>
      </c>
      <c r="CC39" s="1174" t="s">
        <v>143</v>
      </c>
      <c r="CD39" s="1232" t="s">
        <v>144</v>
      </c>
      <c r="CE39" s="1216" t="s">
        <v>145</v>
      </c>
      <c r="CF39" s="1174" t="s">
        <v>143</v>
      </c>
      <c r="CG39" s="1232" t="s">
        <v>144</v>
      </c>
      <c r="CH39" s="1216" t="s">
        <v>145</v>
      </c>
      <c r="CI39" s="1174" t="s">
        <v>143</v>
      </c>
      <c r="CJ39" s="1232" t="s">
        <v>144</v>
      </c>
      <c r="CK39" s="1216" t="s">
        <v>145</v>
      </c>
      <c r="CL39" s="1174" t="s">
        <v>143</v>
      </c>
      <c r="CM39" s="1232" t="s">
        <v>144</v>
      </c>
      <c r="CN39" s="1216" t="s">
        <v>145</v>
      </c>
      <c r="CO39" s="1174" t="s">
        <v>143</v>
      </c>
      <c r="CP39" s="1232" t="s">
        <v>144</v>
      </c>
      <c r="CQ39" s="1216" t="s">
        <v>145</v>
      </c>
      <c r="CR39" s="1174" t="s">
        <v>143</v>
      </c>
      <c r="CS39" s="1232" t="s">
        <v>144</v>
      </c>
      <c r="CT39" s="1216" t="s">
        <v>145</v>
      </c>
      <c r="CU39" s="1174" t="s">
        <v>143</v>
      </c>
      <c r="CV39" s="1232" t="s">
        <v>144</v>
      </c>
      <c r="CW39" s="1216" t="s">
        <v>145</v>
      </c>
      <c r="CX39" s="1174" t="s">
        <v>143</v>
      </c>
      <c r="CY39" s="1232" t="s">
        <v>144</v>
      </c>
      <c r="CZ39" s="1216" t="s">
        <v>145</v>
      </c>
      <c r="DA39" s="1174" t="s">
        <v>143</v>
      </c>
      <c r="DB39" s="1232" t="s">
        <v>144</v>
      </c>
      <c r="DC39" s="1216" t="s">
        <v>145</v>
      </c>
      <c r="DD39" s="1174" t="s">
        <v>143</v>
      </c>
      <c r="DE39" s="1216" t="s">
        <v>144</v>
      </c>
      <c r="DF39" s="1216" t="s">
        <v>145</v>
      </c>
      <c r="DG39" s="1174" t="s">
        <v>143</v>
      </c>
      <c r="DH39" s="1216" t="s">
        <v>144</v>
      </c>
      <c r="DI39" s="1216" t="s">
        <v>145</v>
      </c>
      <c r="DJ39" s="1174" t="s">
        <v>143</v>
      </c>
      <c r="DK39" s="1216" t="s">
        <v>144</v>
      </c>
      <c r="DL39" s="1216" t="s">
        <v>145</v>
      </c>
      <c r="DM39" s="1174" t="s">
        <v>143</v>
      </c>
      <c r="DN39" s="1216" t="s">
        <v>144</v>
      </c>
      <c r="DO39" s="1216" t="s">
        <v>145</v>
      </c>
      <c r="DP39" s="1174" t="s">
        <v>143</v>
      </c>
      <c r="DQ39" s="1216" t="s">
        <v>144</v>
      </c>
      <c r="DR39" s="1216" t="s">
        <v>145</v>
      </c>
      <c r="DS39" s="1174" t="s">
        <v>143</v>
      </c>
      <c r="DT39" s="1216" t="s">
        <v>144</v>
      </c>
      <c r="DU39" s="1216" t="s">
        <v>145</v>
      </c>
      <c r="DV39" s="1174" t="s">
        <v>143</v>
      </c>
      <c r="DW39" s="1216" t="s">
        <v>144</v>
      </c>
      <c r="DX39" s="1246" t="s">
        <v>145</v>
      </c>
    </row>
    <row r="40" spans="1:128">
      <c r="B40" s="1305" t="s">
        <v>332</v>
      </c>
      <c r="C40" s="1155">
        <f t="shared" ref="C40:C45" si="87">C$5</f>
        <v>8</v>
      </c>
      <c r="D40" s="1195">
        <v>3.37</v>
      </c>
      <c r="E40" s="1199">
        <f>D40*C40</f>
        <v>26.96</v>
      </c>
      <c r="F40" s="1156">
        <f t="shared" ref="F40:F45" si="88">F$5</f>
        <v>9.34</v>
      </c>
      <c r="G40" s="1195">
        <v>5.46</v>
      </c>
      <c r="H40" s="1199">
        <f t="shared" ref="H40:H45" si="89">G40*F40</f>
        <v>50.996400000000001</v>
      </c>
      <c r="I40" s="1156">
        <f t="shared" ref="I40:I45" si="90">I$5</f>
        <v>2.8</v>
      </c>
      <c r="J40" s="1217">
        <v>3.14</v>
      </c>
      <c r="K40" s="1222">
        <f t="shared" ref="K40:K45" si="91">I40*J40</f>
        <v>8.7919999999999998</v>
      </c>
      <c r="L40" s="1156">
        <f t="shared" ref="L40:L45" si="92">L$5</f>
        <v>2.6</v>
      </c>
      <c r="M40" s="1217">
        <v>1.44</v>
      </c>
      <c r="N40" s="1222">
        <f t="shared" ref="N40:N45" si="93">L40*M40</f>
        <v>3.7439999999999998</v>
      </c>
      <c r="O40" s="1156">
        <f t="shared" ref="O40:O45" si="94">O$5</f>
        <v>3.2</v>
      </c>
      <c r="P40" s="1195">
        <v>5.12</v>
      </c>
      <c r="Q40" s="1222">
        <f t="shared" ref="Q40:Q45" si="95">O40*P40</f>
        <v>16.384</v>
      </c>
      <c r="R40" s="1156">
        <f t="shared" ref="R40:R45" si="96">R$5</f>
        <v>3.1</v>
      </c>
      <c r="S40" s="1195">
        <v>3.08</v>
      </c>
      <c r="T40" s="1222">
        <f t="shared" ref="T40:T45" si="97">R40*S40</f>
        <v>9.548</v>
      </c>
      <c r="U40" s="1156">
        <f t="shared" ref="U40:U45" si="98">U$5</f>
        <v>3.2</v>
      </c>
      <c r="V40" s="1195">
        <v>5.12</v>
      </c>
      <c r="W40" s="1222">
        <f t="shared" ref="W40:W45" si="99">U40*V40</f>
        <v>16.384</v>
      </c>
      <c r="X40" s="1156">
        <f t="shared" ref="X40:X45" si="100">X$5</f>
        <v>4.2</v>
      </c>
      <c r="Y40" s="1195">
        <v>3.08</v>
      </c>
      <c r="Z40" s="1222">
        <f t="shared" ref="Z40:Z45" si="101">X40*Y40</f>
        <v>12.936000000000002</v>
      </c>
      <c r="AA40" s="1156">
        <f t="shared" ref="AA40:AA45" si="102">AA$5</f>
        <v>2.7</v>
      </c>
      <c r="AB40" s="1195">
        <v>3.25</v>
      </c>
      <c r="AC40" s="1222">
        <f t="shared" ref="AC40:AC45" si="103">AA40*AB40</f>
        <v>8.7750000000000004</v>
      </c>
      <c r="AD40" s="1156">
        <f t="shared" ref="AD40:AD45" si="104">AD$5</f>
        <v>2.89</v>
      </c>
      <c r="AE40" s="1195">
        <v>3.06</v>
      </c>
      <c r="AF40" s="1222">
        <f t="shared" ref="AF40:AF45" si="105">AD40*AE40</f>
        <v>8.8434000000000008</v>
      </c>
      <c r="AG40" s="1156">
        <f t="shared" ref="AG40:AG45" si="106">AG$5</f>
        <v>2.23</v>
      </c>
      <c r="AH40" s="1195">
        <v>5.9</v>
      </c>
      <c r="AI40" s="1222">
        <f t="shared" ref="AI40:AI45" si="107">AG40*AH40</f>
        <v>13.157</v>
      </c>
      <c r="AJ40" s="1156">
        <f t="shared" ref="AJ40:AJ45" si="108">AJ$5</f>
        <v>2.13</v>
      </c>
      <c r="AK40" s="1195">
        <v>4.88</v>
      </c>
      <c r="AL40" s="1222">
        <f t="shared" ref="AL40:AL45" si="109">AJ40*AK40</f>
        <v>10.394399999999999</v>
      </c>
      <c r="AM40" s="1156">
        <f t="shared" ref="AM40:AM45" si="110">AM$5</f>
        <v>4</v>
      </c>
      <c r="AN40" s="1195">
        <v>4.83</v>
      </c>
      <c r="AO40" s="1222">
        <f t="shared" ref="AO40:AO45" si="111">AM40*AN40</f>
        <v>19.32</v>
      </c>
      <c r="AP40" s="1156">
        <f t="shared" ref="AP40:AP45" si="112">AP$5</f>
        <v>4</v>
      </c>
      <c r="AQ40" s="1195">
        <v>4.83</v>
      </c>
      <c r="AR40" s="1222">
        <f t="shared" ref="AR40:AR45" si="113">AP40*AQ40</f>
        <v>19.32</v>
      </c>
      <c r="AS40" s="1156">
        <f t="shared" ref="AS40:AS45" si="114">AS$5</f>
        <v>3</v>
      </c>
      <c r="AT40" s="1195">
        <v>2.61</v>
      </c>
      <c r="AU40" s="1222">
        <f t="shared" ref="AU40:AU45" si="115">AS40*AT40</f>
        <v>7.83</v>
      </c>
      <c r="AV40" s="1156">
        <f t="shared" ref="AV40:AV45" si="116">AV$5</f>
        <v>3</v>
      </c>
      <c r="AW40" s="1195">
        <v>3.06</v>
      </c>
      <c r="AX40" s="1222">
        <f t="shared" ref="AX40:AX45" si="117">AV40*AW40</f>
        <v>9.18</v>
      </c>
      <c r="AY40" s="1156">
        <f t="shared" ref="AY40:AY45" si="118">AY$6</f>
        <v>3.827</v>
      </c>
      <c r="AZ40" s="1195"/>
      <c r="BA40" s="1222">
        <f t="shared" ref="BA40:BA45" si="119">AY40*AZ40</f>
        <v>0</v>
      </c>
      <c r="BB40" s="1156">
        <f t="shared" ref="BB40:BB45" si="120">BB$6</f>
        <v>3.827</v>
      </c>
      <c r="BC40" s="1195"/>
      <c r="BD40" s="1222">
        <f t="shared" ref="BD40:BD45" si="121">BB40*BC40</f>
        <v>0</v>
      </c>
      <c r="BE40" s="1156">
        <f t="shared" ref="BE40:BE45" si="122">BE$6</f>
        <v>5.21</v>
      </c>
      <c r="BF40" s="1195"/>
      <c r="BG40" s="1266">
        <f t="shared" ref="BG40:BG45" si="123">BF40*BE40</f>
        <v>0</v>
      </c>
      <c r="BH40" s="1156">
        <f t="shared" ref="BH40:BH45" si="124">BH$6</f>
        <v>5.21</v>
      </c>
      <c r="BI40" s="1195"/>
      <c r="BJ40" s="1222">
        <f t="shared" ref="BJ40:BJ45" si="125">BI40*BH40</f>
        <v>0</v>
      </c>
      <c r="BK40" s="1156">
        <f t="shared" ref="BK40:BK45" si="126">BK$6</f>
        <v>12.25</v>
      </c>
      <c r="BL40" s="1195">
        <v>3.58</v>
      </c>
      <c r="BM40" s="1222">
        <f t="shared" ref="BM40:BM45" si="127">BL40*BK40</f>
        <v>43.855000000000004</v>
      </c>
      <c r="BN40" s="1156">
        <f t="shared" ref="BN40:BN45" si="128">BN$6</f>
        <v>12.25</v>
      </c>
      <c r="BO40" s="1195">
        <v>3.58</v>
      </c>
      <c r="BP40" s="1222">
        <f t="shared" ref="BP40:BP45" si="129">BO40*BN40</f>
        <v>43.855000000000004</v>
      </c>
      <c r="BQ40" s="1156">
        <f t="shared" ref="BQ40:BQ45" si="130">BQ$7</f>
        <v>1.7</v>
      </c>
      <c r="BR40" s="1217"/>
      <c r="BS40" s="1222">
        <f t="shared" ref="BS40:BS45" si="131">BR40*BQ40</f>
        <v>0</v>
      </c>
      <c r="BT40" s="1155">
        <f t="shared" ref="BT40:BT45" si="132">BT$5</f>
        <v>2.5</v>
      </c>
      <c r="BU40" s="1195">
        <v>4.82</v>
      </c>
      <c r="BV40" s="1222">
        <f t="shared" ref="BV40:BV45" si="133">BT40*BU40</f>
        <v>12.05</v>
      </c>
      <c r="BW40" s="1156">
        <f t="shared" ref="BW40:BW45" si="134">BW$5</f>
        <v>2.5</v>
      </c>
      <c r="BX40" s="1195">
        <v>4.82</v>
      </c>
      <c r="BY40" s="1222">
        <f t="shared" ref="BY40:BY45" si="135">BW40*BX40</f>
        <v>12.05</v>
      </c>
      <c r="BZ40" s="1156">
        <f t="shared" ref="BZ40:BZ45" si="136">BZ$5</f>
        <v>2.5</v>
      </c>
      <c r="CA40" s="1195">
        <v>4.82</v>
      </c>
      <c r="CB40" s="1222">
        <f t="shared" ref="CB40:CB45" si="137">BZ40*CA40</f>
        <v>12.05</v>
      </c>
      <c r="CC40" s="1156">
        <f t="shared" ref="CC40:CC45" si="138">CC$5</f>
        <v>2.5</v>
      </c>
      <c r="CD40" s="1195">
        <v>4.82</v>
      </c>
      <c r="CE40" s="1222">
        <f t="shared" ref="CE40:CE45" si="139">CC40*CD40</f>
        <v>12.05</v>
      </c>
      <c r="CF40" s="1156">
        <f t="shared" ref="CF40:CF45" si="140">CF$5</f>
        <v>1.5</v>
      </c>
      <c r="CG40" s="1195">
        <v>2.23</v>
      </c>
      <c r="CH40" s="1222">
        <f t="shared" ref="CH40:CH45" si="141">CF40*CG40</f>
        <v>3.3449999999999998</v>
      </c>
      <c r="CI40" s="1156">
        <f t="shared" ref="CI40:CI45" si="142">CI$5</f>
        <v>1.57</v>
      </c>
      <c r="CJ40" s="1195">
        <v>3.12</v>
      </c>
      <c r="CK40" s="1222">
        <f t="shared" ref="CK40:CK45" si="143">CI40*CJ40</f>
        <v>4.8984000000000005</v>
      </c>
      <c r="CL40" s="1156">
        <f t="shared" ref="CL40:CL45" si="144">CL$5</f>
        <v>0.63</v>
      </c>
      <c r="CM40" s="1195">
        <v>3.93</v>
      </c>
      <c r="CN40" s="1222">
        <f t="shared" ref="CN40:CN45" si="145">CL40*CM40</f>
        <v>2.4759000000000002</v>
      </c>
      <c r="CO40" s="1156">
        <f t="shared" ref="CO40:CO45" si="146">CO$5</f>
        <v>0.63</v>
      </c>
      <c r="CP40" s="1195">
        <v>3.93</v>
      </c>
      <c r="CQ40" s="1222">
        <f t="shared" ref="CQ40:CQ45" si="147">CO40*CP40</f>
        <v>2.4759000000000002</v>
      </c>
      <c r="CR40" s="1156">
        <f t="shared" ref="CR40:CR45" si="148">CR$5</f>
        <v>1</v>
      </c>
      <c r="CS40" s="1195">
        <v>4.29</v>
      </c>
      <c r="CT40" s="1222">
        <f t="shared" ref="CT40:CT45" si="149">CR40*CS40</f>
        <v>4.29</v>
      </c>
      <c r="CU40" s="1156">
        <f t="shared" ref="CU40:CU45" si="150">CU$5</f>
        <v>1</v>
      </c>
      <c r="CV40" s="1195">
        <v>4.29</v>
      </c>
      <c r="CW40" s="1222">
        <f t="shared" ref="CW40:CW45" si="151">CU40*CV40</f>
        <v>4.29</v>
      </c>
      <c r="CX40" s="1156">
        <f t="shared" ref="CX40:CX45" si="152">CX$5</f>
        <v>2</v>
      </c>
      <c r="CY40" s="1195"/>
      <c r="CZ40" s="1222">
        <f t="shared" ref="CZ40:CZ45" si="153">CX40*CY40</f>
        <v>0</v>
      </c>
      <c r="DA40" s="1156">
        <f t="shared" ref="DA40:DA45" si="154">DA$5</f>
        <v>2</v>
      </c>
      <c r="DB40" s="1195"/>
      <c r="DC40" s="1222">
        <f t="shared" ref="DC40:DC45" si="155">DA40*DB40</f>
        <v>0</v>
      </c>
      <c r="DD40" s="1156"/>
      <c r="DE40" s="1217"/>
      <c r="DF40" s="1222">
        <f t="shared" ref="DF40:DF45" si="156">DD40*DE40</f>
        <v>0</v>
      </c>
      <c r="DG40" s="1156"/>
      <c r="DH40" s="1217"/>
      <c r="DI40" s="1222">
        <f t="shared" ref="DI40:DI45" si="157">DG40*DH40</f>
        <v>0</v>
      </c>
      <c r="DJ40" s="1156"/>
      <c r="DK40" s="1217"/>
      <c r="DL40" s="1222">
        <f t="shared" ref="DL40:DL45" si="158">DJ40*DK40</f>
        <v>0</v>
      </c>
      <c r="DM40" s="1156"/>
      <c r="DN40" s="1217"/>
      <c r="DO40" s="1222">
        <f t="shared" ref="DO40:DO45" si="159">DM40*DN40</f>
        <v>0</v>
      </c>
      <c r="DP40" s="1156"/>
      <c r="DQ40" s="1217"/>
      <c r="DR40" s="1222">
        <f t="shared" ref="DR40:DR45" si="160">DP40*DQ40</f>
        <v>0</v>
      </c>
      <c r="DS40" s="1156"/>
      <c r="DT40" s="1217"/>
      <c r="DU40" s="1222">
        <f t="shared" ref="DU40:DU45" si="161">DS40*DT40</f>
        <v>0</v>
      </c>
      <c r="DV40" s="1156"/>
      <c r="DW40" s="1217"/>
      <c r="DX40" s="1244">
        <f t="shared" ref="DX40:DX45" si="162">DV40*DW40</f>
        <v>0</v>
      </c>
    </row>
    <row r="41" spans="1:128">
      <c r="B41" s="1305" t="s">
        <v>158</v>
      </c>
      <c r="C41" s="1155">
        <f t="shared" si="87"/>
        <v>8</v>
      </c>
      <c r="D41" s="1195">
        <v>19.309999999999999</v>
      </c>
      <c r="E41" s="1199">
        <f>C41*D41</f>
        <v>154.47999999999999</v>
      </c>
      <c r="F41" s="1156">
        <f t="shared" si="88"/>
        <v>9.34</v>
      </c>
      <c r="G41" s="1195">
        <v>20.41</v>
      </c>
      <c r="H41" s="1199">
        <f t="shared" si="89"/>
        <v>190.6294</v>
      </c>
      <c r="I41" s="1156">
        <f t="shared" si="90"/>
        <v>2.8</v>
      </c>
      <c r="J41" s="1217">
        <v>1.95</v>
      </c>
      <c r="K41" s="1222">
        <f t="shared" si="91"/>
        <v>5.46</v>
      </c>
      <c r="L41" s="1156">
        <f t="shared" si="92"/>
        <v>2.6</v>
      </c>
      <c r="M41" s="1217">
        <v>1.04</v>
      </c>
      <c r="N41" s="1222">
        <f t="shared" si="93"/>
        <v>2.7040000000000002</v>
      </c>
      <c r="O41" s="1156">
        <f t="shared" si="94"/>
        <v>3.2</v>
      </c>
      <c r="P41" s="1195">
        <v>7.95</v>
      </c>
      <c r="Q41" s="1222">
        <f t="shared" si="95"/>
        <v>25.44</v>
      </c>
      <c r="R41" s="1156">
        <f t="shared" si="96"/>
        <v>3.1</v>
      </c>
      <c r="S41" s="1195">
        <v>5.14</v>
      </c>
      <c r="T41" s="1222">
        <f t="shared" si="97"/>
        <v>15.933999999999999</v>
      </c>
      <c r="U41" s="1156">
        <f t="shared" si="98"/>
        <v>3.2</v>
      </c>
      <c r="V41" s="1195"/>
      <c r="W41" s="1222">
        <f t="shared" si="99"/>
        <v>0</v>
      </c>
      <c r="X41" s="1156">
        <f t="shared" si="100"/>
        <v>4.2</v>
      </c>
      <c r="Y41" s="1195"/>
      <c r="Z41" s="1222">
        <f t="shared" si="101"/>
        <v>0</v>
      </c>
      <c r="AA41" s="1156">
        <f t="shared" si="102"/>
        <v>2.7</v>
      </c>
      <c r="AB41" s="1195">
        <v>2.44</v>
      </c>
      <c r="AC41" s="1222">
        <f t="shared" si="103"/>
        <v>6.5880000000000001</v>
      </c>
      <c r="AD41" s="1156">
        <f t="shared" si="104"/>
        <v>2.89</v>
      </c>
      <c r="AE41" s="1195">
        <v>2.2999999999999998</v>
      </c>
      <c r="AF41" s="1222">
        <f t="shared" si="105"/>
        <v>6.6469999999999994</v>
      </c>
      <c r="AG41" s="1156">
        <f t="shared" si="106"/>
        <v>2.23</v>
      </c>
      <c r="AH41" s="1195">
        <v>3.66</v>
      </c>
      <c r="AI41" s="1222">
        <f t="shared" si="107"/>
        <v>8.1617999999999995</v>
      </c>
      <c r="AJ41" s="1156">
        <f t="shared" si="108"/>
        <v>2.13</v>
      </c>
      <c r="AK41" s="1195">
        <v>3.66</v>
      </c>
      <c r="AL41" s="1222">
        <f t="shared" si="109"/>
        <v>7.7957999999999998</v>
      </c>
      <c r="AM41" s="1156">
        <f t="shared" si="110"/>
        <v>4</v>
      </c>
      <c r="AN41" s="1195"/>
      <c r="AO41" s="1222">
        <f t="shared" si="111"/>
        <v>0</v>
      </c>
      <c r="AP41" s="1156">
        <f t="shared" si="112"/>
        <v>4</v>
      </c>
      <c r="AQ41" s="1195"/>
      <c r="AR41" s="1222">
        <f t="shared" si="113"/>
        <v>0</v>
      </c>
      <c r="AS41" s="1156">
        <f t="shared" si="114"/>
        <v>3</v>
      </c>
      <c r="AT41" s="1195">
        <v>1.96</v>
      </c>
      <c r="AU41" s="1222">
        <f t="shared" si="115"/>
        <v>5.88</v>
      </c>
      <c r="AV41" s="1156">
        <f t="shared" si="116"/>
        <v>3</v>
      </c>
      <c r="AW41" s="1195">
        <v>2.2999999999999998</v>
      </c>
      <c r="AX41" s="1222">
        <f t="shared" si="117"/>
        <v>6.8999999999999995</v>
      </c>
      <c r="AY41" s="1156">
        <f t="shared" si="118"/>
        <v>3.827</v>
      </c>
      <c r="AZ41" s="1195"/>
      <c r="BA41" s="1222">
        <f t="shared" si="119"/>
        <v>0</v>
      </c>
      <c r="BB41" s="1156">
        <f t="shared" si="120"/>
        <v>3.827</v>
      </c>
      <c r="BC41" s="1195"/>
      <c r="BD41" s="1222">
        <f t="shared" si="121"/>
        <v>0</v>
      </c>
      <c r="BE41" s="1156">
        <f t="shared" si="122"/>
        <v>5.21</v>
      </c>
      <c r="BF41" s="1195">
        <v>6.76</v>
      </c>
      <c r="BG41" s="1266">
        <f t="shared" si="123"/>
        <v>35.2196</v>
      </c>
      <c r="BH41" s="1156">
        <f t="shared" si="124"/>
        <v>5.21</v>
      </c>
      <c r="BI41" s="1195">
        <v>6.76</v>
      </c>
      <c r="BJ41" s="1222">
        <f t="shared" si="125"/>
        <v>35.2196</v>
      </c>
      <c r="BK41" s="1156">
        <f t="shared" si="126"/>
        <v>12.25</v>
      </c>
      <c r="BL41" s="1195"/>
      <c r="BM41" s="1222">
        <f t="shared" si="127"/>
        <v>0</v>
      </c>
      <c r="BN41" s="1156">
        <f t="shared" si="128"/>
        <v>12.25</v>
      </c>
      <c r="BO41" s="1195"/>
      <c r="BP41" s="1222">
        <f t="shared" si="129"/>
        <v>0</v>
      </c>
      <c r="BQ41" s="1156">
        <f t="shared" si="130"/>
        <v>1.7</v>
      </c>
      <c r="BR41" s="1217"/>
      <c r="BS41" s="1222">
        <f t="shared" si="131"/>
        <v>0</v>
      </c>
      <c r="BT41" s="1155">
        <f t="shared" si="132"/>
        <v>2.5</v>
      </c>
      <c r="BU41" s="1195">
        <v>5</v>
      </c>
      <c r="BV41" s="1222">
        <f t="shared" si="133"/>
        <v>12.5</v>
      </c>
      <c r="BW41" s="1156">
        <f t="shared" si="134"/>
        <v>2.5</v>
      </c>
      <c r="BX41" s="1195">
        <v>5</v>
      </c>
      <c r="BY41" s="1222">
        <f t="shared" si="135"/>
        <v>12.5</v>
      </c>
      <c r="BZ41" s="1156">
        <f t="shared" si="136"/>
        <v>2.5</v>
      </c>
      <c r="CA41" s="1195">
        <v>3</v>
      </c>
      <c r="CB41" s="1222">
        <f t="shared" si="137"/>
        <v>7.5</v>
      </c>
      <c r="CC41" s="1156">
        <f t="shared" si="138"/>
        <v>2.5</v>
      </c>
      <c r="CD41" s="1195">
        <v>3</v>
      </c>
      <c r="CE41" s="1222">
        <f t="shared" si="139"/>
        <v>7.5</v>
      </c>
      <c r="CF41" s="1156">
        <f t="shared" si="140"/>
        <v>1.5</v>
      </c>
      <c r="CG41" s="1195"/>
      <c r="CH41" s="1222">
        <f t="shared" si="141"/>
        <v>0</v>
      </c>
      <c r="CI41" s="1156">
        <f t="shared" si="142"/>
        <v>1.57</v>
      </c>
      <c r="CJ41" s="1195">
        <v>2.36</v>
      </c>
      <c r="CK41" s="1222">
        <f t="shared" si="143"/>
        <v>3.7052</v>
      </c>
      <c r="CL41" s="1156">
        <f t="shared" si="144"/>
        <v>0.63</v>
      </c>
      <c r="CM41" s="1195">
        <f>2.44+25.74</f>
        <v>28.18</v>
      </c>
      <c r="CN41" s="1222">
        <f t="shared" si="145"/>
        <v>17.753399999999999</v>
      </c>
      <c r="CO41" s="1156">
        <f t="shared" si="146"/>
        <v>0.63</v>
      </c>
      <c r="CP41" s="1195">
        <f>2.44+25.74</f>
        <v>28.18</v>
      </c>
      <c r="CQ41" s="1222">
        <f t="shared" si="147"/>
        <v>17.753399999999999</v>
      </c>
      <c r="CR41" s="1156">
        <f t="shared" si="148"/>
        <v>1</v>
      </c>
      <c r="CS41" s="1195">
        <v>21.53</v>
      </c>
      <c r="CT41" s="1222">
        <f t="shared" si="149"/>
        <v>21.53</v>
      </c>
      <c r="CU41" s="1156">
        <f t="shared" si="150"/>
        <v>1</v>
      </c>
      <c r="CV41" s="1195">
        <v>21.53</v>
      </c>
      <c r="CW41" s="1222">
        <f t="shared" si="151"/>
        <v>21.53</v>
      </c>
      <c r="CX41" s="1156">
        <f t="shared" si="152"/>
        <v>2</v>
      </c>
      <c r="CY41" s="1195">
        <v>19.53</v>
      </c>
      <c r="CZ41" s="1222">
        <f t="shared" si="153"/>
        <v>39.06</v>
      </c>
      <c r="DA41" s="1156">
        <f t="shared" si="154"/>
        <v>2</v>
      </c>
      <c r="DB41" s="1195">
        <v>19.53</v>
      </c>
      <c r="DC41" s="1222">
        <f t="shared" si="155"/>
        <v>39.06</v>
      </c>
      <c r="DD41" s="1156"/>
      <c r="DE41" s="1217"/>
      <c r="DF41" s="1222">
        <f t="shared" si="156"/>
        <v>0</v>
      </c>
      <c r="DG41" s="1156"/>
      <c r="DH41" s="1217"/>
      <c r="DI41" s="1222">
        <f t="shared" si="157"/>
        <v>0</v>
      </c>
      <c r="DJ41" s="1156"/>
      <c r="DK41" s="1217"/>
      <c r="DL41" s="1222">
        <f t="shared" si="158"/>
        <v>0</v>
      </c>
      <c r="DM41" s="1156"/>
      <c r="DN41" s="1217"/>
      <c r="DO41" s="1222">
        <f t="shared" si="159"/>
        <v>0</v>
      </c>
      <c r="DP41" s="1156"/>
      <c r="DQ41" s="1217"/>
      <c r="DR41" s="1222">
        <f t="shared" si="160"/>
        <v>0</v>
      </c>
      <c r="DS41" s="1156"/>
      <c r="DT41" s="1217"/>
      <c r="DU41" s="1222">
        <f t="shared" si="161"/>
        <v>0</v>
      </c>
      <c r="DV41" s="1156"/>
      <c r="DW41" s="1217"/>
      <c r="DX41" s="1244">
        <f t="shared" si="162"/>
        <v>0</v>
      </c>
    </row>
    <row r="42" spans="1:128">
      <c r="B42" s="1305" t="s">
        <v>159</v>
      </c>
      <c r="C42" s="1155">
        <f t="shared" si="87"/>
        <v>8</v>
      </c>
      <c r="D42" s="1195"/>
      <c r="E42" s="1199">
        <f>C42*D42</f>
        <v>0</v>
      </c>
      <c r="F42" s="1156">
        <f t="shared" si="88"/>
        <v>9.34</v>
      </c>
      <c r="G42" s="1195"/>
      <c r="H42" s="1199">
        <f t="shared" si="89"/>
        <v>0</v>
      </c>
      <c r="I42" s="1156">
        <f t="shared" si="90"/>
        <v>2.8</v>
      </c>
      <c r="J42" s="1217">
        <v>3.23</v>
      </c>
      <c r="K42" s="1222">
        <f t="shared" si="91"/>
        <v>9.0439999999999987</v>
      </c>
      <c r="L42" s="1156">
        <f t="shared" si="92"/>
        <v>2.6</v>
      </c>
      <c r="M42" s="1217"/>
      <c r="N42" s="1222">
        <f t="shared" si="93"/>
        <v>0</v>
      </c>
      <c r="O42" s="1156">
        <f t="shared" si="94"/>
        <v>3.2</v>
      </c>
      <c r="P42" s="1195">
        <v>3.23</v>
      </c>
      <c r="Q42" s="1222">
        <f t="shared" si="95"/>
        <v>10.336</v>
      </c>
      <c r="R42" s="1156">
        <f t="shared" si="96"/>
        <v>3.1</v>
      </c>
      <c r="S42" s="1195">
        <v>4</v>
      </c>
      <c r="T42" s="1222">
        <f t="shared" si="97"/>
        <v>12.4</v>
      </c>
      <c r="U42" s="1156">
        <f t="shared" si="98"/>
        <v>3.2</v>
      </c>
      <c r="V42" s="1195">
        <v>3.23</v>
      </c>
      <c r="W42" s="1222">
        <f t="shared" si="99"/>
        <v>10.336</v>
      </c>
      <c r="X42" s="1156">
        <f t="shared" si="100"/>
        <v>4.2</v>
      </c>
      <c r="Y42" s="1195">
        <v>4</v>
      </c>
      <c r="Z42" s="1222">
        <f t="shared" si="101"/>
        <v>16.8</v>
      </c>
      <c r="AA42" s="1156">
        <f t="shared" si="102"/>
        <v>2.7</v>
      </c>
      <c r="AB42" s="1195"/>
      <c r="AC42" s="1222">
        <f t="shared" si="103"/>
        <v>0</v>
      </c>
      <c r="AD42" s="1156">
        <f t="shared" si="104"/>
        <v>2.89</v>
      </c>
      <c r="AE42" s="1195"/>
      <c r="AF42" s="1222">
        <f t="shared" si="105"/>
        <v>0</v>
      </c>
      <c r="AG42" s="1156">
        <f t="shared" si="106"/>
        <v>2.23</v>
      </c>
      <c r="AH42" s="1195"/>
      <c r="AI42" s="1222">
        <f t="shared" si="107"/>
        <v>0</v>
      </c>
      <c r="AJ42" s="1156">
        <f t="shared" si="108"/>
        <v>2.13</v>
      </c>
      <c r="AK42" s="1195"/>
      <c r="AL42" s="1222">
        <f t="shared" si="109"/>
        <v>0</v>
      </c>
      <c r="AM42" s="1156">
        <f t="shared" si="110"/>
        <v>4</v>
      </c>
      <c r="AN42" s="1195"/>
      <c r="AO42" s="1222">
        <f t="shared" si="111"/>
        <v>0</v>
      </c>
      <c r="AP42" s="1156">
        <f t="shared" si="112"/>
        <v>4</v>
      </c>
      <c r="AQ42" s="1195"/>
      <c r="AR42" s="1222">
        <f t="shared" si="113"/>
        <v>0</v>
      </c>
      <c r="AS42" s="1156">
        <f t="shared" si="114"/>
        <v>3</v>
      </c>
      <c r="AT42" s="1195"/>
      <c r="AU42" s="1222">
        <f t="shared" si="115"/>
        <v>0</v>
      </c>
      <c r="AV42" s="1156">
        <f t="shared" si="116"/>
        <v>3</v>
      </c>
      <c r="AW42" s="1195"/>
      <c r="AX42" s="1222">
        <f t="shared" si="117"/>
        <v>0</v>
      </c>
      <c r="AY42" s="1156">
        <f t="shared" si="118"/>
        <v>3.827</v>
      </c>
      <c r="AZ42" s="1195"/>
      <c r="BA42" s="1222">
        <f t="shared" si="119"/>
        <v>0</v>
      </c>
      <c r="BB42" s="1156">
        <f t="shared" si="120"/>
        <v>3.827</v>
      </c>
      <c r="BC42" s="1195"/>
      <c r="BD42" s="1222">
        <f t="shared" si="121"/>
        <v>0</v>
      </c>
      <c r="BE42" s="1156">
        <f t="shared" si="122"/>
        <v>5.21</v>
      </c>
      <c r="BF42" s="1195"/>
      <c r="BG42" s="1266">
        <f t="shared" si="123"/>
        <v>0</v>
      </c>
      <c r="BH42" s="1156">
        <f t="shared" si="124"/>
        <v>5.21</v>
      </c>
      <c r="BI42" s="1195"/>
      <c r="BJ42" s="1222">
        <f t="shared" si="125"/>
        <v>0</v>
      </c>
      <c r="BK42" s="1156">
        <f t="shared" si="126"/>
        <v>12.25</v>
      </c>
      <c r="BL42" s="1195"/>
      <c r="BM42" s="1222">
        <f t="shared" si="127"/>
        <v>0</v>
      </c>
      <c r="BN42" s="1156">
        <f t="shared" si="128"/>
        <v>12.25</v>
      </c>
      <c r="BO42" s="1195"/>
      <c r="BP42" s="1222">
        <f t="shared" si="129"/>
        <v>0</v>
      </c>
      <c r="BQ42" s="1156">
        <f t="shared" si="130"/>
        <v>1.7</v>
      </c>
      <c r="BR42" s="1217"/>
      <c r="BS42" s="1222">
        <f t="shared" si="131"/>
        <v>0</v>
      </c>
      <c r="BT42" s="1155">
        <f t="shared" si="132"/>
        <v>2.5</v>
      </c>
      <c r="BU42" s="1195">
        <v>4.9400000000000004</v>
      </c>
      <c r="BV42" s="1222">
        <f t="shared" si="133"/>
        <v>12.350000000000001</v>
      </c>
      <c r="BW42" s="1156">
        <f t="shared" si="134"/>
        <v>2.5</v>
      </c>
      <c r="BX42" s="1195">
        <v>4.9400000000000004</v>
      </c>
      <c r="BY42" s="1222">
        <f t="shared" si="135"/>
        <v>12.350000000000001</v>
      </c>
      <c r="BZ42" s="1156">
        <f t="shared" si="136"/>
        <v>2.5</v>
      </c>
      <c r="CA42" s="1195">
        <f>4.94+5.1</f>
        <v>10.039999999999999</v>
      </c>
      <c r="CB42" s="1222">
        <f t="shared" si="137"/>
        <v>25.099999999999998</v>
      </c>
      <c r="CC42" s="1156">
        <f t="shared" si="138"/>
        <v>2.5</v>
      </c>
      <c r="CD42" s="1195">
        <f>4.94+5.1</f>
        <v>10.039999999999999</v>
      </c>
      <c r="CE42" s="1222">
        <f t="shared" si="139"/>
        <v>25.099999999999998</v>
      </c>
      <c r="CF42" s="1156">
        <f t="shared" si="140"/>
        <v>1.5</v>
      </c>
      <c r="CG42" s="1195">
        <v>100</v>
      </c>
      <c r="CH42" s="1222">
        <f t="shared" si="141"/>
        <v>150</v>
      </c>
      <c r="CI42" s="1156">
        <f t="shared" si="142"/>
        <v>1.57</v>
      </c>
      <c r="CJ42" s="1195"/>
      <c r="CK42" s="1222">
        <f t="shared" si="143"/>
        <v>0</v>
      </c>
      <c r="CL42" s="1156">
        <f t="shared" si="144"/>
        <v>0.63</v>
      </c>
      <c r="CM42" s="1195">
        <v>15.81</v>
      </c>
      <c r="CN42" s="1222">
        <f t="shared" si="145"/>
        <v>9.9603000000000002</v>
      </c>
      <c r="CO42" s="1156">
        <f t="shared" si="146"/>
        <v>0.63</v>
      </c>
      <c r="CP42" s="1195">
        <v>15.81</v>
      </c>
      <c r="CQ42" s="1222">
        <f t="shared" si="147"/>
        <v>9.9603000000000002</v>
      </c>
      <c r="CR42" s="1156">
        <f t="shared" si="148"/>
        <v>1</v>
      </c>
      <c r="CS42" s="1195">
        <v>4.3099999999999996</v>
      </c>
      <c r="CT42" s="1222">
        <f t="shared" si="149"/>
        <v>4.3099999999999996</v>
      </c>
      <c r="CU42" s="1156">
        <f t="shared" si="150"/>
        <v>1</v>
      </c>
      <c r="CV42" s="1195">
        <v>4.3099999999999996</v>
      </c>
      <c r="CW42" s="1222">
        <f t="shared" si="151"/>
        <v>4.3099999999999996</v>
      </c>
      <c r="CX42" s="1156">
        <f t="shared" si="152"/>
        <v>2</v>
      </c>
      <c r="CY42" s="1195"/>
      <c r="CZ42" s="1222">
        <f t="shared" si="153"/>
        <v>0</v>
      </c>
      <c r="DA42" s="1156">
        <f t="shared" si="154"/>
        <v>2</v>
      </c>
      <c r="DB42" s="1195"/>
      <c r="DC42" s="1222">
        <f t="shared" si="155"/>
        <v>0</v>
      </c>
      <c r="DD42" s="1156"/>
      <c r="DE42" s="1217"/>
      <c r="DF42" s="1222">
        <f t="shared" si="156"/>
        <v>0</v>
      </c>
      <c r="DG42" s="1156"/>
      <c r="DH42" s="1217"/>
      <c r="DI42" s="1222">
        <f t="shared" si="157"/>
        <v>0</v>
      </c>
      <c r="DJ42" s="1156"/>
      <c r="DK42" s="1217"/>
      <c r="DL42" s="1222">
        <f t="shared" si="158"/>
        <v>0</v>
      </c>
      <c r="DM42" s="1156"/>
      <c r="DN42" s="1217"/>
      <c r="DO42" s="1222">
        <f t="shared" si="159"/>
        <v>0</v>
      </c>
      <c r="DP42" s="1156"/>
      <c r="DQ42" s="1217"/>
      <c r="DR42" s="1222">
        <f t="shared" si="160"/>
        <v>0</v>
      </c>
      <c r="DS42" s="1156"/>
      <c r="DT42" s="1217"/>
      <c r="DU42" s="1222">
        <f t="shared" si="161"/>
        <v>0</v>
      </c>
      <c r="DV42" s="1156"/>
      <c r="DW42" s="1217"/>
      <c r="DX42" s="1244">
        <f t="shared" si="162"/>
        <v>0</v>
      </c>
    </row>
    <row r="43" spans="1:128">
      <c r="B43" s="1305" t="s">
        <v>160</v>
      </c>
      <c r="C43" s="1155">
        <f t="shared" si="87"/>
        <v>8</v>
      </c>
      <c r="D43" s="1195">
        <v>1.8</v>
      </c>
      <c r="E43" s="1199">
        <f>C43*D43</f>
        <v>14.4</v>
      </c>
      <c r="F43" s="1156">
        <f t="shared" si="88"/>
        <v>9.34</v>
      </c>
      <c r="G43" s="1195">
        <v>1.3</v>
      </c>
      <c r="H43" s="1199">
        <f t="shared" si="89"/>
        <v>12.141999999999999</v>
      </c>
      <c r="I43" s="1156">
        <f t="shared" si="90"/>
        <v>2.8</v>
      </c>
      <c r="J43" s="1217">
        <v>1.9</v>
      </c>
      <c r="K43" s="1222">
        <f t="shared" si="91"/>
        <v>5.3199999999999994</v>
      </c>
      <c r="L43" s="1156">
        <f t="shared" si="92"/>
        <v>2.6</v>
      </c>
      <c r="M43" s="1217">
        <v>1.4</v>
      </c>
      <c r="N43" s="1222">
        <f t="shared" si="93"/>
        <v>3.6399999999999997</v>
      </c>
      <c r="O43" s="1156">
        <f t="shared" si="94"/>
        <v>3.2</v>
      </c>
      <c r="P43" s="1195">
        <v>1.9</v>
      </c>
      <c r="Q43" s="1222">
        <f t="shared" si="95"/>
        <v>6.08</v>
      </c>
      <c r="R43" s="1156">
        <f t="shared" si="96"/>
        <v>3.1</v>
      </c>
      <c r="S43" s="1195">
        <v>1.4</v>
      </c>
      <c r="T43" s="1222">
        <f t="shared" si="97"/>
        <v>4.34</v>
      </c>
      <c r="U43" s="1156">
        <f t="shared" si="98"/>
        <v>3.2</v>
      </c>
      <c r="V43" s="1195">
        <v>1.9</v>
      </c>
      <c r="W43" s="1222">
        <f t="shared" si="99"/>
        <v>6.08</v>
      </c>
      <c r="X43" s="1156">
        <f t="shared" si="100"/>
        <v>4.2</v>
      </c>
      <c r="Y43" s="1195">
        <v>1.4</v>
      </c>
      <c r="Z43" s="1222">
        <f t="shared" si="101"/>
        <v>5.88</v>
      </c>
      <c r="AA43" s="1156">
        <f t="shared" si="102"/>
        <v>2.7</v>
      </c>
      <c r="AB43" s="1195">
        <v>1.9</v>
      </c>
      <c r="AC43" s="1222">
        <f t="shared" si="103"/>
        <v>5.13</v>
      </c>
      <c r="AD43" s="1156">
        <f t="shared" si="104"/>
        <v>2.89</v>
      </c>
      <c r="AE43" s="1195">
        <v>1.4</v>
      </c>
      <c r="AF43" s="1222">
        <f t="shared" si="105"/>
        <v>4.0460000000000003</v>
      </c>
      <c r="AG43" s="1156">
        <f t="shared" si="106"/>
        <v>2.23</v>
      </c>
      <c r="AH43" s="1195">
        <v>1.9</v>
      </c>
      <c r="AI43" s="1222">
        <f t="shared" si="107"/>
        <v>4.2370000000000001</v>
      </c>
      <c r="AJ43" s="1156">
        <f t="shared" si="108"/>
        <v>2.13</v>
      </c>
      <c r="AK43" s="1195">
        <v>1.4</v>
      </c>
      <c r="AL43" s="1222">
        <f t="shared" si="109"/>
        <v>2.9819999999999998</v>
      </c>
      <c r="AM43" s="1156">
        <f t="shared" si="110"/>
        <v>4</v>
      </c>
      <c r="AN43" s="1195">
        <v>1.9</v>
      </c>
      <c r="AO43" s="1222">
        <f t="shared" si="111"/>
        <v>7.6</v>
      </c>
      <c r="AP43" s="1156">
        <f t="shared" si="112"/>
        <v>4</v>
      </c>
      <c r="AQ43" s="1195">
        <v>1.9</v>
      </c>
      <c r="AR43" s="1222">
        <f t="shared" si="113"/>
        <v>7.6</v>
      </c>
      <c r="AS43" s="1156">
        <f t="shared" si="114"/>
        <v>3</v>
      </c>
      <c r="AT43" s="1195">
        <v>1.8</v>
      </c>
      <c r="AU43" s="1222">
        <f t="shared" si="115"/>
        <v>5.4</v>
      </c>
      <c r="AV43" s="1156">
        <f t="shared" si="116"/>
        <v>3</v>
      </c>
      <c r="AW43" s="1195">
        <v>1.4</v>
      </c>
      <c r="AX43" s="1222">
        <f t="shared" si="117"/>
        <v>4.1999999999999993</v>
      </c>
      <c r="AY43" s="1156">
        <f t="shared" si="118"/>
        <v>3.827</v>
      </c>
      <c r="AZ43" s="1195"/>
      <c r="BA43" s="1222">
        <f t="shared" si="119"/>
        <v>0</v>
      </c>
      <c r="BB43" s="1156">
        <f t="shared" si="120"/>
        <v>3.827</v>
      </c>
      <c r="BC43" s="1195"/>
      <c r="BD43" s="1222">
        <f t="shared" si="121"/>
        <v>0</v>
      </c>
      <c r="BE43" s="1156">
        <f t="shared" si="122"/>
        <v>5.21</v>
      </c>
      <c r="BF43" s="1195"/>
      <c r="BG43" s="1266">
        <f t="shared" si="123"/>
        <v>0</v>
      </c>
      <c r="BH43" s="1156">
        <f t="shared" si="124"/>
        <v>5.21</v>
      </c>
      <c r="BI43" s="1195"/>
      <c r="BJ43" s="1222">
        <f t="shared" si="125"/>
        <v>0</v>
      </c>
      <c r="BK43" s="1156">
        <f t="shared" si="126"/>
        <v>12.25</v>
      </c>
      <c r="BL43" s="1195"/>
      <c r="BM43" s="1222">
        <f t="shared" si="127"/>
        <v>0</v>
      </c>
      <c r="BN43" s="1156">
        <f t="shared" si="128"/>
        <v>12.25</v>
      </c>
      <c r="BO43" s="1195"/>
      <c r="BP43" s="1222">
        <f t="shared" si="129"/>
        <v>0</v>
      </c>
      <c r="BQ43" s="1156">
        <f t="shared" si="130"/>
        <v>1.7</v>
      </c>
      <c r="BR43" s="1217"/>
      <c r="BS43" s="1222">
        <f t="shared" si="131"/>
        <v>0</v>
      </c>
      <c r="BT43" s="1155">
        <f t="shared" si="132"/>
        <v>2.5</v>
      </c>
      <c r="BU43" s="1195">
        <v>1.9</v>
      </c>
      <c r="BV43" s="1222">
        <f t="shared" si="133"/>
        <v>4.75</v>
      </c>
      <c r="BW43" s="1156">
        <f t="shared" si="134"/>
        <v>2.5</v>
      </c>
      <c r="BX43" s="1195">
        <v>1.9</v>
      </c>
      <c r="BY43" s="1222">
        <f t="shared" si="135"/>
        <v>4.75</v>
      </c>
      <c r="BZ43" s="1156">
        <f t="shared" si="136"/>
        <v>2.5</v>
      </c>
      <c r="CA43" s="1195">
        <v>1.9</v>
      </c>
      <c r="CB43" s="1222">
        <f t="shared" si="137"/>
        <v>4.75</v>
      </c>
      <c r="CC43" s="1156">
        <f t="shared" si="138"/>
        <v>2.5</v>
      </c>
      <c r="CD43" s="1195">
        <v>1.9</v>
      </c>
      <c r="CE43" s="1222">
        <f t="shared" si="139"/>
        <v>4.75</v>
      </c>
      <c r="CF43" s="1156">
        <f t="shared" si="140"/>
        <v>1.5</v>
      </c>
      <c r="CG43" s="1195">
        <v>1.9</v>
      </c>
      <c r="CH43" s="1222">
        <f t="shared" si="141"/>
        <v>2.8499999999999996</v>
      </c>
      <c r="CI43" s="1156">
        <f t="shared" si="142"/>
        <v>1.57</v>
      </c>
      <c r="CJ43" s="1195">
        <v>1.4</v>
      </c>
      <c r="CK43" s="1222">
        <f t="shared" si="143"/>
        <v>2.198</v>
      </c>
      <c r="CL43" s="1156">
        <f t="shared" si="144"/>
        <v>0.63</v>
      </c>
      <c r="CM43" s="1195"/>
      <c r="CN43" s="1222">
        <f t="shared" si="145"/>
        <v>0</v>
      </c>
      <c r="CO43" s="1156">
        <f t="shared" si="146"/>
        <v>0.63</v>
      </c>
      <c r="CP43" s="1195"/>
      <c r="CQ43" s="1222">
        <f t="shared" si="147"/>
        <v>0</v>
      </c>
      <c r="CR43" s="1156">
        <f t="shared" si="148"/>
        <v>1</v>
      </c>
      <c r="CS43" s="1195">
        <v>1.9</v>
      </c>
      <c r="CT43" s="1222">
        <f t="shared" si="149"/>
        <v>1.9</v>
      </c>
      <c r="CU43" s="1156">
        <f t="shared" si="150"/>
        <v>1</v>
      </c>
      <c r="CV43" s="1195">
        <v>1.9</v>
      </c>
      <c r="CW43" s="1222">
        <f t="shared" si="151"/>
        <v>1.9</v>
      </c>
      <c r="CX43" s="1156">
        <f t="shared" si="152"/>
        <v>2</v>
      </c>
      <c r="CY43" s="1195">
        <v>1.35</v>
      </c>
      <c r="CZ43" s="1222">
        <f t="shared" si="153"/>
        <v>2.7</v>
      </c>
      <c r="DA43" s="1156">
        <f t="shared" si="154"/>
        <v>2</v>
      </c>
      <c r="DB43" s="1195">
        <v>1.35</v>
      </c>
      <c r="DC43" s="1222">
        <f t="shared" si="155"/>
        <v>2.7</v>
      </c>
      <c r="DD43" s="1156"/>
      <c r="DE43" s="1217"/>
      <c r="DF43" s="1222">
        <f t="shared" si="156"/>
        <v>0</v>
      </c>
      <c r="DG43" s="1156"/>
      <c r="DH43" s="1217"/>
      <c r="DI43" s="1222">
        <f t="shared" si="157"/>
        <v>0</v>
      </c>
      <c r="DJ43" s="1156"/>
      <c r="DK43" s="1217"/>
      <c r="DL43" s="1222">
        <f t="shared" si="158"/>
        <v>0</v>
      </c>
      <c r="DM43" s="1156"/>
      <c r="DN43" s="1217"/>
      <c r="DO43" s="1222">
        <f t="shared" si="159"/>
        <v>0</v>
      </c>
      <c r="DP43" s="1156"/>
      <c r="DQ43" s="1217"/>
      <c r="DR43" s="1222">
        <f t="shared" si="160"/>
        <v>0</v>
      </c>
      <c r="DS43" s="1156"/>
      <c r="DT43" s="1217"/>
      <c r="DU43" s="1222">
        <f t="shared" si="161"/>
        <v>0</v>
      </c>
      <c r="DV43" s="1156"/>
      <c r="DW43" s="1217"/>
      <c r="DX43" s="1244">
        <f t="shared" si="162"/>
        <v>0</v>
      </c>
    </row>
    <row r="44" spans="1:128">
      <c r="B44" s="1305" t="s">
        <v>333</v>
      </c>
      <c r="C44" s="1155">
        <f t="shared" si="87"/>
        <v>8</v>
      </c>
      <c r="D44" s="1195"/>
      <c r="E44" s="1199">
        <f>C44*D44</f>
        <v>0</v>
      </c>
      <c r="F44" s="1156">
        <f t="shared" si="88"/>
        <v>9.34</v>
      </c>
      <c r="G44" s="1195"/>
      <c r="H44" s="1199">
        <f t="shared" si="89"/>
        <v>0</v>
      </c>
      <c r="I44" s="1156">
        <f t="shared" si="90"/>
        <v>2.8</v>
      </c>
      <c r="J44" s="1217"/>
      <c r="K44" s="1222">
        <f t="shared" si="91"/>
        <v>0</v>
      </c>
      <c r="L44" s="1156">
        <f t="shared" si="92"/>
        <v>2.6</v>
      </c>
      <c r="M44" s="1217"/>
      <c r="N44" s="1222">
        <f t="shared" si="93"/>
        <v>0</v>
      </c>
      <c r="O44" s="1156">
        <f t="shared" si="94"/>
        <v>3.2</v>
      </c>
      <c r="P44" s="1195">
        <v>3</v>
      </c>
      <c r="Q44" s="1222">
        <f t="shared" si="95"/>
        <v>9.6000000000000014</v>
      </c>
      <c r="R44" s="1156">
        <f t="shared" si="96"/>
        <v>3.1</v>
      </c>
      <c r="S44" s="1195">
        <v>2.97</v>
      </c>
      <c r="T44" s="1222">
        <f t="shared" si="97"/>
        <v>9.2070000000000007</v>
      </c>
      <c r="U44" s="1156">
        <f t="shared" si="98"/>
        <v>3.2</v>
      </c>
      <c r="V44" s="1195">
        <v>3</v>
      </c>
      <c r="W44" s="1222">
        <f t="shared" si="99"/>
        <v>9.6000000000000014</v>
      </c>
      <c r="X44" s="1156">
        <f t="shared" si="100"/>
        <v>4.2</v>
      </c>
      <c r="Y44" s="1195">
        <v>2.97</v>
      </c>
      <c r="Z44" s="1222">
        <f t="shared" si="101"/>
        <v>12.474000000000002</v>
      </c>
      <c r="AA44" s="1156">
        <f t="shared" si="102"/>
        <v>2.7</v>
      </c>
      <c r="AB44" s="1195"/>
      <c r="AC44" s="1222">
        <f t="shared" si="103"/>
        <v>0</v>
      </c>
      <c r="AD44" s="1156">
        <f t="shared" si="104"/>
        <v>2.89</v>
      </c>
      <c r="AE44" s="1195"/>
      <c r="AF44" s="1222">
        <f t="shared" si="105"/>
        <v>0</v>
      </c>
      <c r="AG44" s="1156">
        <f t="shared" si="106"/>
        <v>2.23</v>
      </c>
      <c r="AH44" s="1195"/>
      <c r="AI44" s="1222">
        <f t="shared" si="107"/>
        <v>0</v>
      </c>
      <c r="AJ44" s="1156">
        <f t="shared" si="108"/>
        <v>2.13</v>
      </c>
      <c r="AK44" s="1195"/>
      <c r="AL44" s="1222">
        <f t="shared" si="109"/>
        <v>0</v>
      </c>
      <c r="AM44" s="1156">
        <f t="shared" si="110"/>
        <v>4</v>
      </c>
      <c r="AN44" s="1195"/>
      <c r="AO44" s="1222">
        <f t="shared" si="111"/>
        <v>0</v>
      </c>
      <c r="AP44" s="1156">
        <f t="shared" si="112"/>
        <v>4</v>
      </c>
      <c r="AQ44" s="1195"/>
      <c r="AR44" s="1222">
        <f t="shared" si="113"/>
        <v>0</v>
      </c>
      <c r="AS44" s="1156">
        <f t="shared" si="114"/>
        <v>3</v>
      </c>
      <c r="AT44" s="1195"/>
      <c r="AU44" s="1222">
        <f t="shared" si="115"/>
        <v>0</v>
      </c>
      <c r="AV44" s="1156">
        <f t="shared" si="116"/>
        <v>3</v>
      </c>
      <c r="AW44" s="1195"/>
      <c r="AX44" s="1222">
        <f t="shared" si="117"/>
        <v>0</v>
      </c>
      <c r="AY44" s="1156">
        <f t="shared" si="118"/>
        <v>3.827</v>
      </c>
      <c r="AZ44" s="1195"/>
      <c r="BA44" s="1222">
        <f t="shared" si="119"/>
        <v>0</v>
      </c>
      <c r="BB44" s="1156">
        <f t="shared" si="120"/>
        <v>3.827</v>
      </c>
      <c r="BC44" s="1195"/>
      <c r="BD44" s="1222">
        <f t="shared" si="121"/>
        <v>0</v>
      </c>
      <c r="BE44" s="1156">
        <f t="shared" si="122"/>
        <v>5.21</v>
      </c>
      <c r="BF44" s="1195"/>
      <c r="BG44" s="1266">
        <f t="shared" si="123"/>
        <v>0</v>
      </c>
      <c r="BH44" s="1156">
        <f t="shared" si="124"/>
        <v>5.21</v>
      </c>
      <c r="BI44" s="1195"/>
      <c r="BJ44" s="1222">
        <f t="shared" si="125"/>
        <v>0</v>
      </c>
      <c r="BK44" s="1156">
        <f t="shared" si="126"/>
        <v>12.25</v>
      </c>
      <c r="BL44" s="1195"/>
      <c r="BM44" s="1222">
        <f t="shared" si="127"/>
        <v>0</v>
      </c>
      <c r="BN44" s="1156">
        <f t="shared" si="128"/>
        <v>12.25</v>
      </c>
      <c r="BO44" s="1195"/>
      <c r="BP44" s="1222">
        <f t="shared" si="129"/>
        <v>0</v>
      </c>
      <c r="BQ44" s="1156">
        <f t="shared" si="130"/>
        <v>1.7</v>
      </c>
      <c r="BR44" s="1217"/>
      <c r="BS44" s="1222">
        <f t="shared" si="131"/>
        <v>0</v>
      </c>
      <c r="BT44" s="1155">
        <f t="shared" si="132"/>
        <v>2.5</v>
      </c>
      <c r="BU44" s="1195">
        <v>5.49</v>
      </c>
      <c r="BV44" s="1222">
        <f t="shared" si="133"/>
        <v>13.725000000000001</v>
      </c>
      <c r="BW44" s="1156">
        <f t="shared" si="134"/>
        <v>2.5</v>
      </c>
      <c r="BX44" s="1195">
        <v>5.49</v>
      </c>
      <c r="BY44" s="1222">
        <f t="shared" si="135"/>
        <v>13.725000000000001</v>
      </c>
      <c r="BZ44" s="1156">
        <f t="shared" si="136"/>
        <v>2.5</v>
      </c>
      <c r="CA44" s="1195">
        <v>8.25</v>
      </c>
      <c r="CB44" s="1222">
        <f t="shared" si="137"/>
        <v>20.625</v>
      </c>
      <c r="CC44" s="1156">
        <f t="shared" si="138"/>
        <v>2.5</v>
      </c>
      <c r="CD44" s="1195">
        <v>8.25</v>
      </c>
      <c r="CE44" s="1222">
        <f t="shared" si="139"/>
        <v>20.625</v>
      </c>
      <c r="CF44" s="1156">
        <f t="shared" si="140"/>
        <v>1.5</v>
      </c>
      <c r="CG44" s="1195">
        <v>4</v>
      </c>
      <c r="CH44" s="1222">
        <f t="shared" si="141"/>
        <v>6</v>
      </c>
      <c r="CI44" s="1156">
        <f t="shared" si="142"/>
        <v>1.57</v>
      </c>
      <c r="CJ44" s="1195"/>
      <c r="CK44" s="1222">
        <f t="shared" si="143"/>
        <v>0</v>
      </c>
      <c r="CL44" s="1156">
        <f t="shared" si="144"/>
        <v>0.63</v>
      </c>
      <c r="CM44" s="1195">
        <v>2.68</v>
      </c>
      <c r="CN44" s="1222">
        <f t="shared" si="145"/>
        <v>1.6884000000000001</v>
      </c>
      <c r="CO44" s="1156">
        <f t="shared" si="146"/>
        <v>0.63</v>
      </c>
      <c r="CP44" s="1195">
        <v>2.68</v>
      </c>
      <c r="CQ44" s="1222">
        <f t="shared" si="147"/>
        <v>1.6884000000000001</v>
      </c>
      <c r="CR44" s="1156">
        <f t="shared" si="148"/>
        <v>1</v>
      </c>
      <c r="CS44" s="1195"/>
      <c r="CT44" s="1222">
        <f t="shared" si="149"/>
        <v>0</v>
      </c>
      <c r="CU44" s="1156">
        <f t="shared" si="150"/>
        <v>1</v>
      </c>
      <c r="CV44" s="1195"/>
      <c r="CW44" s="1222">
        <f t="shared" si="151"/>
        <v>0</v>
      </c>
      <c r="CX44" s="1156">
        <f t="shared" si="152"/>
        <v>2</v>
      </c>
      <c r="CY44" s="1195"/>
      <c r="CZ44" s="1222">
        <f t="shared" si="153"/>
        <v>0</v>
      </c>
      <c r="DA44" s="1156">
        <f t="shared" si="154"/>
        <v>2</v>
      </c>
      <c r="DB44" s="1195"/>
      <c r="DC44" s="1222">
        <f t="shared" si="155"/>
        <v>0</v>
      </c>
      <c r="DD44" s="1156"/>
      <c r="DE44" s="1217"/>
      <c r="DF44" s="1222">
        <f t="shared" si="156"/>
        <v>0</v>
      </c>
      <c r="DG44" s="1156"/>
      <c r="DH44" s="1217"/>
      <c r="DI44" s="1222">
        <f t="shared" si="157"/>
        <v>0</v>
      </c>
      <c r="DJ44" s="1156"/>
      <c r="DK44" s="1217"/>
      <c r="DL44" s="1222">
        <f t="shared" si="158"/>
        <v>0</v>
      </c>
      <c r="DM44" s="1156"/>
      <c r="DN44" s="1217"/>
      <c r="DO44" s="1222">
        <f t="shared" si="159"/>
        <v>0</v>
      </c>
      <c r="DP44" s="1156"/>
      <c r="DQ44" s="1217"/>
      <c r="DR44" s="1222">
        <f t="shared" si="160"/>
        <v>0</v>
      </c>
      <c r="DS44" s="1156"/>
      <c r="DT44" s="1217"/>
      <c r="DU44" s="1222">
        <f t="shared" si="161"/>
        <v>0</v>
      </c>
      <c r="DV44" s="1156"/>
      <c r="DW44" s="1217"/>
      <c r="DX44" s="1244">
        <f t="shared" si="162"/>
        <v>0</v>
      </c>
    </row>
    <row r="45" spans="1:128">
      <c r="B45" s="1305" t="s">
        <v>334</v>
      </c>
      <c r="C45" s="1155">
        <f t="shared" si="87"/>
        <v>8</v>
      </c>
      <c r="D45" s="1195">
        <v>15</v>
      </c>
      <c r="E45" s="1199">
        <f>C45*D45</f>
        <v>120</v>
      </c>
      <c r="F45" s="1156">
        <f t="shared" si="88"/>
        <v>9.34</v>
      </c>
      <c r="G45" s="1195">
        <v>10</v>
      </c>
      <c r="H45" s="1199">
        <f t="shared" si="89"/>
        <v>93.4</v>
      </c>
      <c r="I45" s="1156">
        <f t="shared" si="90"/>
        <v>2.8</v>
      </c>
      <c r="J45" s="1217">
        <v>20</v>
      </c>
      <c r="K45" s="1222">
        <f t="shared" si="91"/>
        <v>56</v>
      </c>
      <c r="L45" s="1156">
        <f t="shared" si="92"/>
        <v>2.6</v>
      </c>
      <c r="M45" s="1217">
        <v>10</v>
      </c>
      <c r="N45" s="1222">
        <f t="shared" si="93"/>
        <v>26</v>
      </c>
      <c r="O45" s="1156">
        <f t="shared" si="94"/>
        <v>3.2</v>
      </c>
      <c r="P45" s="1195">
        <v>15</v>
      </c>
      <c r="Q45" s="1222">
        <f t="shared" si="95"/>
        <v>48</v>
      </c>
      <c r="R45" s="1156">
        <f t="shared" si="96"/>
        <v>3.1</v>
      </c>
      <c r="S45" s="1195">
        <v>15</v>
      </c>
      <c r="T45" s="1222">
        <f t="shared" si="97"/>
        <v>46.5</v>
      </c>
      <c r="U45" s="1156">
        <f t="shared" si="98"/>
        <v>3.2</v>
      </c>
      <c r="V45" s="1195">
        <v>15</v>
      </c>
      <c r="W45" s="1222">
        <f t="shared" si="99"/>
        <v>48</v>
      </c>
      <c r="X45" s="1156">
        <f t="shared" si="100"/>
        <v>4.2</v>
      </c>
      <c r="Y45" s="1195">
        <v>15</v>
      </c>
      <c r="Z45" s="1222">
        <f t="shared" si="101"/>
        <v>63</v>
      </c>
      <c r="AA45" s="1156">
        <f t="shared" si="102"/>
        <v>2.7</v>
      </c>
      <c r="AB45" s="1195">
        <v>15</v>
      </c>
      <c r="AC45" s="1222">
        <f t="shared" si="103"/>
        <v>40.5</v>
      </c>
      <c r="AD45" s="1156">
        <f t="shared" si="104"/>
        <v>2.89</v>
      </c>
      <c r="AE45" s="1195">
        <v>8</v>
      </c>
      <c r="AF45" s="1222">
        <f t="shared" si="105"/>
        <v>23.12</v>
      </c>
      <c r="AG45" s="1156">
        <f t="shared" si="106"/>
        <v>2.23</v>
      </c>
      <c r="AH45" s="1195">
        <v>20</v>
      </c>
      <c r="AI45" s="1222">
        <f t="shared" si="107"/>
        <v>44.6</v>
      </c>
      <c r="AJ45" s="1156">
        <f t="shared" si="108"/>
        <v>2.13</v>
      </c>
      <c r="AK45" s="1195">
        <v>12.5</v>
      </c>
      <c r="AL45" s="1222">
        <f t="shared" si="109"/>
        <v>26.625</v>
      </c>
      <c r="AM45" s="1156">
        <f t="shared" si="110"/>
        <v>4</v>
      </c>
      <c r="AN45" s="1195">
        <v>15</v>
      </c>
      <c r="AO45" s="1222">
        <f t="shared" si="111"/>
        <v>60</v>
      </c>
      <c r="AP45" s="1156">
        <f t="shared" si="112"/>
        <v>4</v>
      </c>
      <c r="AQ45" s="1195">
        <v>15</v>
      </c>
      <c r="AR45" s="1222">
        <f t="shared" si="113"/>
        <v>60</v>
      </c>
      <c r="AS45" s="1156">
        <f t="shared" si="114"/>
        <v>3</v>
      </c>
      <c r="AT45" s="1195">
        <v>15</v>
      </c>
      <c r="AU45" s="1222">
        <f t="shared" si="115"/>
        <v>45</v>
      </c>
      <c r="AV45" s="1156">
        <f t="shared" si="116"/>
        <v>3</v>
      </c>
      <c r="AW45" s="1195">
        <v>8</v>
      </c>
      <c r="AX45" s="1222">
        <f t="shared" si="117"/>
        <v>24</v>
      </c>
      <c r="AY45" s="1156">
        <f t="shared" si="118"/>
        <v>3.827</v>
      </c>
      <c r="AZ45" s="1195"/>
      <c r="BA45" s="1222">
        <f t="shared" si="119"/>
        <v>0</v>
      </c>
      <c r="BB45" s="1156">
        <f t="shared" si="120"/>
        <v>3.827</v>
      </c>
      <c r="BC45" s="1195"/>
      <c r="BD45" s="1222">
        <f t="shared" si="121"/>
        <v>0</v>
      </c>
      <c r="BE45" s="1156">
        <f t="shared" si="122"/>
        <v>5.21</v>
      </c>
      <c r="BF45" s="1195"/>
      <c r="BG45" s="1266">
        <f t="shared" si="123"/>
        <v>0</v>
      </c>
      <c r="BH45" s="1156">
        <f t="shared" si="124"/>
        <v>5.21</v>
      </c>
      <c r="BI45" s="1195"/>
      <c r="BJ45" s="1222">
        <f t="shared" si="125"/>
        <v>0</v>
      </c>
      <c r="BK45" s="1156">
        <f t="shared" si="126"/>
        <v>12.25</v>
      </c>
      <c r="BL45" s="1195"/>
      <c r="BM45" s="1222">
        <f t="shared" si="127"/>
        <v>0</v>
      </c>
      <c r="BN45" s="1156">
        <f t="shared" si="128"/>
        <v>12.25</v>
      </c>
      <c r="BO45" s="1195"/>
      <c r="BP45" s="1222">
        <f t="shared" si="129"/>
        <v>0</v>
      </c>
      <c r="BQ45" s="1156">
        <f t="shared" si="130"/>
        <v>1.7</v>
      </c>
      <c r="BR45" s="1217"/>
      <c r="BS45" s="1222">
        <f t="shared" si="131"/>
        <v>0</v>
      </c>
      <c r="BT45" s="1155">
        <f t="shared" si="132"/>
        <v>2.5</v>
      </c>
      <c r="BU45" s="1195">
        <v>29.8</v>
      </c>
      <c r="BV45" s="1222">
        <f t="shared" si="133"/>
        <v>74.5</v>
      </c>
      <c r="BW45" s="1156">
        <f t="shared" si="134"/>
        <v>2.5</v>
      </c>
      <c r="BX45" s="1195">
        <v>29.8</v>
      </c>
      <c r="BY45" s="1222">
        <f t="shared" si="135"/>
        <v>74.5</v>
      </c>
      <c r="BZ45" s="1156">
        <f t="shared" si="136"/>
        <v>2.5</v>
      </c>
      <c r="CA45" s="1195">
        <v>30.6</v>
      </c>
      <c r="CB45" s="1222">
        <f t="shared" si="137"/>
        <v>76.5</v>
      </c>
      <c r="CC45" s="1156">
        <f t="shared" si="138"/>
        <v>2.5</v>
      </c>
      <c r="CD45" s="1195">
        <v>30.6</v>
      </c>
      <c r="CE45" s="1222">
        <f t="shared" si="139"/>
        <v>76.5</v>
      </c>
      <c r="CF45" s="1156">
        <f t="shared" si="140"/>
        <v>1.5</v>
      </c>
      <c r="CG45" s="1195">
        <v>23</v>
      </c>
      <c r="CH45" s="1222">
        <f t="shared" si="141"/>
        <v>34.5</v>
      </c>
      <c r="CI45" s="1156">
        <f t="shared" si="142"/>
        <v>1.57</v>
      </c>
      <c r="CJ45" s="1195">
        <v>20</v>
      </c>
      <c r="CK45" s="1222">
        <f t="shared" si="143"/>
        <v>31.400000000000002</v>
      </c>
      <c r="CL45" s="1156">
        <f t="shared" si="144"/>
        <v>0.63</v>
      </c>
      <c r="CM45" s="1195">
        <v>14.59</v>
      </c>
      <c r="CN45" s="1222">
        <f t="shared" si="145"/>
        <v>9.1916999999999991</v>
      </c>
      <c r="CO45" s="1156">
        <f t="shared" si="146"/>
        <v>0.63</v>
      </c>
      <c r="CP45" s="1195">
        <v>14.59</v>
      </c>
      <c r="CQ45" s="1222">
        <f t="shared" si="147"/>
        <v>9.1916999999999991</v>
      </c>
      <c r="CR45" s="1156">
        <f t="shared" si="148"/>
        <v>1</v>
      </c>
      <c r="CS45" s="1195">
        <v>20</v>
      </c>
      <c r="CT45" s="1222">
        <f t="shared" si="149"/>
        <v>20</v>
      </c>
      <c r="CU45" s="1156">
        <f t="shared" si="150"/>
        <v>1</v>
      </c>
      <c r="CV45" s="1195">
        <v>20</v>
      </c>
      <c r="CW45" s="1222">
        <f t="shared" si="151"/>
        <v>20</v>
      </c>
      <c r="CX45" s="1156">
        <f t="shared" si="152"/>
        <v>2</v>
      </c>
      <c r="CY45" s="1195">
        <v>14.5</v>
      </c>
      <c r="CZ45" s="1222">
        <f t="shared" si="153"/>
        <v>29</v>
      </c>
      <c r="DA45" s="1156">
        <f t="shared" si="154"/>
        <v>2</v>
      </c>
      <c r="DB45" s="1195">
        <v>14.5</v>
      </c>
      <c r="DC45" s="1222">
        <f t="shared" si="155"/>
        <v>29</v>
      </c>
      <c r="DD45" s="1156"/>
      <c r="DE45" s="1217"/>
      <c r="DF45" s="1222">
        <f t="shared" si="156"/>
        <v>0</v>
      </c>
      <c r="DG45" s="1156"/>
      <c r="DH45" s="1217"/>
      <c r="DI45" s="1222">
        <f t="shared" si="157"/>
        <v>0</v>
      </c>
      <c r="DJ45" s="1156"/>
      <c r="DK45" s="1217"/>
      <c r="DL45" s="1222">
        <f t="shared" si="158"/>
        <v>0</v>
      </c>
      <c r="DM45" s="1156"/>
      <c r="DN45" s="1217"/>
      <c r="DO45" s="1222">
        <f t="shared" si="159"/>
        <v>0</v>
      </c>
      <c r="DP45" s="1156"/>
      <c r="DQ45" s="1217"/>
      <c r="DR45" s="1222">
        <f t="shared" si="160"/>
        <v>0</v>
      </c>
      <c r="DS45" s="1156"/>
      <c r="DT45" s="1217"/>
      <c r="DU45" s="1222">
        <f t="shared" si="161"/>
        <v>0</v>
      </c>
      <c r="DV45" s="1156"/>
      <c r="DW45" s="1217"/>
      <c r="DX45" s="1244">
        <f t="shared" si="162"/>
        <v>0</v>
      </c>
    </row>
    <row r="46" spans="1:128" ht="15" thickBot="1">
      <c r="A46" s="1130"/>
      <c r="B46" s="1308" t="s">
        <v>161</v>
      </c>
      <c r="C46" s="1180"/>
      <c r="D46" s="1197"/>
      <c r="E46" s="1204">
        <f>SUM(E40:E45)</f>
        <v>315.84000000000003</v>
      </c>
      <c r="F46" s="1181"/>
      <c r="G46" s="1204"/>
      <c r="H46" s="1204">
        <f>SUM(H40:H45)</f>
        <v>347.1678</v>
      </c>
      <c r="I46" s="1181"/>
      <c r="J46" s="1204"/>
      <c r="K46" s="1221">
        <f>SUM(K40:K45)</f>
        <v>84.616</v>
      </c>
      <c r="L46" s="1161"/>
      <c r="M46" s="1204"/>
      <c r="N46" s="1221">
        <f>SUM(N40:N45)</f>
        <v>36.088000000000001</v>
      </c>
      <c r="O46" s="1162"/>
      <c r="P46" s="1204"/>
      <c r="Q46" s="1221">
        <f>SUM(Q40:Q45)</f>
        <v>115.84</v>
      </c>
      <c r="R46" s="1162"/>
      <c r="S46" s="1204"/>
      <c r="T46" s="1221">
        <f>SUM(T40:T45)</f>
        <v>97.929000000000002</v>
      </c>
      <c r="U46" s="1181"/>
      <c r="V46" s="1230"/>
      <c r="W46" s="1221">
        <f>SUM(W40:W45)</f>
        <v>90.4</v>
      </c>
      <c r="X46" s="1162"/>
      <c r="Y46" s="1204"/>
      <c r="Z46" s="1221">
        <f>SUM(Z40:Z45)</f>
        <v>111.09</v>
      </c>
      <c r="AA46" s="1162"/>
      <c r="AB46" s="1230"/>
      <c r="AC46" s="1221">
        <f>SUM(AC40:AC45)</f>
        <v>60.992999999999995</v>
      </c>
      <c r="AD46" s="1162"/>
      <c r="AE46" s="1230"/>
      <c r="AF46" s="1221">
        <f>SUM(AF40:AF45)</f>
        <v>42.656400000000005</v>
      </c>
      <c r="AG46" s="1162"/>
      <c r="AH46" s="1230"/>
      <c r="AI46" s="1221">
        <f>SUM(AI40:AI45)</f>
        <v>70.155799999999999</v>
      </c>
      <c r="AJ46" s="1162"/>
      <c r="AK46" s="1230"/>
      <c r="AL46" s="1204">
        <f>SUM(AL40:AL45)</f>
        <v>47.797199999999997</v>
      </c>
      <c r="AM46" s="1162"/>
      <c r="AN46" s="1230"/>
      <c r="AO46" s="1204">
        <f>SUM(AO40:AO45)</f>
        <v>86.92</v>
      </c>
      <c r="AP46" s="1162"/>
      <c r="AQ46" s="1230"/>
      <c r="AR46" s="1204">
        <f>SUM(AR40:AR45)</f>
        <v>86.92</v>
      </c>
      <c r="AS46" s="1181"/>
      <c r="AT46" s="1230"/>
      <c r="AU46" s="1204">
        <f>SUM(AU40:AU45)</f>
        <v>64.11</v>
      </c>
      <c r="AV46" s="1162"/>
      <c r="AW46" s="1230"/>
      <c r="AX46" s="1204">
        <f>SUM(AX40:AX45)</f>
        <v>44.28</v>
      </c>
      <c r="AY46" s="1162"/>
      <c r="AZ46" s="1230"/>
      <c r="BA46" s="1204">
        <f>SUM(BA40:BA45)</f>
        <v>0</v>
      </c>
      <c r="BB46" s="1162"/>
      <c r="BC46" s="1230"/>
      <c r="BD46" s="1204">
        <f>SUM(BD40:BD45)</f>
        <v>0</v>
      </c>
      <c r="BE46" s="1162"/>
      <c r="BF46" s="1204"/>
      <c r="BG46" s="1260">
        <f>SUM(BG40:BG45)</f>
        <v>35.2196</v>
      </c>
      <c r="BH46" s="1162"/>
      <c r="BI46" s="1230"/>
      <c r="BJ46" s="1260">
        <f>SUM(BJ40:BJ45)</f>
        <v>35.2196</v>
      </c>
      <c r="BK46" s="1162"/>
      <c r="BL46" s="1230"/>
      <c r="BM46" s="1260">
        <f>SUM(BM40:BM45)</f>
        <v>43.855000000000004</v>
      </c>
      <c r="BN46" s="1162"/>
      <c r="BO46" s="1230"/>
      <c r="BP46" s="1260">
        <f>SUM(BP40:BP45)</f>
        <v>43.855000000000004</v>
      </c>
      <c r="BQ46" s="1162"/>
      <c r="BR46" s="1204"/>
      <c r="BS46" s="1253">
        <f>SUM(BS40:BS45)</f>
        <v>0</v>
      </c>
      <c r="BT46" s="1162"/>
      <c r="BU46" s="1230"/>
      <c r="BV46" s="1204">
        <f>SUM(BV40:BV45)</f>
        <v>129.875</v>
      </c>
      <c r="BW46" s="1162"/>
      <c r="BX46" s="1230"/>
      <c r="BY46" s="1204">
        <f>SUM(BY40:BY45)</f>
        <v>129.875</v>
      </c>
      <c r="BZ46" s="1162"/>
      <c r="CA46" s="1230"/>
      <c r="CB46" s="1204">
        <f>SUM(CB40:CB45)</f>
        <v>146.52500000000001</v>
      </c>
      <c r="CC46" s="1162"/>
      <c r="CD46" s="1230"/>
      <c r="CE46" s="1204">
        <f>SUM(CE40:CE45)</f>
        <v>146.52500000000001</v>
      </c>
      <c r="CF46" s="1162"/>
      <c r="CG46" s="1230"/>
      <c r="CH46" s="1204">
        <f>SUM(CH40:CH45)</f>
        <v>196.69499999999999</v>
      </c>
      <c r="CI46" s="1162"/>
      <c r="CJ46" s="1230"/>
      <c r="CK46" s="1204">
        <f>SUM(CK40:CK45)</f>
        <v>42.201599999999999</v>
      </c>
      <c r="CL46" s="1162"/>
      <c r="CM46" s="1230"/>
      <c r="CN46" s="1204">
        <f>SUM(CN40:CN45)</f>
        <v>41.069699999999997</v>
      </c>
      <c r="CO46" s="1162"/>
      <c r="CP46" s="1230"/>
      <c r="CQ46" s="1204">
        <f>SUM(CQ40:CQ45)</f>
        <v>41.069699999999997</v>
      </c>
      <c r="CR46" s="1162"/>
      <c r="CS46" s="1230"/>
      <c r="CT46" s="1204">
        <f>SUM(CT40:CT45)</f>
        <v>52.03</v>
      </c>
      <c r="CU46" s="1162"/>
      <c r="CV46" s="1230"/>
      <c r="CW46" s="1204">
        <f>SUM(CW40:CW45)</f>
        <v>52.03</v>
      </c>
      <c r="CX46" s="1162"/>
      <c r="CY46" s="1230"/>
      <c r="CZ46" s="1204">
        <f>SUM(CZ40:CZ45)</f>
        <v>70.760000000000005</v>
      </c>
      <c r="DA46" s="1162"/>
      <c r="DB46" s="1230"/>
      <c r="DC46" s="1204">
        <f>SUM(DC40:DC45)</f>
        <v>70.760000000000005</v>
      </c>
      <c r="DD46" s="1162"/>
      <c r="DE46" s="1204"/>
      <c r="DF46" s="1204">
        <f>SUM(DF40:DF45)</f>
        <v>0</v>
      </c>
      <c r="DG46" s="1162"/>
      <c r="DH46" s="1204"/>
      <c r="DI46" s="1204">
        <f>SUM(DI40:DI45)</f>
        <v>0</v>
      </c>
      <c r="DJ46" s="1162"/>
      <c r="DK46" s="1204"/>
      <c r="DL46" s="1204">
        <f>SUM(DL40:DL45)</f>
        <v>0</v>
      </c>
      <c r="DM46" s="1162"/>
      <c r="DN46" s="1204"/>
      <c r="DO46" s="1204">
        <f>SUM(DO40:DO45)</f>
        <v>0</v>
      </c>
      <c r="DP46" s="1162"/>
      <c r="DQ46" s="1204"/>
      <c r="DR46" s="1204">
        <f>SUM(DR40:DR45)</f>
        <v>0</v>
      </c>
      <c r="DS46" s="1162"/>
      <c r="DT46" s="1204"/>
      <c r="DU46" s="1204">
        <f>SUM(DU40:DU45)</f>
        <v>0</v>
      </c>
      <c r="DV46" s="1182"/>
      <c r="DW46" s="1247"/>
      <c r="DX46" s="1243">
        <f>SUM(DX40:DX45)</f>
        <v>0</v>
      </c>
    </row>
    <row r="47" spans="1:128" ht="15" thickTop="1">
      <c r="A47" s="1070"/>
      <c r="B47" s="1304" t="s">
        <v>335</v>
      </c>
      <c r="C47" s="1173" t="s">
        <v>143</v>
      </c>
      <c r="D47" s="1202" t="s">
        <v>144</v>
      </c>
      <c r="E47" s="1203" t="s">
        <v>145</v>
      </c>
      <c r="F47" s="1174" t="s">
        <v>143</v>
      </c>
      <c r="G47" s="1216" t="s">
        <v>144</v>
      </c>
      <c r="H47" s="1203" t="s">
        <v>145</v>
      </c>
      <c r="I47" s="1174" t="s">
        <v>143</v>
      </c>
      <c r="J47" s="1216" t="s">
        <v>144</v>
      </c>
      <c r="K47" s="1203" t="s">
        <v>145</v>
      </c>
      <c r="L47" s="1174"/>
      <c r="M47" s="1216"/>
      <c r="N47" s="1203"/>
      <c r="O47" s="1174" t="s">
        <v>143</v>
      </c>
      <c r="P47" s="1216" t="s">
        <v>144</v>
      </c>
      <c r="Q47" s="1227" t="s">
        <v>145</v>
      </c>
      <c r="R47" s="1174" t="s">
        <v>143</v>
      </c>
      <c r="S47" s="1216" t="s">
        <v>144</v>
      </c>
      <c r="T47" s="1216" t="s">
        <v>145</v>
      </c>
      <c r="U47" s="1174" t="s">
        <v>143</v>
      </c>
      <c r="V47" s="1232" t="s">
        <v>144</v>
      </c>
      <c r="W47" s="1233" t="s">
        <v>145</v>
      </c>
      <c r="X47" s="1174" t="s">
        <v>143</v>
      </c>
      <c r="Y47" s="1216" t="s">
        <v>144</v>
      </c>
      <c r="Z47" s="1227" t="s">
        <v>145</v>
      </c>
      <c r="AA47" s="1174" t="s">
        <v>143</v>
      </c>
      <c r="AB47" s="1232" t="s">
        <v>144</v>
      </c>
      <c r="AC47" s="1227" t="s">
        <v>145</v>
      </c>
      <c r="AD47" s="1174" t="s">
        <v>143</v>
      </c>
      <c r="AE47" s="1232" t="s">
        <v>144</v>
      </c>
      <c r="AF47" s="1216" t="s">
        <v>145</v>
      </c>
      <c r="AG47" s="1174" t="s">
        <v>143</v>
      </c>
      <c r="AH47" s="1232" t="s">
        <v>144</v>
      </c>
      <c r="AI47" s="1216" t="s">
        <v>145</v>
      </c>
      <c r="AJ47" s="1174" t="s">
        <v>143</v>
      </c>
      <c r="AK47" s="1232" t="s">
        <v>144</v>
      </c>
      <c r="AL47" s="1216" t="s">
        <v>145</v>
      </c>
      <c r="AM47" s="1174" t="s">
        <v>143</v>
      </c>
      <c r="AN47" s="1232" t="s">
        <v>144</v>
      </c>
      <c r="AO47" s="1216" t="s">
        <v>145</v>
      </c>
      <c r="AP47" s="1174" t="s">
        <v>143</v>
      </c>
      <c r="AQ47" s="1232" t="s">
        <v>144</v>
      </c>
      <c r="AR47" s="1216" t="s">
        <v>145</v>
      </c>
      <c r="AS47" s="1174" t="s">
        <v>143</v>
      </c>
      <c r="AT47" s="1232" t="s">
        <v>144</v>
      </c>
      <c r="AU47" s="1216" t="s">
        <v>145</v>
      </c>
      <c r="AV47" s="1174" t="s">
        <v>143</v>
      </c>
      <c r="AW47" s="1232" t="s">
        <v>144</v>
      </c>
      <c r="AX47" s="1216" t="s">
        <v>145</v>
      </c>
      <c r="AY47" s="1174" t="s">
        <v>143</v>
      </c>
      <c r="AZ47" s="1232" t="s">
        <v>144</v>
      </c>
      <c r="BA47" s="1216" t="s">
        <v>145</v>
      </c>
      <c r="BB47" s="1174" t="s">
        <v>143</v>
      </c>
      <c r="BC47" s="1232" t="s">
        <v>144</v>
      </c>
      <c r="BD47" s="1216" t="s">
        <v>145</v>
      </c>
      <c r="BE47" s="1174" t="s">
        <v>143</v>
      </c>
      <c r="BF47" s="1216" t="s">
        <v>144</v>
      </c>
      <c r="BG47" s="1203" t="s">
        <v>145</v>
      </c>
      <c r="BH47" s="1174" t="s">
        <v>143</v>
      </c>
      <c r="BI47" s="1232" t="s">
        <v>144</v>
      </c>
      <c r="BJ47" s="1203" t="s">
        <v>145</v>
      </c>
      <c r="BK47" s="1174" t="s">
        <v>143</v>
      </c>
      <c r="BL47" s="1232" t="s">
        <v>144</v>
      </c>
      <c r="BM47" s="1203" t="s">
        <v>145</v>
      </c>
      <c r="BN47" s="1174" t="s">
        <v>143</v>
      </c>
      <c r="BO47" s="1232" t="s">
        <v>144</v>
      </c>
      <c r="BP47" s="1203" t="s">
        <v>145</v>
      </c>
      <c r="BQ47" s="1174" t="s">
        <v>143</v>
      </c>
      <c r="BR47" s="1216" t="s">
        <v>144</v>
      </c>
      <c r="BS47" s="1255" t="s">
        <v>145</v>
      </c>
      <c r="BT47" s="1174" t="s">
        <v>143</v>
      </c>
      <c r="BU47" s="1232" t="s">
        <v>144</v>
      </c>
      <c r="BV47" s="1216" t="s">
        <v>145</v>
      </c>
      <c r="BW47" s="1174" t="s">
        <v>143</v>
      </c>
      <c r="BX47" s="1232" t="s">
        <v>144</v>
      </c>
      <c r="BY47" s="1216" t="s">
        <v>145</v>
      </c>
      <c r="BZ47" s="1174" t="s">
        <v>143</v>
      </c>
      <c r="CA47" s="1232" t="s">
        <v>144</v>
      </c>
      <c r="CB47" s="1216" t="s">
        <v>145</v>
      </c>
      <c r="CC47" s="1174" t="s">
        <v>143</v>
      </c>
      <c r="CD47" s="1232" t="s">
        <v>144</v>
      </c>
      <c r="CE47" s="1216" t="s">
        <v>145</v>
      </c>
      <c r="CF47" s="1174" t="s">
        <v>143</v>
      </c>
      <c r="CG47" s="1232" t="s">
        <v>144</v>
      </c>
      <c r="CH47" s="1216" t="s">
        <v>145</v>
      </c>
      <c r="CI47" s="1174" t="s">
        <v>143</v>
      </c>
      <c r="CJ47" s="1232" t="s">
        <v>144</v>
      </c>
      <c r="CK47" s="1216" t="s">
        <v>145</v>
      </c>
      <c r="CL47" s="1174" t="s">
        <v>143</v>
      </c>
      <c r="CM47" s="1232" t="s">
        <v>144</v>
      </c>
      <c r="CN47" s="1216" t="s">
        <v>145</v>
      </c>
      <c r="CO47" s="1174" t="s">
        <v>143</v>
      </c>
      <c r="CP47" s="1232" t="s">
        <v>144</v>
      </c>
      <c r="CQ47" s="1216" t="s">
        <v>145</v>
      </c>
      <c r="CR47" s="1174" t="s">
        <v>143</v>
      </c>
      <c r="CS47" s="1232" t="s">
        <v>144</v>
      </c>
      <c r="CT47" s="1216" t="s">
        <v>145</v>
      </c>
      <c r="CU47" s="1174" t="s">
        <v>143</v>
      </c>
      <c r="CV47" s="1232" t="s">
        <v>144</v>
      </c>
      <c r="CW47" s="1216" t="s">
        <v>145</v>
      </c>
      <c r="CX47" s="1174" t="s">
        <v>143</v>
      </c>
      <c r="CY47" s="1232" t="s">
        <v>144</v>
      </c>
      <c r="CZ47" s="1216" t="s">
        <v>145</v>
      </c>
      <c r="DA47" s="1174" t="s">
        <v>143</v>
      </c>
      <c r="DB47" s="1232" t="s">
        <v>144</v>
      </c>
      <c r="DC47" s="1216" t="s">
        <v>145</v>
      </c>
      <c r="DD47" s="1174" t="s">
        <v>143</v>
      </c>
      <c r="DE47" s="1216" t="s">
        <v>144</v>
      </c>
      <c r="DF47" s="1216" t="s">
        <v>145</v>
      </c>
      <c r="DG47" s="1174" t="s">
        <v>143</v>
      </c>
      <c r="DH47" s="1216" t="s">
        <v>144</v>
      </c>
      <c r="DI47" s="1216" t="s">
        <v>145</v>
      </c>
      <c r="DJ47" s="1174" t="s">
        <v>143</v>
      </c>
      <c r="DK47" s="1216" t="s">
        <v>144</v>
      </c>
      <c r="DL47" s="1216" t="s">
        <v>145</v>
      </c>
      <c r="DM47" s="1174" t="s">
        <v>143</v>
      </c>
      <c r="DN47" s="1216" t="s">
        <v>144</v>
      </c>
      <c r="DO47" s="1216" t="s">
        <v>145</v>
      </c>
      <c r="DP47" s="1174" t="s">
        <v>143</v>
      </c>
      <c r="DQ47" s="1216" t="s">
        <v>144</v>
      </c>
      <c r="DR47" s="1216" t="s">
        <v>145</v>
      </c>
      <c r="DS47" s="1174" t="s">
        <v>143</v>
      </c>
      <c r="DT47" s="1216" t="s">
        <v>144</v>
      </c>
      <c r="DU47" s="1216" t="s">
        <v>145</v>
      </c>
      <c r="DV47" s="1174" t="s">
        <v>143</v>
      </c>
      <c r="DW47" s="1216" t="s">
        <v>144</v>
      </c>
      <c r="DX47" s="1246" t="s">
        <v>145</v>
      </c>
    </row>
    <row r="48" spans="1:128">
      <c r="B48" s="1305" t="s">
        <v>336</v>
      </c>
      <c r="C48" s="1155"/>
      <c r="D48" s="1195"/>
      <c r="E48" s="1199">
        <f>C48*D48</f>
        <v>0</v>
      </c>
      <c r="F48" s="1156"/>
      <c r="G48" s="1195"/>
      <c r="H48" s="1199">
        <f t="shared" ref="H48:H53" si="163">F48*G48</f>
        <v>0</v>
      </c>
      <c r="I48" s="1156"/>
      <c r="J48" s="1195"/>
      <c r="K48" s="1222">
        <f t="shared" ref="K48:K53" si="164">J48*I48</f>
        <v>0</v>
      </c>
      <c r="L48" s="1156">
        <v>1.28</v>
      </c>
      <c r="M48" s="1195"/>
      <c r="N48" s="1222">
        <f t="shared" ref="N48:N53" si="165">M48*L48</f>
        <v>0</v>
      </c>
      <c r="O48" s="1156"/>
      <c r="P48" s="1195"/>
      <c r="Q48" s="1222">
        <f t="shared" ref="Q48:Q53" si="166">O48*P48</f>
        <v>0</v>
      </c>
      <c r="R48" s="1156">
        <v>1.86</v>
      </c>
      <c r="S48" s="1195"/>
      <c r="T48" s="1222">
        <f t="shared" ref="T48:T53" si="167">R48*S48</f>
        <v>0</v>
      </c>
      <c r="U48" s="1156"/>
      <c r="V48" s="1195"/>
      <c r="W48" s="1222">
        <f t="shared" ref="W48:W53" si="168">U48*V48</f>
        <v>0</v>
      </c>
      <c r="X48" s="1156"/>
      <c r="Y48" s="1195"/>
      <c r="Z48" s="1222">
        <f t="shared" ref="Z48:Z53" si="169">X48*Y48</f>
        <v>0</v>
      </c>
      <c r="AA48" s="1156"/>
      <c r="AB48" s="1195"/>
      <c r="AC48" s="1222">
        <f t="shared" ref="AC48:AC53" si="170">AA48*AB48</f>
        <v>0</v>
      </c>
      <c r="AD48" s="1156"/>
      <c r="AE48" s="1195"/>
      <c r="AF48" s="1222">
        <f t="shared" ref="AF48:AF53" si="171">AD48*AE48</f>
        <v>0</v>
      </c>
      <c r="AG48" s="1156"/>
      <c r="AH48" s="1195"/>
      <c r="AI48" s="1222">
        <f t="shared" ref="AI48:AI53" si="172">AG48*AH48</f>
        <v>0</v>
      </c>
      <c r="AJ48" s="1156"/>
      <c r="AK48" s="1195"/>
      <c r="AL48" s="1222">
        <f t="shared" ref="AL48:AL53" si="173">AJ48*AK48</f>
        <v>0</v>
      </c>
      <c r="AM48" s="1156"/>
      <c r="AN48" s="1195"/>
      <c r="AO48" s="1222">
        <f t="shared" ref="AO48:AO53" si="174">AM48*AN48</f>
        <v>0</v>
      </c>
      <c r="AP48" s="1156"/>
      <c r="AQ48" s="1195"/>
      <c r="AR48" s="1222">
        <f t="shared" ref="AR48:AR53" si="175">AP48*AQ48</f>
        <v>0</v>
      </c>
      <c r="AS48" s="1156"/>
      <c r="AT48" s="1195"/>
      <c r="AU48" s="1222">
        <f t="shared" ref="AU48:AU53" si="176">AS48*AT48</f>
        <v>0</v>
      </c>
      <c r="AV48" s="1156"/>
      <c r="AW48" s="1195"/>
      <c r="AX48" s="1222">
        <f t="shared" ref="AX48:AX53" si="177">AV48*AW48</f>
        <v>0</v>
      </c>
      <c r="AY48" s="1156"/>
      <c r="AZ48" s="1195"/>
      <c r="BA48" s="1222">
        <f t="shared" ref="BA48:BA53" si="178">AY48*AZ48</f>
        <v>0</v>
      </c>
      <c r="BB48" s="1156"/>
      <c r="BC48" s="1195"/>
      <c r="BD48" s="1222">
        <f t="shared" ref="BD48:BD53" si="179">BB48*BC48</f>
        <v>0</v>
      </c>
      <c r="BE48" s="1183">
        <f>0.8*0.0737*BE5</f>
        <v>2.4763200000000006E-2</v>
      </c>
      <c r="BF48" s="1195">
        <v>225</v>
      </c>
      <c r="BG48" s="1222">
        <f t="shared" ref="BG48:BG53" si="180">BF48*BE48</f>
        <v>5.5717200000000018</v>
      </c>
      <c r="BH48" s="1183">
        <f>0.85*0.035*BH5</f>
        <v>1.2495000000000003E-2</v>
      </c>
      <c r="BI48" s="1195">
        <v>225</v>
      </c>
      <c r="BJ48" s="1222">
        <f t="shared" ref="BJ48:BJ53" si="181">BI48*BH48</f>
        <v>2.8113750000000004</v>
      </c>
      <c r="BK48" s="1156"/>
      <c r="BL48" s="1195"/>
      <c r="BM48" s="1222">
        <f t="shared" ref="BM48:BM53" si="182">BL48*BK48</f>
        <v>0</v>
      </c>
      <c r="BN48" s="1156">
        <v>5</v>
      </c>
      <c r="BO48" s="1195"/>
      <c r="BP48" s="1222">
        <f t="shared" ref="BP48:BP53" si="183">BO48*BN48</f>
        <v>0</v>
      </c>
      <c r="BQ48" s="1156"/>
      <c r="BR48" s="1217"/>
      <c r="BS48" s="1222">
        <f t="shared" ref="BS48:BS53" si="184">BR48*BQ48</f>
        <v>0</v>
      </c>
      <c r="BT48" s="1156"/>
      <c r="BU48" s="1195"/>
      <c r="BV48" s="1222">
        <f t="shared" ref="BV48:BV53" si="185">BT48*BU48</f>
        <v>0</v>
      </c>
      <c r="BW48" s="1156"/>
      <c r="BX48" s="1195"/>
      <c r="BY48" s="1222">
        <f t="shared" ref="BY48:BY53" si="186">BW48*BX48</f>
        <v>0</v>
      </c>
      <c r="BZ48" s="1156"/>
      <c r="CA48" s="1195"/>
      <c r="CB48" s="1222">
        <f t="shared" ref="CB48:CB53" si="187">BZ48*CA48</f>
        <v>0</v>
      </c>
      <c r="CC48" s="1156"/>
      <c r="CD48" s="1195"/>
      <c r="CE48" s="1222">
        <f t="shared" ref="CE48:CE53" si="188">CC48*CD48</f>
        <v>0</v>
      </c>
      <c r="CF48" s="1156"/>
      <c r="CG48" s="1195"/>
      <c r="CH48" s="1222">
        <f t="shared" ref="CH48:CH53" si="189">CF48*CG48</f>
        <v>0</v>
      </c>
      <c r="CI48" s="1156"/>
      <c r="CJ48" s="1195"/>
      <c r="CK48" s="1222">
        <f t="shared" ref="CK48:CK53" si="190">CI48*CJ48</f>
        <v>0</v>
      </c>
      <c r="CL48" s="1156"/>
      <c r="CM48" s="1195"/>
      <c r="CN48" s="1222">
        <f t="shared" ref="CN48:CN53" si="191">CL48*CM48</f>
        <v>0</v>
      </c>
      <c r="CO48" s="1156"/>
      <c r="CP48" s="1195"/>
      <c r="CQ48" s="1222">
        <f t="shared" ref="CQ48:CQ53" si="192">CO48*CP48</f>
        <v>0</v>
      </c>
      <c r="CR48" s="1156"/>
      <c r="CS48" s="1195"/>
      <c r="CT48" s="1222">
        <f t="shared" ref="CT48:CT53" si="193">CR48*CS48</f>
        <v>0</v>
      </c>
      <c r="CU48" s="1156"/>
      <c r="CV48" s="1195"/>
      <c r="CW48" s="1222">
        <f t="shared" ref="CW48:CW53" si="194">CU48*CV48</f>
        <v>0</v>
      </c>
      <c r="CX48" s="1156"/>
      <c r="CY48" s="1195"/>
      <c r="CZ48" s="1222">
        <f t="shared" ref="CZ48:CZ53" si="195">CX48*CY48</f>
        <v>0</v>
      </c>
      <c r="DA48" s="1156">
        <v>4.4000000000000004</v>
      </c>
      <c r="DB48" s="1195"/>
      <c r="DC48" s="1222">
        <f t="shared" ref="DC48:DC53" si="196">DA48*DB48</f>
        <v>0</v>
      </c>
      <c r="DD48" s="1156"/>
      <c r="DE48" s="1217"/>
      <c r="DF48" s="1222">
        <f t="shared" ref="DF48:DF53" si="197">DD48*DE48</f>
        <v>0</v>
      </c>
      <c r="DG48" s="1156"/>
      <c r="DH48" s="1217"/>
      <c r="DI48" s="1222">
        <f t="shared" ref="DI48:DI53" si="198">DG48*DH48</f>
        <v>0</v>
      </c>
      <c r="DJ48" s="1156"/>
      <c r="DK48" s="1217"/>
      <c r="DL48" s="1222">
        <f t="shared" ref="DL48:DL53" si="199">DJ48*DK48</f>
        <v>0</v>
      </c>
      <c r="DM48" s="1156"/>
      <c r="DN48" s="1217"/>
      <c r="DO48" s="1222">
        <f t="shared" ref="DO48:DO53" si="200">DM48*DN48</f>
        <v>0</v>
      </c>
      <c r="DP48" s="1156"/>
      <c r="DQ48" s="1217"/>
      <c r="DR48" s="1222">
        <f t="shared" ref="DR48:DR53" si="201">DP48*DQ48</f>
        <v>0</v>
      </c>
      <c r="DS48" s="1156"/>
      <c r="DT48" s="1217"/>
      <c r="DU48" s="1222">
        <f t="shared" ref="DU48:DU53" si="202">DS48*DT48</f>
        <v>0</v>
      </c>
      <c r="DV48" s="1156"/>
      <c r="DW48" s="1217"/>
      <c r="DX48" s="1244">
        <f t="shared" ref="DX48:DX53" si="203">DV48*DW48</f>
        <v>0</v>
      </c>
    </row>
    <row r="49" spans="1:128">
      <c r="B49" s="1305" t="s">
        <v>337</v>
      </c>
      <c r="C49" s="1184">
        <f>0.8*0.0313*C5</f>
        <v>0.20032000000000003</v>
      </c>
      <c r="D49" s="1195">
        <v>270</v>
      </c>
      <c r="E49" s="1199">
        <f>C49*D49</f>
        <v>54.086400000000005</v>
      </c>
      <c r="F49" s="1184">
        <f>0.85*0.0268*F5</f>
        <v>0.21276520000000002</v>
      </c>
      <c r="G49" s="1195">
        <v>180</v>
      </c>
      <c r="H49" s="1199">
        <f t="shared" si="163"/>
        <v>38.297736</v>
      </c>
      <c r="I49" s="1184">
        <f>0.8*0.024*I5</f>
        <v>5.3760000000000002E-2</v>
      </c>
      <c r="J49" s="1195">
        <v>600</v>
      </c>
      <c r="K49" s="1222">
        <f t="shared" si="164"/>
        <v>32.256</v>
      </c>
      <c r="L49" s="1183">
        <f>0.85*0.0248*L5</f>
        <v>5.4807999999999996E-2</v>
      </c>
      <c r="M49" s="1195">
        <v>400</v>
      </c>
      <c r="N49" s="1222">
        <f t="shared" si="165"/>
        <v>21.923199999999998</v>
      </c>
      <c r="O49" s="1183">
        <f>0.8*0.052*O5</f>
        <v>0.13311999999999999</v>
      </c>
      <c r="P49" s="1195">
        <v>438</v>
      </c>
      <c r="Q49" s="1222">
        <f t="shared" si="166"/>
        <v>58.306559999999998</v>
      </c>
      <c r="R49" s="1183">
        <f>0.85*0.0478*R5</f>
        <v>0.12595300000000001</v>
      </c>
      <c r="S49" s="1195">
        <v>292</v>
      </c>
      <c r="T49" s="1222">
        <f t="shared" si="167"/>
        <v>36.778276000000005</v>
      </c>
      <c r="U49" s="1183">
        <f>0.8*0.052*U5</f>
        <v>0.13311999999999999</v>
      </c>
      <c r="V49" s="1195">
        <v>438</v>
      </c>
      <c r="W49" s="1222">
        <f t="shared" si="168"/>
        <v>58.306559999999998</v>
      </c>
      <c r="X49" s="1183">
        <f>0.8*0.052*X5</f>
        <v>0.17471999999999999</v>
      </c>
      <c r="Y49" s="1195">
        <v>292</v>
      </c>
      <c r="Z49" s="1222">
        <f t="shared" si="169"/>
        <v>51.018239999999999</v>
      </c>
      <c r="AA49" s="1183">
        <f>0.8*0.0737*AA5</f>
        <v>0.15919200000000003</v>
      </c>
      <c r="AB49" s="1195">
        <v>225</v>
      </c>
      <c r="AC49" s="1222">
        <f t="shared" si="170"/>
        <v>35.818200000000004</v>
      </c>
      <c r="AD49" s="1183">
        <f>0.85*0.035*AD5</f>
        <v>8.5977500000000012E-2</v>
      </c>
      <c r="AE49" s="1195">
        <v>225</v>
      </c>
      <c r="AF49" s="1222">
        <f t="shared" si="171"/>
        <v>19.344937500000004</v>
      </c>
      <c r="AG49" s="1183">
        <f>0.8*0.07*AG5</f>
        <v>0.12488000000000002</v>
      </c>
      <c r="AH49" s="1195">
        <v>298</v>
      </c>
      <c r="AI49" s="1222">
        <f t="shared" si="172"/>
        <v>37.214240000000004</v>
      </c>
      <c r="AJ49" s="1183">
        <f>0.85*0.0272*AJ5</f>
        <v>4.9245599999999994E-2</v>
      </c>
      <c r="AK49" s="1195">
        <v>248</v>
      </c>
      <c r="AL49" s="1222">
        <f t="shared" si="173"/>
        <v>12.212908799999999</v>
      </c>
      <c r="AM49" s="1156"/>
      <c r="AN49" s="1195"/>
      <c r="AO49" s="1222">
        <f t="shared" si="174"/>
        <v>0</v>
      </c>
      <c r="AP49" s="1156"/>
      <c r="AQ49" s="1195"/>
      <c r="AR49" s="1222">
        <f t="shared" si="175"/>
        <v>0</v>
      </c>
      <c r="AS49" s="1183">
        <f>0.8*0.0514*AS5</f>
        <v>0.12336000000000001</v>
      </c>
      <c r="AT49" s="1195">
        <v>281</v>
      </c>
      <c r="AU49" s="1222">
        <f t="shared" si="176"/>
        <v>34.664160000000003</v>
      </c>
      <c r="AV49" s="1183">
        <f>0.85*0.035*AV5</f>
        <v>8.925000000000001E-2</v>
      </c>
      <c r="AW49" s="1195">
        <v>225</v>
      </c>
      <c r="AX49" s="1222">
        <f t="shared" si="177"/>
        <v>20.081250000000001</v>
      </c>
      <c r="AY49" s="1183">
        <f>0.88*0.0168*AY6</f>
        <v>5.6578367999999997E-2</v>
      </c>
      <c r="AZ49" s="1195">
        <v>125</v>
      </c>
      <c r="BA49" s="1222">
        <f t="shared" si="178"/>
        <v>7.0722959999999997</v>
      </c>
      <c r="BB49" s="1183">
        <f>0.88*0.0168*BB6</f>
        <v>5.6578367999999997E-2</v>
      </c>
      <c r="BC49" s="1195">
        <v>125</v>
      </c>
      <c r="BD49" s="1222">
        <f t="shared" si="179"/>
        <v>7.0722959999999997</v>
      </c>
      <c r="BE49" s="1183">
        <f>0.88*0.018*BE6</f>
        <v>8.25264E-2</v>
      </c>
      <c r="BF49" s="1195">
        <v>125</v>
      </c>
      <c r="BG49" s="1222">
        <f t="shared" si="180"/>
        <v>10.315799999999999</v>
      </c>
      <c r="BH49" s="1183">
        <f>0.88*0.018*BH6</f>
        <v>8.25264E-2</v>
      </c>
      <c r="BI49" s="1195">
        <v>125</v>
      </c>
      <c r="BJ49" s="1222">
        <f t="shared" si="181"/>
        <v>10.315799999999999</v>
      </c>
      <c r="BK49" s="1183">
        <f>0.8*0.0076*BK6</f>
        <v>7.4480000000000005E-2</v>
      </c>
      <c r="BL49" s="1195">
        <v>110</v>
      </c>
      <c r="BM49" s="1222">
        <f t="shared" si="182"/>
        <v>8.1928000000000001</v>
      </c>
      <c r="BN49" s="1183">
        <f>0.8*0.0076*BN6</f>
        <v>7.4480000000000005E-2</v>
      </c>
      <c r="BO49" s="1195">
        <v>110</v>
      </c>
      <c r="BP49" s="1222">
        <f t="shared" si="183"/>
        <v>8.1928000000000001</v>
      </c>
      <c r="BQ49" s="1156"/>
      <c r="BR49" s="1217"/>
      <c r="BS49" s="1222">
        <f t="shared" si="184"/>
        <v>0</v>
      </c>
      <c r="BT49" s="1183">
        <f>0.8*0.0514*BT5</f>
        <v>0.1028</v>
      </c>
      <c r="BU49" s="1195">
        <v>295</v>
      </c>
      <c r="BV49" s="1222">
        <f t="shared" si="185"/>
        <v>30.326000000000001</v>
      </c>
      <c r="BW49" s="1183">
        <f>0.8*0.0514*BW5</f>
        <v>0.1028</v>
      </c>
      <c r="BX49" s="1195">
        <v>295</v>
      </c>
      <c r="BY49" s="1222">
        <f t="shared" si="186"/>
        <v>30.326000000000001</v>
      </c>
      <c r="BZ49" s="1183">
        <f>0.8*0.052*BZ5</f>
        <v>0.104</v>
      </c>
      <c r="CA49" s="1195">
        <v>350</v>
      </c>
      <c r="CB49" s="1222">
        <f t="shared" si="187"/>
        <v>36.4</v>
      </c>
      <c r="CC49" s="1183">
        <f>0.8*0.052*CC5</f>
        <v>0.104</v>
      </c>
      <c r="CD49" s="1195">
        <v>350</v>
      </c>
      <c r="CE49" s="1222">
        <f t="shared" si="188"/>
        <v>36.4</v>
      </c>
      <c r="CF49" s="1183">
        <f>0.8*0.0692*CF5</f>
        <v>8.3040000000000003E-2</v>
      </c>
      <c r="CG49" s="1195">
        <v>549</v>
      </c>
      <c r="CH49" s="1222">
        <f t="shared" si="189"/>
        <v>45.58896</v>
      </c>
      <c r="CI49" s="1183">
        <f>0.8*0.0566*CI5</f>
        <v>7.1089600000000003E-2</v>
      </c>
      <c r="CJ49" s="1195">
        <v>518</v>
      </c>
      <c r="CK49" s="1222">
        <f t="shared" si="190"/>
        <v>36.824412800000005</v>
      </c>
      <c r="CL49" s="1183">
        <f>0.8*0.1533*CL5</f>
        <v>7.7263200000000004E-2</v>
      </c>
      <c r="CM49" s="1195">
        <v>400</v>
      </c>
      <c r="CN49" s="1222">
        <f t="shared" si="191"/>
        <v>30.905280000000001</v>
      </c>
      <c r="CO49" s="1183">
        <f>0.8*0.1533*CO5</f>
        <v>7.7263200000000004E-2</v>
      </c>
      <c r="CP49" s="1195">
        <v>400</v>
      </c>
      <c r="CQ49" s="1222">
        <f t="shared" si="192"/>
        <v>30.905280000000001</v>
      </c>
      <c r="CR49" s="1183"/>
      <c r="CS49" s="1195"/>
      <c r="CT49" s="1222">
        <f t="shared" si="193"/>
        <v>0</v>
      </c>
      <c r="CU49" s="1156"/>
      <c r="CV49" s="1195"/>
      <c r="CW49" s="1222">
        <f t="shared" si="194"/>
        <v>0</v>
      </c>
      <c r="CX49" s="1183">
        <f>0.8*0.1142*CX5</f>
        <v>0.18271999999999999</v>
      </c>
      <c r="CY49" s="1195">
        <v>664</v>
      </c>
      <c r="CZ49" s="1222">
        <f t="shared" si="195"/>
        <v>121.32607999999999</v>
      </c>
      <c r="DA49" s="1183">
        <f>0.8*0.1142*DA5</f>
        <v>0.18271999999999999</v>
      </c>
      <c r="DB49" s="1195">
        <v>664</v>
      </c>
      <c r="DC49" s="1222">
        <f t="shared" si="196"/>
        <v>121.32607999999999</v>
      </c>
      <c r="DD49" s="1156"/>
      <c r="DE49" s="1217"/>
      <c r="DF49" s="1222">
        <f t="shared" si="197"/>
        <v>0</v>
      </c>
      <c r="DG49" s="1156"/>
      <c r="DH49" s="1217"/>
      <c r="DI49" s="1222">
        <f t="shared" si="198"/>
        <v>0</v>
      </c>
      <c r="DJ49" s="1156"/>
      <c r="DK49" s="1217"/>
      <c r="DL49" s="1222">
        <f t="shared" si="199"/>
        <v>0</v>
      </c>
      <c r="DM49" s="1156"/>
      <c r="DN49" s="1217"/>
      <c r="DO49" s="1222">
        <f t="shared" si="200"/>
        <v>0</v>
      </c>
      <c r="DP49" s="1156"/>
      <c r="DQ49" s="1217"/>
      <c r="DR49" s="1222">
        <f t="shared" si="201"/>
        <v>0</v>
      </c>
      <c r="DS49" s="1156"/>
      <c r="DT49" s="1217"/>
      <c r="DU49" s="1222">
        <f t="shared" si="202"/>
        <v>0</v>
      </c>
      <c r="DV49" s="1156"/>
      <c r="DW49" s="1217"/>
      <c r="DX49" s="1244">
        <f t="shared" si="203"/>
        <v>0</v>
      </c>
    </row>
    <row r="50" spans="1:128">
      <c r="B50" s="1305" t="s">
        <v>162</v>
      </c>
      <c r="C50" s="1185"/>
      <c r="D50" s="1195"/>
      <c r="E50" s="1199">
        <f>C50*D50</f>
        <v>0</v>
      </c>
      <c r="F50" s="1186"/>
      <c r="G50" s="1195"/>
      <c r="H50" s="1199">
        <f t="shared" si="163"/>
        <v>0</v>
      </c>
      <c r="I50" s="1186"/>
      <c r="J50" s="1195"/>
      <c r="K50" s="1222">
        <f t="shared" si="164"/>
        <v>0</v>
      </c>
      <c r="L50" s="1186"/>
      <c r="M50" s="1195"/>
      <c r="N50" s="1222">
        <f t="shared" si="165"/>
        <v>0</v>
      </c>
      <c r="O50" s="1156">
        <v>1</v>
      </c>
      <c r="P50" s="1195">
        <v>73.5</v>
      </c>
      <c r="Q50" s="1222">
        <f t="shared" si="166"/>
        <v>73.5</v>
      </c>
      <c r="R50" s="1156">
        <v>1</v>
      </c>
      <c r="S50" s="1195">
        <v>40.31</v>
      </c>
      <c r="T50" s="1222">
        <f t="shared" si="167"/>
        <v>40.31</v>
      </c>
      <c r="U50" s="1156">
        <v>1</v>
      </c>
      <c r="V50" s="1195">
        <v>73.5</v>
      </c>
      <c r="W50" s="1222">
        <f t="shared" si="168"/>
        <v>73.5</v>
      </c>
      <c r="X50" s="1156">
        <v>1</v>
      </c>
      <c r="Y50" s="1195">
        <v>40.31</v>
      </c>
      <c r="Z50" s="1222">
        <f t="shared" si="169"/>
        <v>40.31</v>
      </c>
      <c r="AA50" s="1156">
        <v>1</v>
      </c>
      <c r="AB50" s="1195">
        <v>61.11</v>
      </c>
      <c r="AC50" s="1222">
        <f t="shared" si="170"/>
        <v>61.11</v>
      </c>
      <c r="AD50" s="1156">
        <v>1</v>
      </c>
      <c r="AE50" s="1195">
        <v>51.41</v>
      </c>
      <c r="AF50" s="1222">
        <f t="shared" si="171"/>
        <v>51.41</v>
      </c>
      <c r="AG50" s="1156">
        <v>1</v>
      </c>
      <c r="AH50" s="1195">
        <v>78.38</v>
      </c>
      <c r="AI50" s="1222">
        <f t="shared" si="172"/>
        <v>78.38</v>
      </c>
      <c r="AJ50" s="1156">
        <v>1</v>
      </c>
      <c r="AK50" s="1195">
        <v>78.38</v>
      </c>
      <c r="AL50" s="1222">
        <f t="shared" si="173"/>
        <v>78.38</v>
      </c>
      <c r="AM50" s="1156"/>
      <c r="AN50" s="1195"/>
      <c r="AO50" s="1222">
        <f t="shared" si="174"/>
        <v>0</v>
      </c>
      <c r="AP50" s="1156"/>
      <c r="AQ50" s="1195"/>
      <c r="AR50" s="1222">
        <f t="shared" si="175"/>
        <v>0</v>
      </c>
      <c r="AS50" s="1156">
        <v>1</v>
      </c>
      <c r="AT50" s="1195">
        <v>40.31</v>
      </c>
      <c r="AU50" s="1222">
        <f t="shared" si="176"/>
        <v>40.31</v>
      </c>
      <c r="AV50" s="1156">
        <v>1</v>
      </c>
      <c r="AW50" s="1195">
        <v>51.41</v>
      </c>
      <c r="AX50" s="1222">
        <f t="shared" si="177"/>
        <v>51.41</v>
      </c>
      <c r="AY50" s="1156"/>
      <c r="AZ50" s="1195"/>
      <c r="BA50" s="1222">
        <f t="shared" si="178"/>
        <v>0</v>
      </c>
      <c r="BB50" s="1183"/>
      <c r="BC50" s="1195"/>
      <c r="BD50" s="1222">
        <f t="shared" si="179"/>
        <v>0</v>
      </c>
      <c r="BE50" s="1156">
        <f>1/5</f>
        <v>0.2</v>
      </c>
      <c r="BF50" s="1195">
        <v>51.41</v>
      </c>
      <c r="BG50" s="1222">
        <f t="shared" si="180"/>
        <v>10.282</v>
      </c>
      <c r="BH50" s="1156">
        <f>1/5</f>
        <v>0.2</v>
      </c>
      <c r="BI50" s="1195">
        <v>51.41</v>
      </c>
      <c r="BJ50" s="1222">
        <f t="shared" si="181"/>
        <v>10.282</v>
      </c>
      <c r="BK50" s="1156"/>
      <c r="BL50" s="1195"/>
      <c r="BM50" s="1222">
        <f t="shared" si="182"/>
        <v>0</v>
      </c>
      <c r="BN50" s="1156"/>
      <c r="BO50" s="1195"/>
      <c r="BP50" s="1222">
        <f t="shared" si="183"/>
        <v>0</v>
      </c>
      <c r="BQ50" s="1156"/>
      <c r="BR50" s="1217"/>
      <c r="BS50" s="1222">
        <f t="shared" si="184"/>
        <v>0</v>
      </c>
      <c r="BT50" s="1156">
        <v>1</v>
      </c>
      <c r="BU50" s="1195">
        <v>40.31</v>
      </c>
      <c r="BV50" s="1222">
        <f t="shared" si="185"/>
        <v>40.31</v>
      </c>
      <c r="BW50" s="1156">
        <v>1</v>
      </c>
      <c r="BX50" s="1195">
        <v>40.31</v>
      </c>
      <c r="BY50" s="1222">
        <f t="shared" si="186"/>
        <v>40.31</v>
      </c>
      <c r="BZ50" s="1156">
        <v>1</v>
      </c>
      <c r="CA50" s="1195">
        <v>40.31</v>
      </c>
      <c r="CB50" s="1222">
        <f t="shared" si="187"/>
        <v>40.31</v>
      </c>
      <c r="CC50" s="1156">
        <v>1</v>
      </c>
      <c r="CD50" s="1195">
        <v>40.31</v>
      </c>
      <c r="CE50" s="1222">
        <f t="shared" si="188"/>
        <v>40.31</v>
      </c>
      <c r="CF50" s="1156">
        <v>1</v>
      </c>
      <c r="CG50" s="1195">
        <v>8.68</v>
      </c>
      <c r="CH50" s="1222">
        <f t="shared" si="189"/>
        <v>8.68</v>
      </c>
      <c r="CI50" s="1156">
        <v>1</v>
      </c>
      <c r="CJ50" s="1195">
        <v>18.440000000000001</v>
      </c>
      <c r="CK50" s="1222">
        <f t="shared" si="190"/>
        <v>18.440000000000001</v>
      </c>
      <c r="CL50" s="1156"/>
      <c r="CM50" s="1195"/>
      <c r="CN50" s="1222">
        <f t="shared" si="191"/>
        <v>0</v>
      </c>
      <c r="CO50" s="1156"/>
      <c r="CP50" s="1195"/>
      <c r="CQ50" s="1222">
        <f t="shared" si="192"/>
        <v>0</v>
      </c>
      <c r="CR50" s="1156"/>
      <c r="CS50" s="1195"/>
      <c r="CT50" s="1222">
        <f t="shared" si="193"/>
        <v>0</v>
      </c>
      <c r="CU50" s="1156"/>
      <c r="CV50" s="1195"/>
      <c r="CW50" s="1222">
        <f t="shared" si="194"/>
        <v>0</v>
      </c>
      <c r="CX50" s="1156"/>
      <c r="CY50" s="1195"/>
      <c r="CZ50" s="1222">
        <f t="shared" si="195"/>
        <v>0</v>
      </c>
      <c r="DA50" s="1156"/>
      <c r="DB50" s="1195"/>
      <c r="DC50" s="1222">
        <f t="shared" si="196"/>
        <v>0</v>
      </c>
      <c r="DD50" s="1156"/>
      <c r="DE50" s="1217"/>
      <c r="DF50" s="1222">
        <f t="shared" si="197"/>
        <v>0</v>
      </c>
      <c r="DG50" s="1156"/>
      <c r="DH50" s="1217"/>
      <c r="DI50" s="1222">
        <f t="shared" si="198"/>
        <v>0</v>
      </c>
      <c r="DJ50" s="1156"/>
      <c r="DK50" s="1217"/>
      <c r="DL50" s="1222">
        <f t="shared" si="199"/>
        <v>0</v>
      </c>
      <c r="DM50" s="1156"/>
      <c r="DN50" s="1217"/>
      <c r="DO50" s="1222">
        <f t="shared" si="200"/>
        <v>0</v>
      </c>
      <c r="DP50" s="1156"/>
      <c r="DQ50" s="1217"/>
      <c r="DR50" s="1222">
        <f t="shared" si="201"/>
        <v>0</v>
      </c>
      <c r="DS50" s="1156"/>
      <c r="DT50" s="1217"/>
      <c r="DU50" s="1222">
        <f t="shared" si="202"/>
        <v>0</v>
      </c>
      <c r="DV50" s="1156"/>
      <c r="DW50" s="1217"/>
      <c r="DX50" s="1244">
        <f t="shared" si="203"/>
        <v>0</v>
      </c>
    </row>
    <row r="51" spans="1:128">
      <c r="B51" s="1305" t="s">
        <v>163</v>
      </c>
      <c r="C51" s="1155"/>
      <c r="D51" s="1195"/>
      <c r="E51" s="1199">
        <f>C51*D51</f>
        <v>0</v>
      </c>
      <c r="F51" s="1156"/>
      <c r="G51" s="1195"/>
      <c r="H51" s="1199">
        <f t="shared" si="163"/>
        <v>0</v>
      </c>
      <c r="I51" s="1156"/>
      <c r="J51" s="1195"/>
      <c r="K51" s="1222">
        <f t="shared" si="164"/>
        <v>0</v>
      </c>
      <c r="L51" s="1156"/>
      <c r="M51" s="1195"/>
      <c r="N51" s="1222">
        <f t="shared" si="165"/>
        <v>0</v>
      </c>
      <c r="O51" s="1156"/>
      <c r="P51" s="1195"/>
      <c r="Q51" s="1222">
        <f t="shared" si="166"/>
        <v>0</v>
      </c>
      <c r="R51" s="1156"/>
      <c r="S51" s="1195"/>
      <c r="T51" s="1222">
        <f t="shared" si="167"/>
        <v>0</v>
      </c>
      <c r="U51" s="1156"/>
      <c r="V51" s="1195"/>
      <c r="W51" s="1222">
        <f t="shared" si="168"/>
        <v>0</v>
      </c>
      <c r="X51" s="1156"/>
      <c r="Y51" s="1195"/>
      <c r="Z51" s="1222">
        <f t="shared" si="169"/>
        <v>0</v>
      </c>
      <c r="AA51" s="1156"/>
      <c r="AB51" s="1195"/>
      <c r="AC51" s="1222">
        <f t="shared" si="170"/>
        <v>0</v>
      </c>
      <c r="AD51" s="1156"/>
      <c r="AE51" s="1195"/>
      <c r="AF51" s="1222">
        <f t="shared" si="171"/>
        <v>0</v>
      </c>
      <c r="AG51" s="1156"/>
      <c r="AH51" s="1195"/>
      <c r="AI51" s="1222">
        <f t="shared" si="172"/>
        <v>0</v>
      </c>
      <c r="AJ51" s="1156"/>
      <c r="AK51" s="1195"/>
      <c r="AL51" s="1222">
        <f t="shared" si="173"/>
        <v>0</v>
      </c>
      <c r="AM51" s="1156"/>
      <c r="AN51" s="1195"/>
      <c r="AO51" s="1222">
        <f t="shared" si="174"/>
        <v>0</v>
      </c>
      <c r="AP51" s="1156"/>
      <c r="AQ51" s="1195"/>
      <c r="AR51" s="1222">
        <f t="shared" si="175"/>
        <v>0</v>
      </c>
      <c r="AS51" s="1156"/>
      <c r="AT51" s="1195"/>
      <c r="AU51" s="1222">
        <f t="shared" si="176"/>
        <v>0</v>
      </c>
      <c r="AV51" s="1156"/>
      <c r="AW51" s="1195"/>
      <c r="AX51" s="1222">
        <f t="shared" si="177"/>
        <v>0</v>
      </c>
      <c r="AY51" s="1156"/>
      <c r="AZ51" s="1195"/>
      <c r="BA51" s="1222">
        <f t="shared" si="178"/>
        <v>0</v>
      </c>
      <c r="BB51" s="1156"/>
      <c r="BC51" s="1195"/>
      <c r="BD51" s="1222">
        <f t="shared" si="179"/>
        <v>0</v>
      </c>
      <c r="BE51" s="1156"/>
      <c r="BF51" s="1195"/>
      <c r="BG51" s="1222">
        <f t="shared" si="180"/>
        <v>0</v>
      </c>
      <c r="BH51" s="1156"/>
      <c r="BI51" s="1195"/>
      <c r="BJ51" s="1222">
        <f t="shared" si="181"/>
        <v>0</v>
      </c>
      <c r="BK51" s="1156"/>
      <c r="BL51" s="1195"/>
      <c r="BM51" s="1222">
        <f t="shared" si="182"/>
        <v>0</v>
      </c>
      <c r="BN51" s="1156"/>
      <c r="BO51" s="1195"/>
      <c r="BP51" s="1222">
        <f t="shared" si="183"/>
        <v>0</v>
      </c>
      <c r="BQ51" s="1156"/>
      <c r="BR51" s="1217"/>
      <c r="BS51" s="1222">
        <f t="shared" si="184"/>
        <v>0</v>
      </c>
      <c r="BT51" s="1156"/>
      <c r="BU51" s="1195"/>
      <c r="BV51" s="1222">
        <f t="shared" si="185"/>
        <v>0</v>
      </c>
      <c r="BW51" s="1156"/>
      <c r="BX51" s="1195"/>
      <c r="BY51" s="1222">
        <f t="shared" si="186"/>
        <v>0</v>
      </c>
      <c r="BZ51" s="1156"/>
      <c r="CA51" s="1195"/>
      <c r="CB51" s="1222">
        <f t="shared" si="187"/>
        <v>0</v>
      </c>
      <c r="CC51" s="1156"/>
      <c r="CD51" s="1195"/>
      <c r="CE51" s="1222">
        <f t="shared" si="188"/>
        <v>0</v>
      </c>
      <c r="CF51" s="1156"/>
      <c r="CG51" s="1195"/>
      <c r="CH51" s="1222">
        <f t="shared" si="189"/>
        <v>0</v>
      </c>
      <c r="CI51" s="1156"/>
      <c r="CJ51" s="1195"/>
      <c r="CK51" s="1222">
        <f t="shared" si="190"/>
        <v>0</v>
      </c>
      <c r="CL51" s="1156"/>
      <c r="CM51" s="1195"/>
      <c r="CN51" s="1222">
        <f t="shared" si="191"/>
        <v>0</v>
      </c>
      <c r="CO51" s="1156"/>
      <c r="CP51" s="1195"/>
      <c r="CQ51" s="1222">
        <f t="shared" si="192"/>
        <v>0</v>
      </c>
      <c r="CR51" s="1156"/>
      <c r="CS51" s="1195"/>
      <c r="CT51" s="1222">
        <f t="shared" si="193"/>
        <v>0</v>
      </c>
      <c r="CU51" s="1156"/>
      <c r="CV51" s="1195"/>
      <c r="CW51" s="1222">
        <f t="shared" si="194"/>
        <v>0</v>
      </c>
      <c r="CX51" s="1156"/>
      <c r="CY51" s="1195"/>
      <c r="CZ51" s="1222">
        <f t="shared" si="195"/>
        <v>0</v>
      </c>
      <c r="DA51" s="1156"/>
      <c r="DB51" s="1195"/>
      <c r="DC51" s="1222">
        <f t="shared" si="196"/>
        <v>0</v>
      </c>
      <c r="DD51" s="1156"/>
      <c r="DE51" s="1217"/>
      <c r="DF51" s="1222">
        <f t="shared" si="197"/>
        <v>0</v>
      </c>
      <c r="DG51" s="1156"/>
      <c r="DH51" s="1217"/>
      <c r="DI51" s="1222">
        <f t="shared" si="198"/>
        <v>0</v>
      </c>
      <c r="DJ51" s="1156"/>
      <c r="DK51" s="1217"/>
      <c r="DL51" s="1222">
        <f t="shared" si="199"/>
        <v>0</v>
      </c>
      <c r="DM51" s="1156"/>
      <c r="DN51" s="1217"/>
      <c r="DO51" s="1222">
        <f t="shared" si="200"/>
        <v>0</v>
      </c>
      <c r="DP51" s="1156"/>
      <c r="DQ51" s="1217"/>
      <c r="DR51" s="1222">
        <f t="shared" si="201"/>
        <v>0</v>
      </c>
      <c r="DS51" s="1156"/>
      <c r="DT51" s="1217"/>
      <c r="DU51" s="1222">
        <f t="shared" si="202"/>
        <v>0</v>
      </c>
      <c r="DV51" s="1156"/>
      <c r="DW51" s="1217"/>
      <c r="DX51" s="1244">
        <f t="shared" si="203"/>
        <v>0</v>
      </c>
    </row>
    <row r="52" spans="1:128">
      <c r="B52" s="1305" t="s">
        <v>613</v>
      </c>
      <c r="C52" s="1164">
        <f>(E19+E38+E46+E48+E49+E50+E51+E53)/2*9/12</f>
        <v>463.72990000000004</v>
      </c>
      <c r="D52" s="1195">
        <v>0.05</v>
      </c>
      <c r="E52" s="1199">
        <f>C52*D52</f>
        <v>23.186495000000004</v>
      </c>
      <c r="F52" s="1164">
        <f>(H19+H38+H46+H48+H49+H50+H51+H53)/2*9/12</f>
        <v>523.26207599999998</v>
      </c>
      <c r="G52" s="1195">
        <v>0.05</v>
      </c>
      <c r="H52" s="1199">
        <f t="shared" si="163"/>
        <v>26.163103800000002</v>
      </c>
      <c r="I52" s="1164">
        <f>(K19+K38+K46+K48+K49+K50+K51+K53)/2*9/12</f>
        <v>265.42325</v>
      </c>
      <c r="J52" s="1195">
        <v>0.05</v>
      </c>
      <c r="K52" s="1222">
        <f>J52*I52</f>
        <v>13.271162500000001</v>
      </c>
      <c r="L52" s="1164">
        <f>(N19+N38+N46+N48+N49+N50+N51+N53)/2*9/12</f>
        <v>254.48595</v>
      </c>
      <c r="M52" s="1195">
        <v>0.05</v>
      </c>
      <c r="N52" s="1222">
        <f>M52*L52</f>
        <v>12.7242975</v>
      </c>
      <c r="O52" s="1164">
        <f>(Q19+Q38+Q46+Q48+Q49+Q50+Q51+Q53)/2*9/12</f>
        <v>377.19371000000001</v>
      </c>
      <c r="P52" s="1195">
        <v>0.05</v>
      </c>
      <c r="Q52" s="1222">
        <f t="shared" si="166"/>
        <v>18.859685500000001</v>
      </c>
      <c r="R52" s="1164">
        <f>(T19+T38+T46+T48+T49+T50+T51+T53)/2*9/12</f>
        <v>352.64897849999994</v>
      </c>
      <c r="S52" s="1195">
        <v>0.05</v>
      </c>
      <c r="T52" s="1222">
        <f t="shared" si="167"/>
        <v>17.632448924999998</v>
      </c>
      <c r="U52" s="1164">
        <f>(W19+W38+W46+W48+W49+W50+W51+W53)/2*9/12</f>
        <v>342.71995999999996</v>
      </c>
      <c r="V52" s="1195">
        <v>0.05</v>
      </c>
      <c r="W52" s="1222">
        <f t="shared" si="168"/>
        <v>17.135997999999997</v>
      </c>
      <c r="X52" s="1164">
        <f>(Z19+Z38+Z46+Z48+Z49+Z50+Z51+Z53)/2*9/12</f>
        <v>350.06934000000001</v>
      </c>
      <c r="Y52" s="1195">
        <v>0.05</v>
      </c>
      <c r="Z52" s="1222">
        <f t="shared" si="169"/>
        <v>17.503467000000001</v>
      </c>
      <c r="AA52" s="1164">
        <f>(AC19+AC38+AC46+AC48+AC49+AC50+AC51+AC53)/2*9/12</f>
        <v>235.91582313432832</v>
      </c>
      <c r="AB52" s="1195">
        <v>0.05</v>
      </c>
      <c r="AC52" s="1222">
        <f t="shared" si="170"/>
        <v>11.795791156716417</v>
      </c>
      <c r="AD52" s="1164">
        <f>(AF19+AF38+AF46+AF48+AF49+AF50+AF51+AF53)/2*9/12</f>
        <v>250.0392515625</v>
      </c>
      <c r="AE52" s="1195">
        <v>0.05</v>
      </c>
      <c r="AF52" s="1222">
        <f t="shared" si="171"/>
        <v>12.501962578125001</v>
      </c>
      <c r="AG52" s="1164">
        <f>(AI19+AI38+AI46+AI48+AI49+AI50+AI51+AI53)/2*9/12</f>
        <v>297.3591381343283</v>
      </c>
      <c r="AH52" s="1195">
        <v>0.05</v>
      </c>
      <c r="AI52" s="1222">
        <f t="shared" si="172"/>
        <v>14.867956906716415</v>
      </c>
      <c r="AJ52" s="1164">
        <f>(AL19+AL38+AL46+AL48+AL49+AL50+AL51+AL53)/2*9/12</f>
        <v>214.03879079999993</v>
      </c>
      <c r="AK52" s="1195">
        <v>0.05</v>
      </c>
      <c r="AL52" s="1222">
        <f t="shared" si="173"/>
        <v>10.701939539999998</v>
      </c>
      <c r="AM52" s="1164">
        <f>(AO19+AO38+AO46+AO48+AO49+AO50+AO51+AO53)/2*9/12</f>
        <v>241.09787313432832</v>
      </c>
      <c r="AN52" s="1195">
        <v>0.05</v>
      </c>
      <c r="AO52" s="1222">
        <f t="shared" si="174"/>
        <v>12.054893656716416</v>
      </c>
      <c r="AP52" s="1164">
        <f>(AR19+AR38+AR46+AR48+AR49+AR50+AR51+AR53)/2*9/12</f>
        <v>234.07787313432831</v>
      </c>
      <c r="AQ52" s="1195">
        <v>0.05</v>
      </c>
      <c r="AR52" s="1222">
        <f t="shared" si="175"/>
        <v>11.703893656716417</v>
      </c>
      <c r="AS52" s="1164">
        <f>(AU19+AU38+AU46+AU48+AU49+AU50+AU51+AU53)/2*9/12</f>
        <v>265.12943313432839</v>
      </c>
      <c r="AT52" s="1195">
        <v>0.05</v>
      </c>
      <c r="AU52" s="1222">
        <f t="shared" si="176"/>
        <v>13.256471656716421</v>
      </c>
      <c r="AV52" s="1164">
        <f>(AX19+AX38+AX46+AX48+AX49+AX50+AX51+AX53)/2*9/12</f>
        <v>272.35546874999994</v>
      </c>
      <c r="AW52" s="1195">
        <v>0.05</v>
      </c>
      <c r="AX52" s="1222">
        <f t="shared" si="177"/>
        <v>13.617773437499999</v>
      </c>
      <c r="AY52" s="1164">
        <f>(BA19+BA38+BA46+BA48+BA49+BA50+BA51+BA53)/2*6/12</f>
        <v>47.299656089552251</v>
      </c>
      <c r="AZ52" s="1195">
        <v>0.05</v>
      </c>
      <c r="BA52" s="1222">
        <f t="shared" si="178"/>
        <v>2.3649828044776124</v>
      </c>
      <c r="BB52" s="1164">
        <f>(BD19+BD38+BD46+BD48+BD49+BD50+BD51+BD53)/2*6/12</f>
        <v>74.043953999999999</v>
      </c>
      <c r="BC52" s="1195">
        <v>0.05</v>
      </c>
      <c r="BD52" s="1222">
        <f t="shared" si="179"/>
        <v>3.7021977000000001</v>
      </c>
      <c r="BE52" s="1164">
        <f>(BG19+BG38+BG46+BG48+BG49+BG50+BG51+BG53)/2*6/12</f>
        <v>62.705362089552246</v>
      </c>
      <c r="BF52" s="1195">
        <v>0.05</v>
      </c>
      <c r="BG52" s="1222">
        <f t="shared" si="180"/>
        <v>3.1352681044776123</v>
      </c>
      <c r="BH52" s="1164">
        <f>(BJ19+BJ38+BJ46+BJ48+BJ49+BJ50+BJ51+BJ53)/2*6/12</f>
        <v>145.80814375000003</v>
      </c>
      <c r="BI52" s="1195">
        <v>0.05</v>
      </c>
      <c r="BJ52" s="1222">
        <f t="shared" si="181"/>
        <v>7.2904071875000014</v>
      </c>
      <c r="BK52" s="1164">
        <f>(BM19+BM38+BM46+BM48+BM49+BM50+BM51+BM53)/2*9/12</f>
        <v>331.26204813432838</v>
      </c>
      <c r="BL52" s="1195">
        <v>0.05</v>
      </c>
      <c r="BM52" s="1222">
        <f t="shared" si="182"/>
        <v>16.563102406716421</v>
      </c>
      <c r="BN52" s="1164">
        <f>(BP19+BP38+BP46+BP48+BP49+BP50+BP51+BP53)/2*9/12</f>
        <v>380.579925</v>
      </c>
      <c r="BO52" s="1195">
        <v>0.05</v>
      </c>
      <c r="BP52" s="1222">
        <f t="shared" si="183"/>
        <v>19.028996250000002</v>
      </c>
      <c r="BQ52" s="1156"/>
      <c r="BR52" s="1217"/>
      <c r="BS52" s="1222">
        <f t="shared" si="184"/>
        <v>0</v>
      </c>
      <c r="BT52" s="1164">
        <f>(BV19+BV38+BV46+BV48+BV49+BV50+BV51+BV53)/2*9/12</f>
        <v>300.81449813432829</v>
      </c>
      <c r="BU52" s="1195">
        <v>0.05</v>
      </c>
      <c r="BV52" s="1222">
        <f t="shared" si="185"/>
        <v>15.040724906716415</v>
      </c>
      <c r="BW52" s="1164">
        <f>(BY19+BY38+BY46+BY48+BY49+BY50+BY51+BY53)/2*9/12</f>
        <v>278.39912500000003</v>
      </c>
      <c r="BX52" s="1195">
        <v>0.05</v>
      </c>
      <c r="BY52" s="1222">
        <f t="shared" si="186"/>
        <v>13.919956250000002</v>
      </c>
      <c r="BZ52" s="1164">
        <f>(CB19+CB38+CB46+CB48+CB49+CB50+CB51+CB53)/2*9/12</f>
        <v>324.0422481343283</v>
      </c>
      <c r="CA52" s="1195">
        <v>0.05</v>
      </c>
      <c r="CB52" s="1222">
        <f t="shared" si="187"/>
        <v>16.202112406716417</v>
      </c>
      <c r="CC52" s="1164">
        <f>(CE19+CE38+CE46+CE48+CE49+CE50+CE51+CE53)/2*9/12</f>
        <v>316.86687499999999</v>
      </c>
      <c r="CD52" s="1195">
        <v>0.05</v>
      </c>
      <c r="CE52" s="1222">
        <f t="shared" si="188"/>
        <v>15.843343750000001</v>
      </c>
      <c r="CF52" s="1164">
        <f>(CH19+CH38+CH46+CH48+CH49+CH50+CH51+CH53)/2*6/12</f>
        <v>160.11123875621891</v>
      </c>
      <c r="CG52" s="1195">
        <v>0.05</v>
      </c>
      <c r="CH52" s="1222">
        <f t="shared" si="189"/>
        <v>8.0055619378109455</v>
      </c>
      <c r="CI52" s="1164">
        <f>(CK19+CK38+CK46+CK48+CK49+CK50+CK51+CK53)/2*4/12</f>
        <v>130.89655768888892</v>
      </c>
      <c r="CJ52" s="1195">
        <v>0.05</v>
      </c>
      <c r="CK52" s="1222">
        <f t="shared" si="190"/>
        <v>6.5448278844444463</v>
      </c>
      <c r="CL52" s="1164">
        <f>(CN19+CN38+CN46+CN48+CN49+CN50+CN51+CN53)/2*9/12</f>
        <v>170.93974063432836</v>
      </c>
      <c r="CM52" s="1195">
        <v>0.05</v>
      </c>
      <c r="CN52" s="1222">
        <f t="shared" si="191"/>
        <v>8.5469870317164176</v>
      </c>
      <c r="CO52" s="1164">
        <f>(CQ19+CQ38+CQ46+CQ48+CQ49+CQ50+CQ51+CQ53)/2*4/12</f>
        <v>77.462496666666667</v>
      </c>
      <c r="CP52" s="1195">
        <v>0.05</v>
      </c>
      <c r="CQ52" s="1222">
        <f t="shared" si="192"/>
        <v>3.8731248333333337</v>
      </c>
      <c r="CR52" s="1164">
        <f>(CT19+CT38+CT46+CT48+CT49+CT50+CT51+CT53)/2*9/12</f>
        <v>268.27412313432836</v>
      </c>
      <c r="CS52" s="1195">
        <v>0.05</v>
      </c>
      <c r="CT52" s="1222">
        <f t="shared" si="193"/>
        <v>13.413706156716419</v>
      </c>
      <c r="CU52" s="1164">
        <f>(CW19+CW38+CW46+CW48+CW49+CW50+CW51+CW53)/2*9/12</f>
        <v>308.76499999999993</v>
      </c>
      <c r="CV52" s="1195">
        <v>0.05</v>
      </c>
      <c r="CW52" s="1222">
        <f t="shared" si="194"/>
        <v>15.438249999999996</v>
      </c>
      <c r="CX52" s="1164">
        <f>(CZ19+CZ38+CZ46+CZ48+CZ49+CZ50+CZ51+CZ53)/2*4/12</f>
        <v>152.27229028192369</v>
      </c>
      <c r="CY52" s="1195">
        <v>0.05</v>
      </c>
      <c r="CZ52" s="1222">
        <f t="shared" si="195"/>
        <v>7.6136145140961844</v>
      </c>
      <c r="DA52" s="1164">
        <f>(DC19+DC38+DC46+DC48+DC49+DC50+DC51+DC53)/2*4/12</f>
        <v>191.27264666666667</v>
      </c>
      <c r="DB52" s="1195">
        <v>0.05</v>
      </c>
      <c r="DC52" s="1222">
        <f t="shared" si="196"/>
        <v>9.5636323333333344</v>
      </c>
      <c r="DD52" s="1164">
        <f>(DF19+DF38+DF46+DF48+DF49+DF50+DF51+DF53)/2*9/12</f>
        <v>0</v>
      </c>
      <c r="DE52" s="1217"/>
      <c r="DF52" s="1222">
        <f t="shared" si="197"/>
        <v>0</v>
      </c>
      <c r="DG52" s="1164">
        <f>(DI19+DI38+DI46+DI48+DI49+DI50+DI51+DI53)/2*9/12</f>
        <v>0</v>
      </c>
      <c r="DH52" s="1217"/>
      <c r="DI52" s="1222">
        <f t="shared" si="198"/>
        <v>0</v>
      </c>
      <c r="DJ52" s="1164">
        <f>(DL19+DL38+DL46+DL48+DL49+DL50+DL51+DL53)/2*9/12</f>
        <v>0</v>
      </c>
      <c r="DK52" s="1217"/>
      <c r="DL52" s="1222">
        <f t="shared" si="199"/>
        <v>0</v>
      </c>
      <c r="DM52" s="1164">
        <f>(DO19+DO38+DO46+DO48+DO49+DO50+DO51+DO53)/2*9/12</f>
        <v>0</v>
      </c>
      <c r="DN52" s="1217"/>
      <c r="DO52" s="1222">
        <f t="shared" si="200"/>
        <v>0</v>
      </c>
      <c r="DP52" s="1164">
        <f>(DR19+DR38+DR46+DR48+DR49+DR50+DR51+DR53)/2*9/12</f>
        <v>0</v>
      </c>
      <c r="DQ52" s="1217"/>
      <c r="DR52" s="1222">
        <f t="shared" si="201"/>
        <v>0</v>
      </c>
      <c r="DS52" s="1164">
        <f>(DU19+DU38+DU46+DU48+DU49+DU50+DU51+DU53)/2*9/12</f>
        <v>0</v>
      </c>
      <c r="DT52" s="1217"/>
      <c r="DU52" s="1222">
        <f t="shared" si="202"/>
        <v>0</v>
      </c>
      <c r="DV52" s="1164">
        <f>(DX19+DX38+DX46+DX48+DX49+DX50+DX51+DX53)/2*9/12</f>
        <v>0</v>
      </c>
      <c r="DW52" s="1217"/>
      <c r="DX52" s="1244">
        <f t="shared" si="203"/>
        <v>0</v>
      </c>
    </row>
    <row r="53" spans="1:128">
      <c r="B53" s="1305" t="s">
        <v>612</v>
      </c>
      <c r="C53" s="1187">
        <f>1/81</f>
        <v>1.2345679012345678E-2</v>
      </c>
      <c r="D53" s="1196">
        <v>1350</v>
      </c>
      <c r="E53" s="1199">
        <f>D53*C53</f>
        <v>16.666666666666664</v>
      </c>
      <c r="F53" s="1188"/>
      <c r="G53" s="1196"/>
      <c r="H53" s="1199">
        <f t="shared" si="163"/>
        <v>0</v>
      </c>
      <c r="I53" s="1189">
        <f>1/81</f>
        <v>1.2345679012345678E-2</v>
      </c>
      <c r="J53" s="1196">
        <v>1350</v>
      </c>
      <c r="K53" s="1222">
        <f t="shared" si="164"/>
        <v>16.666666666666664</v>
      </c>
      <c r="L53" s="1188"/>
      <c r="M53" s="1196"/>
      <c r="N53" s="1222">
        <f t="shared" si="165"/>
        <v>0</v>
      </c>
      <c r="O53" s="1187">
        <f>1/81</f>
        <v>1.2345679012345678E-2</v>
      </c>
      <c r="P53" s="1196">
        <v>1350</v>
      </c>
      <c r="Q53" s="1222">
        <f t="shared" si="166"/>
        <v>16.666666666666664</v>
      </c>
      <c r="R53" s="1158"/>
      <c r="S53" s="1196"/>
      <c r="T53" s="1222">
        <f t="shared" si="167"/>
        <v>0</v>
      </c>
      <c r="U53" s="1187">
        <f>1/81</f>
        <v>1.2345679012345678E-2</v>
      </c>
      <c r="V53" s="1196">
        <v>1350</v>
      </c>
      <c r="W53" s="1222">
        <f t="shared" si="168"/>
        <v>16.666666666666664</v>
      </c>
      <c r="X53" s="1158"/>
      <c r="Y53" s="1196"/>
      <c r="Z53" s="1222">
        <f t="shared" si="169"/>
        <v>0</v>
      </c>
      <c r="AA53" s="1187">
        <f>1/67</f>
        <v>1.4925373134328358E-2</v>
      </c>
      <c r="AB53" s="1196">
        <v>1282</v>
      </c>
      <c r="AC53" s="1222">
        <f t="shared" si="170"/>
        <v>19.134328358208954</v>
      </c>
      <c r="AD53" s="1158"/>
      <c r="AE53" s="1196"/>
      <c r="AF53" s="1222">
        <f t="shared" si="171"/>
        <v>0</v>
      </c>
      <c r="AG53" s="1187">
        <f>1/67</f>
        <v>1.4925373134328358E-2</v>
      </c>
      <c r="AH53" s="1196">
        <v>1282</v>
      </c>
      <c r="AI53" s="1222">
        <f t="shared" si="172"/>
        <v>19.134328358208954</v>
      </c>
      <c r="AJ53" s="1158"/>
      <c r="AK53" s="1196"/>
      <c r="AL53" s="1222">
        <f t="shared" si="173"/>
        <v>0</v>
      </c>
      <c r="AM53" s="1187">
        <f>1/67</f>
        <v>1.4925373134328358E-2</v>
      </c>
      <c r="AN53" s="1196">
        <v>1282</v>
      </c>
      <c r="AO53" s="1222">
        <f t="shared" si="174"/>
        <v>19.134328358208954</v>
      </c>
      <c r="AP53" s="1187">
        <f>1/67</f>
        <v>1.4925373134328358E-2</v>
      </c>
      <c r="AQ53" s="1196">
        <v>1282</v>
      </c>
      <c r="AR53" s="1222">
        <f t="shared" si="175"/>
        <v>19.134328358208954</v>
      </c>
      <c r="AS53" s="1190">
        <f>1/67</f>
        <v>1.4925373134328358E-2</v>
      </c>
      <c r="AT53" s="1196">
        <v>1282</v>
      </c>
      <c r="AU53" s="1222">
        <f t="shared" si="176"/>
        <v>19.134328358208954</v>
      </c>
      <c r="AV53" s="1158"/>
      <c r="AW53" s="1196"/>
      <c r="AX53" s="1222">
        <f t="shared" si="177"/>
        <v>0</v>
      </c>
      <c r="AY53" s="1190">
        <f>1/67</f>
        <v>1.4925373134328358E-2</v>
      </c>
      <c r="AZ53" s="1196">
        <v>1282</v>
      </c>
      <c r="BA53" s="1222">
        <f t="shared" si="178"/>
        <v>19.134328358208954</v>
      </c>
      <c r="BB53" s="1190"/>
      <c r="BC53" s="1196"/>
      <c r="BD53" s="1222">
        <f t="shared" si="179"/>
        <v>0</v>
      </c>
      <c r="BE53" s="1190">
        <f>1/67</f>
        <v>1.4925373134328358E-2</v>
      </c>
      <c r="BF53" s="1218">
        <v>1282</v>
      </c>
      <c r="BG53" s="1222">
        <f t="shared" si="180"/>
        <v>19.134328358208954</v>
      </c>
      <c r="BH53" s="1158"/>
      <c r="BI53" s="1196"/>
      <c r="BJ53" s="1222">
        <f t="shared" si="181"/>
        <v>0</v>
      </c>
      <c r="BK53" s="1190">
        <f>1/67</f>
        <v>1.4925373134328358E-2</v>
      </c>
      <c r="BL53" s="1196">
        <v>1282</v>
      </c>
      <c r="BM53" s="1222">
        <f t="shared" si="182"/>
        <v>19.134328358208954</v>
      </c>
      <c r="BN53" s="1158"/>
      <c r="BO53" s="1196"/>
      <c r="BP53" s="1222">
        <f t="shared" si="183"/>
        <v>0</v>
      </c>
      <c r="BQ53" s="1158"/>
      <c r="BR53" s="1218"/>
      <c r="BS53" s="1222">
        <f t="shared" si="184"/>
        <v>0</v>
      </c>
      <c r="BT53" s="1190">
        <f>1/67</f>
        <v>1.4925373134328358E-2</v>
      </c>
      <c r="BU53" s="1196">
        <v>1282</v>
      </c>
      <c r="BV53" s="1222">
        <f t="shared" si="185"/>
        <v>19.134328358208954</v>
      </c>
      <c r="BW53" s="1158"/>
      <c r="BX53" s="1196"/>
      <c r="BY53" s="1222">
        <f t="shared" si="186"/>
        <v>0</v>
      </c>
      <c r="BZ53" s="1190">
        <f>1/67</f>
        <v>1.4925373134328358E-2</v>
      </c>
      <c r="CA53" s="1196">
        <v>1282</v>
      </c>
      <c r="CB53" s="1222">
        <f t="shared" si="187"/>
        <v>19.134328358208954</v>
      </c>
      <c r="CC53" s="1190"/>
      <c r="CD53" s="1196"/>
      <c r="CE53" s="1222">
        <f t="shared" si="188"/>
        <v>0</v>
      </c>
      <c r="CF53" s="1190">
        <f>1/67</f>
        <v>1.4925373134328358E-2</v>
      </c>
      <c r="CG53" s="1196">
        <v>1282</v>
      </c>
      <c r="CH53" s="1222">
        <f t="shared" si="189"/>
        <v>19.134328358208954</v>
      </c>
      <c r="CI53" s="1158"/>
      <c r="CJ53" s="1196"/>
      <c r="CK53" s="1222">
        <f t="shared" si="190"/>
        <v>0</v>
      </c>
      <c r="CL53" s="1190">
        <f>1/67</f>
        <v>1.4925373134328358E-2</v>
      </c>
      <c r="CM53" s="1196">
        <v>1282</v>
      </c>
      <c r="CN53" s="1222">
        <f t="shared" si="191"/>
        <v>19.134328358208954</v>
      </c>
      <c r="CO53" s="1190"/>
      <c r="CP53" s="1196"/>
      <c r="CQ53" s="1222">
        <f t="shared" si="192"/>
        <v>0</v>
      </c>
      <c r="CR53" s="1190">
        <f>1/67</f>
        <v>1.4925373134328358E-2</v>
      </c>
      <c r="CS53" s="1196">
        <v>1282</v>
      </c>
      <c r="CT53" s="1222">
        <f t="shared" si="193"/>
        <v>19.134328358208954</v>
      </c>
      <c r="CU53" s="1158"/>
      <c r="CV53" s="1196"/>
      <c r="CW53" s="1222">
        <f t="shared" si="194"/>
        <v>0</v>
      </c>
      <c r="CX53" s="1190">
        <f>1/67</f>
        <v>1.4925373134328358E-2</v>
      </c>
      <c r="CY53" s="1196">
        <v>1282</v>
      </c>
      <c r="CZ53" s="1222">
        <f t="shared" si="195"/>
        <v>19.134328358208954</v>
      </c>
      <c r="DA53" s="1158"/>
      <c r="DB53" s="1196"/>
      <c r="DC53" s="1222">
        <f t="shared" si="196"/>
        <v>0</v>
      </c>
      <c r="DD53" s="1158"/>
      <c r="DE53" s="1218"/>
      <c r="DF53" s="1222">
        <f t="shared" si="197"/>
        <v>0</v>
      </c>
      <c r="DG53" s="1158"/>
      <c r="DH53" s="1218"/>
      <c r="DI53" s="1222">
        <f t="shared" si="198"/>
        <v>0</v>
      </c>
      <c r="DJ53" s="1158"/>
      <c r="DK53" s="1218"/>
      <c r="DL53" s="1222">
        <f t="shared" si="199"/>
        <v>0</v>
      </c>
      <c r="DM53" s="1158"/>
      <c r="DN53" s="1218"/>
      <c r="DO53" s="1222">
        <f t="shared" si="200"/>
        <v>0</v>
      </c>
      <c r="DP53" s="1158"/>
      <c r="DQ53" s="1218"/>
      <c r="DR53" s="1222">
        <f t="shared" si="201"/>
        <v>0</v>
      </c>
      <c r="DS53" s="1158"/>
      <c r="DT53" s="1218"/>
      <c r="DU53" s="1222">
        <f t="shared" si="202"/>
        <v>0</v>
      </c>
      <c r="DV53" s="1158"/>
      <c r="DW53" s="1218"/>
      <c r="DX53" s="1244">
        <f t="shared" si="203"/>
        <v>0</v>
      </c>
    </row>
    <row r="54" spans="1:128" ht="15" thickBot="1">
      <c r="A54" s="1130"/>
      <c r="B54" s="1308" t="s">
        <v>611</v>
      </c>
      <c r="C54" s="1135"/>
      <c r="D54" s="1205"/>
      <c r="E54" s="1206">
        <f>SUM(E47:E53)</f>
        <v>93.939561666666663</v>
      </c>
      <c r="F54" s="1136"/>
      <c r="G54" s="1206"/>
      <c r="H54" s="1206">
        <f>SUM(H47:H53)</f>
        <v>64.460839800000002</v>
      </c>
      <c r="I54" s="1136"/>
      <c r="J54" s="1206"/>
      <c r="K54" s="1224">
        <f>SUM(K47:K53)</f>
        <v>62.193829166666667</v>
      </c>
      <c r="L54" s="1131"/>
      <c r="M54" s="1206"/>
      <c r="N54" s="1224">
        <f>SUM(N47:N53)</f>
        <v>34.6474975</v>
      </c>
      <c r="O54" s="1132"/>
      <c r="P54" s="1206"/>
      <c r="Q54" s="1224">
        <f>SUM(Q47:Q53)</f>
        <v>167.33291216666666</v>
      </c>
      <c r="R54" s="1132"/>
      <c r="S54" s="1206"/>
      <c r="T54" s="1224">
        <f>SUM(T47:T53)</f>
        <v>94.720724925000013</v>
      </c>
      <c r="U54" s="1136"/>
      <c r="V54" s="1234"/>
      <c r="W54" s="1224">
        <f>SUM(W47:W53)</f>
        <v>165.60922466666665</v>
      </c>
      <c r="X54" s="1132"/>
      <c r="Y54" s="1206"/>
      <c r="Z54" s="1224">
        <f>SUM(Z47:Z53)</f>
        <v>108.83170699999999</v>
      </c>
      <c r="AA54" s="1132"/>
      <c r="AB54" s="1234"/>
      <c r="AC54" s="1224">
        <f>SUM(AC47:AC53)</f>
        <v>127.85831951492537</v>
      </c>
      <c r="AD54" s="1132"/>
      <c r="AE54" s="1234"/>
      <c r="AF54" s="1224">
        <f>SUM(AF47:AF53)</f>
        <v>83.256900078125</v>
      </c>
      <c r="AG54" s="1132"/>
      <c r="AH54" s="1234"/>
      <c r="AI54" s="1224">
        <f>SUM(AI47:AI53)</f>
        <v>149.59652526492539</v>
      </c>
      <c r="AJ54" s="1132"/>
      <c r="AK54" s="1234"/>
      <c r="AL54" s="1206">
        <f>SUM(AL47:AL53)</f>
        <v>101.29484833999999</v>
      </c>
      <c r="AM54" s="1132"/>
      <c r="AN54" s="1234"/>
      <c r="AO54" s="1206">
        <f>SUM(AO47:AO53)</f>
        <v>31.18922201492537</v>
      </c>
      <c r="AP54" s="1132"/>
      <c r="AQ54" s="1234"/>
      <c r="AR54" s="1206">
        <f>SUM(AR47:AR53)</f>
        <v>30.838222014925371</v>
      </c>
      <c r="AS54" s="1136"/>
      <c r="AT54" s="1234"/>
      <c r="AU54" s="1206">
        <f>SUM(AU47:AU53)</f>
        <v>107.3649600149254</v>
      </c>
      <c r="AV54" s="1136"/>
      <c r="AW54" s="1206"/>
      <c r="AX54" s="1206">
        <f>SUM(AX47:AX53)</f>
        <v>85.109023437499985</v>
      </c>
      <c r="AY54" s="1132"/>
      <c r="AZ54" s="1234"/>
      <c r="BA54" s="1206">
        <f>SUM(BA47:BA53)</f>
        <v>28.571607162686568</v>
      </c>
      <c r="BB54" s="1132"/>
      <c r="BC54" s="1234"/>
      <c r="BD54" s="1206">
        <f>SUM(BD47:BD53)</f>
        <v>10.774493700000001</v>
      </c>
      <c r="BE54" s="1132"/>
      <c r="BF54" s="1206"/>
      <c r="BG54" s="1262">
        <f>SUM(BG47:BG53)</f>
        <v>48.43911646268657</v>
      </c>
      <c r="BH54" s="1132"/>
      <c r="BI54" s="1234"/>
      <c r="BJ54" s="1262">
        <f>SUM(BJ47:BJ53)</f>
        <v>30.699582187499999</v>
      </c>
      <c r="BK54" s="1132"/>
      <c r="BL54" s="1234"/>
      <c r="BM54" s="1262">
        <f>SUM(BM47:BM53)</f>
        <v>43.890230764925377</v>
      </c>
      <c r="BN54" s="1132"/>
      <c r="BO54" s="1234"/>
      <c r="BP54" s="1262">
        <f>SUM(BP47:BP53)</f>
        <v>27.221796250000004</v>
      </c>
      <c r="BQ54" s="1132"/>
      <c r="BR54" s="1206"/>
      <c r="BS54" s="1256">
        <f>SUM(BS47:BS53)</f>
        <v>0</v>
      </c>
      <c r="BT54" s="1132"/>
      <c r="BU54" s="1234"/>
      <c r="BV54" s="1206">
        <f>SUM(BV47:BV53)</f>
        <v>104.81105326492536</v>
      </c>
      <c r="BW54" s="1132"/>
      <c r="BX54" s="1234"/>
      <c r="BY54" s="1206">
        <f>SUM(BY47:BY53)</f>
        <v>84.555956249999994</v>
      </c>
      <c r="BZ54" s="1132"/>
      <c r="CA54" s="1234"/>
      <c r="CB54" s="1206">
        <f>SUM(CB47:CB53)</f>
        <v>112.04644076492539</v>
      </c>
      <c r="CC54" s="1132"/>
      <c r="CD54" s="1234"/>
      <c r="CE54" s="1206">
        <f>SUM(CE47:CE53)</f>
        <v>92.55334375000001</v>
      </c>
      <c r="CF54" s="1132"/>
      <c r="CG54" s="1234"/>
      <c r="CH54" s="1206">
        <f>SUM(CH47:CH53)</f>
        <v>81.408850296019892</v>
      </c>
      <c r="CI54" s="1132"/>
      <c r="CJ54" s="1234"/>
      <c r="CK54" s="1206">
        <f>SUM(CK47:CK53)</f>
        <v>61.809240684444447</v>
      </c>
      <c r="CL54" s="1132"/>
      <c r="CM54" s="1234"/>
      <c r="CN54" s="1206">
        <f>SUM(CN47:CN53)</f>
        <v>58.586595389925371</v>
      </c>
      <c r="CO54" s="1132"/>
      <c r="CP54" s="1234"/>
      <c r="CQ54" s="1206">
        <f>SUM(CQ47:CQ53)</f>
        <v>34.778404833333333</v>
      </c>
      <c r="CR54" s="1132"/>
      <c r="CS54" s="1234"/>
      <c r="CT54" s="1206">
        <f>SUM(CT47:CT53)</f>
        <v>32.548034514925376</v>
      </c>
      <c r="CU54" s="1132"/>
      <c r="CV54" s="1234"/>
      <c r="CW54" s="1206">
        <f>SUM(CW47:CW53)</f>
        <v>15.438249999999996</v>
      </c>
      <c r="CX54" s="1132"/>
      <c r="CY54" s="1234"/>
      <c r="CZ54" s="1206">
        <f>SUM(CZ47:CZ53)</f>
        <v>148.07402287230514</v>
      </c>
      <c r="DA54" s="1132"/>
      <c r="DB54" s="1234"/>
      <c r="DC54" s="1206">
        <f>SUM(DC47:DC53)</f>
        <v>130.88971233333334</v>
      </c>
      <c r="DD54" s="1132"/>
      <c r="DE54" s="1206"/>
      <c r="DF54" s="1206">
        <f>SUM(DF47:DF53)</f>
        <v>0</v>
      </c>
      <c r="DG54" s="1132"/>
      <c r="DH54" s="1206"/>
      <c r="DI54" s="1206">
        <f>SUM(DI47:DI53)</f>
        <v>0</v>
      </c>
      <c r="DJ54" s="1132"/>
      <c r="DK54" s="1206"/>
      <c r="DL54" s="1206">
        <f>SUM(DL47:DL53)</f>
        <v>0</v>
      </c>
      <c r="DM54" s="1132"/>
      <c r="DN54" s="1206"/>
      <c r="DO54" s="1206">
        <f>SUM(DO47:DO53)</f>
        <v>0</v>
      </c>
      <c r="DP54" s="1132"/>
      <c r="DQ54" s="1206"/>
      <c r="DR54" s="1206">
        <f>SUM(DR47:DR53)</f>
        <v>0</v>
      </c>
      <c r="DS54" s="1132"/>
      <c r="DT54" s="1206"/>
      <c r="DU54" s="1206">
        <f>SUM(DU47:DU53)</f>
        <v>0</v>
      </c>
      <c r="DV54" s="1132"/>
      <c r="DW54" s="1206"/>
      <c r="DX54" s="1248">
        <f>SUM(DX47:DX53)</f>
        <v>0</v>
      </c>
    </row>
    <row r="55" spans="1:128" ht="15.75" thickTop="1" thickBot="1">
      <c r="A55" s="1137"/>
      <c r="B55" s="1309" t="s">
        <v>1152</v>
      </c>
      <c r="C55" s="1138"/>
      <c r="D55" s="1207"/>
      <c r="E55" s="1208">
        <f>E54+E46+E38+E19</f>
        <v>1259.7995616666667</v>
      </c>
      <c r="F55" s="1139"/>
      <c r="G55" s="1208"/>
      <c r="H55" s="1208">
        <f>H54+H46+H38+H19</f>
        <v>1421.5286398000001</v>
      </c>
      <c r="I55" s="1139"/>
      <c r="J55" s="1208"/>
      <c r="K55" s="1225">
        <f>K54+K46+K38+K19</f>
        <v>721.06649583333342</v>
      </c>
      <c r="L55" s="1140"/>
      <c r="M55" s="1208"/>
      <c r="N55" s="1225">
        <f>N54+N46+N38+N19</f>
        <v>691.3534975</v>
      </c>
      <c r="O55" s="1141"/>
      <c r="P55" s="1208"/>
      <c r="Q55" s="1225">
        <f>Q54+Q46+Q38+Q19</f>
        <v>1024.7095788333334</v>
      </c>
      <c r="R55" s="1141"/>
      <c r="S55" s="1208"/>
      <c r="T55" s="1225">
        <f>T54+T46+T38+T19</f>
        <v>958.02972492499987</v>
      </c>
      <c r="U55" s="1139"/>
      <c r="V55" s="1235"/>
      <c r="W55" s="1225">
        <f>W54+W46+W38+W19</f>
        <v>931.05589133333342</v>
      </c>
      <c r="X55" s="1141"/>
      <c r="Y55" s="1208"/>
      <c r="Z55" s="1225">
        <f>Z54+Z46+Z38+Z19</f>
        <v>951.02170699999999</v>
      </c>
      <c r="AA55" s="1141"/>
      <c r="AB55" s="1235"/>
      <c r="AC55" s="1225">
        <f>AC54+AC46+AC38+AC19</f>
        <v>640.90465284825859</v>
      </c>
      <c r="AD55" s="1141"/>
      <c r="AE55" s="1235"/>
      <c r="AF55" s="1225">
        <f>AF54+AF46+AF38+AF19</f>
        <v>679.27330007812498</v>
      </c>
      <c r="AG55" s="1141"/>
      <c r="AH55" s="1235"/>
      <c r="AI55" s="1225">
        <f>AI54+AI46+AI38+AI19</f>
        <v>807.82565859825877</v>
      </c>
      <c r="AJ55" s="1141"/>
      <c r="AK55" s="1235"/>
      <c r="AL55" s="1208">
        <f>AL54+AL46+AL38+AL19</f>
        <v>581.47204834000001</v>
      </c>
      <c r="AM55" s="1141"/>
      <c r="AN55" s="1235"/>
      <c r="AO55" s="1208">
        <f>AO54+AO46+AO38+AO19</f>
        <v>654.98255534825864</v>
      </c>
      <c r="AP55" s="1141"/>
      <c r="AQ55" s="1235"/>
      <c r="AR55" s="1208">
        <f>AR54+AR46+AR38+AR19</f>
        <v>635.91155534825862</v>
      </c>
      <c r="AS55" s="1139"/>
      <c r="AT55" s="1235"/>
      <c r="AU55" s="1208">
        <f>AU54+AU46+AU38+AU19</f>
        <v>720.26829334825857</v>
      </c>
      <c r="AV55" s="1139"/>
      <c r="AW55" s="1208"/>
      <c r="AX55" s="1208">
        <f>AX54+AX46+AX38+AX19</f>
        <v>739.89902343750009</v>
      </c>
      <c r="AY55" s="1141"/>
      <c r="AZ55" s="1235"/>
      <c r="BA55" s="1208">
        <f>BA54+BA46+BA38+BA19</f>
        <v>191.56360716268659</v>
      </c>
      <c r="BB55" s="1141"/>
      <c r="BC55" s="1235"/>
      <c r="BD55" s="1208">
        <f>BD54+BD46+BD38+BD19</f>
        <v>299.8780137</v>
      </c>
      <c r="BE55" s="1141"/>
      <c r="BF55" s="1208"/>
      <c r="BG55" s="1263">
        <f>BG54+BG46+BG38+BG19</f>
        <v>253.95671646268659</v>
      </c>
      <c r="BH55" s="1141"/>
      <c r="BI55" s="1235"/>
      <c r="BJ55" s="1263">
        <f>BJ54+BJ46+BJ38+BJ19</f>
        <v>590.52298218750002</v>
      </c>
      <c r="BK55" s="1141"/>
      <c r="BL55" s="1235"/>
      <c r="BM55" s="1263">
        <f>BM54+BM46+BM38+BM19</f>
        <v>899.92856409825868</v>
      </c>
      <c r="BN55" s="1141"/>
      <c r="BO55" s="1235"/>
      <c r="BP55" s="1263">
        <f>BP54+BP46+BP38+BP19</f>
        <v>1033.90879625</v>
      </c>
      <c r="BQ55" s="1141"/>
      <c r="BR55" s="1208"/>
      <c r="BS55" s="1257">
        <f>BS54+BS46+BS38+BS19</f>
        <v>94.444444444444443</v>
      </c>
      <c r="BT55" s="1141"/>
      <c r="BU55" s="1235"/>
      <c r="BV55" s="1208">
        <f>BV54+BV46+BV38+BV19</f>
        <v>817.21271993159201</v>
      </c>
      <c r="BW55" s="1141"/>
      <c r="BX55" s="1235"/>
      <c r="BY55" s="1208">
        <f>BY54+BY46+BY38+BY19</f>
        <v>756.31762291666666</v>
      </c>
      <c r="BZ55" s="1141"/>
      <c r="CA55" s="1235"/>
      <c r="CB55" s="1208">
        <f>CB54+CB46+CB38+CB19</f>
        <v>880.31477409825879</v>
      </c>
      <c r="CC55" s="1141"/>
      <c r="CD55" s="1235"/>
      <c r="CE55" s="1208">
        <f>CE54+CE46+CE38+CE19</f>
        <v>860.82167708333338</v>
      </c>
      <c r="CF55" s="1141"/>
      <c r="CG55" s="1235"/>
      <c r="CH55" s="1208">
        <f>CH54+CH46+CH38+CH19</f>
        <v>648.45051696268661</v>
      </c>
      <c r="CI55" s="1141"/>
      <c r="CJ55" s="1235"/>
      <c r="CK55" s="1208">
        <f>CK54+CK46+CK38+CK19</f>
        <v>791.92417401777777</v>
      </c>
      <c r="CL55" s="1141"/>
      <c r="CM55" s="1235"/>
      <c r="CN55" s="1208">
        <f>CN54+CN46+CN38+CN19</f>
        <v>464.38629538992535</v>
      </c>
      <c r="CO55" s="1141"/>
      <c r="CP55" s="1235"/>
      <c r="CQ55" s="1208">
        <f>CQ54+CQ46+CQ38+CQ19</f>
        <v>468.64810483333332</v>
      </c>
      <c r="CR55" s="1141"/>
      <c r="CS55" s="1235"/>
      <c r="CT55" s="1208">
        <f>CT54+CT46+CT38+CT19</f>
        <v>728.81136784825867</v>
      </c>
      <c r="CU55" s="1141"/>
      <c r="CV55" s="1235"/>
      <c r="CW55" s="1208">
        <f>CW54+CW46+CW38+CW19</f>
        <v>838.81158333333337</v>
      </c>
      <c r="CX55" s="1141"/>
      <c r="CY55" s="1235"/>
      <c r="CZ55" s="1208">
        <f>CZ54+CZ46+CZ38+CZ19</f>
        <v>921.24735620563843</v>
      </c>
      <c r="DA55" s="1141"/>
      <c r="DB55" s="1235"/>
      <c r="DC55" s="1208">
        <f>DC54+DC46+DC38+DC19</f>
        <v>1157.1995123333331</v>
      </c>
      <c r="DD55" s="1141"/>
      <c r="DE55" s="1208"/>
      <c r="DF55" s="1208">
        <f>DF54+DF46+DF38+DF19</f>
        <v>0</v>
      </c>
      <c r="DG55" s="1141"/>
      <c r="DH55" s="1208"/>
      <c r="DI55" s="1208">
        <f>DI54+DI46+DI38+DI19</f>
        <v>0</v>
      </c>
      <c r="DJ55" s="1141"/>
      <c r="DK55" s="1208"/>
      <c r="DL55" s="1208">
        <f>DL54+DL46+DL38+DL19</f>
        <v>0</v>
      </c>
      <c r="DM55" s="1141"/>
      <c r="DN55" s="1208"/>
      <c r="DO55" s="1208">
        <f>DO54+DO46+DO38+DO19</f>
        <v>0</v>
      </c>
      <c r="DP55" s="1141"/>
      <c r="DQ55" s="1208"/>
      <c r="DR55" s="1208">
        <f>DR54+DR46+DR38+DR19</f>
        <v>0</v>
      </c>
      <c r="DS55" s="1141"/>
      <c r="DT55" s="1208"/>
      <c r="DU55" s="1208">
        <f>DU54+DU46+DU38+DU19</f>
        <v>0</v>
      </c>
      <c r="DV55" s="1141"/>
      <c r="DW55" s="1208"/>
      <c r="DX55" s="1249">
        <f>DX54+DX46+DX38+DX19</f>
        <v>0</v>
      </c>
    </row>
    <row r="56" spans="1:128" ht="15.75" thickTop="1" thickBot="1">
      <c r="A56" s="1142"/>
      <c r="B56" s="1310" t="s">
        <v>610</v>
      </c>
      <c r="C56" s="1143"/>
      <c r="D56" s="1209"/>
      <c r="E56" s="1210">
        <f>E10-E55</f>
        <v>2772.1140183333332</v>
      </c>
      <c r="F56" s="1144"/>
      <c r="G56" s="1210"/>
      <c r="H56" s="1210">
        <f>H10-H55</f>
        <v>444.37906019999991</v>
      </c>
      <c r="I56" s="1144"/>
      <c r="J56" s="1210"/>
      <c r="K56" s="1226">
        <f>K10-K55</f>
        <v>2324.5033041666666</v>
      </c>
      <c r="L56" s="1145"/>
      <c r="M56" s="1210"/>
      <c r="N56" s="1226">
        <f>N10-N55</f>
        <v>545.15088250000008</v>
      </c>
      <c r="O56" s="1146"/>
      <c r="P56" s="1210"/>
      <c r="Q56" s="1226">
        <f>Q10-Q55</f>
        <v>1165.450421166667</v>
      </c>
      <c r="R56" s="1146"/>
      <c r="S56" s="1210"/>
      <c r="T56" s="1226">
        <f>T10-T55</f>
        <v>244.45527507500003</v>
      </c>
      <c r="U56" s="1144"/>
      <c r="V56" s="1236">
        <f>$W$80</f>
        <v>0</v>
      </c>
      <c r="W56" s="1226">
        <f>W10-W55</f>
        <v>1259.3841086666666</v>
      </c>
      <c r="X56" s="1146"/>
      <c r="Y56" s="1210"/>
      <c r="Z56" s="1226">
        <f>Z10-Z55</f>
        <v>508.30329300000005</v>
      </c>
      <c r="AA56" s="1146"/>
      <c r="AB56" s="1236"/>
      <c r="AC56" s="1226">
        <f>AC10-AC55</f>
        <v>720.57034715174132</v>
      </c>
      <c r="AD56" s="1146"/>
      <c r="AE56" s="1236"/>
      <c r="AF56" s="1226">
        <f>AF10-AF55</f>
        <v>267.46419992187509</v>
      </c>
      <c r="AG56" s="1146"/>
      <c r="AH56" s="1236"/>
      <c r="AI56" s="1226">
        <f>AI10-AI55</f>
        <v>398.88184140174121</v>
      </c>
      <c r="AJ56" s="1146"/>
      <c r="AK56" s="1236"/>
      <c r="AL56" s="1210">
        <f>AL10-AL55</f>
        <v>324.89095166000004</v>
      </c>
      <c r="AM56" s="1146"/>
      <c r="AN56" s="1236"/>
      <c r="AO56" s="1210">
        <f>AO10-AO55</f>
        <v>1629.3324446517413</v>
      </c>
      <c r="AP56" s="1146"/>
      <c r="AQ56" s="1236"/>
      <c r="AR56" s="1210">
        <f>AR10-AR55</f>
        <v>343.29844465174142</v>
      </c>
      <c r="AS56" s="1144"/>
      <c r="AT56" s="1236"/>
      <c r="AU56" s="1210">
        <f>AU10-AU55</f>
        <v>826.70670665174134</v>
      </c>
      <c r="AV56" s="1144"/>
      <c r="AW56" s="1210"/>
      <c r="AX56" s="1210">
        <f>AX10-AX55</f>
        <v>170.77597656249986</v>
      </c>
      <c r="AY56" s="1146"/>
      <c r="AZ56" s="1236"/>
      <c r="BA56" s="1210">
        <f>BA10-BA55</f>
        <v>237.06039283731343</v>
      </c>
      <c r="BB56" s="1146"/>
      <c r="BC56" s="1236"/>
      <c r="BD56" s="1210">
        <f>BD10-BD55</f>
        <v>128.74598630000003</v>
      </c>
      <c r="BE56" s="1146"/>
      <c r="BF56" s="1210"/>
      <c r="BG56" s="1264">
        <f>BG10-BG55</f>
        <v>550.1471635373133</v>
      </c>
      <c r="BH56" s="1146"/>
      <c r="BI56" s="1236"/>
      <c r="BJ56" s="1264">
        <f>BJ10-BJ55</f>
        <v>113.89389781249986</v>
      </c>
      <c r="BK56" s="1146"/>
      <c r="BL56" s="1236"/>
      <c r="BM56" s="1264">
        <f>BM10-BM55</f>
        <v>1025.0714359017413</v>
      </c>
      <c r="BN56" s="1146"/>
      <c r="BO56" s="1236"/>
      <c r="BP56" s="1264">
        <f>BP10-BP55</f>
        <v>891.09120374999998</v>
      </c>
      <c r="BQ56" s="1146"/>
      <c r="BR56" s="1210"/>
      <c r="BS56" s="1258">
        <f>BS10-BS55</f>
        <v>189.45555555555552</v>
      </c>
      <c r="BT56" s="1146"/>
      <c r="BU56" s="1236"/>
      <c r="BV56" s="1210">
        <f>BV10-BV55</f>
        <v>841.80728006840798</v>
      </c>
      <c r="BW56" s="1146"/>
      <c r="BX56" s="1236"/>
      <c r="BY56" s="1210">
        <f>BY10-BY55</f>
        <v>-132.54762291666668</v>
      </c>
      <c r="BZ56" s="1146"/>
      <c r="CA56" s="1236"/>
      <c r="CB56" s="1210">
        <f>CB10-CB55</f>
        <v>778.35522590174128</v>
      </c>
      <c r="CC56" s="1146"/>
      <c r="CD56" s="1236"/>
      <c r="CE56" s="1210">
        <f>CE10-CE55</f>
        <v>-237.40167708333342</v>
      </c>
      <c r="CF56" s="1146"/>
      <c r="CG56" s="1236"/>
      <c r="CH56" s="1210">
        <f>CH10-CH55</f>
        <v>1156.7974830373134</v>
      </c>
      <c r="CI56" s="1146"/>
      <c r="CJ56" s="1236"/>
      <c r="CK56" s="1210">
        <f>CK10-CK55</f>
        <v>102.7902259822223</v>
      </c>
      <c r="CL56" s="1146"/>
      <c r="CM56" s="1236"/>
      <c r="CN56" s="1210">
        <f>CN10-CN55</f>
        <v>138.78970461007469</v>
      </c>
      <c r="CO56" s="1146"/>
      <c r="CP56" s="1236"/>
      <c r="CQ56" s="1210">
        <f>CQ10-CQ55</f>
        <v>-87.899904833333323</v>
      </c>
      <c r="CR56" s="1146"/>
      <c r="CS56" s="1236"/>
      <c r="CT56" s="1210">
        <f>CT10-CT55</f>
        <v>3377.008632151741</v>
      </c>
      <c r="CU56" s="1146"/>
      <c r="CV56" s="1236"/>
      <c r="CW56" s="1210">
        <f>CW10-CW55</f>
        <v>297.30841666666652</v>
      </c>
      <c r="CX56" s="1146"/>
      <c r="CY56" s="1236"/>
      <c r="CZ56" s="1210">
        <f>CZ10-CZ55</f>
        <v>3237.1766437943616</v>
      </c>
      <c r="DA56" s="1146"/>
      <c r="DB56" s="1236"/>
      <c r="DC56" s="1210">
        <f>DC10-DC55</f>
        <v>656.72448766666685</v>
      </c>
      <c r="DD56" s="1146"/>
      <c r="DE56" s="1210"/>
      <c r="DF56" s="1210">
        <f>DF10-DF55</f>
        <v>0</v>
      </c>
      <c r="DG56" s="1146"/>
      <c r="DH56" s="1210"/>
      <c r="DI56" s="1210">
        <f>DI10-DI55</f>
        <v>0</v>
      </c>
      <c r="DJ56" s="1146"/>
      <c r="DK56" s="1210"/>
      <c r="DL56" s="1210">
        <f>DL10-DL55</f>
        <v>0</v>
      </c>
      <c r="DM56" s="1146"/>
      <c r="DN56" s="1210"/>
      <c r="DO56" s="1210">
        <f>DO10-DO55</f>
        <v>0</v>
      </c>
      <c r="DP56" s="1146"/>
      <c r="DQ56" s="1210"/>
      <c r="DR56" s="1210">
        <f>DR10-DR55</f>
        <v>0</v>
      </c>
      <c r="DS56" s="1146"/>
      <c r="DT56" s="1210"/>
      <c r="DU56" s="1210">
        <f>DU10-DU55</f>
        <v>0</v>
      </c>
      <c r="DV56" s="1146"/>
      <c r="DW56" s="1210"/>
      <c r="DX56" s="1250">
        <f>DX10-DX55</f>
        <v>0</v>
      </c>
    </row>
    <row r="57" spans="1:128" ht="15.75" thickTop="1" thickBot="1">
      <c r="A57" s="1129"/>
      <c r="B57" s="1311"/>
      <c r="C57" s="1147"/>
      <c r="D57" s="1211"/>
      <c r="E57" s="1212"/>
      <c r="F57" s="1129"/>
      <c r="G57" s="1212"/>
      <c r="H57" s="1212"/>
      <c r="I57" s="1129"/>
      <c r="J57" s="1212"/>
      <c r="K57" s="1212"/>
      <c r="L57" s="1129"/>
      <c r="M57" s="1212"/>
      <c r="N57" s="1212"/>
      <c r="O57" s="1129"/>
      <c r="P57" s="1212"/>
      <c r="Q57" s="1212"/>
      <c r="R57" s="1129"/>
      <c r="S57" s="1212"/>
      <c r="T57" s="1212"/>
      <c r="U57" s="1133"/>
      <c r="V57" s="1237"/>
      <c r="W57" s="1212"/>
      <c r="X57" s="1129"/>
      <c r="Y57" s="1212"/>
      <c r="Z57" s="1212"/>
      <c r="AA57" s="1129"/>
      <c r="AB57" s="1237"/>
      <c r="AC57" s="1212"/>
      <c r="AD57" s="1129"/>
      <c r="AE57" s="1237"/>
      <c r="AF57" s="1212"/>
      <c r="AG57" s="1129"/>
      <c r="AH57" s="1237"/>
      <c r="AI57" s="1212"/>
      <c r="AJ57" s="1129"/>
      <c r="AK57" s="1237"/>
      <c r="AL57" s="1212"/>
      <c r="AM57" s="1129"/>
      <c r="AN57" s="1237"/>
      <c r="AO57" s="1212"/>
      <c r="AP57" s="1129"/>
      <c r="AQ57" s="1237"/>
      <c r="AR57" s="1212"/>
      <c r="AS57" s="1129"/>
      <c r="AT57" s="1237"/>
      <c r="AU57" s="1212"/>
      <c r="AV57" s="1129"/>
      <c r="AW57" s="1212"/>
      <c r="AX57" s="1212"/>
      <c r="BA57" s="1212"/>
      <c r="BD57" s="1212"/>
      <c r="BV57" s="1212"/>
      <c r="BY57" s="1212"/>
      <c r="CB57" s="1212"/>
      <c r="CE57" s="1212"/>
      <c r="CH57" s="1212"/>
      <c r="CK57" s="1212"/>
      <c r="CN57" s="1212"/>
      <c r="CQ57" s="1212"/>
      <c r="CT57" s="1212"/>
      <c r="CW57" s="1212"/>
      <c r="CZ57" s="1212"/>
      <c r="DC57" s="1212"/>
      <c r="DF57" s="1212"/>
      <c r="DI57" s="1212"/>
      <c r="DL57" s="1212"/>
      <c r="DO57" s="1212"/>
      <c r="DR57" s="1212"/>
      <c r="DU57" s="1212"/>
      <c r="DX57" s="1212"/>
    </row>
    <row r="58" spans="1:128" ht="15" hidden="1" thickBot="1">
      <c r="A58" s="1129"/>
      <c r="B58" s="1311"/>
      <c r="C58" s="1147"/>
      <c r="D58" s="1211"/>
      <c r="F58" s="1129"/>
      <c r="G58" s="1212"/>
      <c r="I58" s="1129"/>
      <c r="J58" s="1212"/>
      <c r="K58" s="1212"/>
      <c r="L58" s="1129"/>
      <c r="M58" s="1212"/>
      <c r="N58" s="1212"/>
      <c r="O58" s="1129"/>
      <c r="P58" s="1212"/>
      <c r="Q58" s="1212"/>
      <c r="R58" s="1129"/>
      <c r="S58" s="1212"/>
      <c r="T58" s="1212"/>
      <c r="U58" s="1133"/>
      <c r="V58" s="1237"/>
      <c r="W58" s="1212"/>
      <c r="X58" s="1129"/>
      <c r="Y58" s="1212"/>
      <c r="Z58" s="1212"/>
      <c r="AA58" s="1129"/>
      <c r="AB58" s="1237"/>
      <c r="AC58" s="1212"/>
      <c r="AD58" s="1129"/>
      <c r="AE58" s="1237"/>
      <c r="AF58" s="1212"/>
      <c r="AG58" s="1129"/>
      <c r="AH58" s="1237"/>
      <c r="AI58" s="1212"/>
      <c r="AJ58" s="1129"/>
      <c r="AK58" s="1237"/>
      <c r="AL58" s="1212"/>
      <c r="AM58" s="1129"/>
      <c r="AN58" s="1237"/>
      <c r="AO58" s="1212"/>
      <c r="AP58" s="1129"/>
      <c r="AQ58" s="1237"/>
      <c r="AR58" s="1212"/>
      <c r="AS58" s="1129"/>
      <c r="AT58" s="1237"/>
      <c r="AU58" s="1212"/>
      <c r="AV58" s="1129"/>
      <c r="AW58" s="1212"/>
      <c r="AX58" s="1212"/>
      <c r="BA58" s="1212"/>
      <c r="BD58" s="1212"/>
      <c r="BV58" s="1212"/>
      <c r="BY58" s="1212"/>
      <c r="CB58" s="1212"/>
      <c r="CE58" s="1212"/>
      <c r="CH58" s="1212"/>
      <c r="CK58" s="1212"/>
      <c r="CN58" s="1212"/>
      <c r="CQ58" s="1212"/>
      <c r="CT58" s="1212"/>
      <c r="CW58" s="1212"/>
      <c r="CZ58" s="1212"/>
      <c r="DC58" s="1212"/>
      <c r="DF58" s="1212"/>
      <c r="DI58" s="1212"/>
      <c r="DL58" s="1212"/>
      <c r="DO58" s="1212"/>
      <c r="DR58" s="1212"/>
      <c r="DU58" s="1212"/>
      <c r="DX58" s="1212"/>
    </row>
    <row r="59" spans="1:128" ht="15" hidden="1" thickBot="1">
      <c r="A59" s="1129"/>
      <c r="B59" s="1311"/>
      <c r="C59" s="1147"/>
      <c r="D59" s="1211"/>
      <c r="E59" s="1212"/>
      <c r="F59" s="1129"/>
      <c r="G59" s="1212"/>
      <c r="H59" s="1212"/>
      <c r="I59" s="1129"/>
      <c r="J59" s="1212"/>
      <c r="K59" s="1212"/>
      <c r="L59" s="1129"/>
      <c r="M59" s="1212"/>
      <c r="N59" s="1212"/>
      <c r="O59" s="1129"/>
      <c r="P59" s="1212"/>
      <c r="Q59" s="1212"/>
      <c r="R59" s="1129"/>
      <c r="S59" s="1212"/>
      <c r="T59" s="1212"/>
      <c r="U59" s="1129"/>
      <c r="V59" s="1237"/>
      <c r="W59" s="1212"/>
      <c r="X59" s="1129"/>
      <c r="Y59" s="1212"/>
      <c r="Z59" s="1212"/>
      <c r="AA59" s="1129"/>
      <c r="AB59" s="1237"/>
      <c r="AC59" s="1212"/>
      <c r="AD59" s="1129"/>
      <c r="AE59" s="1237"/>
      <c r="AF59" s="1212"/>
      <c r="AG59" s="1129"/>
      <c r="AH59" s="1237"/>
      <c r="AI59" s="1212"/>
      <c r="AJ59" s="1129"/>
      <c r="AK59" s="1237"/>
      <c r="AL59" s="1212"/>
      <c r="AM59" s="1129"/>
      <c r="AN59" s="1237"/>
      <c r="AO59" s="1212"/>
      <c r="AP59" s="1129"/>
      <c r="AQ59" s="1237"/>
      <c r="AR59" s="1212"/>
      <c r="AS59" s="1129"/>
      <c r="AT59" s="1237"/>
      <c r="AU59" s="1212"/>
      <c r="AV59" s="1129"/>
      <c r="AW59" s="1212"/>
      <c r="AX59" s="1212"/>
      <c r="BA59" s="1212"/>
      <c r="BD59" s="1212"/>
      <c r="BV59" s="1212"/>
      <c r="BY59" s="1212"/>
      <c r="CB59" s="1212"/>
      <c r="CE59" s="1212"/>
      <c r="CH59" s="1212"/>
      <c r="CK59" s="1212"/>
      <c r="CN59" s="1212"/>
      <c r="CQ59" s="1212"/>
      <c r="CT59" s="1212"/>
      <c r="CW59" s="1212"/>
      <c r="CZ59" s="1212"/>
      <c r="DC59" s="1212"/>
      <c r="DF59" s="1212"/>
      <c r="DI59" s="1212"/>
      <c r="DL59" s="1212"/>
      <c r="DO59" s="1212"/>
      <c r="DR59" s="1212"/>
      <c r="DU59" s="1212"/>
      <c r="DX59" s="1212"/>
    </row>
    <row r="60" spans="1:128" ht="15" hidden="1" thickBot="1">
      <c r="A60" s="1129"/>
      <c r="B60" s="1311"/>
      <c r="C60" s="1147"/>
      <c r="D60" s="1211"/>
      <c r="E60" s="1212"/>
      <c r="F60" s="1129"/>
      <c r="G60" s="1212"/>
      <c r="H60" s="1212"/>
      <c r="I60" s="1129"/>
      <c r="J60" s="1212"/>
      <c r="K60" s="1212"/>
      <c r="L60" s="1129"/>
      <c r="M60" s="1212"/>
      <c r="N60" s="1212"/>
      <c r="O60" s="1129"/>
      <c r="P60" s="1212"/>
      <c r="Q60" s="1212"/>
      <c r="R60" s="1129"/>
      <c r="S60" s="1212"/>
      <c r="T60" s="1212"/>
      <c r="U60" s="1129"/>
      <c r="V60" s="1237"/>
      <c r="W60" s="1212"/>
      <c r="X60" s="1129"/>
      <c r="Y60" s="1212"/>
      <c r="Z60" s="1212"/>
      <c r="AA60" s="1129"/>
      <c r="AB60" s="1237"/>
      <c r="AC60" s="1212"/>
      <c r="AD60" s="1129"/>
      <c r="AE60" s="1237"/>
      <c r="AF60" s="1212"/>
      <c r="AG60" s="1129"/>
      <c r="AH60" s="1237"/>
      <c r="AI60" s="1212"/>
      <c r="AJ60" s="1129"/>
      <c r="AK60" s="1237"/>
      <c r="AL60" s="1212"/>
      <c r="AM60" s="1129"/>
      <c r="AN60" s="1237"/>
      <c r="AO60" s="1212"/>
      <c r="AP60" s="1129"/>
      <c r="AQ60" s="1237"/>
      <c r="AR60" s="1212"/>
      <c r="AS60" s="1129"/>
      <c r="AT60" s="1237"/>
      <c r="AU60" s="1212"/>
      <c r="AV60" s="1129"/>
      <c r="AW60" s="1212"/>
      <c r="AX60" s="1212"/>
      <c r="BA60" s="1212"/>
      <c r="BD60" s="1212"/>
      <c r="BV60" s="1212"/>
      <c r="BY60" s="1212"/>
      <c r="CB60" s="1212"/>
      <c r="CE60" s="1212"/>
      <c r="CH60" s="1212"/>
      <c r="CK60" s="1212"/>
      <c r="CN60" s="1212"/>
      <c r="CQ60" s="1212"/>
      <c r="CT60" s="1212"/>
      <c r="CW60" s="1212"/>
      <c r="CZ60" s="1212"/>
      <c r="DC60" s="1212"/>
      <c r="DF60" s="1212"/>
      <c r="DI60" s="1212"/>
      <c r="DL60" s="1212"/>
      <c r="DO60" s="1212"/>
      <c r="DR60" s="1212"/>
      <c r="DU60" s="1212"/>
      <c r="DX60" s="1212"/>
    </row>
    <row r="61" spans="1:128" s="1300" customFormat="1" ht="15" thickTop="1">
      <c r="A61" s="1299"/>
      <c r="B61" s="1304" t="s">
        <v>338</v>
      </c>
      <c r="C61" s="1173"/>
      <c r="D61" s="1202"/>
      <c r="E61" s="1203"/>
      <c r="F61" s="1174"/>
      <c r="G61" s="1216"/>
      <c r="H61" s="1203"/>
      <c r="I61" s="1174"/>
      <c r="J61" s="1216"/>
      <c r="K61" s="1203"/>
      <c r="L61" s="1174"/>
      <c r="M61" s="1216"/>
      <c r="N61" s="1203"/>
      <c r="O61" s="1174"/>
      <c r="P61" s="1216"/>
      <c r="Q61" s="1227"/>
      <c r="R61" s="1174"/>
      <c r="S61" s="1216"/>
      <c r="T61" s="1216"/>
      <c r="U61" s="1174"/>
      <c r="V61" s="1232"/>
      <c r="W61" s="1233"/>
      <c r="X61" s="1174"/>
      <c r="Y61" s="1216"/>
      <c r="Z61" s="1227"/>
      <c r="AA61" s="1174"/>
      <c r="AB61" s="1232"/>
      <c r="AC61" s="1227"/>
      <c r="AD61" s="1174"/>
      <c r="AE61" s="1232"/>
      <c r="AF61" s="1216"/>
      <c r="AG61" s="1174"/>
      <c r="AH61" s="1232"/>
      <c r="AI61" s="1216"/>
      <c r="AJ61" s="1174"/>
      <c r="AK61" s="1232"/>
      <c r="AL61" s="1216"/>
      <c r="AM61" s="1174"/>
      <c r="AN61" s="1232"/>
      <c r="AO61" s="1216"/>
      <c r="AP61" s="1174"/>
      <c r="AQ61" s="1232"/>
      <c r="AR61" s="1216"/>
      <c r="AS61" s="1174"/>
      <c r="AT61" s="1232"/>
      <c r="AU61" s="1216"/>
      <c r="AV61" s="1174"/>
      <c r="AW61" s="1216"/>
      <c r="AX61" s="1216"/>
      <c r="AY61" s="1174"/>
      <c r="AZ61" s="1232"/>
      <c r="BA61" s="1216"/>
      <c r="BB61" s="1174"/>
      <c r="BC61" s="1232"/>
      <c r="BD61" s="1216"/>
      <c r="BE61" s="1174"/>
      <c r="BF61" s="1216"/>
      <c r="BG61" s="1203"/>
      <c r="BH61" s="1174"/>
      <c r="BI61" s="1232"/>
      <c r="BJ61" s="1203"/>
      <c r="BK61" s="1174"/>
      <c r="BL61" s="1232"/>
      <c r="BM61" s="1203"/>
      <c r="BN61" s="1174"/>
      <c r="BO61" s="1232"/>
      <c r="BP61" s="1203"/>
      <c r="BQ61" s="1174"/>
      <c r="BR61" s="1216"/>
      <c r="BS61" s="1255"/>
      <c r="BT61" s="1174"/>
      <c r="BU61" s="1232"/>
      <c r="BV61" s="1216"/>
      <c r="BW61" s="1174"/>
      <c r="BX61" s="1232"/>
      <c r="BY61" s="1216"/>
      <c r="BZ61" s="1174"/>
      <c r="CA61" s="1232"/>
      <c r="CB61" s="1216"/>
      <c r="CC61" s="1174"/>
      <c r="CD61" s="1232"/>
      <c r="CE61" s="1216"/>
      <c r="CF61" s="1174"/>
      <c r="CG61" s="1232"/>
      <c r="CH61" s="1216"/>
      <c r="CI61" s="1174"/>
      <c r="CJ61" s="1232"/>
      <c r="CK61" s="1216"/>
      <c r="CL61" s="1174"/>
      <c r="CM61" s="1232"/>
      <c r="CN61" s="1216"/>
      <c r="CO61" s="1174"/>
      <c r="CP61" s="1232"/>
      <c r="CQ61" s="1216"/>
      <c r="CR61" s="1174"/>
      <c r="CS61" s="1232"/>
      <c r="CT61" s="1216"/>
      <c r="CU61" s="1174"/>
      <c r="CV61" s="1232"/>
      <c r="CW61" s="1216"/>
      <c r="CX61" s="1174"/>
      <c r="CY61" s="1232"/>
      <c r="CZ61" s="1216"/>
      <c r="DA61" s="1174"/>
      <c r="DB61" s="1232"/>
      <c r="DC61" s="1216"/>
      <c r="DD61" s="1174"/>
      <c r="DE61" s="1216"/>
      <c r="DF61" s="1216"/>
      <c r="DG61" s="1174"/>
      <c r="DH61" s="1216"/>
      <c r="DI61" s="1216"/>
      <c r="DJ61" s="1174"/>
      <c r="DK61" s="1216"/>
      <c r="DL61" s="1216"/>
      <c r="DM61" s="1174"/>
      <c r="DN61" s="1216"/>
      <c r="DO61" s="1216"/>
      <c r="DP61" s="1174"/>
      <c r="DQ61" s="1216"/>
      <c r="DR61" s="1216"/>
      <c r="DS61" s="1174"/>
      <c r="DT61" s="1216"/>
      <c r="DU61" s="1216"/>
      <c r="DV61" s="1174"/>
      <c r="DW61" s="1216"/>
      <c r="DX61" s="1246"/>
    </row>
    <row r="62" spans="1:128">
      <c r="B62" s="1305" t="s">
        <v>973</v>
      </c>
      <c r="C62" s="1155"/>
      <c r="D62" s="1195"/>
      <c r="E62" s="1199"/>
      <c r="F62" s="1156"/>
      <c r="G62" s="1195"/>
      <c r="H62" s="1199"/>
      <c r="I62" s="1156"/>
      <c r="J62" s="1195"/>
      <c r="K62" s="1222"/>
      <c r="L62" s="1156"/>
      <c r="M62" s="1195"/>
      <c r="N62" s="1222"/>
      <c r="O62" s="1156"/>
      <c r="P62" s="1195"/>
      <c r="Q62" s="1222"/>
      <c r="R62" s="1156"/>
      <c r="S62" s="1195"/>
      <c r="T62" s="1222"/>
      <c r="U62" s="1156">
        <f>1098+350</f>
        <v>1448</v>
      </c>
      <c r="V62" s="1195">
        <v>6000</v>
      </c>
      <c r="W62" s="1222"/>
      <c r="X62" s="1156"/>
      <c r="Y62" s="1195"/>
      <c r="Z62" s="1222"/>
      <c r="AA62" s="1156"/>
      <c r="AB62" s="1195"/>
      <c r="AC62" s="1222"/>
      <c r="AD62" s="1156"/>
      <c r="AE62" s="1195"/>
      <c r="AF62" s="1222"/>
      <c r="AG62" s="1156"/>
      <c r="AH62" s="1195"/>
      <c r="AI62" s="1222"/>
      <c r="AJ62" s="1156"/>
      <c r="AK62" s="1195"/>
      <c r="AL62" s="1222"/>
      <c r="AM62" s="1156"/>
      <c r="AN62" s="1195"/>
      <c r="AO62" s="1222"/>
      <c r="AP62" s="1156"/>
      <c r="AQ62" s="1195"/>
      <c r="AR62" s="1222"/>
      <c r="AS62" s="1156"/>
      <c r="AT62" s="1195"/>
      <c r="AU62" s="1222"/>
      <c r="AV62" s="1156"/>
      <c r="AW62" s="1195"/>
      <c r="AX62" s="1222"/>
      <c r="AY62" s="1156"/>
      <c r="AZ62" s="1195"/>
      <c r="BA62" s="1222">
        <v>10</v>
      </c>
      <c r="BB62" s="1156"/>
      <c r="BC62" s="1195"/>
      <c r="BD62" s="1222">
        <v>10</v>
      </c>
      <c r="BE62" s="1183"/>
      <c r="BF62" s="1195"/>
      <c r="BG62" s="1222">
        <v>10</v>
      </c>
      <c r="BH62" s="1183"/>
      <c r="BI62" s="1195"/>
      <c r="BJ62" s="1222">
        <v>9</v>
      </c>
      <c r="BK62" s="1156"/>
      <c r="BL62" s="1195"/>
      <c r="BM62" s="1222">
        <v>10</v>
      </c>
      <c r="BN62" s="1156"/>
      <c r="BO62" s="1195"/>
      <c r="BP62" s="1222">
        <v>10</v>
      </c>
      <c r="BQ62" s="1156"/>
      <c r="BR62" s="1217"/>
      <c r="BS62" s="1222"/>
      <c r="BT62" s="1156"/>
      <c r="BU62" s="1195"/>
      <c r="BV62" s="1222"/>
      <c r="BW62" s="1156"/>
      <c r="BX62" s="1195"/>
      <c r="BY62" s="1222"/>
      <c r="BZ62" s="1156"/>
      <c r="CA62" s="1195"/>
      <c r="CB62" s="1222"/>
      <c r="CC62" s="1156"/>
      <c r="CD62" s="1195"/>
      <c r="CE62" s="1222"/>
      <c r="CF62" s="1156"/>
      <c r="CG62" s="1195"/>
      <c r="CH62" s="1222"/>
      <c r="CI62" s="1156"/>
      <c r="CJ62" s="1195"/>
      <c r="CK62" s="1222"/>
      <c r="CL62" s="1156"/>
      <c r="CM62" s="1195"/>
      <c r="CN62" s="1222"/>
      <c r="CO62" s="1156"/>
      <c r="CP62" s="1195"/>
      <c r="CQ62" s="1222"/>
      <c r="CR62" s="1156"/>
      <c r="CS62" s="1195"/>
      <c r="CT62" s="1222"/>
      <c r="CU62" s="1156"/>
      <c r="CV62" s="1195"/>
      <c r="CW62" s="1222"/>
      <c r="CX62" s="1156"/>
      <c r="CY62" s="1195"/>
      <c r="CZ62" s="1222"/>
      <c r="DA62" s="1156"/>
      <c r="DB62" s="1195"/>
      <c r="DC62" s="1222"/>
      <c r="DD62" s="1156"/>
      <c r="DE62" s="1217"/>
      <c r="DF62" s="1222"/>
      <c r="DG62" s="1156"/>
      <c r="DH62" s="1217"/>
      <c r="DI62" s="1222"/>
      <c r="DJ62" s="1156"/>
      <c r="DK62" s="1217"/>
      <c r="DL62" s="1222"/>
      <c r="DM62" s="1156"/>
      <c r="DN62" s="1217"/>
      <c r="DO62" s="1222"/>
      <c r="DP62" s="1156"/>
      <c r="DQ62" s="1217"/>
      <c r="DR62" s="1222"/>
      <c r="DS62" s="1156"/>
      <c r="DT62" s="1217"/>
      <c r="DU62" s="1222"/>
      <c r="DV62" s="1156"/>
      <c r="DW62" s="1217"/>
      <c r="DX62" s="1244"/>
    </row>
    <row r="63" spans="1:128">
      <c r="B63" s="1305" t="s">
        <v>972</v>
      </c>
      <c r="C63" s="1184"/>
      <c r="D63" s="1195"/>
      <c r="E63" s="1199"/>
      <c r="F63" s="1184"/>
      <c r="G63" s="1195"/>
      <c r="H63" s="1199"/>
      <c r="I63" s="1184"/>
      <c r="J63" s="1195"/>
      <c r="K63" s="1222"/>
      <c r="L63" s="1183"/>
      <c r="M63" s="1195"/>
      <c r="N63" s="1222"/>
      <c r="O63" s="1183"/>
      <c r="P63" s="1195"/>
      <c r="Q63" s="1222"/>
      <c r="R63" s="1183"/>
      <c r="S63" s="1195"/>
      <c r="T63" s="1222"/>
      <c r="U63" s="1183"/>
      <c r="V63" s="1195"/>
      <c r="W63" s="1222"/>
      <c r="X63" s="1183"/>
      <c r="Y63" s="1195"/>
      <c r="Z63" s="1222"/>
      <c r="AA63" s="1183"/>
      <c r="AB63" s="1195"/>
      <c r="AC63" s="1222"/>
      <c r="AD63" s="1183"/>
      <c r="AE63" s="1195"/>
      <c r="AF63" s="1222"/>
      <c r="AG63" s="1183"/>
      <c r="AH63" s="1195"/>
      <c r="AI63" s="1222"/>
      <c r="AJ63" s="1183"/>
      <c r="AK63" s="1195"/>
      <c r="AL63" s="1222"/>
      <c r="AM63" s="1156"/>
      <c r="AN63" s="1195"/>
      <c r="AO63" s="1222"/>
      <c r="AP63" s="1156"/>
      <c r="AQ63" s="1195"/>
      <c r="AR63" s="1222"/>
      <c r="AS63" s="1183"/>
      <c r="AT63" s="1195"/>
      <c r="AU63" s="1222"/>
      <c r="AV63" s="1183"/>
      <c r="AW63" s="1195"/>
      <c r="AX63" s="1222"/>
      <c r="AY63" s="1183"/>
      <c r="AZ63" s="1195"/>
      <c r="BA63" s="1222">
        <f>79-BA18</f>
        <v>56</v>
      </c>
      <c r="BB63" s="1183"/>
      <c r="BC63" s="1195"/>
      <c r="BD63" s="1222">
        <f>79-BD18</f>
        <v>56</v>
      </c>
      <c r="BE63" s="1183"/>
      <c r="BF63" s="1195"/>
      <c r="BG63" s="1222">
        <f>79-BG18</f>
        <v>56</v>
      </c>
      <c r="BH63" s="1183"/>
      <c r="BI63" s="1195"/>
      <c r="BJ63" s="1222">
        <f>61-BJ18</f>
        <v>38</v>
      </c>
      <c r="BK63" s="1183"/>
      <c r="BL63" s="1195"/>
      <c r="BM63" s="1222">
        <f>98-BM18</f>
        <v>82.666666666666671</v>
      </c>
      <c r="BN63" s="1183"/>
      <c r="BO63" s="1195"/>
      <c r="BP63" s="1222">
        <f>66-BP18</f>
        <v>44</v>
      </c>
      <c r="BQ63" s="1156"/>
      <c r="BR63" s="1217"/>
      <c r="BS63" s="1222"/>
      <c r="BT63" s="1183"/>
      <c r="BU63" s="1195"/>
      <c r="BV63" s="1222"/>
      <c r="BW63" s="1183"/>
      <c r="BX63" s="1195"/>
      <c r="BY63" s="1222"/>
      <c r="BZ63" s="1183"/>
      <c r="CA63" s="1195"/>
      <c r="CB63" s="1222"/>
      <c r="CC63" s="1183"/>
      <c r="CD63" s="1195"/>
      <c r="CE63" s="1222"/>
      <c r="CF63" s="1183"/>
      <c r="CG63" s="1195"/>
      <c r="CH63" s="1222"/>
      <c r="CI63" s="1183"/>
      <c r="CJ63" s="1195"/>
      <c r="CK63" s="1222"/>
      <c r="CL63" s="1183"/>
      <c r="CM63" s="1195"/>
      <c r="CN63" s="1222"/>
      <c r="CO63" s="1183"/>
      <c r="CP63" s="1195"/>
      <c r="CQ63" s="1222"/>
      <c r="CR63" s="1183"/>
      <c r="CS63" s="1195"/>
      <c r="CT63" s="1222"/>
      <c r="CU63" s="1156"/>
      <c r="CV63" s="1195"/>
      <c r="CW63" s="1222"/>
      <c r="CX63" s="1183"/>
      <c r="CY63" s="1195"/>
      <c r="CZ63" s="1222"/>
      <c r="DA63" s="1183"/>
      <c r="DB63" s="1195"/>
      <c r="DC63" s="1222"/>
      <c r="DD63" s="1156"/>
      <c r="DE63" s="1217"/>
      <c r="DF63" s="1222"/>
      <c r="DG63" s="1156"/>
      <c r="DH63" s="1217"/>
      <c r="DI63" s="1222"/>
      <c r="DJ63" s="1156"/>
      <c r="DK63" s="1217"/>
      <c r="DL63" s="1222"/>
      <c r="DM63" s="1156"/>
      <c r="DN63" s="1217"/>
      <c r="DO63" s="1222"/>
      <c r="DP63" s="1156"/>
      <c r="DQ63" s="1217"/>
      <c r="DR63" s="1222"/>
      <c r="DS63" s="1156"/>
      <c r="DT63" s="1217"/>
      <c r="DU63" s="1222"/>
      <c r="DV63" s="1156"/>
      <c r="DW63" s="1217"/>
      <c r="DX63" s="1244"/>
    </row>
    <row r="64" spans="1:128">
      <c r="B64" s="1305" t="s">
        <v>164</v>
      </c>
      <c r="C64" s="1185"/>
      <c r="D64" s="1195"/>
      <c r="E64" s="1199"/>
      <c r="F64" s="1186"/>
      <c r="G64" s="1195"/>
      <c r="H64" s="1199"/>
      <c r="I64" s="1186"/>
      <c r="J64" s="1195"/>
      <c r="K64" s="1222"/>
      <c r="L64" s="1186"/>
      <c r="M64" s="1195"/>
      <c r="N64" s="1222"/>
      <c r="O64" s="1156"/>
      <c r="P64" s="1195"/>
      <c r="Q64" s="1222"/>
      <c r="R64" s="1156"/>
      <c r="S64" s="1195"/>
      <c r="T64" s="1222"/>
      <c r="U64" s="1156">
        <f>1938+426</f>
        <v>2364</v>
      </c>
      <c r="V64" s="1195">
        <v>1500</v>
      </c>
      <c r="W64" s="1222"/>
      <c r="X64" s="1156"/>
      <c r="Y64" s="1195"/>
      <c r="Z64" s="1222"/>
      <c r="AA64" s="1156"/>
      <c r="AB64" s="1195"/>
      <c r="AC64" s="1222"/>
      <c r="AD64" s="1156"/>
      <c r="AE64" s="1195"/>
      <c r="AF64" s="1222"/>
      <c r="AG64" s="1156"/>
      <c r="AH64" s="1195"/>
      <c r="AI64" s="1222"/>
      <c r="AJ64" s="1156"/>
      <c r="AK64" s="1195"/>
      <c r="AL64" s="1222"/>
      <c r="AM64" s="1156"/>
      <c r="AN64" s="1195"/>
      <c r="AO64" s="1222"/>
      <c r="AP64" s="1156"/>
      <c r="AQ64" s="1195"/>
      <c r="AR64" s="1222"/>
      <c r="AS64" s="1156"/>
      <c r="AT64" s="1195"/>
      <c r="AU64" s="1222"/>
      <c r="AV64" s="1156"/>
      <c r="AW64" s="1195"/>
      <c r="AX64" s="1222"/>
      <c r="AY64" s="1156"/>
      <c r="AZ64" s="1195"/>
      <c r="BA64" s="1222"/>
      <c r="BB64" s="1183"/>
      <c r="BC64" s="1195"/>
      <c r="BD64" s="1222"/>
      <c r="BE64" s="1156"/>
      <c r="BF64" s="1195"/>
      <c r="BG64" s="1222"/>
      <c r="BH64" s="1156"/>
      <c r="BI64" s="1195"/>
      <c r="BJ64" s="1222"/>
      <c r="BK64" s="1156"/>
      <c r="BL64" s="1195"/>
      <c r="BM64" s="1222"/>
      <c r="BN64" s="1156"/>
      <c r="BO64" s="1195"/>
      <c r="BP64" s="1222"/>
      <c r="BQ64" s="1156"/>
      <c r="BR64" s="1217"/>
      <c r="BS64" s="1222"/>
      <c r="BT64" s="1156"/>
      <c r="BU64" s="1195"/>
      <c r="BV64" s="1222"/>
      <c r="BW64" s="1156"/>
      <c r="BX64" s="1195"/>
      <c r="BY64" s="1222"/>
      <c r="BZ64" s="1156"/>
      <c r="CA64" s="1195"/>
      <c r="CB64" s="1222"/>
      <c r="CC64" s="1156"/>
      <c r="CD64" s="1195"/>
      <c r="CE64" s="1222"/>
      <c r="CF64" s="1156"/>
      <c r="CG64" s="1195"/>
      <c r="CH64" s="1222"/>
      <c r="CI64" s="1156"/>
      <c r="CJ64" s="1195"/>
      <c r="CK64" s="1222"/>
      <c r="CL64" s="1156"/>
      <c r="CM64" s="1195"/>
      <c r="CN64" s="1222"/>
      <c r="CO64" s="1156"/>
      <c r="CP64" s="1195"/>
      <c r="CQ64" s="1222"/>
      <c r="CR64" s="1156"/>
      <c r="CS64" s="1195"/>
      <c r="CT64" s="1222"/>
      <c r="CU64" s="1156"/>
      <c r="CV64" s="1195"/>
      <c r="CW64" s="1222"/>
      <c r="CX64" s="1156"/>
      <c r="CY64" s="1195"/>
      <c r="CZ64" s="1222"/>
      <c r="DA64" s="1156"/>
      <c r="DB64" s="1195"/>
      <c r="DC64" s="1222"/>
      <c r="DD64" s="1156"/>
      <c r="DE64" s="1217"/>
      <c r="DF64" s="1222"/>
      <c r="DG64" s="1156"/>
      <c r="DH64" s="1217"/>
      <c r="DI64" s="1222"/>
      <c r="DJ64" s="1156"/>
      <c r="DK64" s="1217"/>
      <c r="DL64" s="1222"/>
      <c r="DM64" s="1156"/>
      <c r="DN64" s="1217"/>
      <c r="DO64" s="1222"/>
      <c r="DP64" s="1156"/>
      <c r="DQ64" s="1217"/>
      <c r="DR64" s="1222"/>
      <c r="DS64" s="1156"/>
      <c r="DT64" s="1217"/>
      <c r="DU64" s="1222"/>
      <c r="DV64" s="1156"/>
      <c r="DW64" s="1217"/>
      <c r="DX64" s="1244"/>
    </row>
    <row r="65" spans="1:128">
      <c r="B65" s="1305" t="s">
        <v>165</v>
      </c>
      <c r="C65" s="1155"/>
      <c r="D65" s="1195"/>
      <c r="E65" s="1199"/>
      <c r="F65" s="1156"/>
      <c r="G65" s="1195"/>
      <c r="H65" s="1199"/>
      <c r="I65" s="1156"/>
      <c r="J65" s="1195"/>
      <c r="K65" s="1222"/>
      <c r="L65" s="1156"/>
      <c r="M65" s="1195"/>
      <c r="N65" s="1222"/>
      <c r="O65" s="1156"/>
      <c r="P65" s="1195"/>
      <c r="Q65" s="1222"/>
      <c r="R65" s="1156"/>
      <c r="S65" s="1195"/>
      <c r="T65" s="1222"/>
      <c r="U65" s="1156">
        <f>1208+4279</f>
        <v>5487</v>
      </c>
      <c r="V65" s="1195">
        <v>1000</v>
      </c>
      <c r="W65" s="1222"/>
      <c r="X65" s="1156"/>
      <c r="Y65" s="1195"/>
      <c r="Z65" s="1222"/>
      <c r="AA65" s="1156"/>
      <c r="AB65" s="1195"/>
      <c r="AC65" s="1222"/>
      <c r="AD65" s="1156"/>
      <c r="AE65" s="1195"/>
      <c r="AF65" s="1222"/>
      <c r="AG65" s="1156"/>
      <c r="AH65" s="1195"/>
      <c r="AI65" s="1222"/>
      <c r="AJ65" s="1156"/>
      <c r="AK65" s="1195"/>
      <c r="AL65" s="1222"/>
      <c r="AM65" s="1156"/>
      <c r="AN65" s="1195"/>
      <c r="AO65" s="1222"/>
      <c r="AP65" s="1156"/>
      <c r="AQ65" s="1195"/>
      <c r="AR65" s="1222"/>
      <c r="AS65" s="1156"/>
      <c r="AT65" s="1195"/>
      <c r="AU65" s="1222"/>
      <c r="AV65" s="1156"/>
      <c r="AW65" s="1195"/>
      <c r="AX65" s="1222"/>
      <c r="AY65" s="1156"/>
      <c r="AZ65" s="1195"/>
      <c r="BA65" s="1222"/>
      <c r="BB65" s="1156"/>
      <c r="BC65" s="1195"/>
      <c r="BD65" s="1222"/>
      <c r="BE65" s="1156"/>
      <c r="BF65" s="1195"/>
      <c r="BG65" s="1222"/>
      <c r="BH65" s="1156"/>
      <c r="BI65" s="1195"/>
      <c r="BJ65" s="1222"/>
      <c r="BK65" s="1156"/>
      <c r="BL65" s="1195"/>
      <c r="BM65" s="1222"/>
      <c r="BN65" s="1156"/>
      <c r="BO65" s="1195"/>
      <c r="BP65" s="1222"/>
      <c r="BQ65" s="1156"/>
      <c r="BR65" s="1217"/>
      <c r="BS65" s="1222"/>
      <c r="BT65" s="1156"/>
      <c r="BU65" s="1195"/>
      <c r="BV65" s="1222"/>
      <c r="BW65" s="1156"/>
      <c r="BX65" s="1195"/>
      <c r="BY65" s="1222"/>
      <c r="BZ65" s="1156"/>
      <c r="CA65" s="1195"/>
      <c r="CB65" s="1222"/>
      <c r="CC65" s="1156"/>
      <c r="CD65" s="1195"/>
      <c r="CE65" s="1222"/>
      <c r="CF65" s="1156"/>
      <c r="CG65" s="1195"/>
      <c r="CH65" s="1222"/>
      <c r="CI65" s="1156"/>
      <c r="CJ65" s="1195"/>
      <c r="CK65" s="1222"/>
      <c r="CL65" s="1156"/>
      <c r="CM65" s="1195"/>
      <c r="CN65" s="1222"/>
      <c r="CO65" s="1156"/>
      <c r="CP65" s="1195"/>
      <c r="CQ65" s="1222"/>
      <c r="CR65" s="1156"/>
      <c r="CS65" s="1195"/>
      <c r="CT65" s="1222"/>
      <c r="CU65" s="1156"/>
      <c r="CV65" s="1195"/>
      <c r="CW65" s="1222"/>
      <c r="CX65" s="1156"/>
      <c r="CY65" s="1195"/>
      <c r="CZ65" s="1222"/>
      <c r="DA65" s="1156"/>
      <c r="DB65" s="1195"/>
      <c r="DC65" s="1222"/>
      <c r="DD65" s="1156"/>
      <c r="DE65" s="1217"/>
      <c r="DF65" s="1222"/>
      <c r="DG65" s="1156"/>
      <c r="DH65" s="1217"/>
      <c r="DI65" s="1222"/>
      <c r="DJ65" s="1156"/>
      <c r="DK65" s="1217"/>
      <c r="DL65" s="1222"/>
      <c r="DM65" s="1156"/>
      <c r="DN65" s="1217"/>
      <c r="DO65" s="1222"/>
      <c r="DP65" s="1156"/>
      <c r="DQ65" s="1217"/>
      <c r="DR65" s="1222"/>
      <c r="DS65" s="1156"/>
      <c r="DT65" s="1217"/>
      <c r="DU65" s="1222"/>
      <c r="DV65" s="1156"/>
      <c r="DW65" s="1217"/>
      <c r="DX65" s="1244"/>
    </row>
    <row r="66" spans="1:128">
      <c r="B66" s="1305" t="s">
        <v>166</v>
      </c>
      <c r="C66" s="1155"/>
      <c r="D66" s="1195"/>
      <c r="E66" s="1199"/>
      <c r="F66" s="1156"/>
      <c r="G66" s="1195"/>
      <c r="H66" s="1199"/>
      <c r="I66" s="1156"/>
      <c r="J66" s="1195"/>
      <c r="K66" s="1222"/>
      <c r="L66" s="1156"/>
      <c r="M66" s="1195"/>
      <c r="N66" s="1222"/>
      <c r="O66" s="1156"/>
      <c r="P66" s="1195"/>
      <c r="Q66" s="1222"/>
      <c r="R66" s="1156"/>
      <c r="S66" s="1195"/>
      <c r="T66" s="1222"/>
      <c r="U66" s="1156">
        <f>411+12843</f>
        <v>13254</v>
      </c>
      <c r="V66" s="1195">
        <v>2000</v>
      </c>
      <c r="W66" s="1222"/>
      <c r="X66" s="1156"/>
      <c r="Y66" s="1195"/>
      <c r="Z66" s="1222"/>
      <c r="AA66" s="1156"/>
      <c r="AB66" s="1195"/>
      <c r="AC66" s="1222"/>
      <c r="AD66" s="1156"/>
      <c r="AE66" s="1195"/>
      <c r="AF66" s="1222"/>
      <c r="AG66" s="1156"/>
      <c r="AH66" s="1195"/>
      <c r="AI66" s="1222"/>
      <c r="AJ66" s="1156"/>
      <c r="AK66" s="1195"/>
      <c r="AL66" s="1222"/>
      <c r="AM66" s="1156"/>
      <c r="AN66" s="1195"/>
      <c r="AO66" s="1222"/>
      <c r="AP66" s="1156"/>
      <c r="AQ66" s="1195"/>
      <c r="AR66" s="1222"/>
      <c r="AS66" s="1156"/>
      <c r="AT66" s="1195"/>
      <c r="AU66" s="1222"/>
      <c r="AV66" s="1156"/>
      <c r="AW66" s="1195"/>
      <c r="AX66" s="1222"/>
      <c r="AY66" s="1156"/>
      <c r="AZ66" s="1195"/>
      <c r="BA66" s="1222"/>
      <c r="BB66" s="1156"/>
      <c r="BC66" s="1195"/>
      <c r="BD66" s="1222"/>
      <c r="BE66" s="1156"/>
      <c r="BF66" s="1195"/>
      <c r="BG66" s="1222"/>
      <c r="BH66" s="1156"/>
      <c r="BI66" s="1195"/>
      <c r="BJ66" s="1222"/>
      <c r="BK66" s="1156"/>
      <c r="BL66" s="1195"/>
      <c r="BM66" s="1222"/>
      <c r="BN66" s="1156"/>
      <c r="BO66" s="1195"/>
      <c r="BP66" s="1222"/>
      <c r="BQ66" s="1156"/>
      <c r="BR66" s="1217"/>
      <c r="BS66" s="1222"/>
      <c r="BT66" s="1156"/>
      <c r="BU66" s="1195"/>
      <c r="BV66" s="1222"/>
      <c r="BW66" s="1156"/>
      <c r="BX66" s="1195"/>
      <c r="BY66" s="1222"/>
      <c r="BZ66" s="1156"/>
      <c r="CA66" s="1195"/>
      <c r="CB66" s="1222"/>
      <c r="CC66" s="1156"/>
      <c r="CD66" s="1195"/>
      <c r="CE66" s="1222"/>
      <c r="CF66" s="1156"/>
      <c r="CG66" s="1195"/>
      <c r="CH66" s="1222"/>
      <c r="CI66" s="1156"/>
      <c r="CJ66" s="1195"/>
      <c r="CK66" s="1222"/>
      <c r="CL66" s="1156"/>
      <c r="CM66" s="1195"/>
      <c r="CN66" s="1222"/>
      <c r="CO66" s="1156"/>
      <c r="CP66" s="1195"/>
      <c r="CQ66" s="1222"/>
      <c r="CR66" s="1156"/>
      <c r="CS66" s="1195"/>
      <c r="CT66" s="1222"/>
      <c r="CU66" s="1156"/>
      <c r="CV66" s="1195"/>
      <c r="CW66" s="1222"/>
      <c r="CX66" s="1156"/>
      <c r="CY66" s="1195"/>
      <c r="CZ66" s="1222"/>
      <c r="DA66" s="1156"/>
      <c r="DB66" s="1195"/>
      <c r="DC66" s="1222"/>
      <c r="DD66" s="1156"/>
      <c r="DE66" s="1217"/>
      <c r="DF66" s="1222"/>
      <c r="DG66" s="1156"/>
      <c r="DH66" s="1217"/>
      <c r="DI66" s="1222"/>
      <c r="DJ66" s="1156"/>
      <c r="DK66" s="1217"/>
      <c r="DL66" s="1222"/>
      <c r="DM66" s="1156"/>
      <c r="DN66" s="1217"/>
      <c r="DO66" s="1222"/>
      <c r="DP66" s="1156"/>
      <c r="DQ66" s="1217"/>
      <c r="DR66" s="1222"/>
      <c r="DS66" s="1156"/>
      <c r="DT66" s="1217"/>
      <c r="DU66" s="1222"/>
      <c r="DV66" s="1156"/>
      <c r="DW66" s="1217"/>
      <c r="DX66" s="1244"/>
    </row>
    <row r="67" spans="1:128">
      <c r="B67" s="1305" t="s">
        <v>167</v>
      </c>
      <c r="C67" s="1155"/>
      <c r="D67" s="1195"/>
      <c r="E67" s="1199"/>
      <c r="F67" s="1156"/>
      <c r="G67" s="1195"/>
      <c r="H67" s="1199"/>
      <c r="I67" s="1156"/>
      <c r="J67" s="1195"/>
      <c r="K67" s="1222"/>
      <c r="L67" s="1156"/>
      <c r="M67" s="1195"/>
      <c r="N67" s="1222"/>
      <c r="O67" s="1156"/>
      <c r="P67" s="1195"/>
      <c r="Q67" s="1222"/>
      <c r="R67" s="1156"/>
      <c r="S67" s="1195"/>
      <c r="T67" s="1222"/>
      <c r="U67" s="1156"/>
      <c r="V67" s="1195">
        <v>3000</v>
      </c>
      <c r="W67" s="1222"/>
      <c r="X67" s="1156"/>
      <c r="Y67" s="1195"/>
      <c r="Z67" s="1222"/>
      <c r="AA67" s="1156"/>
      <c r="AB67" s="1195"/>
      <c r="AC67" s="1222"/>
      <c r="AD67" s="1156"/>
      <c r="AE67" s="1195"/>
      <c r="AF67" s="1222"/>
      <c r="AG67" s="1156"/>
      <c r="AH67" s="1195"/>
      <c r="AI67" s="1222"/>
      <c r="AJ67" s="1156"/>
      <c r="AK67" s="1195"/>
      <c r="AL67" s="1222"/>
      <c r="AM67" s="1156"/>
      <c r="AN67" s="1195"/>
      <c r="AO67" s="1222"/>
      <c r="AP67" s="1156"/>
      <c r="AQ67" s="1195"/>
      <c r="AR67" s="1222"/>
      <c r="AS67" s="1156"/>
      <c r="AT67" s="1195"/>
      <c r="AU67" s="1222"/>
      <c r="AV67" s="1156"/>
      <c r="AW67" s="1195"/>
      <c r="AX67" s="1222"/>
      <c r="AY67" s="1156"/>
      <c r="AZ67" s="1195"/>
      <c r="BA67" s="1222"/>
      <c r="BB67" s="1156"/>
      <c r="BC67" s="1195"/>
      <c r="BD67" s="1222"/>
      <c r="BE67" s="1156"/>
      <c r="BF67" s="1195"/>
      <c r="BG67" s="1222"/>
      <c r="BH67" s="1156"/>
      <c r="BI67" s="1195"/>
      <c r="BJ67" s="1222"/>
      <c r="BK67" s="1156"/>
      <c r="BL67" s="1195"/>
      <c r="BM67" s="1222"/>
      <c r="BN67" s="1156"/>
      <c r="BO67" s="1195"/>
      <c r="BP67" s="1222"/>
      <c r="BQ67" s="1156"/>
      <c r="BR67" s="1217"/>
      <c r="BS67" s="1222"/>
      <c r="BT67" s="1156"/>
      <c r="BU67" s="1195"/>
      <c r="BV67" s="1222"/>
      <c r="BW67" s="1156"/>
      <c r="BX67" s="1195"/>
      <c r="BY67" s="1222"/>
      <c r="BZ67" s="1156"/>
      <c r="CA67" s="1195"/>
      <c r="CB67" s="1222"/>
      <c r="CC67" s="1156"/>
      <c r="CD67" s="1195"/>
      <c r="CE67" s="1222"/>
      <c r="CF67" s="1156"/>
      <c r="CG67" s="1195"/>
      <c r="CH67" s="1222"/>
      <c r="CI67" s="1156"/>
      <c r="CJ67" s="1195"/>
      <c r="CK67" s="1222"/>
      <c r="CL67" s="1156"/>
      <c r="CM67" s="1195"/>
      <c r="CN67" s="1222"/>
      <c r="CO67" s="1156"/>
      <c r="CP67" s="1195"/>
      <c r="CQ67" s="1222"/>
      <c r="CR67" s="1156"/>
      <c r="CS67" s="1195"/>
      <c r="CT67" s="1222"/>
      <c r="CU67" s="1156"/>
      <c r="CV67" s="1195"/>
      <c r="CW67" s="1222"/>
      <c r="CX67" s="1156"/>
      <c r="CY67" s="1195"/>
      <c r="CZ67" s="1222"/>
      <c r="DA67" s="1156"/>
      <c r="DB67" s="1195"/>
      <c r="DC67" s="1222"/>
      <c r="DD67" s="1156"/>
      <c r="DE67" s="1217"/>
      <c r="DF67" s="1222"/>
      <c r="DG67" s="1156"/>
      <c r="DH67" s="1217"/>
      <c r="DI67" s="1222"/>
      <c r="DJ67" s="1156"/>
      <c r="DK67" s="1217"/>
      <c r="DL67" s="1222"/>
      <c r="DM67" s="1156"/>
      <c r="DN67" s="1217"/>
      <c r="DO67" s="1222"/>
      <c r="DP67" s="1156"/>
      <c r="DQ67" s="1217"/>
      <c r="DR67" s="1222"/>
      <c r="DS67" s="1156"/>
      <c r="DT67" s="1217"/>
      <c r="DU67" s="1222"/>
      <c r="DV67" s="1156"/>
      <c r="DW67" s="1217"/>
      <c r="DX67" s="1244"/>
    </row>
    <row r="68" spans="1:128">
      <c r="B68" s="1305" t="s">
        <v>168</v>
      </c>
      <c r="C68" s="1155"/>
      <c r="D68" s="1195"/>
      <c r="E68" s="1199"/>
      <c r="F68" s="1156"/>
      <c r="G68" s="1195"/>
      <c r="H68" s="1199"/>
      <c r="I68" s="1156"/>
      <c r="J68" s="1195"/>
      <c r="K68" s="1222"/>
      <c r="L68" s="1156"/>
      <c r="M68" s="1195"/>
      <c r="N68" s="1222"/>
      <c r="O68" s="1156"/>
      <c r="P68" s="1195"/>
      <c r="Q68" s="1222"/>
      <c r="R68" s="1156"/>
      <c r="S68" s="1195"/>
      <c r="T68" s="1222"/>
      <c r="U68" s="1156">
        <v>6521</v>
      </c>
      <c r="V68" s="1195">
        <v>0</v>
      </c>
      <c r="W68" s="1222"/>
      <c r="X68" s="1156"/>
      <c r="Y68" s="1195"/>
      <c r="Z68" s="1222"/>
      <c r="AA68" s="1156"/>
      <c r="AB68" s="1195"/>
      <c r="AC68" s="1222"/>
      <c r="AD68" s="1156"/>
      <c r="AE68" s="1195"/>
      <c r="AF68" s="1222"/>
      <c r="AG68" s="1156"/>
      <c r="AH68" s="1195"/>
      <c r="AI68" s="1222"/>
      <c r="AJ68" s="1156"/>
      <c r="AK68" s="1195"/>
      <c r="AL68" s="1222"/>
      <c r="AM68" s="1156"/>
      <c r="AN68" s="1195"/>
      <c r="AO68" s="1222"/>
      <c r="AP68" s="1156"/>
      <c r="AQ68" s="1195"/>
      <c r="AR68" s="1222"/>
      <c r="AS68" s="1156"/>
      <c r="AT68" s="1195"/>
      <c r="AU68" s="1222"/>
      <c r="AV68" s="1156"/>
      <c r="AW68" s="1195"/>
      <c r="AX68" s="1222"/>
      <c r="AY68" s="1156"/>
      <c r="AZ68" s="1195"/>
      <c r="BA68" s="1222"/>
      <c r="BB68" s="1156"/>
      <c r="BC68" s="1195"/>
      <c r="BD68" s="1222"/>
      <c r="BE68" s="1156"/>
      <c r="BF68" s="1195"/>
      <c r="BG68" s="1222"/>
      <c r="BH68" s="1156"/>
      <c r="BI68" s="1195"/>
      <c r="BJ68" s="1222"/>
      <c r="BK68" s="1156"/>
      <c r="BL68" s="1195"/>
      <c r="BM68" s="1222"/>
      <c r="BN68" s="1156"/>
      <c r="BO68" s="1195"/>
      <c r="BP68" s="1222"/>
      <c r="BQ68" s="1156"/>
      <c r="BR68" s="1217"/>
      <c r="BS68" s="1222"/>
      <c r="BT68" s="1156"/>
      <c r="BU68" s="1195"/>
      <c r="BV68" s="1222"/>
      <c r="BW68" s="1156"/>
      <c r="BX68" s="1195"/>
      <c r="BY68" s="1222"/>
      <c r="BZ68" s="1156"/>
      <c r="CA68" s="1195"/>
      <c r="CB68" s="1222"/>
      <c r="CC68" s="1156"/>
      <c r="CD68" s="1195"/>
      <c r="CE68" s="1222"/>
      <c r="CF68" s="1156"/>
      <c r="CG68" s="1195"/>
      <c r="CH68" s="1222"/>
      <c r="CI68" s="1156"/>
      <c r="CJ68" s="1195"/>
      <c r="CK68" s="1222"/>
      <c r="CL68" s="1156"/>
      <c r="CM68" s="1195"/>
      <c r="CN68" s="1222"/>
      <c r="CO68" s="1156"/>
      <c r="CP68" s="1195"/>
      <c r="CQ68" s="1222"/>
      <c r="CR68" s="1156"/>
      <c r="CS68" s="1195"/>
      <c r="CT68" s="1222"/>
      <c r="CU68" s="1156"/>
      <c r="CV68" s="1195"/>
      <c r="CW68" s="1222"/>
      <c r="CX68" s="1156"/>
      <c r="CY68" s="1195"/>
      <c r="CZ68" s="1222"/>
      <c r="DA68" s="1156"/>
      <c r="DB68" s="1195"/>
      <c r="DC68" s="1222"/>
      <c r="DD68" s="1156"/>
      <c r="DE68" s="1217"/>
      <c r="DF68" s="1222"/>
      <c r="DG68" s="1156"/>
      <c r="DH68" s="1217"/>
      <c r="DI68" s="1222"/>
      <c r="DJ68" s="1156"/>
      <c r="DK68" s="1217"/>
      <c r="DL68" s="1222"/>
      <c r="DM68" s="1156"/>
      <c r="DN68" s="1217"/>
      <c r="DO68" s="1222"/>
      <c r="DP68" s="1156"/>
      <c r="DQ68" s="1217"/>
      <c r="DR68" s="1222"/>
      <c r="DS68" s="1156"/>
      <c r="DT68" s="1217"/>
      <c r="DU68" s="1222"/>
      <c r="DV68" s="1156"/>
      <c r="DW68" s="1217"/>
      <c r="DX68" s="1244"/>
    </row>
    <row r="69" spans="1:128">
      <c r="B69" s="1305" t="s">
        <v>169</v>
      </c>
      <c r="C69" s="1155"/>
      <c r="D69" s="1195"/>
      <c r="E69" s="1199"/>
      <c r="F69" s="1156"/>
      <c r="G69" s="1195"/>
      <c r="H69" s="1199"/>
      <c r="I69" s="1156"/>
      <c r="J69" s="1195"/>
      <c r="K69" s="1222"/>
      <c r="L69" s="1156"/>
      <c r="M69" s="1195"/>
      <c r="N69" s="1222"/>
      <c r="O69" s="1156"/>
      <c r="P69" s="1195"/>
      <c r="Q69" s="1222"/>
      <c r="R69" s="1156"/>
      <c r="S69" s="1195"/>
      <c r="T69" s="1222"/>
      <c r="U69" s="1156">
        <v>135</v>
      </c>
      <c r="V69" s="1195">
        <v>2300</v>
      </c>
      <c r="W69" s="1222"/>
      <c r="X69" s="1156"/>
      <c r="Y69" s="1195"/>
      <c r="Z69" s="1222"/>
      <c r="AA69" s="1156"/>
      <c r="AB69" s="1195"/>
      <c r="AC69" s="1222"/>
      <c r="AD69" s="1156"/>
      <c r="AE69" s="1195"/>
      <c r="AF69" s="1222"/>
      <c r="AG69" s="1156"/>
      <c r="AH69" s="1195"/>
      <c r="AI69" s="1222"/>
      <c r="AJ69" s="1156"/>
      <c r="AK69" s="1195"/>
      <c r="AL69" s="1222"/>
      <c r="AM69" s="1156"/>
      <c r="AN69" s="1195"/>
      <c r="AO69" s="1222"/>
      <c r="AP69" s="1156"/>
      <c r="AQ69" s="1195"/>
      <c r="AR69" s="1222"/>
      <c r="AS69" s="1156"/>
      <c r="AT69" s="1195"/>
      <c r="AU69" s="1222"/>
      <c r="AV69" s="1156"/>
      <c r="AW69" s="1195"/>
      <c r="AX69" s="1222"/>
      <c r="AY69" s="1156"/>
      <c r="AZ69" s="1195"/>
      <c r="BA69" s="1222">
        <f>100-BA53</f>
        <v>80.865671641791039</v>
      </c>
      <c r="BB69" s="1156"/>
      <c r="BC69" s="1195"/>
      <c r="BD69" s="1222">
        <f>100-BD53</f>
        <v>100</v>
      </c>
      <c r="BE69" s="1156"/>
      <c r="BF69" s="1195"/>
      <c r="BG69" s="1222">
        <f>100-BG53</f>
        <v>80.865671641791039</v>
      </c>
      <c r="BH69" s="1156"/>
      <c r="BI69" s="1195"/>
      <c r="BJ69" s="1222">
        <f>BD69</f>
        <v>100</v>
      </c>
      <c r="BK69" s="1156"/>
      <c r="BL69" s="1195"/>
      <c r="BM69" s="1222">
        <f>BG69</f>
        <v>80.865671641791039</v>
      </c>
      <c r="BN69" s="1156"/>
      <c r="BO69" s="1195"/>
      <c r="BP69" s="1222">
        <f>BJ69</f>
        <v>100</v>
      </c>
      <c r="BQ69" s="1156"/>
      <c r="BR69" s="1217"/>
      <c r="BS69" s="1222"/>
      <c r="BT69" s="1156"/>
      <c r="BU69" s="1195"/>
      <c r="BV69" s="1222"/>
      <c r="BW69" s="1156"/>
      <c r="BX69" s="1195"/>
      <c r="BY69" s="1222"/>
      <c r="BZ69" s="1156"/>
      <c r="CA69" s="1195"/>
      <c r="CB69" s="1222"/>
      <c r="CC69" s="1156"/>
      <c r="CD69" s="1195"/>
      <c r="CE69" s="1222"/>
      <c r="CF69" s="1156"/>
      <c r="CG69" s="1195"/>
      <c r="CH69" s="1222"/>
      <c r="CI69" s="1156"/>
      <c r="CJ69" s="1195"/>
      <c r="CK69" s="1222"/>
      <c r="CL69" s="1156"/>
      <c r="CM69" s="1195"/>
      <c r="CN69" s="1222"/>
      <c r="CO69" s="1156"/>
      <c r="CP69" s="1195"/>
      <c r="CQ69" s="1222"/>
      <c r="CR69" s="1156"/>
      <c r="CS69" s="1195"/>
      <c r="CT69" s="1222"/>
      <c r="CU69" s="1156"/>
      <c r="CV69" s="1195"/>
      <c r="CW69" s="1222"/>
      <c r="CX69" s="1156"/>
      <c r="CY69" s="1195"/>
      <c r="CZ69" s="1222"/>
      <c r="DA69" s="1156"/>
      <c r="DB69" s="1195"/>
      <c r="DC69" s="1222"/>
      <c r="DD69" s="1156"/>
      <c r="DE69" s="1217"/>
      <c r="DF69" s="1222"/>
      <c r="DG69" s="1156"/>
      <c r="DH69" s="1217"/>
      <c r="DI69" s="1222"/>
      <c r="DJ69" s="1156"/>
      <c r="DK69" s="1217"/>
      <c r="DL69" s="1222"/>
      <c r="DM69" s="1156"/>
      <c r="DN69" s="1217"/>
      <c r="DO69" s="1222"/>
      <c r="DP69" s="1156"/>
      <c r="DQ69" s="1217"/>
      <c r="DR69" s="1222"/>
      <c r="DS69" s="1156"/>
      <c r="DT69" s="1217"/>
      <c r="DU69" s="1222"/>
      <c r="DV69" s="1156"/>
      <c r="DW69" s="1217"/>
      <c r="DX69" s="1244"/>
    </row>
    <row r="70" spans="1:128">
      <c r="B70" s="1305" t="s">
        <v>170</v>
      </c>
      <c r="C70" s="1155"/>
      <c r="D70" s="1195"/>
      <c r="E70" s="1199"/>
      <c r="F70" s="1156"/>
      <c r="G70" s="1195"/>
      <c r="H70" s="1199"/>
      <c r="I70" s="1156"/>
      <c r="J70" s="1195"/>
      <c r="K70" s="1222"/>
      <c r="L70" s="1156"/>
      <c r="M70" s="1195"/>
      <c r="N70" s="1222"/>
      <c r="O70" s="1156"/>
      <c r="P70" s="1195"/>
      <c r="Q70" s="1222"/>
      <c r="R70" s="1156"/>
      <c r="S70" s="1195"/>
      <c r="T70" s="1222"/>
      <c r="U70" s="1156">
        <v>12140</v>
      </c>
      <c r="V70" s="1195">
        <v>5000</v>
      </c>
      <c r="W70" s="1222"/>
      <c r="X70" s="1156"/>
      <c r="Y70" s="1195"/>
      <c r="Z70" s="1222"/>
      <c r="AA70" s="1156"/>
      <c r="AB70" s="1195"/>
      <c r="AC70" s="1222"/>
      <c r="AD70" s="1156"/>
      <c r="AE70" s="1195"/>
      <c r="AF70" s="1222"/>
      <c r="AG70" s="1156"/>
      <c r="AH70" s="1195"/>
      <c r="AI70" s="1222"/>
      <c r="AJ70" s="1156"/>
      <c r="AK70" s="1195"/>
      <c r="AL70" s="1222"/>
      <c r="AM70" s="1156"/>
      <c r="AN70" s="1195"/>
      <c r="AO70" s="1222"/>
      <c r="AP70" s="1156"/>
      <c r="AQ70" s="1195"/>
      <c r="AR70" s="1222"/>
      <c r="AS70" s="1156"/>
      <c r="AT70" s="1195"/>
      <c r="AU70" s="1222"/>
      <c r="AV70" s="1156"/>
      <c r="AW70" s="1195"/>
      <c r="AX70" s="1222"/>
      <c r="AY70" s="1156"/>
      <c r="AZ70" s="1195"/>
      <c r="BA70" s="1222"/>
      <c r="BB70" s="1156"/>
      <c r="BC70" s="1195"/>
      <c r="BD70" s="1222"/>
      <c r="BE70" s="1156"/>
      <c r="BF70" s="1195"/>
      <c r="BG70" s="1222"/>
      <c r="BH70" s="1156"/>
      <c r="BI70" s="1195"/>
      <c r="BJ70" s="1222"/>
      <c r="BK70" s="1156"/>
      <c r="BL70" s="1195"/>
      <c r="BM70" s="1222"/>
      <c r="BN70" s="1156"/>
      <c r="BO70" s="1195"/>
      <c r="BP70" s="1222"/>
      <c r="BQ70" s="1156"/>
      <c r="BR70" s="1217"/>
      <c r="BS70" s="1222"/>
      <c r="BT70" s="1156"/>
      <c r="BU70" s="1195"/>
      <c r="BV70" s="1222"/>
      <c r="BW70" s="1156"/>
      <c r="BX70" s="1195"/>
      <c r="BY70" s="1222"/>
      <c r="BZ70" s="1156"/>
      <c r="CA70" s="1195"/>
      <c r="CB70" s="1222"/>
      <c r="CC70" s="1156"/>
      <c r="CD70" s="1195"/>
      <c r="CE70" s="1222"/>
      <c r="CF70" s="1156"/>
      <c r="CG70" s="1195"/>
      <c r="CH70" s="1222"/>
      <c r="CI70" s="1156"/>
      <c r="CJ70" s="1195"/>
      <c r="CK70" s="1222"/>
      <c r="CL70" s="1156"/>
      <c r="CM70" s="1195"/>
      <c r="CN70" s="1222"/>
      <c r="CO70" s="1156"/>
      <c r="CP70" s="1195"/>
      <c r="CQ70" s="1222"/>
      <c r="CR70" s="1156"/>
      <c r="CS70" s="1195"/>
      <c r="CT70" s="1222"/>
      <c r="CU70" s="1156"/>
      <c r="CV70" s="1195"/>
      <c r="CW70" s="1222"/>
      <c r="CX70" s="1156"/>
      <c r="CY70" s="1195"/>
      <c r="CZ70" s="1222"/>
      <c r="DA70" s="1156"/>
      <c r="DB70" s="1195"/>
      <c r="DC70" s="1222"/>
      <c r="DD70" s="1156"/>
      <c r="DE70" s="1217"/>
      <c r="DF70" s="1222"/>
      <c r="DG70" s="1156"/>
      <c r="DH70" s="1217"/>
      <c r="DI70" s="1222"/>
      <c r="DJ70" s="1156"/>
      <c r="DK70" s="1217"/>
      <c r="DL70" s="1222"/>
      <c r="DM70" s="1156"/>
      <c r="DN70" s="1217"/>
      <c r="DO70" s="1222"/>
      <c r="DP70" s="1156"/>
      <c r="DQ70" s="1217"/>
      <c r="DR70" s="1222"/>
      <c r="DS70" s="1156"/>
      <c r="DT70" s="1217"/>
      <c r="DU70" s="1222"/>
      <c r="DV70" s="1156"/>
      <c r="DW70" s="1217"/>
      <c r="DX70" s="1244"/>
    </row>
    <row r="71" spans="1:128">
      <c r="B71" s="1305" t="s">
        <v>171</v>
      </c>
      <c r="C71" s="1155"/>
      <c r="D71" s="1195"/>
      <c r="E71" s="1199"/>
      <c r="F71" s="1156"/>
      <c r="G71" s="1195"/>
      <c r="H71" s="1199"/>
      <c r="I71" s="1156"/>
      <c r="J71" s="1195"/>
      <c r="K71" s="1222"/>
      <c r="L71" s="1156"/>
      <c r="M71" s="1195"/>
      <c r="N71" s="1222"/>
      <c r="O71" s="1156"/>
      <c r="P71" s="1195"/>
      <c r="Q71" s="1222"/>
      <c r="R71" s="1156"/>
      <c r="S71" s="1195"/>
      <c r="T71" s="1222"/>
      <c r="U71" s="1156"/>
      <c r="V71" s="1195"/>
      <c r="W71" s="1222"/>
      <c r="X71" s="1156"/>
      <c r="Y71" s="1195"/>
      <c r="Z71" s="1222"/>
      <c r="AA71" s="1156"/>
      <c r="AB71" s="1195"/>
      <c r="AC71" s="1222"/>
      <c r="AD71" s="1156"/>
      <c r="AE71" s="1195"/>
      <c r="AF71" s="1222"/>
      <c r="AG71" s="1156"/>
      <c r="AH71" s="1195"/>
      <c r="AI71" s="1222"/>
      <c r="AJ71" s="1156"/>
      <c r="AK71" s="1195"/>
      <c r="AL71" s="1222"/>
      <c r="AM71" s="1156"/>
      <c r="AN71" s="1195"/>
      <c r="AO71" s="1222"/>
      <c r="AP71" s="1156"/>
      <c r="AQ71" s="1195"/>
      <c r="AR71" s="1222"/>
      <c r="AS71" s="1156"/>
      <c r="AT71" s="1195"/>
      <c r="AU71" s="1222"/>
      <c r="AV71" s="1156"/>
      <c r="AW71" s="1195"/>
      <c r="AX71" s="1222"/>
      <c r="AY71" s="1156"/>
      <c r="AZ71" s="1195"/>
      <c r="BA71" s="1222"/>
      <c r="BB71" s="1156"/>
      <c r="BC71" s="1195"/>
      <c r="BD71" s="1222"/>
      <c r="BE71" s="1156"/>
      <c r="BF71" s="1195"/>
      <c r="BG71" s="1222"/>
      <c r="BH71" s="1156"/>
      <c r="BI71" s="1195"/>
      <c r="BJ71" s="1222"/>
      <c r="BK71" s="1156"/>
      <c r="BL71" s="1195"/>
      <c r="BM71" s="1222"/>
      <c r="BN71" s="1156"/>
      <c r="BO71" s="1195"/>
      <c r="BP71" s="1222"/>
      <c r="BQ71" s="1156"/>
      <c r="BR71" s="1217"/>
      <c r="BS71" s="1222"/>
      <c r="BT71" s="1156"/>
      <c r="BU71" s="1195"/>
      <c r="BV71" s="1222"/>
      <c r="BW71" s="1156"/>
      <c r="BX71" s="1195"/>
      <c r="BY71" s="1222"/>
      <c r="BZ71" s="1156"/>
      <c r="CA71" s="1195"/>
      <c r="CB71" s="1222"/>
      <c r="CC71" s="1156"/>
      <c r="CD71" s="1195"/>
      <c r="CE71" s="1222"/>
      <c r="CF71" s="1156"/>
      <c r="CG71" s="1195"/>
      <c r="CH71" s="1222"/>
      <c r="CI71" s="1156"/>
      <c r="CJ71" s="1195"/>
      <c r="CK71" s="1222"/>
      <c r="CL71" s="1156"/>
      <c r="CM71" s="1195"/>
      <c r="CN71" s="1222"/>
      <c r="CO71" s="1156"/>
      <c r="CP71" s="1195"/>
      <c r="CQ71" s="1222"/>
      <c r="CR71" s="1156"/>
      <c r="CS71" s="1195"/>
      <c r="CT71" s="1222"/>
      <c r="CU71" s="1156"/>
      <c r="CV71" s="1195"/>
      <c r="CW71" s="1222"/>
      <c r="CX71" s="1156"/>
      <c r="CY71" s="1195"/>
      <c r="CZ71" s="1222"/>
      <c r="DA71" s="1156"/>
      <c r="DB71" s="1195"/>
      <c r="DC71" s="1222"/>
      <c r="DD71" s="1156"/>
      <c r="DE71" s="1217"/>
      <c r="DF71" s="1222"/>
      <c r="DG71" s="1156"/>
      <c r="DH71" s="1217"/>
      <c r="DI71" s="1222"/>
      <c r="DJ71" s="1156"/>
      <c r="DK71" s="1217"/>
      <c r="DL71" s="1222"/>
      <c r="DM71" s="1156"/>
      <c r="DN71" s="1217"/>
      <c r="DO71" s="1222"/>
      <c r="DP71" s="1156"/>
      <c r="DQ71" s="1217"/>
      <c r="DR71" s="1222"/>
      <c r="DS71" s="1156"/>
      <c r="DT71" s="1217"/>
      <c r="DU71" s="1222"/>
      <c r="DV71" s="1156"/>
      <c r="DW71" s="1217"/>
      <c r="DX71" s="1244"/>
    </row>
    <row r="72" spans="1:128">
      <c r="B72" s="1305" t="s">
        <v>172</v>
      </c>
      <c r="C72" s="1155"/>
      <c r="D72" s="1195"/>
      <c r="E72" s="1199"/>
      <c r="F72" s="1156"/>
      <c r="G72" s="1195"/>
      <c r="H72" s="1199"/>
      <c r="I72" s="1156"/>
      <c r="J72" s="1195"/>
      <c r="K72" s="1222"/>
      <c r="L72" s="1156"/>
      <c r="M72" s="1195"/>
      <c r="N72" s="1222"/>
      <c r="O72" s="1156"/>
      <c r="P72" s="1195"/>
      <c r="Q72" s="1222"/>
      <c r="R72" s="1156"/>
      <c r="S72" s="1195"/>
      <c r="T72" s="1222"/>
      <c r="U72" s="1156"/>
      <c r="V72" s="1195"/>
      <c r="W72" s="1222"/>
      <c r="X72" s="1156"/>
      <c r="Y72" s="1195"/>
      <c r="Z72" s="1222"/>
      <c r="AA72" s="1156"/>
      <c r="AB72" s="1195"/>
      <c r="AC72" s="1222"/>
      <c r="AD72" s="1156"/>
      <c r="AE72" s="1195"/>
      <c r="AF72" s="1222"/>
      <c r="AG72" s="1156"/>
      <c r="AH72" s="1195"/>
      <c r="AI72" s="1222"/>
      <c r="AJ72" s="1156"/>
      <c r="AK72" s="1195"/>
      <c r="AL72" s="1222"/>
      <c r="AM72" s="1156"/>
      <c r="AN72" s="1195"/>
      <c r="AO72" s="1222"/>
      <c r="AP72" s="1156"/>
      <c r="AQ72" s="1195"/>
      <c r="AR72" s="1222"/>
      <c r="AS72" s="1156"/>
      <c r="AT72" s="1195"/>
      <c r="AU72" s="1222"/>
      <c r="AV72" s="1156"/>
      <c r="AW72" s="1195"/>
      <c r="AX72" s="1222"/>
      <c r="AY72" s="1156"/>
      <c r="AZ72" s="1195"/>
      <c r="BA72" s="1222"/>
      <c r="BB72" s="1156"/>
      <c r="BC72" s="1195"/>
      <c r="BD72" s="1222"/>
      <c r="BE72" s="1156"/>
      <c r="BF72" s="1195"/>
      <c r="BG72" s="1222"/>
      <c r="BH72" s="1156"/>
      <c r="BI72" s="1195"/>
      <c r="BJ72" s="1222"/>
      <c r="BK72" s="1156"/>
      <c r="BL72" s="1195"/>
      <c r="BM72" s="1222"/>
      <c r="BN72" s="1156"/>
      <c r="BO72" s="1195"/>
      <c r="BP72" s="1222"/>
      <c r="BQ72" s="1156"/>
      <c r="BR72" s="1217"/>
      <c r="BS72" s="1222"/>
      <c r="BT72" s="1156"/>
      <c r="BU72" s="1195"/>
      <c r="BV72" s="1222"/>
      <c r="BW72" s="1156"/>
      <c r="BX72" s="1195"/>
      <c r="BY72" s="1222"/>
      <c r="BZ72" s="1156"/>
      <c r="CA72" s="1195"/>
      <c r="CB72" s="1222"/>
      <c r="CC72" s="1156"/>
      <c r="CD72" s="1195"/>
      <c r="CE72" s="1222"/>
      <c r="CF72" s="1156"/>
      <c r="CG72" s="1195"/>
      <c r="CH72" s="1222"/>
      <c r="CI72" s="1156"/>
      <c r="CJ72" s="1195"/>
      <c r="CK72" s="1222"/>
      <c r="CL72" s="1156"/>
      <c r="CM72" s="1195"/>
      <c r="CN72" s="1222"/>
      <c r="CO72" s="1156"/>
      <c r="CP72" s="1195"/>
      <c r="CQ72" s="1222"/>
      <c r="CR72" s="1156"/>
      <c r="CS72" s="1195"/>
      <c r="CT72" s="1222"/>
      <c r="CU72" s="1156"/>
      <c r="CV72" s="1195"/>
      <c r="CW72" s="1222"/>
      <c r="CX72" s="1156"/>
      <c r="CY72" s="1195"/>
      <c r="CZ72" s="1222"/>
      <c r="DA72" s="1156"/>
      <c r="DB72" s="1195"/>
      <c r="DC72" s="1222"/>
      <c r="DD72" s="1156"/>
      <c r="DE72" s="1217"/>
      <c r="DF72" s="1222"/>
      <c r="DG72" s="1156"/>
      <c r="DH72" s="1217"/>
      <c r="DI72" s="1222"/>
      <c r="DJ72" s="1156"/>
      <c r="DK72" s="1217"/>
      <c r="DL72" s="1222"/>
      <c r="DM72" s="1156"/>
      <c r="DN72" s="1217"/>
      <c r="DO72" s="1222"/>
      <c r="DP72" s="1156"/>
      <c r="DQ72" s="1217"/>
      <c r="DR72" s="1222"/>
      <c r="DS72" s="1156"/>
      <c r="DT72" s="1217"/>
      <c r="DU72" s="1222"/>
      <c r="DV72" s="1156"/>
      <c r="DW72" s="1217"/>
      <c r="DX72" s="1244"/>
    </row>
    <row r="73" spans="1:128">
      <c r="B73" s="1305" t="s">
        <v>173</v>
      </c>
      <c r="C73" s="1155"/>
      <c r="D73" s="1195"/>
      <c r="E73" s="1199"/>
      <c r="F73" s="1156"/>
      <c r="G73" s="1195"/>
      <c r="H73" s="1199"/>
      <c r="I73" s="1156"/>
      <c r="J73" s="1195"/>
      <c r="K73" s="1222"/>
      <c r="L73" s="1156"/>
      <c r="M73" s="1195"/>
      <c r="N73" s="1222"/>
      <c r="O73" s="1156"/>
      <c r="P73" s="1195"/>
      <c r="Q73" s="1222"/>
      <c r="R73" s="1156"/>
      <c r="S73" s="1195"/>
      <c r="T73" s="1222"/>
      <c r="U73" s="1156">
        <f>263+662+849+239+1985</f>
        <v>3998</v>
      </c>
      <c r="V73" s="1195">
        <v>1500</v>
      </c>
      <c r="W73" s="1222"/>
      <c r="X73" s="1156"/>
      <c r="Y73" s="1195"/>
      <c r="Z73" s="1222"/>
      <c r="AA73" s="1156"/>
      <c r="AB73" s="1195"/>
      <c r="AC73" s="1222"/>
      <c r="AD73" s="1156"/>
      <c r="AE73" s="1195"/>
      <c r="AF73" s="1222"/>
      <c r="AG73" s="1156"/>
      <c r="AH73" s="1195"/>
      <c r="AI73" s="1222"/>
      <c r="AJ73" s="1156"/>
      <c r="AK73" s="1195"/>
      <c r="AL73" s="1222"/>
      <c r="AM73" s="1156"/>
      <c r="AN73" s="1195"/>
      <c r="AO73" s="1222"/>
      <c r="AP73" s="1156"/>
      <c r="AQ73" s="1195"/>
      <c r="AR73" s="1222"/>
      <c r="AS73" s="1156"/>
      <c r="AT73" s="1195"/>
      <c r="AU73" s="1222"/>
      <c r="AV73" s="1156"/>
      <c r="AW73" s="1195"/>
      <c r="AX73" s="1222"/>
      <c r="AY73" s="1156"/>
      <c r="AZ73" s="1195"/>
      <c r="BA73" s="1222"/>
      <c r="BB73" s="1156"/>
      <c r="BC73" s="1195"/>
      <c r="BD73" s="1222"/>
      <c r="BE73" s="1156"/>
      <c r="BF73" s="1195"/>
      <c r="BG73" s="1222"/>
      <c r="BH73" s="1156"/>
      <c r="BI73" s="1195"/>
      <c r="BJ73" s="1222"/>
      <c r="BK73" s="1156"/>
      <c r="BL73" s="1195"/>
      <c r="BM73" s="1222"/>
      <c r="BN73" s="1156"/>
      <c r="BO73" s="1195"/>
      <c r="BP73" s="1222"/>
      <c r="BQ73" s="1156"/>
      <c r="BR73" s="1217"/>
      <c r="BS73" s="1222"/>
      <c r="BT73" s="1156"/>
      <c r="BU73" s="1195"/>
      <c r="BV73" s="1222"/>
      <c r="BW73" s="1156"/>
      <c r="BX73" s="1195"/>
      <c r="BY73" s="1222"/>
      <c r="BZ73" s="1156"/>
      <c r="CA73" s="1195"/>
      <c r="CB73" s="1222"/>
      <c r="CC73" s="1156"/>
      <c r="CD73" s="1195"/>
      <c r="CE73" s="1222"/>
      <c r="CF73" s="1156"/>
      <c r="CG73" s="1195"/>
      <c r="CH73" s="1222"/>
      <c r="CI73" s="1156"/>
      <c r="CJ73" s="1195"/>
      <c r="CK73" s="1222"/>
      <c r="CL73" s="1156"/>
      <c r="CM73" s="1195"/>
      <c r="CN73" s="1222"/>
      <c r="CO73" s="1156"/>
      <c r="CP73" s="1195"/>
      <c r="CQ73" s="1222"/>
      <c r="CR73" s="1156"/>
      <c r="CS73" s="1195"/>
      <c r="CT73" s="1222"/>
      <c r="CU73" s="1156"/>
      <c r="CV73" s="1195"/>
      <c r="CW73" s="1222"/>
      <c r="CX73" s="1156"/>
      <c r="CY73" s="1195"/>
      <c r="CZ73" s="1222"/>
      <c r="DA73" s="1156"/>
      <c r="DB73" s="1195"/>
      <c r="DC73" s="1222"/>
      <c r="DD73" s="1156"/>
      <c r="DE73" s="1217"/>
      <c r="DF73" s="1222"/>
      <c r="DG73" s="1156"/>
      <c r="DH73" s="1217"/>
      <c r="DI73" s="1222"/>
      <c r="DJ73" s="1156"/>
      <c r="DK73" s="1217"/>
      <c r="DL73" s="1222"/>
      <c r="DM73" s="1156"/>
      <c r="DN73" s="1217"/>
      <c r="DO73" s="1222"/>
      <c r="DP73" s="1156"/>
      <c r="DQ73" s="1217"/>
      <c r="DR73" s="1222"/>
      <c r="DS73" s="1156"/>
      <c r="DT73" s="1217"/>
      <c r="DU73" s="1222"/>
      <c r="DV73" s="1156"/>
      <c r="DW73" s="1217"/>
      <c r="DX73" s="1244"/>
    </row>
    <row r="74" spans="1:128">
      <c r="B74" s="1305" t="s">
        <v>174</v>
      </c>
      <c r="C74" s="1155"/>
      <c r="D74" s="1195"/>
      <c r="E74" s="1199"/>
      <c r="F74" s="1156"/>
      <c r="G74" s="1195"/>
      <c r="H74" s="1199"/>
      <c r="I74" s="1156"/>
      <c r="J74" s="1195"/>
      <c r="K74" s="1222"/>
      <c r="L74" s="1156"/>
      <c r="M74" s="1195"/>
      <c r="N74" s="1222"/>
      <c r="O74" s="1156"/>
      <c r="P74" s="1195"/>
      <c r="Q74" s="1222"/>
      <c r="R74" s="1156"/>
      <c r="S74" s="1195"/>
      <c r="T74" s="1222"/>
      <c r="U74" s="1156"/>
      <c r="V74" s="1195"/>
      <c r="W74" s="1222"/>
      <c r="X74" s="1156"/>
      <c r="Y74" s="1195"/>
      <c r="Z74" s="1222"/>
      <c r="AA74" s="1156"/>
      <c r="AB74" s="1195"/>
      <c r="AC74" s="1222"/>
      <c r="AD74" s="1156"/>
      <c r="AE74" s="1195"/>
      <c r="AF74" s="1222"/>
      <c r="AG74" s="1156"/>
      <c r="AH74" s="1195"/>
      <c r="AI74" s="1222"/>
      <c r="AJ74" s="1156"/>
      <c r="AK74" s="1195"/>
      <c r="AL74" s="1222"/>
      <c r="AM74" s="1156"/>
      <c r="AN74" s="1195"/>
      <c r="AO74" s="1222"/>
      <c r="AP74" s="1156"/>
      <c r="AQ74" s="1195"/>
      <c r="AR74" s="1222"/>
      <c r="AS74" s="1156"/>
      <c r="AT74" s="1195"/>
      <c r="AU74" s="1222"/>
      <c r="AV74" s="1156"/>
      <c r="AW74" s="1195"/>
      <c r="AX74" s="1222"/>
      <c r="AY74" s="1156"/>
      <c r="AZ74" s="1195"/>
      <c r="BA74" s="1222"/>
      <c r="BB74" s="1156"/>
      <c r="BC74" s="1195"/>
      <c r="BD74" s="1222"/>
      <c r="BE74" s="1156"/>
      <c r="BF74" s="1195"/>
      <c r="BG74" s="1222"/>
      <c r="BH74" s="1156"/>
      <c r="BI74" s="1195"/>
      <c r="BJ74" s="1222"/>
      <c r="BK74" s="1156"/>
      <c r="BL74" s="1195"/>
      <c r="BM74" s="1222"/>
      <c r="BN74" s="1156"/>
      <c r="BO74" s="1195"/>
      <c r="BP74" s="1222"/>
      <c r="BQ74" s="1156"/>
      <c r="BR74" s="1217"/>
      <c r="BS74" s="1222"/>
      <c r="BT74" s="1156"/>
      <c r="BU74" s="1195"/>
      <c r="BV74" s="1222"/>
      <c r="BW74" s="1156"/>
      <c r="BX74" s="1195"/>
      <c r="BY74" s="1222"/>
      <c r="BZ74" s="1156"/>
      <c r="CA74" s="1195"/>
      <c r="CB74" s="1222"/>
      <c r="CC74" s="1156"/>
      <c r="CD74" s="1195"/>
      <c r="CE74" s="1222"/>
      <c r="CF74" s="1156"/>
      <c r="CG74" s="1195"/>
      <c r="CH74" s="1222"/>
      <c r="CI74" s="1156"/>
      <c r="CJ74" s="1195"/>
      <c r="CK74" s="1222"/>
      <c r="CL74" s="1156"/>
      <c r="CM74" s="1195"/>
      <c r="CN74" s="1222"/>
      <c r="CO74" s="1156"/>
      <c r="CP74" s="1195"/>
      <c r="CQ74" s="1222"/>
      <c r="CR74" s="1156"/>
      <c r="CS74" s="1195"/>
      <c r="CT74" s="1222"/>
      <c r="CU74" s="1156"/>
      <c r="CV74" s="1195"/>
      <c r="CW74" s="1222"/>
      <c r="CX74" s="1156"/>
      <c r="CY74" s="1195"/>
      <c r="CZ74" s="1222"/>
      <c r="DA74" s="1156"/>
      <c r="DB74" s="1195"/>
      <c r="DC74" s="1222"/>
      <c r="DD74" s="1156"/>
      <c r="DE74" s="1217"/>
      <c r="DF74" s="1222"/>
      <c r="DG74" s="1156"/>
      <c r="DH74" s="1217"/>
      <c r="DI74" s="1222"/>
      <c r="DJ74" s="1156"/>
      <c r="DK74" s="1217"/>
      <c r="DL74" s="1222"/>
      <c r="DM74" s="1156"/>
      <c r="DN74" s="1217"/>
      <c r="DO74" s="1222"/>
      <c r="DP74" s="1156"/>
      <c r="DQ74" s="1217"/>
      <c r="DR74" s="1222"/>
      <c r="DS74" s="1156"/>
      <c r="DT74" s="1217"/>
      <c r="DU74" s="1222"/>
      <c r="DV74" s="1156"/>
      <c r="DW74" s="1217"/>
      <c r="DX74" s="1244"/>
    </row>
    <row r="75" spans="1:128">
      <c r="B75" s="1305" t="s">
        <v>967</v>
      </c>
      <c r="C75" s="1155"/>
      <c r="D75" s="1195"/>
      <c r="E75" s="1199"/>
      <c r="F75" s="1156"/>
      <c r="G75" s="1195"/>
      <c r="H75" s="1199"/>
      <c r="I75" s="1156"/>
      <c r="J75" s="1195"/>
      <c r="K75" s="1222"/>
      <c r="L75" s="1156"/>
      <c r="M75" s="1195"/>
      <c r="N75" s="1222"/>
      <c r="O75" s="1156"/>
      <c r="P75" s="1195"/>
      <c r="Q75" s="1222"/>
      <c r="R75" s="1156"/>
      <c r="S75" s="1195"/>
      <c r="T75" s="1222"/>
      <c r="U75" s="1156"/>
      <c r="V75" s="1195"/>
      <c r="W75" s="1222"/>
      <c r="X75" s="1156"/>
      <c r="Y75" s="1195"/>
      <c r="Z75" s="1222"/>
      <c r="AA75" s="1156"/>
      <c r="AB75" s="1195"/>
      <c r="AC75" s="1222"/>
      <c r="AD75" s="1156"/>
      <c r="AE75" s="1195"/>
      <c r="AF75" s="1222"/>
      <c r="AG75" s="1156"/>
      <c r="AH75" s="1195"/>
      <c r="AI75" s="1222"/>
      <c r="AJ75" s="1156"/>
      <c r="AK75" s="1195"/>
      <c r="AL75" s="1222"/>
      <c r="AM75" s="1156"/>
      <c r="AN75" s="1195"/>
      <c r="AO75" s="1222"/>
      <c r="AP75" s="1156"/>
      <c r="AQ75" s="1195"/>
      <c r="AR75" s="1222"/>
      <c r="AS75" s="1156"/>
      <c r="AT75" s="1195"/>
      <c r="AU75" s="1222"/>
      <c r="AV75" s="1156"/>
      <c r="AW75" s="1195"/>
      <c r="AX75" s="1222"/>
      <c r="AY75" s="1156"/>
      <c r="AZ75" s="1195"/>
      <c r="BA75" s="1222">
        <v>64</v>
      </c>
      <c r="BB75" s="1156"/>
      <c r="BC75" s="1195"/>
      <c r="BD75" s="1222">
        <v>64</v>
      </c>
      <c r="BE75" s="1156"/>
      <c r="BF75" s="1195"/>
      <c r="BG75" s="1222">
        <v>64</v>
      </c>
      <c r="BH75" s="1156"/>
      <c r="BI75" s="1195"/>
      <c r="BJ75" s="1222">
        <v>122</v>
      </c>
      <c r="BK75" s="1156"/>
      <c r="BL75" s="1195"/>
      <c r="BM75" s="1222">
        <v>68</v>
      </c>
      <c r="BN75" s="1156"/>
      <c r="BO75" s="1195"/>
      <c r="BP75" s="1222">
        <v>139</v>
      </c>
      <c r="BQ75" s="1156"/>
      <c r="BR75" s="1217"/>
      <c r="BS75" s="1222"/>
      <c r="BT75" s="1156"/>
      <c r="BU75" s="1195"/>
      <c r="BV75" s="1222"/>
      <c r="BW75" s="1156"/>
      <c r="BX75" s="1195"/>
      <c r="BY75" s="1222"/>
      <c r="BZ75" s="1156"/>
      <c r="CA75" s="1195"/>
      <c r="CB75" s="1222"/>
      <c r="CC75" s="1156"/>
      <c r="CD75" s="1195"/>
      <c r="CE75" s="1222"/>
      <c r="CF75" s="1156"/>
      <c r="CG75" s="1195"/>
      <c r="CH75" s="1222"/>
      <c r="CI75" s="1156"/>
      <c r="CJ75" s="1195"/>
      <c r="CK75" s="1222"/>
      <c r="CL75" s="1156"/>
      <c r="CM75" s="1195"/>
      <c r="CN75" s="1222"/>
      <c r="CO75" s="1156"/>
      <c r="CP75" s="1195"/>
      <c r="CQ75" s="1222"/>
      <c r="CR75" s="1156"/>
      <c r="CS75" s="1195"/>
      <c r="CT75" s="1222"/>
      <c r="CU75" s="1156"/>
      <c r="CV75" s="1195"/>
      <c r="CW75" s="1222"/>
      <c r="CX75" s="1156"/>
      <c r="CY75" s="1195"/>
      <c r="CZ75" s="1222"/>
      <c r="DA75" s="1156"/>
      <c r="DB75" s="1195"/>
      <c r="DC75" s="1222"/>
      <c r="DD75" s="1156"/>
      <c r="DE75" s="1217"/>
      <c r="DF75" s="1222"/>
      <c r="DG75" s="1156"/>
      <c r="DH75" s="1217"/>
      <c r="DI75" s="1222"/>
      <c r="DJ75" s="1156"/>
      <c r="DK75" s="1217"/>
      <c r="DL75" s="1222"/>
      <c r="DM75" s="1156"/>
      <c r="DN75" s="1217"/>
      <c r="DO75" s="1222"/>
      <c r="DP75" s="1156"/>
      <c r="DQ75" s="1217"/>
      <c r="DR75" s="1222"/>
      <c r="DS75" s="1156"/>
      <c r="DT75" s="1217"/>
      <c r="DU75" s="1222"/>
      <c r="DV75" s="1156"/>
      <c r="DW75" s="1217"/>
      <c r="DX75" s="1244"/>
    </row>
    <row r="76" spans="1:128">
      <c r="B76" s="1305" t="s">
        <v>964</v>
      </c>
      <c r="C76" s="1155"/>
      <c r="D76" s="1195"/>
      <c r="E76" s="1199"/>
      <c r="F76" s="1156"/>
      <c r="G76" s="1195"/>
      <c r="H76" s="1199"/>
      <c r="I76" s="1156"/>
      <c r="J76" s="1195"/>
      <c r="K76" s="1222"/>
      <c r="L76" s="1156"/>
      <c r="M76" s="1195"/>
      <c r="N76" s="1222"/>
      <c r="O76" s="1156"/>
      <c r="P76" s="1195"/>
      <c r="Q76" s="1222"/>
      <c r="R76" s="1156"/>
      <c r="S76" s="1195"/>
      <c r="T76" s="1222"/>
      <c r="U76" s="1156"/>
      <c r="V76" s="1195">
        <v>1000</v>
      </c>
      <c r="W76" s="1222"/>
      <c r="X76" s="1156"/>
      <c r="Y76" s="1195"/>
      <c r="Z76" s="1222"/>
      <c r="AA76" s="1156"/>
      <c r="AB76" s="1195"/>
      <c r="AC76" s="1222"/>
      <c r="AD76" s="1156"/>
      <c r="AE76" s="1195"/>
      <c r="AF76" s="1222"/>
      <c r="AG76" s="1156"/>
      <c r="AH76" s="1195"/>
      <c r="AI76" s="1222"/>
      <c r="AJ76" s="1156"/>
      <c r="AK76" s="1195"/>
      <c r="AL76" s="1222"/>
      <c r="AM76" s="1156"/>
      <c r="AN76" s="1195"/>
      <c r="AO76" s="1222"/>
      <c r="AP76" s="1156"/>
      <c r="AQ76" s="1195"/>
      <c r="AR76" s="1222"/>
      <c r="AS76" s="1156"/>
      <c r="AT76" s="1195"/>
      <c r="AU76" s="1222"/>
      <c r="AV76" s="1156"/>
      <c r="AW76" s="1195"/>
      <c r="AX76" s="1222"/>
      <c r="AY76" s="1156"/>
      <c r="AZ76" s="1195"/>
      <c r="BA76" s="1222">
        <v>0</v>
      </c>
      <c r="BB76" s="1156"/>
      <c r="BC76" s="1195"/>
      <c r="BD76" s="1222">
        <v>0</v>
      </c>
      <c r="BE76" s="1156"/>
      <c r="BF76" s="1195"/>
      <c r="BG76" s="1222">
        <f>184+36</f>
        <v>220</v>
      </c>
      <c r="BH76" s="1156"/>
      <c r="BI76" s="1195"/>
      <c r="BJ76" s="1222">
        <f>247+66</f>
        <v>313</v>
      </c>
      <c r="BK76" s="1156"/>
      <c r="BL76" s="1195"/>
      <c r="BM76" s="1222">
        <f>261+57</f>
        <v>318</v>
      </c>
      <c r="BN76" s="1156"/>
      <c r="BO76" s="1195"/>
      <c r="BP76" s="1222">
        <f>368+78</f>
        <v>446</v>
      </c>
      <c r="BQ76" s="1156"/>
      <c r="BR76" s="1217"/>
      <c r="BS76" s="1222"/>
      <c r="BT76" s="1156"/>
      <c r="BU76" s="1195"/>
      <c r="BV76" s="1222"/>
      <c r="BW76" s="1156"/>
      <c r="BX76" s="1195"/>
      <c r="BY76" s="1222"/>
      <c r="BZ76" s="1156"/>
      <c r="CA76" s="1195"/>
      <c r="CB76" s="1222"/>
      <c r="CC76" s="1156"/>
      <c r="CD76" s="1195"/>
      <c r="CE76" s="1222"/>
      <c r="CF76" s="1156"/>
      <c r="CG76" s="1195"/>
      <c r="CH76" s="1222"/>
      <c r="CI76" s="1156"/>
      <c r="CJ76" s="1195"/>
      <c r="CK76" s="1222"/>
      <c r="CL76" s="1156"/>
      <c r="CM76" s="1195"/>
      <c r="CN76" s="1222"/>
      <c r="CO76" s="1156"/>
      <c r="CP76" s="1195"/>
      <c r="CQ76" s="1222"/>
      <c r="CR76" s="1156"/>
      <c r="CS76" s="1195"/>
      <c r="CT76" s="1222"/>
      <c r="CU76" s="1156"/>
      <c r="CV76" s="1195"/>
      <c r="CW76" s="1222"/>
      <c r="CX76" s="1156"/>
      <c r="CY76" s="1195"/>
      <c r="CZ76" s="1222"/>
      <c r="DA76" s="1156"/>
      <c r="DB76" s="1195"/>
      <c r="DC76" s="1222"/>
      <c r="DD76" s="1156"/>
      <c r="DE76" s="1217"/>
      <c r="DF76" s="1222"/>
      <c r="DG76" s="1156"/>
      <c r="DH76" s="1217"/>
      <c r="DI76" s="1222"/>
      <c r="DJ76" s="1156"/>
      <c r="DK76" s="1217"/>
      <c r="DL76" s="1222"/>
      <c r="DM76" s="1156"/>
      <c r="DN76" s="1217"/>
      <c r="DO76" s="1222"/>
      <c r="DP76" s="1156"/>
      <c r="DQ76" s="1217"/>
      <c r="DR76" s="1222"/>
      <c r="DS76" s="1156"/>
      <c r="DT76" s="1217"/>
      <c r="DU76" s="1222"/>
      <c r="DV76" s="1156"/>
      <c r="DW76" s="1217"/>
      <c r="DX76" s="1244"/>
    </row>
    <row r="77" spans="1:128">
      <c r="B77" s="1305" t="s">
        <v>965</v>
      </c>
      <c r="C77" s="1155"/>
      <c r="D77" s="1195"/>
      <c r="E77" s="1199"/>
      <c r="F77" s="1156"/>
      <c r="G77" s="1195"/>
      <c r="H77" s="1199"/>
      <c r="I77" s="1156"/>
      <c r="J77" s="1195"/>
      <c r="K77" s="1222"/>
      <c r="L77" s="1156"/>
      <c r="M77" s="1195"/>
      <c r="N77" s="1222"/>
      <c r="O77" s="1156"/>
      <c r="P77" s="1195"/>
      <c r="Q77" s="1222"/>
      <c r="R77" s="1156"/>
      <c r="S77" s="1195"/>
      <c r="T77" s="1222"/>
      <c r="U77" s="1156"/>
      <c r="V77" s="1195"/>
      <c r="W77" s="1222"/>
      <c r="X77" s="1156"/>
      <c r="Y77" s="1195"/>
      <c r="Z77" s="1222"/>
      <c r="AA77" s="1156"/>
      <c r="AB77" s="1195"/>
      <c r="AC77" s="1222"/>
      <c r="AD77" s="1156"/>
      <c r="AE77" s="1195"/>
      <c r="AF77" s="1222"/>
      <c r="AG77" s="1156"/>
      <c r="AH77" s="1195"/>
      <c r="AI77" s="1222"/>
      <c r="AJ77" s="1156"/>
      <c r="AK77" s="1195"/>
      <c r="AL77" s="1222"/>
      <c r="AM77" s="1156"/>
      <c r="AN77" s="1195"/>
      <c r="AO77" s="1222"/>
      <c r="AP77" s="1156"/>
      <c r="AQ77" s="1195"/>
      <c r="AR77" s="1222"/>
      <c r="AS77" s="1156"/>
      <c r="AT77" s="1195"/>
      <c r="AU77" s="1222"/>
      <c r="AV77" s="1156"/>
      <c r="AW77" s="1195"/>
      <c r="AX77" s="1222"/>
      <c r="AY77" s="1156"/>
      <c r="AZ77" s="1195"/>
      <c r="BA77" s="1222">
        <f>184*0.35</f>
        <v>64.399999999999991</v>
      </c>
      <c r="BB77" s="1156"/>
      <c r="BC77" s="1195"/>
      <c r="BD77" s="1222">
        <f>BA77</f>
        <v>64.399999999999991</v>
      </c>
      <c r="BE77" s="1156"/>
      <c r="BF77" s="1195"/>
      <c r="BG77" s="1222">
        <v>184</v>
      </c>
      <c r="BH77" s="1156"/>
      <c r="BI77" s="1195"/>
      <c r="BJ77" s="1222">
        <v>148</v>
      </c>
      <c r="BK77" s="1156"/>
      <c r="BL77" s="1195"/>
      <c r="BM77" s="1222">
        <v>212</v>
      </c>
      <c r="BN77" s="1156"/>
      <c r="BO77" s="1195"/>
      <c r="BP77" s="1222">
        <v>152</v>
      </c>
      <c r="BQ77" s="1156"/>
      <c r="BR77" s="1217"/>
      <c r="BS77" s="1222"/>
      <c r="BT77" s="1156"/>
      <c r="BU77" s="1195"/>
      <c r="BV77" s="1222"/>
      <c r="BW77" s="1156"/>
      <c r="BX77" s="1195"/>
      <c r="BY77" s="1222"/>
      <c r="BZ77" s="1156"/>
      <c r="CA77" s="1195"/>
      <c r="CB77" s="1222"/>
      <c r="CC77" s="1156"/>
      <c r="CD77" s="1195"/>
      <c r="CE77" s="1222"/>
      <c r="CF77" s="1156"/>
      <c r="CG77" s="1195"/>
      <c r="CH77" s="1222"/>
      <c r="CI77" s="1156"/>
      <c r="CJ77" s="1195"/>
      <c r="CK77" s="1222"/>
      <c r="CL77" s="1156"/>
      <c r="CM77" s="1195"/>
      <c r="CN77" s="1222"/>
      <c r="CO77" s="1156"/>
      <c r="CP77" s="1195"/>
      <c r="CQ77" s="1222"/>
      <c r="CR77" s="1156"/>
      <c r="CS77" s="1195"/>
      <c r="CT77" s="1222"/>
      <c r="CU77" s="1156"/>
      <c r="CV77" s="1195"/>
      <c r="CW77" s="1222"/>
      <c r="CX77" s="1156"/>
      <c r="CY77" s="1195"/>
      <c r="CZ77" s="1222"/>
      <c r="DA77" s="1156"/>
      <c r="DB77" s="1195"/>
      <c r="DC77" s="1222"/>
      <c r="DD77" s="1156"/>
      <c r="DE77" s="1217"/>
      <c r="DF77" s="1222"/>
      <c r="DG77" s="1156"/>
      <c r="DH77" s="1217"/>
      <c r="DI77" s="1222"/>
      <c r="DJ77" s="1156"/>
      <c r="DK77" s="1217"/>
      <c r="DL77" s="1222"/>
      <c r="DM77" s="1156"/>
      <c r="DN77" s="1217"/>
      <c r="DO77" s="1222"/>
      <c r="DP77" s="1156"/>
      <c r="DQ77" s="1217"/>
      <c r="DR77" s="1222"/>
      <c r="DS77" s="1156"/>
      <c r="DT77" s="1217"/>
      <c r="DU77" s="1222"/>
      <c r="DV77" s="1156"/>
      <c r="DW77" s="1217"/>
      <c r="DX77" s="1244"/>
    </row>
    <row r="78" spans="1:128" ht="15" thickBot="1">
      <c r="B78" s="1305" t="s">
        <v>355</v>
      </c>
      <c r="C78" s="1155"/>
      <c r="D78" s="1195"/>
      <c r="E78" s="1199"/>
      <c r="F78" s="1156"/>
      <c r="G78" s="1195"/>
      <c r="H78" s="1199"/>
      <c r="I78" s="1156"/>
      <c r="J78" s="1195"/>
      <c r="K78" s="1222"/>
      <c r="L78" s="1156"/>
      <c r="M78" s="1195"/>
      <c r="N78" s="1222"/>
      <c r="O78" s="1156"/>
      <c r="P78" s="1195"/>
      <c r="Q78" s="1222"/>
      <c r="R78" s="1156"/>
      <c r="S78" s="1195"/>
      <c r="T78" s="1222"/>
      <c r="U78" s="1156"/>
      <c r="V78" s="1195"/>
      <c r="W78" s="1222"/>
      <c r="X78" s="1156"/>
      <c r="Y78" s="1195"/>
      <c r="Z78" s="1222"/>
      <c r="AA78" s="1156"/>
      <c r="AB78" s="1195"/>
      <c r="AC78" s="1222"/>
      <c r="AD78" s="1156"/>
      <c r="AE78" s="1195"/>
      <c r="AF78" s="1222"/>
      <c r="AG78" s="1156"/>
      <c r="AH78" s="1195"/>
      <c r="AI78" s="1222"/>
      <c r="AJ78" s="1156"/>
      <c r="AK78" s="1195"/>
      <c r="AL78" s="1222"/>
      <c r="AM78" s="1156"/>
      <c r="AN78" s="1195"/>
      <c r="AO78" s="1222"/>
      <c r="AP78" s="1156"/>
      <c r="AQ78" s="1195"/>
      <c r="AR78" s="1222"/>
      <c r="AS78" s="1156"/>
      <c r="AT78" s="1195"/>
      <c r="AU78" s="1222"/>
      <c r="AV78" s="1156"/>
      <c r="AW78" s="1195"/>
      <c r="AX78" s="1222"/>
      <c r="AY78" s="1156"/>
      <c r="AZ78" s="1195"/>
      <c r="BA78" s="1222">
        <v>11</v>
      </c>
      <c r="BB78" s="1156"/>
      <c r="BC78" s="1195"/>
      <c r="BD78" s="1222">
        <v>11</v>
      </c>
      <c r="BE78" s="1156"/>
      <c r="BF78" s="1195"/>
      <c r="BG78" s="1222">
        <v>11</v>
      </c>
      <c r="BH78" s="1156"/>
      <c r="BI78" s="1195"/>
      <c r="BJ78" s="1222">
        <v>19</v>
      </c>
      <c r="BK78" s="1156"/>
      <c r="BL78" s="1195"/>
      <c r="BM78" s="1222">
        <v>11</v>
      </c>
      <c r="BN78" s="1156"/>
      <c r="BO78" s="1195"/>
      <c r="BP78" s="1222">
        <v>22</v>
      </c>
      <c r="BQ78" s="1156"/>
      <c r="BR78" s="1217"/>
      <c r="BS78" s="1222"/>
      <c r="BT78" s="1156"/>
      <c r="BU78" s="1195"/>
      <c r="BV78" s="1222"/>
      <c r="BW78" s="1156"/>
      <c r="BX78" s="1195"/>
      <c r="BY78" s="1222"/>
      <c r="BZ78" s="1156"/>
      <c r="CA78" s="1195"/>
      <c r="CB78" s="1222"/>
      <c r="CC78" s="1156"/>
      <c r="CD78" s="1195"/>
      <c r="CE78" s="1222"/>
      <c r="CF78" s="1156"/>
      <c r="CG78" s="1195"/>
      <c r="CH78" s="1222"/>
      <c r="CI78" s="1156"/>
      <c r="CJ78" s="1195"/>
      <c r="CK78" s="1222"/>
      <c r="CL78" s="1156"/>
      <c r="CM78" s="1195"/>
      <c r="CN78" s="1222"/>
      <c r="CO78" s="1156"/>
      <c r="CP78" s="1195"/>
      <c r="CQ78" s="1222"/>
      <c r="CR78" s="1156"/>
      <c r="CS78" s="1195"/>
      <c r="CT78" s="1222"/>
      <c r="CU78" s="1156"/>
      <c r="CV78" s="1195"/>
      <c r="CW78" s="1222"/>
      <c r="CX78" s="1156"/>
      <c r="CY78" s="1195"/>
      <c r="CZ78" s="1222"/>
      <c r="DA78" s="1156"/>
      <c r="DB78" s="1195"/>
      <c r="DC78" s="1222"/>
      <c r="DD78" s="1156"/>
      <c r="DE78" s="1217"/>
      <c r="DF78" s="1222"/>
      <c r="DG78" s="1156"/>
      <c r="DH78" s="1217"/>
      <c r="DI78" s="1222"/>
      <c r="DJ78" s="1156"/>
      <c r="DK78" s="1217"/>
      <c r="DL78" s="1222"/>
      <c r="DM78" s="1156"/>
      <c r="DN78" s="1217"/>
      <c r="DO78" s="1222"/>
      <c r="DP78" s="1156"/>
      <c r="DQ78" s="1217"/>
      <c r="DR78" s="1222"/>
      <c r="DS78" s="1156"/>
      <c r="DT78" s="1217"/>
      <c r="DU78" s="1222"/>
      <c r="DV78" s="1156"/>
      <c r="DW78" s="1217"/>
      <c r="DX78" s="1244"/>
    </row>
    <row r="79" spans="1:128" ht="15.75" thickTop="1" thickBot="1">
      <c r="A79" s="1142"/>
      <c r="B79" s="1310" t="s">
        <v>1285</v>
      </c>
      <c r="C79" s="1457"/>
      <c r="D79" s="1458"/>
      <c r="E79" s="1459"/>
      <c r="F79" s="1460"/>
      <c r="G79" s="1459"/>
      <c r="H79" s="1459"/>
      <c r="I79" s="1460"/>
      <c r="J79" s="1459"/>
      <c r="K79" s="1461"/>
      <c r="L79" s="1462"/>
      <c r="M79" s="1459"/>
      <c r="N79" s="1461"/>
      <c r="O79" s="1463"/>
      <c r="P79" s="1459"/>
      <c r="Q79" s="1461"/>
      <c r="R79" s="1463"/>
      <c r="S79" s="1459"/>
      <c r="T79" s="1461"/>
      <c r="U79" s="1460">
        <f>SUM(U62:U76)</f>
        <v>45347</v>
      </c>
      <c r="V79" s="1464">
        <f>ROUND(SUM(V62:V76),-3)</f>
        <v>23000</v>
      </c>
      <c r="W79" s="1461"/>
      <c r="X79" s="1463"/>
      <c r="Y79" s="1459"/>
      <c r="Z79" s="1461"/>
      <c r="AA79" s="1463"/>
      <c r="AB79" s="1464"/>
      <c r="AC79" s="1461"/>
      <c r="AD79" s="1463"/>
      <c r="AE79" s="1464"/>
      <c r="AF79" s="1461"/>
      <c r="AG79" s="1463"/>
      <c r="AH79" s="1464"/>
      <c r="AI79" s="1461"/>
      <c r="AJ79" s="1463"/>
      <c r="AK79" s="1464"/>
      <c r="AL79" s="1459"/>
      <c r="AM79" s="1463"/>
      <c r="AN79" s="1464"/>
      <c r="AO79" s="1459"/>
      <c r="AP79" s="1463"/>
      <c r="AQ79" s="1464"/>
      <c r="AR79" s="1459"/>
      <c r="AS79" s="1460"/>
      <c r="AT79" s="1464"/>
      <c r="AU79" s="1459"/>
      <c r="AV79" s="1460"/>
      <c r="AW79" s="1459"/>
      <c r="AX79" s="1459"/>
      <c r="AY79" s="1463"/>
      <c r="AZ79" s="1464"/>
      <c r="BA79" s="1465">
        <f>SUM(BA62:BA78)</f>
        <v>286.26567164179102</v>
      </c>
      <c r="BB79" s="1463"/>
      <c r="BC79" s="1464"/>
      <c r="BD79" s="1465">
        <f>SUM(BD62:BD78)</f>
        <v>305.39999999999998</v>
      </c>
      <c r="BE79" s="1463"/>
      <c r="BF79" s="1459"/>
      <c r="BG79" s="1465">
        <f>SUM(BG62:BG78)</f>
        <v>625.8656716417911</v>
      </c>
      <c r="BH79" s="1463"/>
      <c r="BI79" s="1464"/>
      <c r="BJ79" s="1465">
        <f>SUM(BJ62:BJ78)</f>
        <v>749</v>
      </c>
      <c r="BK79" s="1463"/>
      <c r="BL79" s="1464"/>
      <c r="BM79" s="1465">
        <f>SUM(BM62:BM78)</f>
        <v>782.53233830845772</v>
      </c>
      <c r="BN79" s="1463"/>
      <c r="BO79" s="1464"/>
      <c r="BP79" s="1465">
        <f>SUM(BP62:BP78)</f>
        <v>913</v>
      </c>
      <c r="BQ79" s="1463"/>
      <c r="BR79" s="1459"/>
      <c r="BS79" s="1465">
        <f>SUM(BS62:BS78)</f>
        <v>0</v>
      </c>
      <c r="BT79" s="1463"/>
      <c r="BU79" s="1464"/>
      <c r="BV79" s="1459"/>
      <c r="BW79" s="1463"/>
      <c r="BX79" s="1464"/>
      <c r="BY79" s="1459"/>
      <c r="BZ79" s="1463"/>
      <c r="CA79" s="1464"/>
      <c r="CB79" s="1459"/>
      <c r="CC79" s="1463"/>
      <c r="CD79" s="1464"/>
      <c r="CE79" s="1459"/>
      <c r="CF79" s="1463"/>
      <c r="CG79" s="1464"/>
      <c r="CH79" s="1459"/>
      <c r="CI79" s="1463"/>
      <c r="CJ79" s="1464"/>
      <c r="CK79" s="1459"/>
      <c r="CL79" s="1463"/>
      <c r="CM79" s="1464"/>
      <c r="CN79" s="1459"/>
      <c r="CO79" s="1463"/>
      <c r="CP79" s="1464"/>
      <c r="CQ79" s="1459"/>
      <c r="CR79" s="1463"/>
      <c r="CS79" s="1464"/>
      <c r="CT79" s="1459"/>
      <c r="CU79" s="1463"/>
      <c r="CV79" s="1464"/>
      <c r="CW79" s="1459"/>
      <c r="CX79" s="1463"/>
      <c r="CY79" s="1464"/>
      <c r="CZ79" s="1459"/>
      <c r="DA79" s="1463"/>
      <c r="DB79" s="1464"/>
      <c r="DC79" s="1459"/>
      <c r="DD79" s="1463"/>
      <c r="DE79" s="1459"/>
      <c r="DF79" s="1459"/>
      <c r="DG79" s="1463"/>
      <c r="DH79" s="1459"/>
      <c r="DI79" s="1459"/>
      <c r="DJ79" s="1463"/>
      <c r="DK79" s="1459"/>
      <c r="DL79" s="1459"/>
      <c r="DM79" s="1463"/>
      <c r="DN79" s="1459"/>
      <c r="DO79" s="1459"/>
      <c r="DP79" s="1463"/>
      <c r="DQ79" s="1459"/>
      <c r="DR79" s="1459"/>
      <c r="DS79" s="1463"/>
      <c r="DT79" s="1459"/>
      <c r="DU79" s="1459"/>
      <c r="DV79" s="1463"/>
      <c r="DW79" s="1459"/>
      <c r="DX79" s="1466"/>
    </row>
    <row r="80" spans="1:128" ht="15.75" thickTop="1" thickBot="1">
      <c r="A80" s="1129"/>
      <c r="B80" s="1311"/>
      <c r="C80" s="1147"/>
      <c r="D80" s="1211"/>
      <c r="E80" s="1212"/>
      <c r="F80" s="1129"/>
      <c r="G80" s="1212"/>
      <c r="H80" s="1212"/>
      <c r="I80" s="1129"/>
      <c r="J80" s="1212"/>
      <c r="K80" s="1212"/>
      <c r="L80" s="1129"/>
      <c r="M80" s="1212"/>
      <c r="N80" s="1212"/>
      <c r="O80" s="1129"/>
      <c r="P80" s="1212"/>
      <c r="Q80" s="1212"/>
      <c r="R80" s="1129"/>
      <c r="S80" s="1212"/>
      <c r="T80" s="1212"/>
      <c r="U80" s="1129"/>
      <c r="V80" s="1237"/>
      <c r="W80" s="1212"/>
      <c r="X80" s="1129"/>
      <c r="Y80" s="1212"/>
      <c r="Z80" s="1212"/>
      <c r="AA80" s="1129"/>
      <c r="AB80" s="1237"/>
      <c r="AC80" s="1212"/>
      <c r="AD80" s="1129"/>
      <c r="AE80" s="1237"/>
      <c r="AF80" s="1212"/>
      <c r="AG80" s="1129"/>
      <c r="AH80" s="1237"/>
      <c r="AI80" s="1212"/>
      <c r="AJ80" s="1129"/>
      <c r="AK80" s="1237"/>
      <c r="AL80" s="1212"/>
      <c r="AM80" s="1129"/>
      <c r="AN80" s="1237"/>
      <c r="AO80" s="1212"/>
      <c r="AP80" s="1129"/>
      <c r="AQ80" s="1237"/>
      <c r="AR80" s="1212"/>
      <c r="AS80" s="1129"/>
      <c r="AT80" s="1237"/>
      <c r="AU80" s="1212"/>
      <c r="AV80" s="1129"/>
      <c r="AW80" s="1212"/>
      <c r="AX80" s="1212"/>
      <c r="BA80" s="1212"/>
      <c r="BD80" s="1212"/>
      <c r="BV80" s="1212"/>
      <c r="BY80" s="1212"/>
      <c r="CB80" s="1212"/>
      <c r="CE80" s="1212"/>
      <c r="CH80" s="1212"/>
      <c r="CK80" s="1212"/>
      <c r="CN80" s="1212"/>
      <c r="CQ80" s="1212"/>
      <c r="CT80" s="1212"/>
      <c r="CW80" s="1212"/>
      <c r="CZ80" s="1212"/>
      <c r="DC80" s="1212"/>
      <c r="DF80" s="1212"/>
      <c r="DI80" s="1212"/>
      <c r="DL80" s="1212"/>
      <c r="DO80" s="1212"/>
      <c r="DR80" s="1212"/>
      <c r="DU80" s="1212"/>
      <c r="DX80" s="1212"/>
    </row>
    <row r="81" spans="1:128" s="1300" customFormat="1" ht="15.75" thickTop="1" thickBot="1">
      <c r="A81" s="1299"/>
      <c r="B81" s="1304" t="s">
        <v>968</v>
      </c>
      <c r="C81" s="1173"/>
      <c r="D81" s="1202"/>
      <c r="E81" s="1203"/>
      <c r="F81" s="1174"/>
      <c r="G81" s="1216"/>
      <c r="H81" s="1203"/>
      <c r="I81" s="1174"/>
      <c r="J81" s="1216"/>
      <c r="K81" s="1203"/>
      <c r="L81" s="1174"/>
      <c r="M81" s="1216"/>
      <c r="N81" s="1203"/>
      <c r="O81" s="1174"/>
      <c r="P81" s="1216"/>
      <c r="Q81" s="1227"/>
      <c r="R81" s="1174"/>
      <c r="S81" s="1216"/>
      <c r="T81" s="1216"/>
      <c r="U81" s="1174"/>
      <c r="V81" s="1232"/>
      <c r="W81" s="1233"/>
      <c r="X81" s="1174"/>
      <c r="Y81" s="1216"/>
      <c r="Z81" s="1227"/>
      <c r="AA81" s="1174"/>
      <c r="AB81" s="1232"/>
      <c r="AC81" s="1227"/>
      <c r="AD81" s="1174"/>
      <c r="AE81" s="1232"/>
      <c r="AF81" s="1216"/>
      <c r="AG81" s="1174"/>
      <c r="AH81" s="1232"/>
      <c r="AI81" s="1216"/>
      <c r="AJ81" s="1174"/>
      <c r="AK81" s="1232"/>
      <c r="AL81" s="1216"/>
      <c r="AM81" s="1174"/>
      <c r="AN81" s="1232"/>
      <c r="AO81" s="1216"/>
      <c r="AP81" s="1174"/>
      <c r="AQ81" s="1232"/>
      <c r="AR81" s="1216"/>
      <c r="AS81" s="1174"/>
      <c r="AT81" s="1232"/>
      <c r="AU81" s="1216"/>
      <c r="AV81" s="1174"/>
      <c r="AW81" s="1216"/>
      <c r="AX81" s="1216"/>
      <c r="AY81" s="1174"/>
      <c r="AZ81" s="1232"/>
      <c r="BA81" s="1203">
        <f>BA79+BA55-BA10</f>
        <v>49.205278804477587</v>
      </c>
      <c r="BB81" s="1174"/>
      <c r="BC81" s="1232"/>
      <c r="BD81" s="1203">
        <f>BD79+BD55-BD10</f>
        <v>176.65401369999995</v>
      </c>
      <c r="BE81" s="1174"/>
      <c r="BF81" s="1216"/>
      <c r="BG81" s="1203">
        <f>BG79+BG55-BG10</f>
        <v>75.718508104477792</v>
      </c>
      <c r="BH81" s="1174"/>
      <c r="BI81" s="1232"/>
      <c r="BJ81" s="1203">
        <f>BJ79+BJ55-BJ10</f>
        <v>635.10610218750014</v>
      </c>
      <c r="BK81" s="1174"/>
      <c r="BL81" s="1232"/>
      <c r="BM81" s="1203">
        <f>BM79+BM55-BM10</f>
        <v>-242.53909759328371</v>
      </c>
      <c r="BN81" s="1174"/>
      <c r="BO81" s="1232"/>
      <c r="BP81" s="1203">
        <f>BP79+BP55-BP10</f>
        <v>21.908796250000023</v>
      </c>
      <c r="BQ81" s="1174"/>
      <c r="BR81" s="1216"/>
      <c r="BS81" s="1255">
        <f>BS79+BS55-BS10</f>
        <v>-189.45555555555552</v>
      </c>
      <c r="BT81" s="1174"/>
      <c r="BU81" s="1232"/>
      <c r="BV81" s="1216"/>
      <c r="BW81" s="1174"/>
      <c r="BX81" s="1232"/>
      <c r="BY81" s="1216"/>
      <c r="BZ81" s="1174"/>
      <c r="CA81" s="1232"/>
      <c r="CB81" s="1216"/>
      <c r="CC81" s="1174"/>
      <c r="CD81" s="1232"/>
      <c r="CE81" s="1216"/>
      <c r="CF81" s="1174"/>
      <c r="CG81" s="1232"/>
      <c r="CH81" s="1216"/>
      <c r="CI81" s="1174"/>
      <c r="CJ81" s="1232"/>
      <c r="CK81" s="1216"/>
      <c r="CL81" s="1174"/>
      <c r="CM81" s="1232"/>
      <c r="CN81" s="1216"/>
      <c r="CO81" s="1174"/>
      <c r="CP81" s="1232"/>
      <c r="CQ81" s="1216"/>
      <c r="CR81" s="1174"/>
      <c r="CS81" s="1232"/>
      <c r="CT81" s="1216"/>
      <c r="CU81" s="1174"/>
      <c r="CV81" s="1232"/>
      <c r="CW81" s="1216"/>
      <c r="CX81" s="1174"/>
      <c r="CY81" s="1232"/>
      <c r="CZ81" s="1216"/>
      <c r="DA81" s="1174"/>
      <c r="DB81" s="1232"/>
      <c r="DC81" s="1216"/>
      <c r="DD81" s="1174"/>
      <c r="DE81" s="1216"/>
      <c r="DF81" s="1216"/>
      <c r="DG81" s="1174"/>
      <c r="DH81" s="1216"/>
      <c r="DI81" s="1216"/>
      <c r="DJ81" s="1174"/>
      <c r="DK81" s="1216"/>
      <c r="DL81" s="1216"/>
      <c r="DM81" s="1174"/>
      <c r="DN81" s="1216"/>
      <c r="DO81" s="1216"/>
      <c r="DP81" s="1174"/>
      <c r="DQ81" s="1216"/>
      <c r="DR81" s="1216"/>
      <c r="DS81" s="1174"/>
      <c r="DT81" s="1216"/>
      <c r="DU81" s="1216"/>
      <c r="DV81" s="1174"/>
      <c r="DW81" s="1216"/>
      <c r="DX81" s="1246"/>
    </row>
    <row r="82" spans="1:128" ht="15.75" thickTop="1" thickBot="1">
      <c r="A82" s="1142"/>
      <c r="B82" s="1310" t="s">
        <v>959</v>
      </c>
      <c r="C82" s="1143"/>
      <c r="D82" s="1209"/>
      <c r="E82" s="1210"/>
      <c r="F82" s="1144"/>
      <c r="G82" s="1210"/>
      <c r="H82" s="1210"/>
      <c r="I82" s="1144"/>
      <c r="J82" s="1210"/>
      <c r="K82" s="1226"/>
      <c r="L82" s="1145"/>
      <c r="M82" s="1210"/>
      <c r="N82" s="1226"/>
      <c r="O82" s="1146"/>
      <c r="P82" s="1210"/>
      <c r="Q82" s="1226"/>
      <c r="R82" s="1146"/>
      <c r="S82" s="1210"/>
      <c r="T82" s="1226"/>
      <c r="U82" s="1144"/>
      <c r="V82" s="1236"/>
      <c r="W82" s="1226"/>
      <c r="X82" s="1146"/>
      <c r="Y82" s="1210"/>
      <c r="Z82" s="1226"/>
      <c r="AA82" s="1146"/>
      <c r="AB82" s="1236"/>
      <c r="AC82" s="1226"/>
      <c r="AD82" s="1146"/>
      <c r="AE82" s="1236"/>
      <c r="AF82" s="1226"/>
      <c r="AG82" s="1146"/>
      <c r="AH82" s="1236"/>
      <c r="AI82" s="1226"/>
      <c r="AJ82" s="1146"/>
      <c r="AK82" s="1236"/>
      <c r="AL82" s="1210"/>
      <c r="AM82" s="1146"/>
      <c r="AN82" s="1236"/>
      <c r="AO82" s="1210"/>
      <c r="AP82" s="1146"/>
      <c r="AQ82" s="1236"/>
      <c r="AR82" s="1210"/>
      <c r="AS82" s="1144"/>
      <c r="AT82" s="1236"/>
      <c r="AU82" s="1210"/>
      <c r="AV82" s="1144"/>
      <c r="AW82" s="1210"/>
      <c r="AX82" s="1210"/>
      <c r="AY82" s="1146"/>
      <c r="AZ82" s="1236"/>
      <c r="BA82" s="1264">
        <f>ROUND((BA81+BA6)/AY6,0)</f>
        <v>125</v>
      </c>
      <c r="BB82" s="1146"/>
      <c r="BC82" s="1236"/>
      <c r="BD82" s="1264">
        <f>ROUND((BD81+BD6)/BB6,0)</f>
        <v>158</v>
      </c>
      <c r="BE82" s="1146"/>
      <c r="BF82" s="1210"/>
      <c r="BG82" s="1264">
        <f>ROUND((BG81+BG6)/BE6,0)</f>
        <v>127</v>
      </c>
      <c r="BH82" s="1146"/>
      <c r="BI82" s="1236"/>
      <c r="BJ82" s="1264">
        <f>ROUND((BJ81+BJ6)/BH6,0)</f>
        <v>234</v>
      </c>
      <c r="BK82" s="1146"/>
      <c r="BL82" s="1236"/>
      <c r="BM82" s="1264">
        <f>ROUND((BM81+BM6)/BK6,0)</f>
        <v>137</v>
      </c>
      <c r="BN82" s="1146"/>
      <c r="BO82" s="1236"/>
      <c r="BP82" s="1264">
        <f>ROUND((BP81+BP6)/BN6,0)</f>
        <v>159</v>
      </c>
      <c r="BQ82" s="1146"/>
      <c r="BR82" s="1210"/>
      <c r="BS82" s="1264">
        <f>ROUND((BS81+BS7)/BQ7,0)</f>
        <v>56</v>
      </c>
      <c r="BT82" s="1146"/>
      <c r="BU82" s="1236"/>
      <c r="BV82" s="1210"/>
      <c r="BW82" s="1146"/>
      <c r="BX82" s="1236"/>
      <c r="BY82" s="1210"/>
      <c r="BZ82" s="1146"/>
      <c r="CA82" s="1236"/>
      <c r="CB82" s="1210"/>
      <c r="CC82" s="1146"/>
      <c r="CD82" s="1236"/>
      <c r="CE82" s="1210"/>
      <c r="CF82" s="1146"/>
      <c r="CG82" s="1236"/>
      <c r="CH82" s="1210"/>
      <c r="CI82" s="1146"/>
      <c r="CJ82" s="1236"/>
      <c r="CK82" s="1210"/>
      <c r="CL82" s="1146"/>
      <c r="CM82" s="1236"/>
      <c r="CN82" s="1210"/>
      <c r="CO82" s="1146"/>
      <c r="CP82" s="1236"/>
      <c r="CQ82" s="1210"/>
      <c r="CR82" s="1146"/>
      <c r="CS82" s="1236"/>
      <c r="CT82" s="1210"/>
      <c r="CU82" s="1146"/>
      <c r="CV82" s="1236"/>
      <c r="CW82" s="1210"/>
      <c r="CX82" s="1146"/>
      <c r="CY82" s="1236"/>
      <c r="CZ82" s="1210"/>
      <c r="DA82" s="1146"/>
      <c r="DB82" s="1236"/>
      <c r="DC82" s="1210"/>
      <c r="DD82" s="1146"/>
      <c r="DE82" s="1210"/>
      <c r="DF82" s="1210"/>
      <c r="DG82" s="1146"/>
      <c r="DH82" s="1210"/>
      <c r="DI82" s="1210"/>
      <c r="DJ82" s="1146"/>
      <c r="DK82" s="1210"/>
      <c r="DL82" s="1210"/>
      <c r="DM82" s="1146"/>
      <c r="DN82" s="1210"/>
      <c r="DO82" s="1210"/>
      <c r="DP82" s="1146"/>
      <c r="DQ82" s="1210"/>
      <c r="DR82" s="1210"/>
      <c r="DS82" s="1146"/>
      <c r="DT82" s="1210"/>
      <c r="DU82" s="1210"/>
      <c r="DV82" s="1146"/>
      <c r="DW82" s="1210"/>
      <c r="DX82" s="1250"/>
    </row>
    <row r="83" spans="1:128" ht="15" thickTop="1">
      <c r="B83" s="1315" t="s">
        <v>1286</v>
      </c>
    </row>
    <row r="84" spans="1:128" ht="15" thickBot="1">
      <c r="B84" s="1312"/>
    </row>
    <row r="85" spans="1:128" s="1300" customFormat="1" ht="15" thickTop="1">
      <c r="A85" s="1299"/>
      <c r="B85" s="1304" t="s">
        <v>10</v>
      </c>
      <c r="C85" s="1173"/>
      <c r="D85" s="1202"/>
      <c r="E85" s="1203"/>
      <c r="F85" s="1174"/>
      <c r="G85" s="1216"/>
      <c r="H85" s="1203"/>
      <c r="I85" s="1174"/>
      <c r="J85" s="1216"/>
      <c r="K85" s="1203"/>
      <c r="L85" s="1174"/>
      <c r="M85" s="1216"/>
      <c r="N85" s="1203"/>
      <c r="O85" s="1174"/>
      <c r="P85" s="1216"/>
      <c r="Q85" s="1227"/>
      <c r="R85" s="1174"/>
      <c r="S85" s="1216"/>
      <c r="T85" s="1216"/>
      <c r="U85" s="1174"/>
      <c r="V85" s="1232"/>
      <c r="W85" s="1233"/>
      <c r="X85" s="1174"/>
      <c r="Y85" s="1216"/>
      <c r="Z85" s="1227"/>
      <c r="AA85" s="1174"/>
      <c r="AB85" s="1232"/>
      <c r="AC85" s="1227"/>
      <c r="AD85" s="1174"/>
      <c r="AE85" s="1232"/>
      <c r="AF85" s="1216"/>
      <c r="AG85" s="1174"/>
      <c r="AH85" s="1232"/>
      <c r="AI85" s="1216"/>
      <c r="AJ85" s="1174"/>
      <c r="AK85" s="1232"/>
      <c r="AL85" s="1216"/>
      <c r="AM85" s="1174"/>
      <c r="AN85" s="1232"/>
      <c r="AO85" s="1216"/>
      <c r="AP85" s="1174"/>
      <c r="AQ85" s="1232"/>
      <c r="AR85" s="1216"/>
      <c r="AS85" s="1174"/>
      <c r="AT85" s="1232"/>
      <c r="AU85" s="1216"/>
      <c r="AV85" s="1174"/>
      <c r="AW85" s="1216"/>
      <c r="AX85" s="1216"/>
      <c r="AY85" s="1174"/>
      <c r="AZ85" s="1232"/>
      <c r="BA85" s="1216"/>
      <c r="BB85" s="1174"/>
      <c r="BC85" s="1232"/>
      <c r="BD85" s="1216"/>
      <c r="BE85" s="1174"/>
      <c r="BF85" s="1216"/>
      <c r="BG85" s="1203"/>
      <c r="BH85" s="1174"/>
      <c r="BI85" s="1232"/>
      <c r="BJ85" s="1203"/>
      <c r="BK85" s="1174"/>
      <c r="BL85" s="1232"/>
      <c r="BM85" s="1203"/>
      <c r="BN85" s="1174"/>
      <c r="BO85" s="1232"/>
      <c r="BP85" s="1203"/>
      <c r="BQ85" s="1174"/>
      <c r="BR85" s="1216"/>
      <c r="BS85" s="1255"/>
      <c r="BT85" s="1174"/>
      <c r="BU85" s="1232"/>
      <c r="BV85" s="1216"/>
      <c r="BW85" s="1174"/>
      <c r="BX85" s="1232"/>
      <c r="BY85" s="1216"/>
      <c r="BZ85" s="1174"/>
      <c r="CA85" s="1232"/>
      <c r="CB85" s="1216"/>
      <c r="CC85" s="1174"/>
      <c r="CD85" s="1232"/>
      <c r="CE85" s="1216"/>
      <c r="CF85" s="1174"/>
      <c r="CG85" s="1232"/>
      <c r="CH85" s="1216"/>
      <c r="CI85" s="1174"/>
      <c r="CJ85" s="1232"/>
      <c r="CK85" s="1216"/>
      <c r="CL85" s="1174"/>
      <c r="CM85" s="1232"/>
      <c r="CN85" s="1216"/>
      <c r="CO85" s="1174"/>
      <c r="CP85" s="1232"/>
      <c r="CQ85" s="1216"/>
      <c r="CR85" s="1174"/>
      <c r="CS85" s="1232"/>
      <c r="CT85" s="1216"/>
      <c r="CU85" s="1174"/>
      <c r="CV85" s="1232"/>
      <c r="CW85" s="1216"/>
      <c r="CX85" s="1174"/>
      <c r="CY85" s="1232"/>
      <c r="CZ85" s="1216"/>
      <c r="DA85" s="1174"/>
      <c r="DB85" s="1232"/>
      <c r="DC85" s="1216"/>
      <c r="DD85" s="1174"/>
      <c r="DE85" s="1216"/>
      <c r="DF85" s="1216"/>
      <c r="DG85" s="1174"/>
      <c r="DH85" s="1216"/>
      <c r="DI85" s="1216"/>
      <c r="DJ85" s="1174"/>
      <c r="DK85" s="1216"/>
      <c r="DL85" s="1216"/>
      <c r="DM85" s="1174"/>
      <c r="DN85" s="1216"/>
      <c r="DO85" s="1216"/>
      <c r="DP85" s="1174"/>
      <c r="DQ85" s="1216"/>
      <c r="DR85" s="1216"/>
      <c r="DS85" s="1174"/>
      <c r="DT85" s="1216"/>
      <c r="DU85" s="1216"/>
      <c r="DV85" s="1174"/>
      <c r="DW85" s="1216"/>
      <c r="DX85" s="1246"/>
    </row>
    <row r="86" spans="1:128">
      <c r="B86" s="1305" t="s">
        <v>226</v>
      </c>
      <c r="C86" s="1185"/>
      <c r="D86" s="1195"/>
      <c r="E86" s="1199"/>
      <c r="F86" s="1186"/>
      <c r="G86" s="1195"/>
      <c r="H86" s="1199"/>
      <c r="I86" s="1186"/>
      <c r="J86" s="1195"/>
      <c r="K86" s="1222"/>
      <c r="L86" s="1186"/>
      <c r="M86" s="1195"/>
      <c r="N86" s="1222"/>
      <c r="O86" s="1156"/>
      <c r="P86" s="1195"/>
      <c r="Q86" s="1222"/>
      <c r="R86" s="1156"/>
      <c r="S86" s="1195"/>
      <c r="T86" s="1222"/>
      <c r="U86" s="1156">
        <v>92000</v>
      </c>
      <c r="V86" s="1195"/>
      <c r="W86" s="1222"/>
      <c r="X86" s="1156"/>
      <c r="Y86" s="1195"/>
      <c r="Z86" s="1222"/>
      <c r="AA86" s="1156"/>
      <c r="AB86" s="1195"/>
      <c r="AC86" s="1222"/>
      <c r="AD86" s="1156"/>
      <c r="AE86" s="1195"/>
      <c r="AF86" s="1222"/>
      <c r="AG86" s="1156"/>
      <c r="AH86" s="1195"/>
      <c r="AI86" s="1222"/>
      <c r="AJ86" s="1156"/>
      <c r="AK86" s="1195"/>
      <c r="AL86" s="1222"/>
      <c r="AM86" s="1156"/>
      <c r="AN86" s="1195"/>
      <c r="AO86" s="1222"/>
      <c r="AP86" s="1156"/>
      <c r="AQ86" s="1195"/>
      <c r="AR86" s="1222"/>
      <c r="AS86" s="1156"/>
      <c r="AT86" s="1195"/>
      <c r="AU86" s="1222"/>
      <c r="AV86" s="1156"/>
      <c r="AW86" s="1195"/>
      <c r="AX86" s="1222"/>
      <c r="AY86" s="1156"/>
      <c r="AZ86" s="1195"/>
      <c r="BA86" s="1222"/>
      <c r="BB86" s="1183"/>
      <c r="BC86" s="1195"/>
      <c r="BD86" s="1222"/>
      <c r="BE86" s="1156"/>
      <c r="BF86" s="1195"/>
      <c r="BG86" s="1222"/>
      <c r="BH86" s="1156"/>
      <c r="BI86" s="1195"/>
      <c r="BJ86" s="1222"/>
      <c r="BK86" s="1156"/>
      <c r="BL86" s="1195"/>
      <c r="BM86" s="1222"/>
      <c r="BN86" s="1156"/>
      <c r="BO86" s="1195"/>
      <c r="BP86" s="1222"/>
      <c r="BQ86" s="1156"/>
      <c r="BR86" s="1217"/>
      <c r="BS86" s="1222"/>
      <c r="BT86" s="1156"/>
      <c r="BU86" s="1195"/>
      <c r="BV86" s="1222"/>
      <c r="BW86" s="1156"/>
      <c r="BX86" s="1195"/>
      <c r="BY86" s="1222"/>
      <c r="BZ86" s="1156"/>
      <c r="CA86" s="1195"/>
      <c r="CB86" s="1222"/>
      <c r="CC86" s="1156"/>
      <c r="CD86" s="1195"/>
      <c r="CE86" s="1222"/>
      <c r="CF86" s="1156"/>
      <c r="CG86" s="1195"/>
      <c r="CH86" s="1222"/>
      <c r="CI86" s="1156"/>
      <c r="CJ86" s="1195"/>
      <c r="CK86" s="1222"/>
      <c r="CL86" s="1156"/>
      <c r="CM86" s="1195"/>
      <c r="CN86" s="1222"/>
      <c r="CO86" s="1156"/>
      <c r="CP86" s="1195"/>
      <c r="CQ86" s="1222"/>
      <c r="CR86" s="1156"/>
      <c r="CS86" s="1195"/>
      <c r="CT86" s="1222"/>
      <c r="CU86" s="1156"/>
      <c r="CV86" s="1195"/>
      <c r="CW86" s="1222"/>
      <c r="CX86" s="1156"/>
      <c r="CY86" s="1195"/>
      <c r="CZ86" s="1222"/>
      <c r="DA86" s="1156"/>
      <c r="DB86" s="1195"/>
      <c r="DC86" s="1222"/>
      <c r="DD86" s="1156"/>
      <c r="DE86" s="1217"/>
      <c r="DF86" s="1222"/>
      <c r="DG86" s="1156"/>
      <c r="DH86" s="1217"/>
      <c r="DI86" s="1222"/>
      <c r="DJ86" s="1156"/>
      <c r="DK86" s="1217"/>
      <c r="DL86" s="1222"/>
      <c r="DM86" s="1156"/>
      <c r="DN86" s="1217"/>
      <c r="DO86" s="1222"/>
      <c r="DP86" s="1156"/>
      <c r="DQ86" s="1217"/>
      <c r="DR86" s="1222"/>
      <c r="DS86" s="1156"/>
      <c r="DT86" s="1217"/>
      <c r="DU86" s="1222"/>
      <c r="DV86" s="1156"/>
      <c r="DW86" s="1217"/>
      <c r="DX86" s="1244"/>
    </row>
    <row r="87" spans="1:128">
      <c r="B87" s="1305" t="s">
        <v>227</v>
      </c>
      <c r="C87" s="1185"/>
      <c r="D87" s="1195"/>
      <c r="E87" s="1199"/>
      <c r="F87" s="1186"/>
      <c r="G87" s="1195"/>
      <c r="H87" s="1199"/>
      <c r="I87" s="1186"/>
      <c r="J87" s="1195"/>
      <c r="K87" s="1222"/>
      <c r="L87" s="1186"/>
      <c r="M87" s="1195"/>
      <c r="N87" s="1222"/>
      <c r="O87" s="1156"/>
      <c r="P87" s="1195"/>
      <c r="Q87" s="1222"/>
      <c r="R87" s="1156"/>
      <c r="S87" s="1195"/>
      <c r="T87" s="1222"/>
      <c r="U87" s="1156">
        <v>13750</v>
      </c>
      <c r="V87" s="1195"/>
      <c r="W87" s="1222"/>
      <c r="X87" s="1156"/>
      <c r="Y87" s="1195"/>
      <c r="Z87" s="1222"/>
      <c r="AA87" s="1156"/>
      <c r="AB87" s="1195"/>
      <c r="AC87" s="1222"/>
      <c r="AD87" s="1156"/>
      <c r="AE87" s="1195"/>
      <c r="AF87" s="1222"/>
      <c r="AG87" s="1156"/>
      <c r="AH87" s="1195"/>
      <c r="AI87" s="1222"/>
      <c r="AJ87" s="1156"/>
      <c r="AK87" s="1195"/>
      <c r="AL87" s="1222"/>
      <c r="AM87" s="1156"/>
      <c r="AN87" s="1195"/>
      <c r="AO87" s="1222"/>
      <c r="AP87" s="1156"/>
      <c r="AQ87" s="1195"/>
      <c r="AR87" s="1222"/>
      <c r="AS87" s="1156"/>
      <c r="AT87" s="1195"/>
      <c r="AU87" s="1222"/>
      <c r="AV87" s="1156"/>
      <c r="AW87" s="1195"/>
      <c r="AX87" s="1222"/>
      <c r="AY87" s="1156"/>
      <c r="AZ87" s="1195"/>
      <c r="BA87" s="1222"/>
      <c r="BB87" s="1183"/>
      <c r="BC87" s="1195"/>
      <c r="BD87" s="1222"/>
      <c r="BE87" s="1156"/>
      <c r="BF87" s="1195"/>
      <c r="BG87" s="1222"/>
      <c r="BH87" s="1156"/>
      <c r="BI87" s="1195"/>
      <c r="BJ87" s="1222"/>
      <c r="BK87" s="1156"/>
      <c r="BL87" s="1195"/>
      <c r="BM87" s="1222"/>
      <c r="BN87" s="1156"/>
      <c r="BO87" s="1195"/>
      <c r="BP87" s="1222"/>
      <c r="BQ87" s="1156"/>
      <c r="BR87" s="1217"/>
      <c r="BS87" s="1222"/>
      <c r="BT87" s="1156"/>
      <c r="BU87" s="1195"/>
      <c r="BV87" s="1222"/>
      <c r="BW87" s="1156"/>
      <c r="BX87" s="1195"/>
      <c r="BY87" s="1222"/>
      <c r="BZ87" s="1156"/>
      <c r="CA87" s="1195"/>
      <c r="CB87" s="1222"/>
      <c r="CC87" s="1156"/>
      <c r="CD87" s="1195"/>
      <c r="CE87" s="1222"/>
      <c r="CF87" s="1156"/>
      <c r="CG87" s="1195"/>
      <c r="CH87" s="1222"/>
      <c r="CI87" s="1156"/>
      <c r="CJ87" s="1195"/>
      <c r="CK87" s="1222"/>
      <c r="CL87" s="1156"/>
      <c r="CM87" s="1195"/>
      <c r="CN87" s="1222"/>
      <c r="CO87" s="1156"/>
      <c r="CP87" s="1195"/>
      <c r="CQ87" s="1222"/>
      <c r="CR87" s="1156"/>
      <c r="CS87" s="1195"/>
      <c r="CT87" s="1222"/>
      <c r="CU87" s="1156"/>
      <c r="CV87" s="1195"/>
      <c r="CW87" s="1222"/>
      <c r="CX87" s="1156"/>
      <c r="CY87" s="1195"/>
      <c r="CZ87" s="1222"/>
      <c r="DA87" s="1156"/>
      <c r="DB87" s="1195"/>
      <c r="DC87" s="1222"/>
      <c r="DD87" s="1156"/>
      <c r="DE87" s="1217"/>
      <c r="DF87" s="1222"/>
      <c r="DG87" s="1156"/>
      <c r="DH87" s="1217"/>
      <c r="DI87" s="1222"/>
      <c r="DJ87" s="1156"/>
      <c r="DK87" s="1217"/>
      <c r="DL87" s="1222"/>
      <c r="DM87" s="1156"/>
      <c r="DN87" s="1217"/>
      <c r="DO87" s="1222"/>
      <c r="DP87" s="1156"/>
      <c r="DQ87" s="1217"/>
      <c r="DR87" s="1222"/>
      <c r="DS87" s="1156"/>
      <c r="DT87" s="1217"/>
      <c r="DU87" s="1222"/>
      <c r="DV87" s="1156"/>
      <c r="DW87" s="1217"/>
      <c r="DX87" s="1244"/>
    </row>
    <row r="88" spans="1:128">
      <c r="B88" s="1305" t="s">
        <v>228</v>
      </c>
      <c r="C88" s="1185"/>
      <c r="D88" s="1195"/>
      <c r="E88" s="1199"/>
      <c r="F88" s="1186"/>
      <c r="G88" s="1195"/>
      <c r="H88" s="1199"/>
      <c r="I88" s="1186"/>
      <c r="J88" s="1195"/>
      <c r="K88" s="1222"/>
      <c r="L88" s="1186"/>
      <c r="M88" s="1195"/>
      <c r="N88" s="1222"/>
      <c r="O88" s="1156"/>
      <c r="P88" s="1195"/>
      <c r="Q88" s="1222"/>
      <c r="R88" s="1156"/>
      <c r="S88" s="1195"/>
      <c r="T88" s="1222"/>
      <c r="U88" s="1156">
        <v>31250</v>
      </c>
      <c r="V88" s="1195"/>
      <c r="W88" s="1222"/>
      <c r="X88" s="1156"/>
      <c r="Y88" s="1195"/>
      <c r="Z88" s="1222"/>
      <c r="AA88" s="1156"/>
      <c r="AB88" s="1195"/>
      <c r="AC88" s="1222"/>
      <c r="AD88" s="1156"/>
      <c r="AE88" s="1195"/>
      <c r="AF88" s="1222"/>
      <c r="AG88" s="1156"/>
      <c r="AH88" s="1195"/>
      <c r="AI88" s="1222"/>
      <c r="AJ88" s="1156"/>
      <c r="AK88" s="1195"/>
      <c r="AL88" s="1222"/>
      <c r="AM88" s="1156"/>
      <c r="AN88" s="1195"/>
      <c r="AO88" s="1222"/>
      <c r="AP88" s="1156"/>
      <c r="AQ88" s="1195"/>
      <c r="AR88" s="1222"/>
      <c r="AS88" s="1156"/>
      <c r="AT88" s="1195"/>
      <c r="AU88" s="1222"/>
      <c r="AV88" s="1156"/>
      <c r="AW88" s="1195"/>
      <c r="AX88" s="1222"/>
      <c r="AY88" s="1156"/>
      <c r="AZ88" s="1195"/>
      <c r="BA88" s="1222"/>
      <c r="BB88" s="1183"/>
      <c r="BC88" s="1195"/>
      <c r="BD88" s="1222"/>
      <c r="BE88" s="1156"/>
      <c r="BF88" s="1195"/>
      <c r="BG88" s="1222"/>
      <c r="BH88" s="1156"/>
      <c r="BI88" s="1195"/>
      <c r="BJ88" s="1222"/>
      <c r="BK88" s="1156"/>
      <c r="BL88" s="1195"/>
      <c r="BM88" s="1222"/>
      <c r="BN88" s="1156"/>
      <c r="BO88" s="1195"/>
      <c r="BP88" s="1222"/>
      <c r="BQ88" s="1156"/>
      <c r="BR88" s="1217"/>
      <c r="BS88" s="1222"/>
      <c r="BT88" s="1156"/>
      <c r="BU88" s="1195"/>
      <c r="BV88" s="1222"/>
      <c r="BW88" s="1156"/>
      <c r="BX88" s="1195"/>
      <c r="BY88" s="1222"/>
      <c r="BZ88" s="1156"/>
      <c r="CA88" s="1195"/>
      <c r="CB88" s="1222"/>
      <c r="CC88" s="1156"/>
      <c r="CD88" s="1195"/>
      <c r="CE88" s="1222"/>
      <c r="CF88" s="1156"/>
      <c r="CG88" s="1195"/>
      <c r="CH88" s="1222"/>
      <c r="CI88" s="1156"/>
      <c r="CJ88" s="1195"/>
      <c r="CK88" s="1222"/>
      <c r="CL88" s="1156"/>
      <c r="CM88" s="1195"/>
      <c r="CN88" s="1222"/>
      <c r="CO88" s="1156"/>
      <c r="CP88" s="1195"/>
      <c r="CQ88" s="1222"/>
      <c r="CR88" s="1156"/>
      <c r="CS88" s="1195"/>
      <c r="CT88" s="1222"/>
      <c r="CU88" s="1156"/>
      <c r="CV88" s="1195"/>
      <c r="CW88" s="1222"/>
      <c r="CX88" s="1156"/>
      <c r="CY88" s="1195"/>
      <c r="CZ88" s="1222"/>
      <c r="DA88" s="1156"/>
      <c r="DB88" s="1195"/>
      <c r="DC88" s="1222"/>
      <c r="DD88" s="1156"/>
      <c r="DE88" s="1217"/>
      <c r="DF88" s="1222"/>
      <c r="DG88" s="1156"/>
      <c r="DH88" s="1217"/>
      <c r="DI88" s="1222"/>
      <c r="DJ88" s="1156"/>
      <c r="DK88" s="1217"/>
      <c r="DL88" s="1222"/>
      <c r="DM88" s="1156"/>
      <c r="DN88" s="1217"/>
      <c r="DO88" s="1222"/>
      <c r="DP88" s="1156"/>
      <c r="DQ88" s="1217"/>
      <c r="DR88" s="1222"/>
      <c r="DS88" s="1156"/>
      <c r="DT88" s="1217"/>
      <c r="DU88" s="1222"/>
      <c r="DV88" s="1156"/>
      <c r="DW88" s="1217"/>
      <c r="DX88" s="1244"/>
    </row>
    <row r="89" spans="1:128">
      <c r="B89" s="1305" t="s">
        <v>229</v>
      </c>
      <c r="C89" s="1185"/>
      <c r="D89" s="1195"/>
      <c r="E89" s="1199"/>
      <c r="F89" s="1186"/>
      <c r="G89" s="1195"/>
      <c r="H89" s="1199"/>
      <c r="I89" s="1186"/>
      <c r="J89" s="1195"/>
      <c r="K89" s="1222"/>
      <c r="L89" s="1186"/>
      <c r="M89" s="1195"/>
      <c r="N89" s="1222"/>
      <c r="O89" s="1156"/>
      <c r="P89" s="1195"/>
      <c r="Q89" s="1222"/>
      <c r="R89" s="1156"/>
      <c r="S89" s="1195"/>
      <c r="T89" s="1222"/>
      <c r="U89" s="1156">
        <v>30600</v>
      </c>
      <c r="V89" s="1195"/>
      <c r="W89" s="1222"/>
      <c r="X89" s="1156"/>
      <c r="Y89" s="1195"/>
      <c r="Z89" s="1222"/>
      <c r="AA89" s="1156"/>
      <c r="AB89" s="1195"/>
      <c r="AC89" s="1222"/>
      <c r="AD89" s="1156"/>
      <c r="AE89" s="1195"/>
      <c r="AF89" s="1222"/>
      <c r="AG89" s="1156"/>
      <c r="AH89" s="1195"/>
      <c r="AI89" s="1222"/>
      <c r="AJ89" s="1156"/>
      <c r="AK89" s="1195"/>
      <c r="AL89" s="1222"/>
      <c r="AM89" s="1156"/>
      <c r="AN89" s="1195"/>
      <c r="AO89" s="1222"/>
      <c r="AP89" s="1156"/>
      <c r="AQ89" s="1195"/>
      <c r="AR89" s="1222"/>
      <c r="AS89" s="1156"/>
      <c r="AT89" s="1195"/>
      <c r="AU89" s="1222"/>
      <c r="AV89" s="1156"/>
      <c r="AW89" s="1195"/>
      <c r="AX89" s="1222"/>
      <c r="AY89" s="1156"/>
      <c r="AZ89" s="1195"/>
      <c r="BA89" s="1222"/>
      <c r="BB89" s="1183"/>
      <c r="BC89" s="1195"/>
      <c r="BD89" s="1222"/>
      <c r="BE89" s="1156"/>
      <c r="BF89" s="1195"/>
      <c r="BG89" s="1222"/>
      <c r="BH89" s="1156"/>
      <c r="BI89" s="1195"/>
      <c r="BJ89" s="1222"/>
      <c r="BK89" s="1156"/>
      <c r="BL89" s="1195"/>
      <c r="BM89" s="1222"/>
      <c r="BN89" s="1156"/>
      <c r="BO89" s="1195"/>
      <c r="BP89" s="1222"/>
      <c r="BQ89" s="1156"/>
      <c r="BR89" s="1217"/>
      <c r="BS89" s="1222"/>
      <c r="BT89" s="1156"/>
      <c r="BU89" s="1195"/>
      <c r="BV89" s="1222"/>
      <c r="BW89" s="1156"/>
      <c r="BX89" s="1195"/>
      <c r="BY89" s="1222"/>
      <c r="BZ89" s="1156"/>
      <c r="CA89" s="1195"/>
      <c r="CB89" s="1222"/>
      <c r="CC89" s="1156"/>
      <c r="CD89" s="1195"/>
      <c r="CE89" s="1222"/>
      <c r="CF89" s="1156"/>
      <c r="CG89" s="1195"/>
      <c r="CH89" s="1222"/>
      <c r="CI89" s="1156"/>
      <c r="CJ89" s="1195"/>
      <c r="CK89" s="1222"/>
      <c r="CL89" s="1156"/>
      <c r="CM89" s="1195"/>
      <c r="CN89" s="1222"/>
      <c r="CO89" s="1156"/>
      <c r="CP89" s="1195"/>
      <c r="CQ89" s="1222"/>
      <c r="CR89" s="1156"/>
      <c r="CS89" s="1195"/>
      <c r="CT89" s="1222"/>
      <c r="CU89" s="1156"/>
      <c r="CV89" s="1195"/>
      <c r="CW89" s="1222"/>
      <c r="CX89" s="1156"/>
      <c r="CY89" s="1195"/>
      <c r="CZ89" s="1222"/>
      <c r="DA89" s="1156"/>
      <c r="DB89" s="1195"/>
      <c r="DC89" s="1222"/>
      <c r="DD89" s="1156"/>
      <c r="DE89" s="1217"/>
      <c r="DF89" s="1222"/>
      <c r="DG89" s="1156"/>
      <c r="DH89" s="1217"/>
      <c r="DI89" s="1222"/>
      <c r="DJ89" s="1156"/>
      <c r="DK89" s="1217"/>
      <c r="DL89" s="1222"/>
      <c r="DM89" s="1156"/>
      <c r="DN89" s="1217"/>
      <c r="DO89" s="1222"/>
      <c r="DP89" s="1156"/>
      <c r="DQ89" s="1217"/>
      <c r="DR89" s="1222"/>
      <c r="DS89" s="1156"/>
      <c r="DT89" s="1217"/>
      <c r="DU89" s="1222"/>
      <c r="DV89" s="1156"/>
      <c r="DW89" s="1217"/>
      <c r="DX89" s="1244"/>
    </row>
    <row r="90" spans="1:128">
      <c r="B90" s="1305" t="s">
        <v>230</v>
      </c>
      <c r="C90" s="1185"/>
      <c r="D90" s="1195"/>
      <c r="E90" s="1199"/>
      <c r="F90" s="1186"/>
      <c r="G90" s="1195"/>
      <c r="H90" s="1199"/>
      <c r="I90" s="1186"/>
      <c r="J90" s="1195"/>
      <c r="K90" s="1222"/>
      <c r="L90" s="1186"/>
      <c r="M90" s="1195"/>
      <c r="N90" s="1222"/>
      <c r="O90" s="1156"/>
      <c r="P90" s="1195"/>
      <c r="Q90" s="1222"/>
      <c r="R90" s="1156"/>
      <c r="S90" s="1195"/>
      <c r="T90" s="1222"/>
      <c r="U90" s="1156">
        <v>70000</v>
      </c>
      <c r="V90" s="1195"/>
      <c r="W90" s="1222"/>
      <c r="X90" s="1156"/>
      <c r="Y90" s="1195"/>
      <c r="Z90" s="1222"/>
      <c r="AA90" s="1156"/>
      <c r="AB90" s="1195"/>
      <c r="AC90" s="1222"/>
      <c r="AD90" s="1156"/>
      <c r="AE90" s="1195"/>
      <c r="AF90" s="1222"/>
      <c r="AG90" s="1156"/>
      <c r="AH90" s="1195"/>
      <c r="AI90" s="1222"/>
      <c r="AJ90" s="1156"/>
      <c r="AK90" s="1195"/>
      <c r="AL90" s="1222"/>
      <c r="AM90" s="1156"/>
      <c r="AN90" s="1195"/>
      <c r="AO90" s="1222"/>
      <c r="AP90" s="1156"/>
      <c r="AQ90" s="1195"/>
      <c r="AR90" s="1222"/>
      <c r="AS90" s="1156"/>
      <c r="AT90" s="1195"/>
      <c r="AU90" s="1222"/>
      <c r="AV90" s="1156"/>
      <c r="AW90" s="1195"/>
      <c r="AX90" s="1222"/>
      <c r="AY90" s="1156"/>
      <c r="AZ90" s="1195"/>
      <c r="BA90" s="1222"/>
      <c r="BB90" s="1183"/>
      <c r="BC90" s="1195"/>
      <c r="BD90" s="1222"/>
      <c r="BE90" s="1156"/>
      <c r="BF90" s="1195"/>
      <c r="BG90" s="1222"/>
      <c r="BH90" s="1156"/>
      <c r="BI90" s="1195"/>
      <c r="BJ90" s="1222"/>
      <c r="BK90" s="1156"/>
      <c r="BL90" s="1195"/>
      <c r="BM90" s="1222"/>
      <c r="BN90" s="1156"/>
      <c r="BO90" s="1195"/>
      <c r="BP90" s="1222"/>
      <c r="BQ90" s="1156"/>
      <c r="BR90" s="1217"/>
      <c r="BS90" s="1222"/>
      <c r="BT90" s="1156"/>
      <c r="BU90" s="1195"/>
      <c r="BV90" s="1222"/>
      <c r="BW90" s="1156"/>
      <c r="BX90" s="1195"/>
      <c r="BY90" s="1222"/>
      <c r="BZ90" s="1156"/>
      <c r="CA90" s="1195"/>
      <c r="CB90" s="1222"/>
      <c r="CC90" s="1156"/>
      <c r="CD90" s="1195"/>
      <c r="CE90" s="1222"/>
      <c r="CF90" s="1156"/>
      <c r="CG90" s="1195"/>
      <c r="CH90" s="1222"/>
      <c r="CI90" s="1156"/>
      <c r="CJ90" s="1195"/>
      <c r="CK90" s="1222"/>
      <c r="CL90" s="1156"/>
      <c r="CM90" s="1195"/>
      <c r="CN90" s="1222"/>
      <c r="CO90" s="1156"/>
      <c r="CP90" s="1195"/>
      <c r="CQ90" s="1222"/>
      <c r="CR90" s="1156"/>
      <c r="CS90" s="1195"/>
      <c r="CT90" s="1222"/>
      <c r="CU90" s="1156"/>
      <c r="CV90" s="1195"/>
      <c r="CW90" s="1222"/>
      <c r="CX90" s="1156"/>
      <c r="CY90" s="1195"/>
      <c r="CZ90" s="1222"/>
      <c r="DA90" s="1156"/>
      <c r="DB90" s="1195"/>
      <c r="DC90" s="1222"/>
      <c r="DD90" s="1156"/>
      <c r="DE90" s="1217"/>
      <c r="DF90" s="1222"/>
      <c r="DG90" s="1156"/>
      <c r="DH90" s="1217"/>
      <c r="DI90" s="1222"/>
      <c r="DJ90" s="1156"/>
      <c r="DK90" s="1217"/>
      <c r="DL90" s="1222"/>
      <c r="DM90" s="1156"/>
      <c r="DN90" s="1217"/>
      <c r="DO90" s="1222"/>
      <c r="DP90" s="1156"/>
      <c r="DQ90" s="1217"/>
      <c r="DR90" s="1222"/>
      <c r="DS90" s="1156"/>
      <c r="DT90" s="1217"/>
      <c r="DU90" s="1222"/>
      <c r="DV90" s="1156"/>
      <c r="DW90" s="1217"/>
      <c r="DX90" s="1244"/>
    </row>
    <row r="91" spans="1:128">
      <c r="B91" s="1305" t="s">
        <v>231</v>
      </c>
      <c r="C91" s="1185"/>
      <c r="D91" s="1195"/>
      <c r="E91" s="1199"/>
      <c r="F91" s="1186"/>
      <c r="G91" s="1195"/>
      <c r="H91" s="1199"/>
      <c r="I91" s="1186"/>
      <c r="J91" s="1195"/>
      <c r="K91" s="1222"/>
      <c r="L91" s="1186"/>
      <c r="M91" s="1195"/>
      <c r="N91" s="1222"/>
      <c r="O91" s="1156"/>
      <c r="P91" s="1195"/>
      <c r="Q91" s="1222"/>
      <c r="R91" s="1156"/>
      <c r="S91" s="1195"/>
      <c r="T91" s="1222"/>
      <c r="U91" s="1156">
        <v>30250</v>
      </c>
      <c r="V91" s="1195"/>
      <c r="W91" s="1222"/>
      <c r="X91" s="1156"/>
      <c r="Y91" s="1195"/>
      <c r="Z91" s="1222"/>
      <c r="AA91" s="1156"/>
      <c r="AB91" s="1195"/>
      <c r="AC91" s="1222"/>
      <c r="AD91" s="1156"/>
      <c r="AE91" s="1195"/>
      <c r="AF91" s="1222"/>
      <c r="AG91" s="1156"/>
      <c r="AH91" s="1195"/>
      <c r="AI91" s="1222"/>
      <c r="AJ91" s="1156"/>
      <c r="AK91" s="1195"/>
      <c r="AL91" s="1222"/>
      <c r="AM91" s="1156"/>
      <c r="AN91" s="1195"/>
      <c r="AO91" s="1222"/>
      <c r="AP91" s="1156"/>
      <c r="AQ91" s="1195"/>
      <c r="AR91" s="1222"/>
      <c r="AS91" s="1156"/>
      <c r="AT91" s="1195"/>
      <c r="AU91" s="1222"/>
      <c r="AV91" s="1156"/>
      <c r="AW91" s="1195"/>
      <c r="AX91" s="1222"/>
      <c r="AY91" s="1156"/>
      <c r="AZ91" s="1195"/>
      <c r="BA91" s="1222"/>
      <c r="BB91" s="1183"/>
      <c r="BC91" s="1195"/>
      <c r="BD91" s="1222"/>
      <c r="BE91" s="1156"/>
      <c r="BF91" s="1195"/>
      <c r="BG91" s="1222"/>
      <c r="BH91" s="1156"/>
      <c r="BI91" s="1195"/>
      <c r="BJ91" s="1222"/>
      <c r="BK91" s="1156"/>
      <c r="BL91" s="1195"/>
      <c r="BM91" s="1222"/>
      <c r="BN91" s="1156"/>
      <c r="BO91" s="1195"/>
      <c r="BP91" s="1222"/>
      <c r="BQ91" s="1156"/>
      <c r="BR91" s="1217"/>
      <c r="BS91" s="1222"/>
      <c r="BT91" s="1156"/>
      <c r="BU91" s="1195"/>
      <c r="BV91" s="1222"/>
      <c r="BW91" s="1156"/>
      <c r="BX91" s="1195"/>
      <c r="BY91" s="1222"/>
      <c r="BZ91" s="1156"/>
      <c r="CA91" s="1195"/>
      <c r="CB91" s="1222"/>
      <c r="CC91" s="1156"/>
      <c r="CD91" s="1195"/>
      <c r="CE91" s="1222"/>
      <c r="CF91" s="1156"/>
      <c r="CG91" s="1195"/>
      <c r="CH91" s="1222"/>
      <c r="CI91" s="1156"/>
      <c r="CJ91" s="1195"/>
      <c r="CK91" s="1222"/>
      <c r="CL91" s="1156"/>
      <c r="CM91" s="1195"/>
      <c r="CN91" s="1222"/>
      <c r="CO91" s="1156"/>
      <c r="CP91" s="1195"/>
      <c r="CQ91" s="1222"/>
      <c r="CR91" s="1156"/>
      <c r="CS91" s="1195"/>
      <c r="CT91" s="1222"/>
      <c r="CU91" s="1156"/>
      <c r="CV91" s="1195"/>
      <c r="CW91" s="1222"/>
      <c r="CX91" s="1156"/>
      <c r="CY91" s="1195"/>
      <c r="CZ91" s="1222"/>
      <c r="DA91" s="1156"/>
      <c r="DB91" s="1195"/>
      <c r="DC91" s="1222"/>
      <c r="DD91" s="1156"/>
      <c r="DE91" s="1217"/>
      <c r="DF91" s="1222"/>
      <c r="DG91" s="1156"/>
      <c r="DH91" s="1217"/>
      <c r="DI91" s="1222"/>
      <c r="DJ91" s="1156"/>
      <c r="DK91" s="1217"/>
      <c r="DL91" s="1222"/>
      <c r="DM91" s="1156"/>
      <c r="DN91" s="1217"/>
      <c r="DO91" s="1222"/>
      <c r="DP91" s="1156"/>
      <c r="DQ91" s="1217"/>
      <c r="DR91" s="1222"/>
      <c r="DS91" s="1156"/>
      <c r="DT91" s="1217"/>
      <c r="DU91" s="1222"/>
      <c r="DV91" s="1156"/>
      <c r="DW91" s="1217"/>
      <c r="DX91" s="1244"/>
    </row>
    <row r="92" spans="1:128">
      <c r="B92" s="1305" t="s">
        <v>232</v>
      </c>
      <c r="C92" s="1185"/>
      <c r="D92" s="1195"/>
      <c r="E92" s="1199"/>
      <c r="F92" s="1186"/>
      <c r="G92" s="1195"/>
      <c r="H92" s="1199"/>
      <c r="I92" s="1186"/>
      <c r="J92" s="1195"/>
      <c r="K92" s="1222"/>
      <c r="L92" s="1186"/>
      <c r="M92" s="1195"/>
      <c r="N92" s="1222"/>
      <c r="O92" s="1156"/>
      <c r="P92" s="1195"/>
      <c r="Q92" s="1222"/>
      <c r="R92" s="1156"/>
      <c r="S92" s="1195"/>
      <c r="T92" s="1222"/>
      <c r="U92" s="1156">
        <v>31750</v>
      </c>
      <c r="V92" s="1195"/>
      <c r="W92" s="1222"/>
      <c r="X92" s="1156"/>
      <c r="Y92" s="1195"/>
      <c r="Z92" s="1222"/>
      <c r="AA92" s="1156"/>
      <c r="AB92" s="1195"/>
      <c r="AC92" s="1222"/>
      <c r="AD92" s="1156"/>
      <c r="AE92" s="1195"/>
      <c r="AF92" s="1222"/>
      <c r="AG92" s="1156"/>
      <c r="AH92" s="1195"/>
      <c r="AI92" s="1222"/>
      <c r="AJ92" s="1156"/>
      <c r="AK92" s="1195"/>
      <c r="AL92" s="1222"/>
      <c r="AM92" s="1156"/>
      <c r="AN92" s="1195"/>
      <c r="AO92" s="1222"/>
      <c r="AP92" s="1156"/>
      <c r="AQ92" s="1195"/>
      <c r="AR92" s="1222"/>
      <c r="AS92" s="1156"/>
      <c r="AT92" s="1195"/>
      <c r="AU92" s="1222"/>
      <c r="AV92" s="1156"/>
      <c r="AW92" s="1195"/>
      <c r="AX92" s="1222"/>
      <c r="AY92" s="1156"/>
      <c r="AZ92" s="1195"/>
      <c r="BA92" s="1222"/>
      <c r="BB92" s="1183"/>
      <c r="BC92" s="1195"/>
      <c r="BD92" s="1222"/>
      <c r="BE92" s="1156"/>
      <c r="BF92" s="1195"/>
      <c r="BG92" s="1222"/>
      <c r="BH92" s="1156"/>
      <c r="BI92" s="1195"/>
      <c r="BJ92" s="1222"/>
      <c r="BK92" s="1156"/>
      <c r="BL92" s="1195"/>
      <c r="BM92" s="1222"/>
      <c r="BN92" s="1156"/>
      <c r="BO92" s="1195"/>
      <c r="BP92" s="1222"/>
      <c r="BQ92" s="1156"/>
      <c r="BR92" s="1217"/>
      <c r="BS92" s="1222"/>
      <c r="BT92" s="1156"/>
      <c r="BU92" s="1195"/>
      <c r="BV92" s="1222"/>
      <c r="BW92" s="1156"/>
      <c r="BX92" s="1195"/>
      <c r="BY92" s="1222"/>
      <c r="BZ92" s="1156"/>
      <c r="CA92" s="1195"/>
      <c r="CB92" s="1222"/>
      <c r="CC92" s="1156"/>
      <c r="CD92" s="1195"/>
      <c r="CE92" s="1222"/>
      <c r="CF92" s="1156"/>
      <c r="CG92" s="1195"/>
      <c r="CH92" s="1222"/>
      <c r="CI92" s="1156"/>
      <c r="CJ92" s="1195"/>
      <c r="CK92" s="1222"/>
      <c r="CL92" s="1156"/>
      <c r="CM92" s="1195"/>
      <c r="CN92" s="1222"/>
      <c r="CO92" s="1156"/>
      <c r="CP92" s="1195"/>
      <c r="CQ92" s="1222"/>
      <c r="CR92" s="1156"/>
      <c r="CS92" s="1195"/>
      <c r="CT92" s="1222"/>
      <c r="CU92" s="1156"/>
      <c r="CV92" s="1195"/>
      <c r="CW92" s="1222"/>
      <c r="CX92" s="1156"/>
      <c r="CY92" s="1195"/>
      <c r="CZ92" s="1222"/>
      <c r="DA92" s="1156"/>
      <c r="DB92" s="1195"/>
      <c r="DC92" s="1222"/>
      <c r="DD92" s="1156"/>
      <c r="DE92" s="1217"/>
      <c r="DF92" s="1222"/>
      <c r="DG92" s="1156"/>
      <c r="DH92" s="1217"/>
      <c r="DI92" s="1222"/>
      <c r="DJ92" s="1156"/>
      <c r="DK92" s="1217"/>
      <c r="DL92" s="1222"/>
      <c r="DM92" s="1156"/>
      <c r="DN92" s="1217"/>
      <c r="DO92" s="1222"/>
      <c r="DP92" s="1156"/>
      <c r="DQ92" s="1217"/>
      <c r="DR92" s="1222"/>
      <c r="DS92" s="1156"/>
      <c r="DT92" s="1217"/>
      <c r="DU92" s="1222"/>
      <c r="DV92" s="1156"/>
      <c r="DW92" s="1217"/>
      <c r="DX92" s="1244"/>
    </row>
    <row r="93" spans="1:128">
      <c r="B93" s="1305" t="s">
        <v>233</v>
      </c>
      <c r="C93" s="1185"/>
      <c r="D93" s="1195"/>
      <c r="E93" s="1199"/>
      <c r="F93" s="1186"/>
      <c r="G93" s="1195"/>
      <c r="H93" s="1199"/>
      <c r="I93" s="1186"/>
      <c r="J93" s="1195"/>
      <c r="K93" s="1222"/>
      <c r="L93" s="1186"/>
      <c r="M93" s="1195"/>
      <c r="N93" s="1222"/>
      <c r="O93" s="1156"/>
      <c r="P93" s="1195"/>
      <c r="Q93" s="1222"/>
      <c r="R93" s="1156"/>
      <c r="S93" s="1195"/>
      <c r="T93" s="1222"/>
      <c r="U93" s="1156">
        <v>22750</v>
      </c>
      <c r="V93" s="1195"/>
      <c r="W93" s="1222"/>
      <c r="X93" s="1156"/>
      <c r="Y93" s="1195"/>
      <c r="Z93" s="1222"/>
      <c r="AA93" s="1156"/>
      <c r="AB93" s="1195"/>
      <c r="AC93" s="1222"/>
      <c r="AD93" s="1156"/>
      <c r="AE93" s="1195"/>
      <c r="AF93" s="1222"/>
      <c r="AG93" s="1156"/>
      <c r="AH93" s="1195"/>
      <c r="AI93" s="1222"/>
      <c r="AJ93" s="1156"/>
      <c r="AK93" s="1195"/>
      <c r="AL93" s="1222"/>
      <c r="AM93" s="1156"/>
      <c r="AN93" s="1195"/>
      <c r="AO93" s="1222"/>
      <c r="AP93" s="1156"/>
      <c r="AQ93" s="1195"/>
      <c r="AR93" s="1222"/>
      <c r="AS93" s="1156"/>
      <c r="AT93" s="1195"/>
      <c r="AU93" s="1222"/>
      <c r="AV93" s="1156"/>
      <c r="AW93" s="1195"/>
      <c r="AX93" s="1222"/>
      <c r="AY93" s="1156"/>
      <c r="AZ93" s="1195"/>
      <c r="BA93" s="1222"/>
      <c r="BB93" s="1183"/>
      <c r="BC93" s="1195"/>
      <c r="BD93" s="1222"/>
      <c r="BE93" s="1156"/>
      <c r="BF93" s="1195"/>
      <c r="BG93" s="1222"/>
      <c r="BH93" s="1156"/>
      <c r="BI93" s="1195"/>
      <c r="BJ93" s="1222"/>
      <c r="BK93" s="1156"/>
      <c r="BL93" s="1195"/>
      <c r="BM93" s="1222"/>
      <c r="BN93" s="1156"/>
      <c r="BO93" s="1195"/>
      <c r="BP93" s="1222"/>
      <c r="BQ93" s="1156"/>
      <c r="BR93" s="1217"/>
      <c r="BS93" s="1222"/>
      <c r="BT93" s="1156"/>
      <c r="BU93" s="1195"/>
      <c r="BV93" s="1222"/>
      <c r="BW93" s="1156"/>
      <c r="BX93" s="1195"/>
      <c r="BY93" s="1222"/>
      <c r="BZ93" s="1156"/>
      <c r="CA93" s="1195"/>
      <c r="CB93" s="1222"/>
      <c r="CC93" s="1156"/>
      <c r="CD93" s="1195"/>
      <c r="CE93" s="1222"/>
      <c r="CF93" s="1156"/>
      <c r="CG93" s="1195"/>
      <c r="CH93" s="1222"/>
      <c r="CI93" s="1156"/>
      <c r="CJ93" s="1195"/>
      <c r="CK93" s="1222"/>
      <c r="CL93" s="1156"/>
      <c r="CM93" s="1195"/>
      <c r="CN93" s="1222"/>
      <c r="CO93" s="1156"/>
      <c r="CP93" s="1195"/>
      <c r="CQ93" s="1222"/>
      <c r="CR93" s="1156"/>
      <c r="CS93" s="1195"/>
      <c r="CT93" s="1222"/>
      <c r="CU93" s="1156"/>
      <c r="CV93" s="1195"/>
      <c r="CW93" s="1222"/>
      <c r="CX93" s="1156"/>
      <c r="CY93" s="1195"/>
      <c r="CZ93" s="1222"/>
      <c r="DA93" s="1156"/>
      <c r="DB93" s="1195"/>
      <c r="DC93" s="1222"/>
      <c r="DD93" s="1156"/>
      <c r="DE93" s="1217"/>
      <c r="DF93" s="1222"/>
      <c r="DG93" s="1156"/>
      <c r="DH93" s="1217"/>
      <c r="DI93" s="1222"/>
      <c r="DJ93" s="1156"/>
      <c r="DK93" s="1217"/>
      <c r="DL93" s="1222"/>
      <c r="DM93" s="1156"/>
      <c r="DN93" s="1217"/>
      <c r="DO93" s="1222"/>
      <c r="DP93" s="1156"/>
      <c r="DQ93" s="1217"/>
      <c r="DR93" s="1222"/>
      <c r="DS93" s="1156"/>
      <c r="DT93" s="1217"/>
      <c r="DU93" s="1222"/>
      <c r="DV93" s="1156"/>
      <c r="DW93" s="1217"/>
      <c r="DX93" s="1244"/>
    </row>
    <row r="94" spans="1:128">
      <c r="B94" s="1305" t="s">
        <v>234</v>
      </c>
      <c r="C94" s="1185"/>
      <c r="D94" s="1195"/>
      <c r="E94" s="1199"/>
      <c r="F94" s="1186"/>
      <c r="G94" s="1195"/>
      <c r="H94" s="1199"/>
      <c r="I94" s="1186"/>
      <c r="J94" s="1195"/>
      <c r="K94" s="1222"/>
      <c r="L94" s="1186"/>
      <c r="M94" s="1195"/>
      <c r="N94" s="1222"/>
      <c r="O94" s="1156"/>
      <c r="P94" s="1195"/>
      <c r="Q94" s="1222"/>
      <c r="R94" s="1156"/>
      <c r="S94" s="1195"/>
      <c r="T94" s="1222"/>
      <c r="U94" s="1156">
        <v>26500</v>
      </c>
      <c r="V94" s="1195"/>
      <c r="W94" s="1222"/>
      <c r="X94" s="1156"/>
      <c r="Y94" s="1195"/>
      <c r="Z94" s="1222"/>
      <c r="AA94" s="1156"/>
      <c r="AB94" s="1195"/>
      <c r="AC94" s="1222"/>
      <c r="AD94" s="1156"/>
      <c r="AE94" s="1195"/>
      <c r="AF94" s="1222"/>
      <c r="AG94" s="1156"/>
      <c r="AH94" s="1195"/>
      <c r="AI94" s="1222"/>
      <c r="AJ94" s="1156"/>
      <c r="AK94" s="1195"/>
      <c r="AL94" s="1222"/>
      <c r="AM94" s="1156"/>
      <c r="AN94" s="1195"/>
      <c r="AO94" s="1222"/>
      <c r="AP94" s="1156"/>
      <c r="AQ94" s="1195"/>
      <c r="AR94" s="1222"/>
      <c r="AS94" s="1156"/>
      <c r="AT94" s="1195"/>
      <c r="AU94" s="1222"/>
      <c r="AV94" s="1156"/>
      <c r="AW94" s="1195"/>
      <c r="AX94" s="1222"/>
      <c r="AY94" s="1156"/>
      <c r="AZ94" s="1195"/>
      <c r="BA94" s="1222"/>
      <c r="BB94" s="1183"/>
      <c r="BC94" s="1195"/>
      <c r="BD94" s="1222"/>
      <c r="BE94" s="1156"/>
      <c r="BF94" s="1195"/>
      <c r="BG94" s="1222"/>
      <c r="BH94" s="1156"/>
      <c r="BI94" s="1195"/>
      <c r="BJ94" s="1222"/>
      <c r="BK94" s="1156"/>
      <c r="BL94" s="1195"/>
      <c r="BM94" s="1222"/>
      <c r="BN94" s="1156"/>
      <c r="BO94" s="1195"/>
      <c r="BP94" s="1222"/>
      <c r="BQ94" s="1156"/>
      <c r="BR94" s="1217"/>
      <c r="BS94" s="1222"/>
      <c r="BT94" s="1156"/>
      <c r="BU94" s="1195"/>
      <c r="BV94" s="1222"/>
      <c r="BW94" s="1156"/>
      <c r="BX94" s="1195"/>
      <c r="BY94" s="1222"/>
      <c r="BZ94" s="1156"/>
      <c r="CA94" s="1195"/>
      <c r="CB94" s="1222"/>
      <c r="CC94" s="1156"/>
      <c r="CD94" s="1195"/>
      <c r="CE94" s="1222"/>
      <c r="CF94" s="1156"/>
      <c r="CG94" s="1195"/>
      <c r="CH94" s="1222"/>
      <c r="CI94" s="1156"/>
      <c r="CJ94" s="1195"/>
      <c r="CK94" s="1222"/>
      <c r="CL94" s="1156"/>
      <c r="CM94" s="1195"/>
      <c r="CN94" s="1222"/>
      <c r="CO94" s="1156"/>
      <c r="CP94" s="1195"/>
      <c r="CQ94" s="1222"/>
      <c r="CR94" s="1156"/>
      <c r="CS94" s="1195"/>
      <c r="CT94" s="1222"/>
      <c r="CU94" s="1156"/>
      <c r="CV94" s="1195"/>
      <c r="CW94" s="1222"/>
      <c r="CX94" s="1156"/>
      <c r="CY94" s="1195"/>
      <c r="CZ94" s="1222"/>
      <c r="DA94" s="1156"/>
      <c r="DB94" s="1195"/>
      <c r="DC94" s="1222"/>
      <c r="DD94" s="1156"/>
      <c r="DE94" s="1217"/>
      <c r="DF94" s="1222"/>
      <c r="DG94" s="1156"/>
      <c r="DH94" s="1217"/>
      <c r="DI94" s="1222"/>
      <c r="DJ94" s="1156"/>
      <c r="DK94" s="1217"/>
      <c r="DL94" s="1222"/>
      <c r="DM94" s="1156"/>
      <c r="DN94" s="1217"/>
      <c r="DO94" s="1222"/>
      <c r="DP94" s="1156"/>
      <c r="DQ94" s="1217"/>
      <c r="DR94" s="1222"/>
      <c r="DS94" s="1156"/>
      <c r="DT94" s="1217"/>
      <c r="DU94" s="1222"/>
      <c r="DV94" s="1156"/>
      <c r="DW94" s="1217"/>
      <c r="DX94" s="1244"/>
    </row>
    <row r="95" spans="1:128">
      <c r="B95" s="1305" t="s">
        <v>235</v>
      </c>
      <c r="C95" s="1185"/>
      <c r="D95" s="1195"/>
      <c r="E95" s="1199"/>
      <c r="F95" s="1186"/>
      <c r="G95" s="1195"/>
      <c r="H95" s="1199"/>
      <c r="I95" s="1186"/>
      <c r="J95" s="1195"/>
      <c r="K95" s="1222"/>
      <c r="L95" s="1186"/>
      <c r="M95" s="1195"/>
      <c r="N95" s="1222"/>
      <c r="O95" s="1156"/>
      <c r="P95" s="1195"/>
      <c r="Q95" s="1222"/>
      <c r="R95" s="1156"/>
      <c r="S95" s="1195"/>
      <c r="T95" s="1222"/>
      <c r="U95" s="1156">
        <v>10500</v>
      </c>
      <c r="V95" s="1195"/>
      <c r="W95" s="1222"/>
      <c r="X95" s="1156"/>
      <c r="Y95" s="1195"/>
      <c r="Z95" s="1222"/>
      <c r="AA95" s="1156"/>
      <c r="AB95" s="1195"/>
      <c r="AC95" s="1222"/>
      <c r="AD95" s="1156"/>
      <c r="AE95" s="1195"/>
      <c r="AF95" s="1222"/>
      <c r="AG95" s="1156"/>
      <c r="AH95" s="1195"/>
      <c r="AI95" s="1222"/>
      <c r="AJ95" s="1156"/>
      <c r="AK95" s="1195"/>
      <c r="AL95" s="1222"/>
      <c r="AM95" s="1156"/>
      <c r="AN95" s="1195"/>
      <c r="AO95" s="1222"/>
      <c r="AP95" s="1156"/>
      <c r="AQ95" s="1195"/>
      <c r="AR95" s="1222"/>
      <c r="AS95" s="1156"/>
      <c r="AT95" s="1195"/>
      <c r="AU95" s="1222"/>
      <c r="AV95" s="1156"/>
      <c r="AW95" s="1195"/>
      <c r="AX95" s="1222"/>
      <c r="AY95" s="1156"/>
      <c r="AZ95" s="1195"/>
      <c r="BA95" s="1222"/>
      <c r="BB95" s="1183"/>
      <c r="BC95" s="1195"/>
      <c r="BD95" s="1222"/>
      <c r="BE95" s="1156"/>
      <c r="BF95" s="1195"/>
      <c r="BG95" s="1222"/>
      <c r="BH95" s="1156"/>
      <c r="BI95" s="1195"/>
      <c r="BJ95" s="1222"/>
      <c r="BK95" s="1156"/>
      <c r="BL95" s="1195"/>
      <c r="BM95" s="1222"/>
      <c r="BN95" s="1156"/>
      <c r="BO95" s="1195"/>
      <c r="BP95" s="1222"/>
      <c r="BQ95" s="1156"/>
      <c r="BR95" s="1217"/>
      <c r="BS95" s="1222"/>
      <c r="BT95" s="1156"/>
      <c r="BU95" s="1195"/>
      <c r="BV95" s="1222"/>
      <c r="BW95" s="1156"/>
      <c r="BX95" s="1195"/>
      <c r="BY95" s="1222"/>
      <c r="BZ95" s="1156"/>
      <c r="CA95" s="1195"/>
      <c r="CB95" s="1222"/>
      <c r="CC95" s="1156"/>
      <c r="CD95" s="1195"/>
      <c r="CE95" s="1222"/>
      <c r="CF95" s="1156"/>
      <c r="CG95" s="1195"/>
      <c r="CH95" s="1222"/>
      <c r="CI95" s="1156"/>
      <c r="CJ95" s="1195"/>
      <c r="CK95" s="1222"/>
      <c r="CL95" s="1156"/>
      <c r="CM95" s="1195"/>
      <c r="CN95" s="1222"/>
      <c r="CO95" s="1156"/>
      <c r="CP95" s="1195"/>
      <c r="CQ95" s="1222"/>
      <c r="CR95" s="1156"/>
      <c r="CS95" s="1195"/>
      <c r="CT95" s="1222"/>
      <c r="CU95" s="1156"/>
      <c r="CV95" s="1195"/>
      <c r="CW95" s="1222"/>
      <c r="CX95" s="1156"/>
      <c r="CY95" s="1195"/>
      <c r="CZ95" s="1222"/>
      <c r="DA95" s="1156"/>
      <c r="DB95" s="1195"/>
      <c r="DC95" s="1222"/>
      <c r="DD95" s="1156"/>
      <c r="DE95" s="1217"/>
      <c r="DF95" s="1222"/>
      <c r="DG95" s="1156"/>
      <c r="DH95" s="1217"/>
      <c r="DI95" s="1222"/>
      <c r="DJ95" s="1156"/>
      <c r="DK95" s="1217"/>
      <c r="DL95" s="1222"/>
      <c r="DM95" s="1156"/>
      <c r="DN95" s="1217"/>
      <c r="DO95" s="1222"/>
      <c r="DP95" s="1156"/>
      <c r="DQ95" s="1217"/>
      <c r="DR95" s="1222"/>
      <c r="DS95" s="1156"/>
      <c r="DT95" s="1217"/>
      <c r="DU95" s="1222"/>
      <c r="DV95" s="1156"/>
      <c r="DW95" s="1217"/>
      <c r="DX95" s="1244"/>
    </row>
    <row r="96" spans="1:128">
      <c r="B96" s="1305" t="s">
        <v>236</v>
      </c>
      <c r="C96" s="1185"/>
      <c r="D96" s="1195"/>
      <c r="E96" s="1199"/>
      <c r="F96" s="1186"/>
      <c r="G96" s="1195"/>
      <c r="H96" s="1199"/>
      <c r="I96" s="1186"/>
      <c r="J96" s="1195"/>
      <c r="K96" s="1222"/>
      <c r="L96" s="1186"/>
      <c r="M96" s="1195"/>
      <c r="N96" s="1222"/>
      <c r="O96" s="1156"/>
      <c r="P96" s="1195"/>
      <c r="Q96" s="1222"/>
      <c r="R96" s="1156"/>
      <c r="S96" s="1195"/>
      <c r="T96" s="1222"/>
      <c r="U96" s="1156">
        <v>25000</v>
      </c>
      <c r="V96" s="1195"/>
      <c r="W96" s="1222"/>
      <c r="X96" s="1156"/>
      <c r="Y96" s="1195"/>
      <c r="Z96" s="1222"/>
      <c r="AA96" s="1156"/>
      <c r="AB96" s="1195"/>
      <c r="AC96" s="1222"/>
      <c r="AD96" s="1156"/>
      <c r="AE96" s="1195"/>
      <c r="AF96" s="1222"/>
      <c r="AG96" s="1156"/>
      <c r="AH96" s="1195"/>
      <c r="AI96" s="1222"/>
      <c r="AJ96" s="1156"/>
      <c r="AK96" s="1195"/>
      <c r="AL96" s="1222"/>
      <c r="AM96" s="1156"/>
      <c r="AN96" s="1195"/>
      <c r="AO96" s="1222"/>
      <c r="AP96" s="1156"/>
      <c r="AQ96" s="1195"/>
      <c r="AR96" s="1222"/>
      <c r="AS96" s="1156"/>
      <c r="AT96" s="1195"/>
      <c r="AU96" s="1222"/>
      <c r="AV96" s="1156"/>
      <c r="AW96" s="1195"/>
      <c r="AX96" s="1222"/>
      <c r="AY96" s="1156"/>
      <c r="AZ96" s="1195"/>
      <c r="BA96" s="1222"/>
      <c r="BB96" s="1183"/>
      <c r="BC96" s="1195"/>
      <c r="BD96" s="1222"/>
      <c r="BE96" s="1156"/>
      <c r="BF96" s="1195"/>
      <c r="BG96" s="1222"/>
      <c r="BH96" s="1156"/>
      <c r="BI96" s="1195"/>
      <c r="BJ96" s="1222"/>
      <c r="BK96" s="1156"/>
      <c r="BL96" s="1195"/>
      <c r="BM96" s="1222"/>
      <c r="BN96" s="1156"/>
      <c r="BO96" s="1195"/>
      <c r="BP96" s="1222"/>
      <c r="BQ96" s="1156"/>
      <c r="BR96" s="1217"/>
      <c r="BS96" s="1222"/>
      <c r="BT96" s="1156"/>
      <c r="BU96" s="1195"/>
      <c r="BV96" s="1222"/>
      <c r="BW96" s="1156"/>
      <c r="BX96" s="1195"/>
      <c r="BY96" s="1222"/>
      <c r="BZ96" s="1156"/>
      <c r="CA96" s="1195"/>
      <c r="CB96" s="1222"/>
      <c r="CC96" s="1156"/>
      <c r="CD96" s="1195"/>
      <c r="CE96" s="1222"/>
      <c r="CF96" s="1156"/>
      <c r="CG96" s="1195"/>
      <c r="CH96" s="1222"/>
      <c r="CI96" s="1156"/>
      <c r="CJ96" s="1195"/>
      <c r="CK96" s="1222"/>
      <c r="CL96" s="1156"/>
      <c r="CM96" s="1195"/>
      <c r="CN96" s="1222"/>
      <c r="CO96" s="1156"/>
      <c r="CP96" s="1195"/>
      <c r="CQ96" s="1222"/>
      <c r="CR96" s="1156"/>
      <c r="CS96" s="1195"/>
      <c r="CT96" s="1222"/>
      <c r="CU96" s="1156"/>
      <c r="CV96" s="1195"/>
      <c r="CW96" s="1222"/>
      <c r="CX96" s="1156"/>
      <c r="CY96" s="1195"/>
      <c r="CZ96" s="1222"/>
      <c r="DA96" s="1156"/>
      <c r="DB96" s="1195"/>
      <c r="DC96" s="1222"/>
      <c r="DD96" s="1156"/>
      <c r="DE96" s="1217"/>
      <c r="DF96" s="1222"/>
      <c r="DG96" s="1156"/>
      <c r="DH96" s="1217"/>
      <c r="DI96" s="1222"/>
      <c r="DJ96" s="1156"/>
      <c r="DK96" s="1217"/>
      <c r="DL96" s="1222"/>
      <c r="DM96" s="1156"/>
      <c r="DN96" s="1217"/>
      <c r="DO96" s="1222"/>
      <c r="DP96" s="1156"/>
      <c r="DQ96" s="1217"/>
      <c r="DR96" s="1222"/>
      <c r="DS96" s="1156"/>
      <c r="DT96" s="1217"/>
      <c r="DU96" s="1222"/>
      <c r="DV96" s="1156"/>
      <c r="DW96" s="1217"/>
      <c r="DX96" s="1244"/>
    </row>
    <row r="97" spans="1:128">
      <c r="B97" s="1305" t="s">
        <v>339</v>
      </c>
      <c r="C97" s="1185"/>
      <c r="D97" s="1195"/>
      <c r="E97" s="1199"/>
      <c r="F97" s="1186"/>
      <c r="G97" s="1195"/>
      <c r="H97" s="1199"/>
      <c r="I97" s="1186"/>
      <c r="J97" s="1195"/>
      <c r="K97" s="1222"/>
      <c r="L97" s="1186"/>
      <c r="M97" s="1195"/>
      <c r="N97" s="1222"/>
      <c r="O97" s="1156"/>
      <c r="P97" s="1195"/>
      <c r="Q97" s="1222"/>
      <c r="R97" s="1156"/>
      <c r="S97" s="1195"/>
      <c r="T97" s="1222"/>
      <c r="U97" s="1156">
        <v>13500</v>
      </c>
      <c r="V97" s="1195"/>
      <c r="W97" s="1222"/>
      <c r="X97" s="1156"/>
      <c r="Y97" s="1195"/>
      <c r="Z97" s="1222"/>
      <c r="AA97" s="1156"/>
      <c r="AB97" s="1195"/>
      <c r="AC97" s="1222"/>
      <c r="AD97" s="1156"/>
      <c r="AE97" s="1195"/>
      <c r="AF97" s="1222"/>
      <c r="AG97" s="1156"/>
      <c r="AH97" s="1195"/>
      <c r="AI97" s="1222"/>
      <c r="AJ97" s="1156"/>
      <c r="AK97" s="1195"/>
      <c r="AL97" s="1222"/>
      <c r="AM97" s="1156"/>
      <c r="AN97" s="1195"/>
      <c r="AO97" s="1222"/>
      <c r="AP97" s="1156"/>
      <c r="AQ97" s="1195"/>
      <c r="AR97" s="1222"/>
      <c r="AS97" s="1156"/>
      <c r="AT97" s="1195"/>
      <c r="AU97" s="1222"/>
      <c r="AV97" s="1156"/>
      <c r="AW97" s="1195"/>
      <c r="AX97" s="1222"/>
      <c r="AY97" s="1156"/>
      <c r="AZ97" s="1195"/>
      <c r="BA97" s="1222"/>
      <c r="BB97" s="1183"/>
      <c r="BC97" s="1195"/>
      <c r="BD97" s="1222"/>
      <c r="BE97" s="1156"/>
      <c r="BF97" s="1195"/>
      <c r="BG97" s="1222"/>
      <c r="BH97" s="1156"/>
      <c r="BI97" s="1195"/>
      <c r="BJ97" s="1222"/>
      <c r="BK97" s="1156"/>
      <c r="BL97" s="1195"/>
      <c r="BM97" s="1222"/>
      <c r="BN97" s="1156"/>
      <c r="BO97" s="1195"/>
      <c r="BP97" s="1222"/>
      <c r="BQ97" s="1156"/>
      <c r="BR97" s="1217"/>
      <c r="BS97" s="1222"/>
      <c r="BT97" s="1156"/>
      <c r="BU97" s="1195"/>
      <c r="BV97" s="1222"/>
      <c r="BW97" s="1156"/>
      <c r="BX97" s="1195"/>
      <c r="BY97" s="1222"/>
      <c r="BZ97" s="1156"/>
      <c r="CA97" s="1195"/>
      <c r="CB97" s="1222"/>
      <c r="CC97" s="1156"/>
      <c r="CD97" s="1195"/>
      <c r="CE97" s="1222"/>
      <c r="CF97" s="1156"/>
      <c r="CG97" s="1195"/>
      <c r="CH97" s="1222"/>
      <c r="CI97" s="1156"/>
      <c r="CJ97" s="1195"/>
      <c r="CK97" s="1222"/>
      <c r="CL97" s="1156"/>
      <c r="CM97" s="1195"/>
      <c r="CN97" s="1222"/>
      <c r="CO97" s="1156"/>
      <c r="CP97" s="1195"/>
      <c r="CQ97" s="1222"/>
      <c r="CR97" s="1156"/>
      <c r="CS97" s="1195"/>
      <c r="CT97" s="1222"/>
      <c r="CU97" s="1156"/>
      <c r="CV97" s="1195"/>
      <c r="CW97" s="1222"/>
      <c r="CX97" s="1156"/>
      <c r="CY97" s="1195"/>
      <c r="CZ97" s="1222"/>
      <c r="DA97" s="1156"/>
      <c r="DB97" s="1195"/>
      <c r="DC97" s="1222"/>
      <c r="DD97" s="1156"/>
      <c r="DE97" s="1217"/>
      <c r="DF97" s="1222"/>
      <c r="DG97" s="1156"/>
      <c r="DH97" s="1217"/>
      <c r="DI97" s="1222"/>
      <c r="DJ97" s="1156"/>
      <c r="DK97" s="1217"/>
      <c r="DL97" s="1222"/>
      <c r="DM97" s="1156"/>
      <c r="DN97" s="1217"/>
      <c r="DO97" s="1222"/>
      <c r="DP97" s="1156"/>
      <c r="DQ97" s="1217"/>
      <c r="DR97" s="1222"/>
      <c r="DS97" s="1156"/>
      <c r="DT97" s="1217"/>
      <c r="DU97" s="1222"/>
      <c r="DV97" s="1156"/>
      <c r="DW97" s="1217"/>
      <c r="DX97" s="1244"/>
    </row>
    <row r="98" spans="1:128">
      <c r="B98" s="1305" t="s">
        <v>237</v>
      </c>
      <c r="C98" s="1185"/>
      <c r="D98" s="1195"/>
      <c r="E98" s="1199"/>
      <c r="F98" s="1186"/>
      <c r="G98" s="1195"/>
      <c r="H98" s="1199"/>
      <c r="I98" s="1186"/>
      <c r="J98" s="1195"/>
      <c r="K98" s="1222"/>
      <c r="L98" s="1186"/>
      <c r="M98" s="1195"/>
      <c r="N98" s="1222"/>
      <c r="O98" s="1156"/>
      <c r="P98" s="1195"/>
      <c r="Q98" s="1222"/>
      <c r="R98" s="1156"/>
      <c r="S98" s="1195"/>
      <c r="T98" s="1222"/>
      <c r="U98" s="1156">
        <v>12000</v>
      </c>
      <c r="V98" s="1195"/>
      <c r="W98" s="1222"/>
      <c r="X98" s="1156"/>
      <c r="Y98" s="1195"/>
      <c r="Z98" s="1222"/>
      <c r="AA98" s="1156"/>
      <c r="AB98" s="1195"/>
      <c r="AC98" s="1222"/>
      <c r="AD98" s="1156"/>
      <c r="AE98" s="1195"/>
      <c r="AF98" s="1222"/>
      <c r="AG98" s="1156"/>
      <c r="AH98" s="1195"/>
      <c r="AI98" s="1222"/>
      <c r="AJ98" s="1156"/>
      <c r="AK98" s="1195"/>
      <c r="AL98" s="1222"/>
      <c r="AM98" s="1156"/>
      <c r="AN98" s="1195"/>
      <c r="AO98" s="1222"/>
      <c r="AP98" s="1156"/>
      <c r="AQ98" s="1195"/>
      <c r="AR98" s="1222"/>
      <c r="AS98" s="1156"/>
      <c r="AT98" s="1195"/>
      <c r="AU98" s="1222"/>
      <c r="AV98" s="1156"/>
      <c r="AW98" s="1195"/>
      <c r="AX98" s="1222"/>
      <c r="AY98" s="1156"/>
      <c r="AZ98" s="1195"/>
      <c r="BA98" s="1222"/>
      <c r="BB98" s="1183"/>
      <c r="BC98" s="1195"/>
      <c r="BD98" s="1222"/>
      <c r="BE98" s="1156"/>
      <c r="BF98" s="1195"/>
      <c r="BG98" s="1222"/>
      <c r="BH98" s="1156"/>
      <c r="BI98" s="1195"/>
      <c r="BJ98" s="1222"/>
      <c r="BK98" s="1156"/>
      <c r="BL98" s="1195"/>
      <c r="BM98" s="1222"/>
      <c r="BN98" s="1156"/>
      <c r="BO98" s="1195"/>
      <c r="BP98" s="1222"/>
      <c r="BQ98" s="1156"/>
      <c r="BR98" s="1217"/>
      <c r="BS98" s="1222"/>
      <c r="BT98" s="1156"/>
      <c r="BU98" s="1195"/>
      <c r="BV98" s="1222"/>
      <c r="BW98" s="1156"/>
      <c r="BX98" s="1195"/>
      <c r="BY98" s="1222"/>
      <c r="BZ98" s="1156"/>
      <c r="CA98" s="1195"/>
      <c r="CB98" s="1222"/>
      <c r="CC98" s="1156"/>
      <c r="CD98" s="1195"/>
      <c r="CE98" s="1222"/>
      <c r="CF98" s="1156"/>
      <c r="CG98" s="1195"/>
      <c r="CH98" s="1222"/>
      <c r="CI98" s="1156"/>
      <c r="CJ98" s="1195"/>
      <c r="CK98" s="1222"/>
      <c r="CL98" s="1156"/>
      <c r="CM98" s="1195"/>
      <c r="CN98" s="1222"/>
      <c r="CO98" s="1156"/>
      <c r="CP98" s="1195"/>
      <c r="CQ98" s="1222"/>
      <c r="CR98" s="1156"/>
      <c r="CS98" s="1195"/>
      <c r="CT98" s="1222"/>
      <c r="CU98" s="1156"/>
      <c r="CV98" s="1195"/>
      <c r="CW98" s="1222"/>
      <c r="CX98" s="1156"/>
      <c r="CY98" s="1195"/>
      <c r="CZ98" s="1222"/>
      <c r="DA98" s="1156"/>
      <c r="DB98" s="1195"/>
      <c r="DC98" s="1222"/>
      <c r="DD98" s="1156"/>
      <c r="DE98" s="1217"/>
      <c r="DF98" s="1222"/>
      <c r="DG98" s="1156"/>
      <c r="DH98" s="1217"/>
      <c r="DI98" s="1222"/>
      <c r="DJ98" s="1156"/>
      <c r="DK98" s="1217"/>
      <c r="DL98" s="1222"/>
      <c r="DM98" s="1156"/>
      <c r="DN98" s="1217"/>
      <c r="DO98" s="1222"/>
      <c r="DP98" s="1156"/>
      <c r="DQ98" s="1217"/>
      <c r="DR98" s="1222"/>
      <c r="DS98" s="1156"/>
      <c r="DT98" s="1217"/>
      <c r="DU98" s="1222"/>
      <c r="DV98" s="1156"/>
      <c r="DW98" s="1217"/>
      <c r="DX98" s="1244"/>
    </row>
    <row r="99" spans="1:128">
      <c r="B99" s="1305" t="s">
        <v>238</v>
      </c>
      <c r="C99" s="1185"/>
      <c r="D99" s="1195"/>
      <c r="E99" s="1199"/>
      <c r="F99" s="1186"/>
      <c r="G99" s="1195"/>
      <c r="H99" s="1199"/>
      <c r="I99" s="1186"/>
      <c r="J99" s="1195"/>
      <c r="K99" s="1222"/>
      <c r="L99" s="1186"/>
      <c r="M99" s="1195"/>
      <c r="N99" s="1222"/>
      <c r="O99" s="1156"/>
      <c r="P99" s="1195"/>
      <c r="Q99" s="1222"/>
      <c r="R99" s="1156"/>
      <c r="S99" s="1195"/>
      <c r="T99" s="1222"/>
      <c r="U99" s="1156">
        <v>29000</v>
      </c>
      <c r="V99" s="1195"/>
      <c r="W99" s="1222"/>
      <c r="X99" s="1156"/>
      <c r="Y99" s="1195"/>
      <c r="Z99" s="1222"/>
      <c r="AA99" s="1156"/>
      <c r="AB99" s="1195"/>
      <c r="AC99" s="1222"/>
      <c r="AD99" s="1156"/>
      <c r="AE99" s="1195"/>
      <c r="AF99" s="1222"/>
      <c r="AG99" s="1156"/>
      <c r="AH99" s="1195"/>
      <c r="AI99" s="1222"/>
      <c r="AJ99" s="1156"/>
      <c r="AK99" s="1195"/>
      <c r="AL99" s="1222"/>
      <c r="AM99" s="1156"/>
      <c r="AN99" s="1195"/>
      <c r="AO99" s="1222"/>
      <c r="AP99" s="1156"/>
      <c r="AQ99" s="1195"/>
      <c r="AR99" s="1222"/>
      <c r="AS99" s="1156"/>
      <c r="AT99" s="1195"/>
      <c r="AU99" s="1222"/>
      <c r="AV99" s="1156"/>
      <c r="AW99" s="1195"/>
      <c r="AX99" s="1222"/>
      <c r="AY99" s="1156"/>
      <c r="AZ99" s="1195"/>
      <c r="BA99" s="1222"/>
      <c r="BB99" s="1183"/>
      <c r="BC99" s="1195"/>
      <c r="BD99" s="1222"/>
      <c r="BE99" s="1156"/>
      <c r="BF99" s="1195"/>
      <c r="BG99" s="1222"/>
      <c r="BH99" s="1156"/>
      <c r="BI99" s="1195"/>
      <c r="BJ99" s="1222"/>
      <c r="BK99" s="1156"/>
      <c r="BL99" s="1195"/>
      <c r="BM99" s="1222"/>
      <c r="BN99" s="1156"/>
      <c r="BO99" s="1195"/>
      <c r="BP99" s="1222"/>
      <c r="BQ99" s="1156"/>
      <c r="BR99" s="1217"/>
      <c r="BS99" s="1222"/>
      <c r="BT99" s="1156"/>
      <c r="BU99" s="1195"/>
      <c r="BV99" s="1222"/>
      <c r="BW99" s="1156"/>
      <c r="BX99" s="1195"/>
      <c r="BY99" s="1222"/>
      <c r="BZ99" s="1156"/>
      <c r="CA99" s="1195"/>
      <c r="CB99" s="1222"/>
      <c r="CC99" s="1156"/>
      <c r="CD99" s="1195"/>
      <c r="CE99" s="1222"/>
      <c r="CF99" s="1156"/>
      <c r="CG99" s="1195"/>
      <c r="CH99" s="1222"/>
      <c r="CI99" s="1156"/>
      <c r="CJ99" s="1195"/>
      <c r="CK99" s="1222"/>
      <c r="CL99" s="1156"/>
      <c r="CM99" s="1195"/>
      <c r="CN99" s="1222"/>
      <c r="CO99" s="1156"/>
      <c r="CP99" s="1195"/>
      <c r="CQ99" s="1222"/>
      <c r="CR99" s="1156"/>
      <c r="CS99" s="1195"/>
      <c r="CT99" s="1222"/>
      <c r="CU99" s="1156"/>
      <c r="CV99" s="1195"/>
      <c r="CW99" s="1222"/>
      <c r="CX99" s="1156"/>
      <c r="CY99" s="1195"/>
      <c r="CZ99" s="1222"/>
      <c r="DA99" s="1156"/>
      <c r="DB99" s="1195"/>
      <c r="DC99" s="1222"/>
      <c r="DD99" s="1156"/>
      <c r="DE99" s="1217"/>
      <c r="DF99" s="1222"/>
      <c r="DG99" s="1156"/>
      <c r="DH99" s="1217"/>
      <c r="DI99" s="1222"/>
      <c r="DJ99" s="1156"/>
      <c r="DK99" s="1217"/>
      <c r="DL99" s="1222"/>
      <c r="DM99" s="1156"/>
      <c r="DN99" s="1217"/>
      <c r="DO99" s="1222"/>
      <c r="DP99" s="1156"/>
      <c r="DQ99" s="1217"/>
      <c r="DR99" s="1222"/>
      <c r="DS99" s="1156"/>
      <c r="DT99" s="1217"/>
      <c r="DU99" s="1222"/>
      <c r="DV99" s="1156"/>
      <c r="DW99" s="1217"/>
      <c r="DX99" s="1244"/>
    </row>
    <row r="100" spans="1:128">
      <c r="B100" s="1305" t="s">
        <v>239</v>
      </c>
      <c r="C100" s="1185"/>
      <c r="D100" s="1195"/>
      <c r="E100" s="1199"/>
      <c r="F100" s="1186"/>
      <c r="G100" s="1195"/>
      <c r="H100" s="1199"/>
      <c r="I100" s="1186"/>
      <c r="J100" s="1195"/>
      <c r="K100" s="1222"/>
      <c r="L100" s="1186"/>
      <c r="M100" s="1195"/>
      <c r="N100" s="1222"/>
      <c r="O100" s="1156"/>
      <c r="P100" s="1195"/>
      <c r="Q100" s="1222"/>
      <c r="R100" s="1156"/>
      <c r="S100" s="1195"/>
      <c r="T100" s="1222"/>
      <c r="U100" s="1156">
        <v>27750</v>
      </c>
      <c r="V100" s="1195"/>
      <c r="W100" s="1222"/>
      <c r="X100" s="1156"/>
      <c r="Y100" s="1195"/>
      <c r="Z100" s="1222"/>
      <c r="AA100" s="1156"/>
      <c r="AB100" s="1195"/>
      <c r="AC100" s="1222"/>
      <c r="AD100" s="1156"/>
      <c r="AE100" s="1195"/>
      <c r="AF100" s="1222"/>
      <c r="AG100" s="1156"/>
      <c r="AH100" s="1195"/>
      <c r="AI100" s="1222"/>
      <c r="AJ100" s="1156"/>
      <c r="AK100" s="1195"/>
      <c r="AL100" s="1222"/>
      <c r="AM100" s="1156"/>
      <c r="AN100" s="1195"/>
      <c r="AO100" s="1222"/>
      <c r="AP100" s="1156"/>
      <c r="AQ100" s="1195"/>
      <c r="AR100" s="1222"/>
      <c r="AS100" s="1156"/>
      <c r="AT100" s="1195"/>
      <c r="AU100" s="1222"/>
      <c r="AV100" s="1156"/>
      <c r="AW100" s="1195"/>
      <c r="AX100" s="1222"/>
      <c r="AY100" s="1156"/>
      <c r="AZ100" s="1195"/>
      <c r="BA100" s="1222"/>
      <c r="BB100" s="1183"/>
      <c r="BC100" s="1195"/>
      <c r="BD100" s="1222"/>
      <c r="BE100" s="1156"/>
      <c r="BF100" s="1195"/>
      <c r="BG100" s="1222"/>
      <c r="BH100" s="1156"/>
      <c r="BI100" s="1195"/>
      <c r="BJ100" s="1222"/>
      <c r="BK100" s="1156"/>
      <c r="BL100" s="1195"/>
      <c r="BM100" s="1222"/>
      <c r="BN100" s="1156"/>
      <c r="BO100" s="1195"/>
      <c r="BP100" s="1222"/>
      <c r="BQ100" s="1156"/>
      <c r="BR100" s="1217"/>
      <c r="BS100" s="1222"/>
      <c r="BT100" s="1156"/>
      <c r="BU100" s="1195"/>
      <c r="BV100" s="1222"/>
      <c r="BW100" s="1156"/>
      <c r="BX100" s="1195"/>
      <c r="BY100" s="1222"/>
      <c r="BZ100" s="1156"/>
      <c r="CA100" s="1195"/>
      <c r="CB100" s="1222"/>
      <c r="CC100" s="1156"/>
      <c r="CD100" s="1195"/>
      <c r="CE100" s="1222"/>
      <c r="CF100" s="1156"/>
      <c r="CG100" s="1195"/>
      <c r="CH100" s="1222"/>
      <c r="CI100" s="1156"/>
      <c r="CJ100" s="1195"/>
      <c r="CK100" s="1222"/>
      <c r="CL100" s="1156"/>
      <c r="CM100" s="1195"/>
      <c r="CN100" s="1222"/>
      <c r="CO100" s="1156"/>
      <c r="CP100" s="1195"/>
      <c r="CQ100" s="1222"/>
      <c r="CR100" s="1156"/>
      <c r="CS100" s="1195"/>
      <c r="CT100" s="1222"/>
      <c r="CU100" s="1156"/>
      <c r="CV100" s="1195"/>
      <c r="CW100" s="1222"/>
      <c r="CX100" s="1156"/>
      <c r="CY100" s="1195"/>
      <c r="CZ100" s="1222"/>
      <c r="DA100" s="1156"/>
      <c r="DB100" s="1195"/>
      <c r="DC100" s="1222"/>
      <c r="DD100" s="1156"/>
      <c r="DE100" s="1217"/>
      <c r="DF100" s="1222"/>
      <c r="DG100" s="1156"/>
      <c r="DH100" s="1217"/>
      <c r="DI100" s="1222"/>
      <c r="DJ100" s="1156"/>
      <c r="DK100" s="1217"/>
      <c r="DL100" s="1222"/>
      <c r="DM100" s="1156"/>
      <c r="DN100" s="1217"/>
      <c r="DO100" s="1222"/>
      <c r="DP100" s="1156"/>
      <c r="DQ100" s="1217"/>
      <c r="DR100" s="1222"/>
      <c r="DS100" s="1156"/>
      <c r="DT100" s="1217"/>
      <c r="DU100" s="1222"/>
      <c r="DV100" s="1156"/>
      <c r="DW100" s="1217"/>
      <c r="DX100" s="1244"/>
    </row>
    <row r="101" spans="1:128">
      <c r="B101" s="1305" t="s">
        <v>240</v>
      </c>
      <c r="C101" s="1185"/>
      <c r="D101" s="1195"/>
      <c r="E101" s="1199"/>
      <c r="F101" s="1186"/>
      <c r="G101" s="1195"/>
      <c r="H101" s="1199"/>
      <c r="I101" s="1186"/>
      <c r="J101" s="1195"/>
      <c r="K101" s="1222"/>
      <c r="L101" s="1186"/>
      <c r="M101" s="1195"/>
      <c r="N101" s="1222"/>
      <c r="O101" s="1156"/>
      <c r="P101" s="1195"/>
      <c r="Q101" s="1222"/>
      <c r="R101" s="1156"/>
      <c r="S101" s="1195"/>
      <c r="T101" s="1222"/>
      <c r="U101" s="1156">
        <v>58000</v>
      </c>
      <c r="V101" s="1195"/>
      <c r="W101" s="1222"/>
      <c r="X101" s="1156"/>
      <c r="Y101" s="1195"/>
      <c r="Z101" s="1222"/>
      <c r="AA101" s="1156"/>
      <c r="AB101" s="1195"/>
      <c r="AC101" s="1222"/>
      <c r="AD101" s="1156"/>
      <c r="AE101" s="1195"/>
      <c r="AF101" s="1222"/>
      <c r="AG101" s="1156"/>
      <c r="AH101" s="1195"/>
      <c r="AI101" s="1222"/>
      <c r="AJ101" s="1156"/>
      <c r="AK101" s="1195"/>
      <c r="AL101" s="1222"/>
      <c r="AM101" s="1156"/>
      <c r="AN101" s="1195"/>
      <c r="AO101" s="1222"/>
      <c r="AP101" s="1156"/>
      <c r="AQ101" s="1195"/>
      <c r="AR101" s="1222"/>
      <c r="AS101" s="1156"/>
      <c r="AT101" s="1195"/>
      <c r="AU101" s="1222"/>
      <c r="AV101" s="1156"/>
      <c r="AW101" s="1195"/>
      <c r="AX101" s="1222"/>
      <c r="AY101" s="1156"/>
      <c r="AZ101" s="1195"/>
      <c r="BA101" s="1222"/>
      <c r="BB101" s="1183"/>
      <c r="BC101" s="1195"/>
      <c r="BD101" s="1222"/>
      <c r="BE101" s="1156"/>
      <c r="BF101" s="1195"/>
      <c r="BG101" s="1222"/>
      <c r="BH101" s="1156"/>
      <c r="BI101" s="1195"/>
      <c r="BJ101" s="1222"/>
      <c r="BK101" s="1156"/>
      <c r="BL101" s="1195"/>
      <c r="BM101" s="1222"/>
      <c r="BN101" s="1156"/>
      <c r="BO101" s="1195"/>
      <c r="BP101" s="1222"/>
      <c r="BQ101" s="1156"/>
      <c r="BR101" s="1217"/>
      <c r="BS101" s="1222"/>
      <c r="BT101" s="1156"/>
      <c r="BU101" s="1195"/>
      <c r="BV101" s="1222"/>
      <c r="BW101" s="1156"/>
      <c r="BX101" s="1195"/>
      <c r="BY101" s="1222"/>
      <c r="BZ101" s="1156"/>
      <c r="CA101" s="1195"/>
      <c r="CB101" s="1222"/>
      <c r="CC101" s="1156"/>
      <c r="CD101" s="1195"/>
      <c r="CE101" s="1222"/>
      <c r="CF101" s="1156"/>
      <c r="CG101" s="1195"/>
      <c r="CH101" s="1222"/>
      <c r="CI101" s="1156"/>
      <c r="CJ101" s="1195"/>
      <c r="CK101" s="1222"/>
      <c r="CL101" s="1156"/>
      <c r="CM101" s="1195"/>
      <c r="CN101" s="1222"/>
      <c r="CO101" s="1156"/>
      <c r="CP101" s="1195"/>
      <c r="CQ101" s="1222"/>
      <c r="CR101" s="1156"/>
      <c r="CS101" s="1195"/>
      <c r="CT101" s="1222"/>
      <c r="CU101" s="1156"/>
      <c r="CV101" s="1195"/>
      <c r="CW101" s="1222"/>
      <c r="CX101" s="1156"/>
      <c r="CY101" s="1195"/>
      <c r="CZ101" s="1222"/>
      <c r="DA101" s="1156"/>
      <c r="DB101" s="1195"/>
      <c r="DC101" s="1222"/>
      <c r="DD101" s="1156"/>
      <c r="DE101" s="1217"/>
      <c r="DF101" s="1222"/>
      <c r="DG101" s="1156"/>
      <c r="DH101" s="1217"/>
      <c r="DI101" s="1222"/>
      <c r="DJ101" s="1156"/>
      <c r="DK101" s="1217"/>
      <c r="DL101" s="1222"/>
      <c r="DM101" s="1156"/>
      <c r="DN101" s="1217"/>
      <c r="DO101" s="1222"/>
      <c r="DP101" s="1156"/>
      <c r="DQ101" s="1217"/>
      <c r="DR101" s="1222"/>
      <c r="DS101" s="1156"/>
      <c r="DT101" s="1217"/>
      <c r="DU101" s="1222"/>
      <c r="DV101" s="1156"/>
      <c r="DW101" s="1217"/>
      <c r="DX101" s="1244"/>
    </row>
    <row r="102" spans="1:128" ht="15" thickBot="1">
      <c r="B102" s="1305" t="s">
        <v>241</v>
      </c>
      <c r="C102" s="1185"/>
      <c r="D102" s="1195"/>
      <c r="E102" s="1199"/>
      <c r="F102" s="1186"/>
      <c r="G102" s="1195"/>
      <c r="H102" s="1199"/>
      <c r="I102" s="1186"/>
      <c r="J102" s="1195"/>
      <c r="K102" s="1222"/>
      <c r="L102" s="1186"/>
      <c r="M102" s="1195"/>
      <c r="N102" s="1222"/>
      <c r="O102" s="1156"/>
      <c r="P102" s="1195"/>
      <c r="Q102" s="1222"/>
      <c r="R102" s="1156"/>
      <c r="S102" s="1195"/>
      <c r="T102" s="1222"/>
      <c r="U102" s="1156">
        <v>37250</v>
      </c>
      <c r="V102" s="1195"/>
      <c r="W102" s="1222"/>
      <c r="X102" s="1156"/>
      <c r="Y102" s="1195"/>
      <c r="Z102" s="1222"/>
      <c r="AA102" s="1156"/>
      <c r="AB102" s="1195"/>
      <c r="AC102" s="1222"/>
      <c r="AD102" s="1156"/>
      <c r="AE102" s="1195"/>
      <c r="AF102" s="1222"/>
      <c r="AG102" s="1156"/>
      <c r="AH102" s="1195"/>
      <c r="AI102" s="1222"/>
      <c r="AJ102" s="1156"/>
      <c r="AK102" s="1195"/>
      <c r="AL102" s="1222"/>
      <c r="AM102" s="1156"/>
      <c r="AN102" s="1195"/>
      <c r="AO102" s="1222"/>
      <c r="AP102" s="1156"/>
      <c r="AQ102" s="1195"/>
      <c r="AR102" s="1222"/>
      <c r="AS102" s="1156"/>
      <c r="AT102" s="1195"/>
      <c r="AU102" s="1222"/>
      <c r="AV102" s="1156"/>
      <c r="AW102" s="1195"/>
      <c r="AX102" s="1222"/>
      <c r="AY102" s="1156"/>
      <c r="AZ102" s="1195"/>
      <c r="BA102" s="1222"/>
      <c r="BB102" s="1183"/>
      <c r="BC102" s="1195"/>
      <c r="BD102" s="1222"/>
      <c r="BE102" s="1156"/>
      <c r="BF102" s="1195"/>
      <c r="BG102" s="1222"/>
      <c r="BH102" s="1156"/>
      <c r="BI102" s="1195"/>
      <c r="BJ102" s="1222"/>
      <c r="BK102" s="1156"/>
      <c r="BL102" s="1195"/>
      <c r="BM102" s="1222"/>
      <c r="BN102" s="1156"/>
      <c r="BO102" s="1195"/>
      <c r="BP102" s="1222"/>
      <c r="BQ102" s="1156"/>
      <c r="BR102" s="1217"/>
      <c r="BS102" s="1222"/>
      <c r="BT102" s="1156"/>
      <c r="BU102" s="1195"/>
      <c r="BV102" s="1222"/>
      <c r="BW102" s="1156"/>
      <c r="BX102" s="1195"/>
      <c r="BY102" s="1222"/>
      <c r="BZ102" s="1156"/>
      <c r="CA102" s="1195"/>
      <c r="CB102" s="1222"/>
      <c r="CC102" s="1156"/>
      <c r="CD102" s="1195"/>
      <c r="CE102" s="1222"/>
      <c r="CF102" s="1156"/>
      <c r="CG102" s="1195"/>
      <c r="CH102" s="1222"/>
      <c r="CI102" s="1156"/>
      <c r="CJ102" s="1195"/>
      <c r="CK102" s="1222"/>
      <c r="CL102" s="1156"/>
      <c r="CM102" s="1195"/>
      <c r="CN102" s="1222"/>
      <c r="CO102" s="1156"/>
      <c r="CP102" s="1195"/>
      <c r="CQ102" s="1222"/>
      <c r="CR102" s="1156"/>
      <c r="CS102" s="1195"/>
      <c r="CT102" s="1222"/>
      <c r="CU102" s="1156"/>
      <c r="CV102" s="1195"/>
      <c r="CW102" s="1222"/>
      <c r="CX102" s="1156"/>
      <c r="CY102" s="1195"/>
      <c r="CZ102" s="1222"/>
      <c r="DA102" s="1156"/>
      <c r="DB102" s="1195"/>
      <c r="DC102" s="1222"/>
      <c r="DD102" s="1156"/>
      <c r="DE102" s="1217"/>
      <c r="DF102" s="1222"/>
      <c r="DG102" s="1156"/>
      <c r="DH102" s="1217"/>
      <c r="DI102" s="1222"/>
      <c r="DJ102" s="1156"/>
      <c r="DK102" s="1217"/>
      <c r="DL102" s="1222"/>
      <c r="DM102" s="1156"/>
      <c r="DN102" s="1217"/>
      <c r="DO102" s="1222"/>
      <c r="DP102" s="1156"/>
      <c r="DQ102" s="1217"/>
      <c r="DR102" s="1222"/>
      <c r="DS102" s="1156"/>
      <c r="DT102" s="1217"/>
      <c r="DU102" s="1222"/>
      <c r="DV102" s="1156"/>
      <c r="DW102" s="1217"/>
      <c r="DX102" s="1244"/>
    </row>
    <row r="103" spans="1:128" ht="15.75" thickTop="1" thickBot="1">
      <c r="A103" s="1142"/>
      <c r="B103" s="1310"/>
      <c r="C103" s="1143"/>
      <c r="D103" s="1209"/>
      <c r="E103" s="1210"/>
      <c r="F103" s="1144"/>
      <c r="G103" s="1210"/>
      <c r="H103" s="1210"/>
      <c r="I103" s="1144"/>
      <c r="J103" s="1210"/>
      <c r="K103" s="1226"/>
      <c r="L103" s="1145"/>
      <c r="M103" s="1210"/>
      <c r="N103" s="1226"/>
      <c r="O103" s="1146"/>
      <c r="P103" s="1210"/>
      <c r="Q103" s="1226"/>
      <c r="R103" s="1146"/>
      <c r="S103" s="1210"/>
      <c r="T103" s="1226"/>
      <c r="U103" s="1144"/>
      <c r="V103" s="1236"/>
      <c r="W103" s="1226"/>
      <c r="X103" s="1146"/>
      <c r="Y103" s="1210"/>
      <c r="Z103" s="1226"/>
      <c r="AA103" s="1146"/>
      <c r="AB103" s="1236"/>
      <c r="AC103" s="1226"/>
      <c r="AD103" s="1146"/>
      <c r="AE103" s="1236"/>
      <c r="AF103" s="1226"/>
      <c r="AG103" s="1146"/>
      <c r="AH103" s="1236"/>
      <c r="AI103" s="1226"/>
      <c r="AJ103" s="1146"/>
      <c r="AK103" s="1236"/>
      <c r="AL103" s="1210"/>
      <c r="AM103" s="1146"/>
      <c r="AN103" s="1236"/>
      <c r="AO103" s="1210"/>
      <c r="AP103" s="1146"/>
      <c r="AQ103" s="1236"/>
      <c r="AR103" s="1210"/>
      <c r="AS103" s="1144"/>
      <c r="AT103" s="1236"/>
      <c r="AU103" s="1210"/>
      <c r="AV103" s="1144"/>
      <c r="AW103" s="1210"/>
      <c r="AX103" s="1210"/>
      <c r="AY103" s="1146"/>
      <c r="AZ103" s="1236"/>
      <c r="BA103" s="1210"/>
      <c r="BB103" s="1146"/>
      <c r="BC103" s="1236"/>
      <c r="BD103" s="1210"/>
      <c r="BE103" s="1146"/>
      <c r="BF103" s="1210"/>
      <c r="BG103" s="1264"/>
      <c r="BH103" s="1146"/>
      <c r="BI103" s="1236"/>
      <c r="BJ103" s="1264"/>
      <c r="BK103" s="1146"/>
      <c r="BL103" s="1236"/>
      <c r="BM103" s="1264"/>
      <c r="BN103" s="1146"/>
      <c r="BO103" s="1236"/>
      <c r="BP103" s="1264"/>
      <c r="BQ103" s="1146"/>
      <c r="BR103" s="1210"/>
      <c r="BS103" s="1258"/>
      <c r="BT103" s="1146"/>
      <c r="BU103" s="1236"/>
      <c r="BV103" s="1210"/>
      <c r="BW103" s="1146"/>
      <c r="BX103" s="1236"/>
      <c r="BY103" s="1210"/>
      <c r="BZ103" s="1146"/>
      <c r="CA103" s="1236"/>
      <c r="CB103" s="1210"/>
      <c r="CC103" s="1146"/>
      <c r="CD103" s="1236"/>
      <c r="CE103" s="1210"/>
      <c r="CF103" s="1146"/>
      <c r="CG103" s="1236"/>
      <c r="CH103" s="1210"/>
      <c r="CI103" s="1146"/>
      <c r="CJ103" s="1236"/>
      <c r="CK103" s="1210"/>
      <c r="CL103" s="1146"/>
      <c r="CM103" s="1236"/>
      <c r="CN103" s="1210"/>
      <c r="CO103" s="1146"/>
      <c r="CP103" s="1236"/>
      <c r="CQ103" s="1210"/>
      <c r="CR103" s="1146"/>
      <c r="CS103" s="1236"/>
      <c r="CT103" s="1210"/>
      <c r="CU103" s="1146"/>
      <c r="CV103" s="1236"/>
      <c r="CW103" s="1210"/>
      <c r="CX103" s="1146"/>
      <c r="CY103" s="1236"/>
      <c r="CZ103" s="1210"/>
      <c r="DA103" s="1146"/>
      <c r="DB103" s="1236"/>
      <c r="DC103" s="1210"/>
      <c r="DD103" s="1146"/>
      <c r="DE103" s="1210"/>
      <c r="DF103" s="1210"/>
      <c r="DG103" s="1146"/>
      <c r="DH103" s="1210"/>
      <c r="DI103" s="1210"/>
      <c r="DJ103" s="1146"/>
      <c r="DK103" s="1210"/>
      <c r="DL103" s="1210"/>
      <c r="DM103" s="1146"/>
      <c r="DN103" s="1210"/>
      <c r="DO103" s="1210"/>
      <c r="DP103" s="1146"/>
      <c r="DQ103" s="1210"/>
      <c r="DR103" s="1210"/>
      <c r="DS103" s="1146"/>
      <c r="DT103" s="1210"/>
      <c r="DU103" s="1210"/>
      <c r="DV103" s="1146"/>
      <c r="DW103" s="1210"/>
      <c r="DX103" s="1250"/>
    </row>
    <row r="104" spans="1:128" ht="15" thickTop="1">
      <c r="B104" s="1314" t="s">
        <v>1287</v>
      </c>
    </row>
    <row r="105" spans="1:128">
      <c r="B105" s="1313"/>
    </row>
    <row r="106" spans="1:128">
      <c r="B106" s="1313"/>
    </row>
    <row r="107" spans="1:128">
      <c r="B107" s="1313"/>
    </row>
    <row r="108" spans="1:128">
      <c r="B108" s="1313"/>
    </row>
    <row r="109" spans="1:128">
      <c r="B109" s="1313"/>
    </row>
    <row r="110" spans="1:128">
      <c r="B110" s="1313"/>
    </row>
    <row r="111" spans="1:128">
      <c r="B111" s="1313"/>
    </row>
    <row r="112" spans="1:128">
      <c r="B112" s="1313"/>
    </row>
    <row r="113" spans="2:2">
      <c r="B113" s="1313"/>
    </row>
  </sheetData>
  <sheetProtection sheet="1" objects="1" scenarios="1"/>
  <mergeCells count="2">
    <mergeCell ref="C3:E3"/>
    <mergeCell ref="F3:H3"/>
  </mergeCells>
  <pageMargins left="0.7" right="0.7" top="0.75" bottom="0.75" header="0.3" footer="0.3"/>
  <pageSetup paperSize="9" orientation="portrait" r:id="rId1"/>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Invest">
    <tabColor theme="5"/>
  </sheetPr>
  <dimension ref="A1:R16"/>
  <sheetViews>
    <sheetView showGridLines="0" workbookViewId="0">
      <pane xSplit="1" ySplit="8" topLeftCell="B9" activePane="bottomRight" state="frozen"/>
      <selection activeCell="M20" sqref="M20:P27"/>
      <selection pane="topRight" activeCell="M20" sqref="M20:P27"/>
      <selection pane="bottomLeft" activeCell="M20" sqref="M20:P27"/>
      <selection pane="bottomRight" activeCell="B9" sqref="B9"/>
    </sheetView>
  </sheetViews>
  <sheetFormatPr baseColWidth="10" defaultRowHeight="14.25"/>
  <cols>
    <col min="1" max="1" width="4.5703125" customWidth="1"/>
    <col min="2" max="2" width="36.140625" style="249" customWidth="1"/>
    <col min="3" max="3" width="15.42578125" style="249" bestFit="1" customWidth="1"/>
    <col min="4" max="4" width="13.140625" style="249" customWidth="1"/>
    <col min="5" max="5" width="3.140625" style="249" bestFit="1" customWidth="1"/>
    <col min="6" max="6" width="12.85546875" style="249" bestFit="1" customWidth="1"/>
    <col min="7" max="7" width="7.7109375" bestFit="1" customWidth="1"/>
    <col min="8" max="8" width="9" style="1321" bestFit="1" customWidth="1"/>
    <col min="9" max="9" width="12.85546875" bestFit="1" customWidth="1"/>
    <col min="10" max="10" width="13.28515625" bestFit="1" customWidth="1"/>
    <col min="11" max="12" width="11.42578125" style="98" hidden="1" customWidth="1"/>
    <col min="13" max="17" width="11.42578125" style="98"/>
  </cols>
  <sheetData>
    <row r="1" spans="1:18" s="97" customFormat="1" ht="24.75" thickBot="1">
      <c r="A1"/>
      <c r="B1" s="1087" t="s">
        <v>1130</v>
      </c>
      <c r="C1" s="721"/>
      <c r="D1" s="722"/>
      <c r="E1" s="722"/>
      <c r="F1" s="722"/>
      <c r="G1" s="722"/>
      <c r="H1" s="722"/>
      <c r="I1" s="722"/>
      <c r="J1" s="722"/>
      <c r="K1" s="1674" t="s">
        <v>1165</v>
      </c>
      <c r="L1" s="1675"/>
      <c r="M1" s="98"/>
      <c r="N1" s="98"/>
      <c r="O1" s="98"/>
      <c r="P1" s="1676"/>
      <c r="Q1" s="1677"/>
      <c r="R1" s="17"/>
    </row>
    <row r="2" spans="1:18" ht="15" thickTop="1">
      <c r="B2"/>
      <c r="C2"/>
      <c r="D2"/>
      <c r="E2"/>
      <c r="F2"/>
      <c r="K2" s="1678" t="s">
        <v>734</v>
      </c>
      <c r="L2" s="1678" t="s">
        <v>824</v>
      </c>
    </row>
    <row r="3" spans="1:18" s="28" customFormat="1">
      <c r="A3" s="964"/>
      <c r="B3" s="42" t="s">
        <v>1478</v>
      </c>
      <c r="C3" s="457">
        <v>30</v>
      </c>
      <c r="D3" s="459" t="s">
        <v>224</v>
      </c>
      <c r="E3" s="307"/>
      <c r="F3" s="97"/>
      <c r="G3" s="39"/>
      <c r="H3" s="1322"/>
      <c r="I3" s="97"/>
      <c r="J3" s="97"/>
      <c r="K3" s="1678" t="s">
        <v>309</v>
      </c>
      <c r="L3" s="1679">
        <v>30</v>
      </c>
      <c r="M3" s="1680"/>
      <c r="N3" s="1675"/>
      <c r="O3" s="1680"/>
      <c r="P3" s="1680"/>
      <c r="Q3" s="1680"/>
    </row>
    <row r="4" spans="1:18" s="97" customFormat="1">
      <c r="A4"/>
      <c r="B4" s="42" t="s">
        <v>823</v>
      </c>
      <c r="C4" s="458">
        <f>IFERROR(MAX(Champs!SuperficiesAnnuellesTousScenarios),"Incalculable")</f>
        <v>0</v>
      </c>
      <c r="D4" s="459" t="str">
        <f>IF(ISNUMBER(C4),"ha","")</f>
        <v>ha</v>
      </c>
      <c r="G4" s="39"/>
      <c r="H4" s="1322"/>
      <c r="K4" s="1678" t="s">
        <v>735</v>
      </c>
      <c r="L4" s="1679">
        <v>75</v>
      </c>
      <c r="M4" s="98"/>
      <c r="N4" s="1681"/>
      <c r="O4" s="98"/>
      <c r="P4" s="1682"/>
      <c r="Q4" s="98"/>
    </row>
    <row r="5" spans="1:18" s="97" customFormat="1">
      <c r="A5"/>
      <c r="B5" s="42"/>
      <c r="C5" s="101"/>
      <c r="G5" s="39"/>
      <c r="H5" s="1322"/>
      <c r="K5" s="1678" t="s">
        <v>736</v>
      </c>
      <c r="L5" s="1679">
        <v>150</v>
      </c>
      <c r="M5" s="98"/>
      <c r="N5" s="1681"/>
      <c r="O5" s="98"/>
      <c r="P5" s="1682"/>
      <c r="Q5" s="98"/>
    </row>
    <row r="6" spans="1:18" s="97" customFormat="1">
      <c r="A6"/>
      <c r="C6" s="93"/>
      <c r="D6" s="39"/>
      <c r="E6" s="89"/>
      <c r="F6" s="59"/>
      <c r="G6" s="39"/>
      <c r="H6" s="1322"/>
      <c r="K6" s="1678"/>
      <c r="L6" s="1679">
        <v>300</v>
      </c>
      <c r="M6" s="98"/>
      <c r="N6" s="1681"/>
      <c r="O6" s="98"/>
      <c r="P6" s="1682"/>
      <c r="Q6" s="98"/>
    </row>
    <row r="7" spans="1:18" s="97" customFormat="1">
      <c r="A7"/>
      <c r="C7" s="93"/>
      <c r="D7" s="1687" t="s">
        <v>1431</v>
      </c>
      <c r="E7" s="1688" t="s">
        <v>1432</v>
      </c>
      <c r="F7" s="1687" t="s">
        <v>1433</v>
      </c>
      <c r="G7" s="1687" t="s">
        <v>1434</v>
      </c>
      <c r="H7" s="1689" t="s">
        <v>1435</v>
      </c>
      <c r="I7" s="1688" t="s">
        <v>1436</v>
      </c>
      <c r="J7" s="1688" t="s">
        <v>1437</v>
      </c>
      <c r="K7" s="1678"/>
      <c r="L7" s="1679">
        <v>500</v>
      </c>
      <c r="M7" s="98"/>
      <c r="N7" s="1681"/>
      <c r="O7" s="98"/>
      <c r="P7" s="1682"/>
      <c r="Q7" s="98"/>
    </row>
    <row r="8" spans="1:18" s="97" customFormat="1" ht="28.5">
      <c r="A8"/>
      <c r="B8" s="1686" t="str">
        <f>"Total à investir: " &amp; TEXT(SUM(Batiments[[#All],[Colonne5]],Tracteurs[[#All],[Colonne5]],Machineries[[#All],[Colonne5]]),"# ##0 $")</f>
        <v>Total à investir: 0 $</v>
      </c>
      <c r="C8" s="1316" t="s">
        <v>314</v>
      </c>
      <c r="D8" s="1320" t="s">
        <v>316</v>
      </c>
      <c r="E8" s="1317" t="s">
        <v>313</v>
      </c>
      <c r="F8" s="1318" t="s">
        <v>315</v>
      </c>
      <c r="G8" s="1319" t="s">
        <v>1270</v>
      </c>
      <c r="H8" s="1323" t="s">
        <v>1288</v>
      </c>
      <c r="I8" s="1884" t="s">
        <v>1370</v>
      </c>
      <c r="J8" s="1323" t="s">
        <v>1371</v>
      </c>
      <c r="K8" s="98"/>
      <c r="L8" s="1681"/>
      <c r="M8" s="98"/>
      <c r="N8" s="1681"/>
      <c r="O8" s="98"/>
      <c r="P8" s="1682"/>
      <c r="Q8" s="98"/>
    </row>
    <row r="9" spans="1:18" s="97" customFormat="1" ht="16.5">
      <c r="A9"/>
      <c r="B9" s="235" t="s">
        <v>700</v>
      </c>
      <c r="C9" s="1854"/>
      <c r="D9" s="1855">
        <v>1</v>
      </c>
      <c r="E9" s="235"/>
      <c r="F9" s="1856">
        <f>SUM(Batiments[[#All],[Colonne5]])</f>
        <v>0</v>
      </c>
      <c r="G9" s="235"/>
      <c r="H9" s="1857"/>
      <c r="I9" s="1519"/>
      <c r="J9" s="1519"/>
      <c r="K9" s="98"/>
      <c r="L9" s="1681"/>
      <c r="M9" s="98"/>
      <c r="N9" s="1681"/>
      <c r="O9" s="98"/>
      <c r="P9" s="1682"/>
      <c r="Q9" s="98"/>
    </row>
    <row r="10" spans="1:18" s="97" customFormat="1">
      <c r="A10"/>
      <c r="B10" s="1889"/>
      <c r="C10" s="1890"/>
      <c r="D10" s="1891">
        <f>multiplBatiments</f>
        <v>1</v>
      </c>
      <c r="E10" s="1892"/>
      <c r="F10" s="1863">
        <v>0</v>
      </c>
      <c r="G10" s="1892"/>
      <c r="H10" s="1893"/>
      <c r="I10" s="1894" t="e">
        <f>C10/G10*(1-H10)</f>
        <v>#DIV/0!</v>
      </c>
      <c r="J10" s="1895">
        <v>2016</v>
      </c>
      <c r="K10" s="98"/>
      <c r="L10" s="1681"/>
      <c r="M10" s="98"/>
      <c r="N10" s="1681"/>
      <c r="O10" s="98"/>
      <c r="P10" s="1682"/>
      <c r="Q10" s="98"/>
    </row>
    <row r="11" spans="1:18" s="97" customFormat="1" ht="17.25" customHeight="1">
      <c r="A11"/>
      <c r="B11" s="1519"/>
      <c r="C11" s="1519"/>
      <c r="D11" s="1519"/>
      <c r="E11" s="1519"/>
      <c r="F11" s="93"/>
      <c r="G11" s="39"/>
      <c r="H11" s="1322"/>
      <c r="I11" s="1475"/>
      <c r="J11" s="39"/>
      <c r="K11" s="98"/>
      <c r="L11" s="1681"/>
      <c r="M11" s="98"/>
      <c r="N11" s="1681"/>
      <c r="O11" s="98"/>
      <c r="P11" s="1682"/>
      <c r="Q11" s="98"/>
    </row>
    <row r="12" spans="1:18" ht="17.25" customHeight="1">
      <c r="B12" s="235" t="s">
        <v>310</v>
      </c>
      <c r="C12" s="1854"/>
      <c r="D12" s="1855">
        <v>1</v>
      </c>
      <c r="E12" s="235"/>
      <c r="F12" s="1856">
        <f>SUM(Tracteurs[[#All],[Colonne5]])</f>
        <v>0</v>
      </c>
      <c r="G12" s="235"/>
      <c r="H12" s="1857"/>
      <c r="I12" s="1519"/>
      <c r="J12" s="39"/>
    </row>
    <row r="13" spans="1:18">
      <c r="B13" s="1860"/>
      <c r="C13" s="1861"/>
      <c r="D13" s="255">
        <f>multiplTracteurs</f>
        <v>1</v>
      </c>
      <c r="E13" s="1862"/>
      <c r="F13" s="1863">
        <v>0</v>
      </c>
      <c r="G13" s="1862"/>
      <c r="H13" s="1853"/>
      <c r="I13" s="1874" t="e">
        <f>C13/G13*(1-H13)</f>
        <v>#DIV/0!</v>
      </c>
      <c r="J13" s="1859">
        <v>2016</v>
      </c>
    </row>
    <row r="14" spans="1:18">
      <c r="B14" s="308"/>
      <c r="C14" s="60"/>
      <c r="D14" s="256"/>
      <c r="E14" s="97"/>
      <c r="F14" s="303"/>
      <c r="G14" s="1519"/>
      <c r="I14" s="1476"/>
      <c r="J14" s="1519"/>
    </row>
    <row r="15" spans="1:18" ht="16.5">
      <c r="B15" s="235" t="s">
        <v>312</v>
      </c>
      <c r="C15" s="1858"/>
      <c r="D15" s="1855">
        <v>1</v>
      </c>
      <c r="E15" s="235"/>
      <c r="F15" s="1885">
        <f>SUM(Investissements!$F$16:$F$16)</f>
        <v>0</v>
      </c>
      <c r="G15" s="235"/>
      <c r="H15" s="1857"/>
      <c r="I15" s="1476"/>
      <c r="J15" s="1519"/>
    </row>
    <row r="16" spans="1:18">
      <c r="B16" s="1875"/>
      <c r="C16" s="1876"/>
      <c r="D16" s="1877">
        <f>multiplMachineries</f>
        <v>1</v>
      </c>
      <c r="E16" s="1878"/>
      <c r="F16" s="1879">
        <f>Machineries[[#This Row],[Colonne4]]*Machineries[[#This Row],[Colonne3]]*Machineries[[#This Row],[Colonne2]]</f>
        <v>0</v>
      </c>
      <c r="G16" s="1880"/>
      <c r="H16" s="1881"/>
      <c r="I16" s="1882" t="e">
        <f>C16/G16*(1-H16)</f>
        <v>#DIV/0!</v>
      </c>
      <c r="J16" s="1883">
        <v>2016</v>
      </c>
    </row>
  </sheetData>
  <sheetProtection sheet="1" objects="1" scenarios="1"/>
  <conditionalFormatting sqref="C3">
    <cfRule type="expression" dxfId="95" priority="22">
      <formula>_xlfn.ISFORMULA(C3)</formula>
    </cfRule>
  </conditionalFormatting>
  <conditionalFormatting sqref="D10 D13:D14">
    <cfRule type="expression" dxfId="94" priority="5">
      <formula>D10=1</formula>
    </cfRule>
  </conditionalFormatting>
  <conditionalFormatting sqref="F10 F13 F16">
    <cfRule type="expression" dxfId="93" priority="4">
      <formula>F10&lt;&gt;E10*C10</formula>
    </cfRule>
  </conditionalFormatting>
  <conditionalFormatting sqref="D16">
    <cfRule type="expression" dxfId="92" priority="3">
      <formula>D16=1</formula>
    </cfRule>
  </conditionalFormatting>
  <dataValidations count="4">
    <dataValidation type="list" allowBlank="1" showInputMessage="1" showErrorMessage="1" sqref="D9:D10 D12:D16" xr:uid="{00000000-0002-0000-0A00-000000000000}">
      <formula1>"50%,55%,60%,65%,70%,75%,80%,85%,90%,95%,100%"</formula1>
    </dataValidation>
    <dataValidation type="list" allowBlank="1" showInputMessage="1" showErrorMessage="1" promptTitle="Grandeur de la ferme de référenc" prompt="Indiquer quel grandeur de ferme vous servira de référence" sqref="E6" xr:uid="{00000000-0002-0000-0A00-000001000000}">
      <formula1>"30,75,150,300,500"</formula1>
    </dataValidation>
    <dataValidation type="list" allowBlank="1" showInputMessage="1" showErrorMessage="1" promptTitle="Grandeur de la ferme de référenc" prompt="Indiquer quel grandeur de ferme vous servira de référence pour générer une liste automatiquement" sqref="C3" xr:uid="{00000000-0002-0000-0A00-000002000000}">
      <formula1>"30,75,150,300,500"</formula1>
    </dataValidation>
    <dataValidation type="list" showInputMessage="1" showErrorMessage="1" sqref="J10 J13 J16" xr:uid="{00000000-0002-0000-0A00-000003000000}">
      <formula1>NomsScénarios</formula1>
    </dataValidation>
  </dataValidations>
  <pageMargins left="0.7" right="0.7" top="0.75" bottom="0.75" header="0.3" footer="0.3"/>
  <pageSetup orientation="portrait" r:id="rId1"/>
  <ignoredErrors>
    <ignoredError sqref="D7:J7" numberStoredAsText="1"/>
  </ignoredErrors>
  <drawing r:id="rId2"/>
  <legacyDrawing r:id="rId3"/>
  <mc:AlternateContent xmlns:mc="http://schemas.openxmlformats.org/markup-compatibility/2006">
    <mc:Choice Requires="x14">
      <controls>
        <mc:AlternateContent xmlns:mc="http://schemas.openxmlformats.org/markup-compatibility/2006">
          <mc:Choice Requires="x14">
            <control shapeId="26644" r:id="rId4" name="Button 20">
              <controlPr defaultSize="0" print="0" autoFill="0" autoPict="0" macro="[0]!Invest.cmdGenererListeInvestissements_Click">
                <anchor moveWithCells="1">
                  <from>
                    <xdr:col>3</xdr:col>
                    <xdr:colOff>523875</xdr:colOff>
                    <xdr:row>2</xdr:row>
                    <xdr:rowOff>38100</xdr:rowOff>
                  </from>
                  <to>
                    <xdr:col>7</xdr:col>
                    <xdr:colOff>9525</xdr:colOff>
                    <xdr:row>3</xdr:row>
                    <xdr:rowOff>95250</xdr:rowOff>
                  </to>
                </anchor>
              </controlPr>
            </control>
          </mc:Choice>
        </mc:AlternateContent>
        <mc:AlternateContent xmlns:mc="http://schemas.openxmlformats.org/markup-compatibility/2006">
          <mc:Choice Requires="x14">
            <control shapeId="26645" r:id="rId5" name="Button 21">
              <controlPr defaultSize="0" print="0" autoFill="0" autoPict="0" macro="[0]!Invest.cmdOuvrirRéfInvest_Click">
                <anchor moveWithCells="1">
                  <from>
                    <xdr:col>4</xdr:col>
                    <xdr:colOff>114300</xdr:colOff>
                    <xdr:row>4</xdr:row>
                    <xdr:rowOff>123825</xdr:rowOff>
                  </from>
                  <to>
                    <xdr:col>7</xdr:col>
                    <xdr:colOff>9525</xdr:colOff>
                    <xdr:row>6</xdr:row>
                    <xdr:rowOff>0</xdr:rowOff>
                  </to>
                </anchor>
              </controlPr>
            </control>
          </mc:Choice>
        </mc:AlternateContent>
        <mc:AlternateContent xmlns:mc="http://schemas.openxmlformats.org/markup-compatibility/2006">
          <mc:Choice Requires="x14">
            <control shapeId="26646" r:id="rId6" name="Button 22">
              <controlPr defaultSize="0" print="0" autoFill="0" autoPict="0" macro="[0]!Invest.cmdViderListeInvestissements_Click">
                <anchor moveWithCells="1">
                  <from>
                    <xdr:col>2</xdr:col>
                    <xdr:colOff>552450</xdr:colOff>
                    <xdr:row>4</xdr:row>
                    <xdr:rowOff>123825</xdr:rowOff>
                  </from>
                  <to>
                    <xdr:col>3</xdr:col>
                    <xdr:colOff>714375</xdr:colOff>
                    <xdr:row>6</xdr:row>
                    <xdr:rowOff>0</xdr:rowOff>
                  </to>
                </anchor>
              </controlPr>
            </control>
          </mc:Choice>
        </mc:AlternateContent>
        <mc:AlternateContent xmlns:mc="http://schemas.openxmlformats.org/markup-compatibility/2006">
          <mc:Choice Requires="x14">
            <control shapeId="26647" r:id="rId7" name="Button 23">
              <controlPr defaultSize="0" print="0" autoFill="0" autoPict="0" macro="[0]!Invest.cmdSupprimerLigne_Click">
                <anchor moveWithCells="1">
                  <from>
                    <xdr:col>1</xdr:col>
                    <xdr:colOff>1495425</xdr:colOff>
                    <xdr:row>4</xdr:row>
                    <xdr:rowOff>123825</xdr:rowOff>
                  </from>
                  <to>
                    <xdr:col>2</xdr:col>
                    <xdr:colOff>266700</xdr:colOff>
                    <xdr:row>6</xdr:row>
                    <xdr:rowOff>0</xdr:rowOff>
                  </to>
                </anchor>
              </controlPr>
            </control>
          </mc:Choice>
        </mc:AlternateContent>
        <mc:AlternateContent xmlns:mc="http://schemas.openxmlformats.org/markup-compatibility/2006">
          <mc:Choice Requires="x14">
            <control shapeId="26648" r:id="rId8" name="AjouterLigne">
              <controlPr defaultSize="0" print="0" autoLine="0" autoPict="0" macro="[0]!Invest.cboAjouterLigne_Change">
                <anchor moveWithCells="1">
                  <from>
                    <xdr:col>1</xdr:col>
                    <xdr:colOff>28575</xdr:colOff>
                    <xdr:row>4</xdr:row>
                    <xdr:rowOff>123825</xdr:rowOff>
                  </from>
                  <to>
                    <xdr:col>1</xdr:col>
                    <xdr:colOff>1209675</xdr:colOff>
                    <xdr:row>5</xdr:row>
                    <xdr:rowOff>161925</xdr:rowOff>
                  </to>
                </anchor>
              </controlPr>
            </control>
          </mc:Choice>
        </mc:AlternateContent>
      </controls>
    </mc:Choice>
  </mc:AlternateContent>
  <tableParts count="3">
    <tablePart r:id="rId9"/>
    <tablePart r:id="rId10"/>
    <tablePart r:id="rId11"/>
  </tablePart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Normes">
    <tabColor theme="4"/>
  </sheetPr>
  <dimension ref="A1:G392"/>
  <sheetViews>
    <sheetView showGridLines="0" workbookViewId="0">
      <pane ySplit="1" topLeftCell="A2" activePane="bottomLeft" state="frozen"/>
      <selection activeCell="M20" sqref="M20:P27"/>
      <selection pane="bottomLeft" activeCell="A3" sqref="A3"/>
    </sheetView>
  </sheetViews>
  <sheetFormatPr baseColWidth="10" defaultColWidth="10.85546875" defaultRowHeight="14.25"/>
  <cols>
    <col min="1" max="1" width="4.42578125" style="788" customWidth="1"/>
    <col min="2" max="2" width="75.5703125" style="787" customWidth="1"/>
    <col min="3" max="3" width="12.5703125" style="804" customWidth="1"/>
    <col min="4" max="4" width="5.85546875" style="1505" hidden="1" customWidth="1"/>
    <col min="5" max="5" width="17" style="794" customWidth="1"/>
    <col min="6" max="6" width="17" style="795" customWidth="1"/>
    <col min="7" max="7" width="17" style="796" customWidth="1"/>
    <col min="8" max="16384" width="10.85546875" style="788"/>
  </cols>
  <sheetData>
    <row r="1" spans="1:7" ht="28.5">
      <c r="A1" s="1586" t="s">
        <v>1017</v>
      </c>
      <c r="C1" s="827" t="s">
        <v>820</v>
      </c>
      <c r="D1" s="1502" t="s">
        <v>1153</v>
      </c>
      <c r="E1" s="807" t="s">
        <v>317</v>
      </c>
      <c r="F1" s="808" t="s">
        <v>821</v>
      </c>
      <c r="G1" s="809" t="s">
        <v>31</v>
      </c>
    </row>
    <row r="3" spans="1:7">
      <c r="A3" s="2106" t="s">
        <v>275</v>
      </c>
      <c r="B3" s="829" t="s">
        <v>175</v>
      </c>
      <c r="C3" s="822"/>
      <c r="D3" s="1503"/>
      <c r="E3" s="817"/>
      <c r="F3" s="818"/>
      <c r="G3" s="819"/>
    </row>
    <row r="4" spans="1:7" hidden="1">
      <c r="A4"/>
      <c r="B4" s="2103" t="s">
        <v>1012</v>
      </c>
      <c r="C4" s="306"/>
      <c r="D4" s="1504"/>
      <c r="E4" s="817"/>
      <c r="F4" s="818"/>
      <c r="G4" s="819"/>
    </row>
    <row r="5" spans="1:7" hidden="1">
      <c r="A5"/>
      <c r="B5" s="2104" t="s">
        <v>29</v>
      </c>
      <c r="C5" s="306"/>
      <c r="D5" s="1504"/>
      <c r="E5" s="817"/>
      <c r="F5" s="818"/>
      <c r="G5" s="819"/>
    </row>
    <row r="6" spans="1:7" hidden="1">
      <c r="A6" s="533"/>
      <c r="B6" s="2104" t="s">
        <v>1013</v>
      </c>
      <c r="C6" s="306"/>
      <c r="D6" s="1504"/>
      <c r="E6" s="817"/>
      <c r="F6" s="818"/>
      <c r="G6" s="819"/>
    </row>
    <row r="7" spans="1:7" hidden="1">
      <c r="A7"/>
      <c r="B7" s="2104" t="s">
        <v>32</v>
      </c>
      <c r="C7" s="306"/>
      <c r="D7" s="1504"/>
      <c r="E7" s="817"/>
      <c r="F7" s="818"/>
      <c r="G7" s="819"/>
    </row>
    <row r="8" spans="1:7" hidden="1">
      <c r="A8"/>
      <c r="B8" s="2104" t="s">
        <v>9</v>
      </c>
      <c r="C8" s="306"/>
      <c r="D8" s="1504"/>
      <c r="E8" s="817"/>
      <c r="F8" s="818"/>
      <c r="G8" s="819"/>
    </row>
    <row r="9" spans="1:7" hidden="1">
      <c r="A9"/>
      <c r="B9" s="2104" t="s">
        <v>39</v>
      </c>
      <c r="C9" s="306"/>
      <c r="D9" s="1504"/>
      <c r="E9" s="817"/>
      <c r="F9" s="818"/>
      <c r="G9" s="819"/>
    </row>
    <row r="10" spans="1:7" hidden="1">
      <c r="A10"/>
      <c r="B10" s="2104" t="s">
        <v>44</v>
      </c>
      <c r="C10" s="306"/>
      <c r="D10" s="1504"/>
      <c r="E10" s="817"/>
      <c r="F10" s="818"/>
      <c r="G10" s="819"/>
    </row>
    <row r="11" spans="1:7" hidden="1">
      <c r="A11"/>
      <c r="B11" s="2104" t="s">
        <v>61</v>
      </c>
      <c r="C11" s="306"/>
      <c r="D11" s="1504"/>
      <c r="E11" s="817"/>
      <c r="F11" s="818"/>
      <c r="G11" s="819"/>
    </row>
    <row r="12" spans="1:7" hidden="1">
      <c r="A12"/>
      <c r="B12" s="2104" t="s">
        <v>70</v>
      </c>
      <c r="C12" s="306"/>
      <c r="D12" s="1504"/>
      <c r="E12" s="817"/>
      <c r="F12" s="818"/>
      <c r="G12" s="819"/>
    </row>
    <row r="13" spans="1:7">
      <c r="A13"/>
      <c r="B13" s="2104" t="s">
        <v>1014</v>
      </c>
      <c r="C13" s="306"/>
      <c r="D13" s="1504"/>
      <c r="E13" s="817"/>
      <c r="F13" s="818"/>
      <c r="G13" s="819"/>
    </row>
    <row r="14" spans="1:7">
      <c r="A14"/>
      <c r="B14" s="2104" t="s">
        <v>74</v>
      </c>
      <c r="C14" s="306"/>
      <c r="D14" s="1504"/>
      <c r="E14" s="817"/>
      <c r="F14" s="818"/>
      <c r="G14" s="819"/>
    </row>
    <row r="15" spans="1:7">
      <c r="A15"/>
      <c r="B15" s="2104" t="s">
        <v>78</v>
      </c>
      <c r="C15" s="306"/>
      <c r="D15" s="1504"/>
      <c r="E15" s="817"/>
      <c r="F15" s="818"/>
      <c r="G15" s="819"/>
    </row>
    <row r="16" spans="1:7">
      <c r="A16"/>
      <c r="B16" s="2104" t="s">
        <v>81</v>
      </c>
      <c r="C16" s="306"/>
      <c r="D16" s="1504"/>
      <c r="E16" s="817"/>
      <c r="F16" s="818"/>
      <c r="G16" s="819"/>
    </row>
    <row r="17" spans="1:7">
      <c r="A17"/>
      <c r="B17" s="2105" t="s">
        <v>91</v>
      </c>
      <c r="C17" s="306"/>
      <c r="D17" s="1504"/>
      <c r="E17" s="817"/>
      <c r="F17" s="818"/>
      <c r="G17" s="819"/>
    </row>
    <row r="18" spans="1:7">
      <c r="A18"/>
      <c r="B18" s="2105" t="s">
        <v>110</v>
      </c>
      <c r="C18" s="306"/>
      <c r="D18" s="1504"/>
      <c r="E18" s="817"/>
      <c r="F18" s="818"/>
      <c r="G18" s="819"/>
    </row>
    <row r="19" spans="1:7" customFormat="1">
      <c r="B19" s="2105" t="s">
        <v>122</v>
      </c>
      <c r="C19" s="306"/>
      <c r="D19" s="1504"/>
      <c r="F19" s="247"/>
    </row>
    <row r="20" spans="1:7">
      <c r="B20" s="2105" t="s">
        <v>125</v>
      </c>
      <c r="C20" s="306"/>
      <c r="D20" s="1504"/>
    </row>
    <row r="21" spans="1:7">
      <c r="B21" s="976"/>
      <c r="C21" s="306"/>
      <c r="D21" s="1504"/>
    </row>
    <row r="22" spans="1:7">
      <c r="A22"/>
    </row>
    <row r="23" spans="1:7" ht="24.75" thickBot="1">
      <c r="A23" s="789" t="s">
        <v>1012</v>
      </c>
      <c r="B23" s="812"/>
      <c r="C23" s="812"/>
      <c r="D23" s="1506"/>
      <c r="E23" s="790"/>
      <c r="F23" s="791"/>
      <c r="G23" s="792"/>
    </row>
    <row r="24" spans="1:7" s="798" customFormat="1" ht="7.5" thickTop="1">
      <c r="B24" s="811"/>
      <c r="C24" s="811"/>
      <c r="D24" s="1507"/>
      <c r="F24" s="567"/>
    </row>
    <row r="25" spans="1:7" ht="28.5">
      <c r="B25" s="977" t="s">
        <v>139</v>
      </c>
    </row>
    <row r="26" spans="1:7" ht="28.5">
      <c r="B26" s="2102" t="s">
        <v>1007</v>
      </c>
    </row>
    <row r="27" spans="1:7">
      <c r="A27" s="793"/>
    </row>
    <row r="28" spans="1:7" ht="19.5" thickBot="1">
      <c r="A28" s="797" t="s">
        <v>29</v>
      </c>
      <c r="B28" s="813"/>
      <c r="C28" s="823"/>
      <c r="D28" s="1508"/>
      <c r="E28" s="797"/>
      <c r="F28" s="973"/>
      <c r="G28" s="797"/>
    </row>
    <row r="29" spans="1:7" s="798" customFormat="1" ht="8.25" thickTop="1" thickBot="1">
      <c r="B29" s="971" t="s">
        <v>1139</v>
      </c>
      <c r="C29" s="971" t="s">
        <v>1140</v>
      </c>
      <c r="D29" s="1509" t="s">
        <v>1153</v>
      </c>
      <c r="E29" s="972" t="s">
        <v>317</v>
      </c>
      <c r="F29" s="974" t="s">
        <v>821</v>
      </c>
      <c r="G29" s="972" t="s">
        <v>1141</v>
      </c>
    </row>
    <row r="30" spans="1:7" ht="30" thickTop="1" thickBot="1">
      <c r="A30" s="2107" t="s">
        <v>275</v>
      </c>
      <c r="B30" s="828" t="s">
        <v>30</v>
      </c>
      <c r="C30" s="804" t="s">
        <v>705</v>
      </c>
      <c r="D30" s="1505" t="s">
        <v>31</v>
      </c>
      <c r="E30" s="784"/>
      <c r="F30" s="785"/>
      <c r="G30" s="786"/>
    </row>
    <row r="31" spans="1:7" ht="15.75" hidden="1" thickTop="1" thickBot="1">
      <c r="A31" s="2101"/>
      <c r="B31" s="978" t="s">
        <v>706</v>
      </c>
    </row>
    <row r="32" spans="1:7" customFormat="1" ht="15.75" thickTop="1" thickBot="1">
      <c r="B32" s="306"/>
      <c r="D32" s="1504" t="s">
        <v>317</v>
      </c>
      <c r="F32" s="247"/>
    </row>
    <row r="33" spans="1:7" ht="30" thickTop="1" thickBot="1">
      <c r="A33" s="2107" t="s">
        <v>275</v>
      </c>
      <c r="B33" s="828" t="s">
        <v>707</v>
      </c>
      <c r="C33" s="804" t="s">
        <v>708</v>
      </c>
      <c r="D33" s="1505" t="s">
        <v>821</v>
      </c>
      <c r="E33" s="784"/>
      <c r="F33" s="785"/>
      <c r="G33" s="786"/>
    </row>
    <row r="34" spans="1:7" ht="72.75" hidden="1" thickTop="1" thickBot="1">
      <c r="B34" s="979" t="s">
        <v>709</v>
      </c>
    </row>
    <row r="35" spans="1:7" ht="15" thickTop="1">
      <c r="C35" s="804" t="s">
        <v>28</v>
      </c>
      <c r="D35" s="1505" t="s">
        <v>821</v>
      </c>
    </row>
    <row r="36" spans="1:7" ht="24.75" thickBot="1">
      <c r="A36" s="799" t="s">
        <v>1015</v>
      </c>
      <c r="B36" s="814"/>
      <c r="C36" s="814"/>
      <c r="D36" s="1505" t="str">
        <f t="shared" ref="D36:D99" si="0">_xlfn.CONCAT(E36:G36)</f>
        <v/>
      </c>
      <c r="E36" s="800"/>
      <c r="F36" s="801"/>
      <c r="G36" s="802"/>
    </row>
    <row r="37" spans="1:7" s="798" customFormat="1" ht="15" thickTop="1">
      <c r="B37" s="811"/>
      <c r="C37" s="811"/>
      <c r="D37" s="1505" t="str">
        <f t="shared" si="0"/>
        <v/>
      </c>
      <c r="F37" s="567"/>
    </row>
    <row r="38" spans="1:7" ht="28.5">
      <c r="B38" s="977" t="s">
        <v>139</v>
      </c>
      <c r="D38" s="1505" t="str">
        <f t="shared" si="0"/>
        <v/>
      </c>
    </row>
    <row r="39" spans="1:7" ht="28.5">
      <c r="B39" s="2102" t="s">
        <v>1008</v>
      </c>
      <c r="D39" s="1505" t="str">
        <f t="shared" si="0"/>
        <v/>
      </c>
    </row>
    <row r="40" spans="1:7" s="533" customFormat="1">
      <c r="B40" s="306"/>
      <c r="C40" s="306"/>
      <c r="D40" s="1505" t="str">
        <f t="shared" si="0"/>
        <v/>
      </c>
      <c r="F40" s="247"/>
    </row>
    <row r="41" spans="1:7" ht="19.5" thickBot="1">
      <c r="A41" s="806" t="s">
        <v>32</v>
      </c>
      <c r="B41" s="815"/>
      <c r="C41" s="824"/>
      <c r="D41" s="1505" t="str">
        <f t="shared" si="0"/>
        <v/>
      </c>
      <c r="E41" s="806"/>
      <c r="F41" s="975"/>
      <c r="G41" s="806"/>
    </row>
    <row r="42" spans="1:7" s="798" customFormat="1" ht="15" thickTop="1">
      <c r="B42" s="811"/>
      <c r="C42" s="811"/>
      <c r="D42" s="1505" t="str">
        <f t="shared" si="0"/>
        <v/>
      </c>
      <c r="F42" s="567"/>
    </row>
    <row r="43" spans="1:7">
      <c r="A43" s="2107" t="s">
        <v>275</v>
      </c>
      <c r="B43" s="810" t="s">
        <v>128</v>
      </c>
      <c r="C43" s="804" t="s">
        <v>710</v>
      </c>
      <c r="D43" s="1505" t="s">
        <v>821</v>
      </c>
      <c r="E43" s="784"/>
      <c r="F43" s="785"/>
      <c r="G43" s="786"/>
    </row>
    <row r="44" spans="1:7" ht="57" hidden="1">
      <c r="A44" s="2101"/>
      <c r="B44" s="980" t="s">
        <v>711</v>
      </c>
      <c r="D44" s="1505" t="str">
        <f t="shared" si="0"/>
        <v/>
      </c>
    </row>
    <row r="45" spans="1:7">
      <c r="D45" s="1505" t="str">
        <f t="shared" si="0"/>
        <v/>
      </c>
    </row>
    <row r="46" spans="1:7">
      <c r="A46" s="2107" t="s">
        <v>275</v>
      </c>
      <c r="B46" s="810" t="s">
        <v>33</v>
      </c>
      <c r="C46" s="804" t="s">
        <v>35</v>
      </c>
      <c r="D46" s="1505" t="s">
        <v>821</v>
      </c>
      <c r="E46" s="784"/>
      <c r="F46" s="785"/>
      <c r="G46" s="786"/>
    </row>
    <row r="47" spans="1:7" ht="42.75" hidden="1">
      <c r="B47" s="980" t="s">
        <v>34</v>
      </c>
      <c r="D47" s="1505" t="str">
        <f t="shared" si="0"/>
        <v/>
      </c>
    </row>
    <row r="48" spans="1:7">
      <c r="D48" s="1505" t="str">
        <f t="shared" si="0"/>
        <v/>
      </c>
    </row>
    <row r="49" spans="1:7">
      <c r="A49" s="2107" t="s">
        <v>275</v>
      </c>
      <c r="B49" s="810" t="s">
        <v>712</v>
      </c>
      <c r="C49" s="804" t="s">
        <v>713</v>
      </c>
      <c r="D49" s="1505" t="s">
        <v>317</v>
      </c>
      <c r="E49" s="784"/>
      <c r="F49" s="785"/>
      <c r="G49" s="786"/>
    </row>
    <row r="50" spans="1:7" ht="28.5" hidden="1">
      <c r="B50" s="980" t="s">
        <v>714</v>
      </c>
      <c r="D50" s="1505" t="str">
        <f t="shared" si="0"/>
        <v/>
      </c>
    </row>
    <row r="51" spans="1:7">
      <c r="A51" s="2101"/>
      <c r="D51" s="1505" t="str">
        <f t="shared" si="0"/>
        <v/>
      </c>
    </row>
    <row r="52" spans="1:7">
      <c r="A52" s="2107" t="s">
        <v>275</v>
      </c>
      <c r="B52" s="810" t="s">
        <v>715</v>
      </c>
      <c r="C52" s="804" t="s">
        <v>1018</v>
      </c>
      <c r="D52" s="1505" t="s">
        <v>317</v>
      </c>
      <c r="E52" s="784"/>
      <c r="F52" s="785"/>
      <c r="G52" s="786"/>
    </row>
    <row r="53" spans="1:7" ht="28.5" hidden="1">
      <c r="B53" s="980" t="s">
        <v>716</v>
      </c>
      <c r="D53" s="1505" t="str">
        <f t="shared" si="0"/>
        <v/>
      </c>
    </row>
    <row r="54" spans="1:7">
      <c r="A54" s="2101"/>
      <c r="D54" s="1505" t="str">
        <f t="shared" si="0"/>
        <v/>
      </c>
    </row>
    <row r="55" spans="1:7">
      <c r="A55" s="2107" t="s">
        <v>275</v>
      </c>
      <c r="B55" s="810" t="s">
        <v>717</v>
      </c>
      <c r="C55" s="804" t="s">
        <v>718</v>
      </c>
      <c r="D55" s="1505" t="s">
        <v>317</v>
      </c>
      <c r="E55" s="784"/>
      <c r="F55" s="785"/>
      <c r="G55" s="786"/>
    </row>
    <row r="56" spans="1:7" ht="42.75" hidden="1">
      <c r="B56" s="980" t="s">
        <v>719</v>
      </c>
      <c r="D56" s="1505" t="str">
        <f t="shared" si="0"/>
        <v/>
      </c>
    </row>
    <row r="57" spans="1:7">
      <c r="B57" s="306"/>
      <c r="D57" s="1505" t="str">
        <f t="shared" si="0"/>
        <v/>
      </c>
    </row>
    <row r="58" spans="1:7">
      <c r="A58" s="2107" t="s">
        <v>275</v>
      </c>
      <c r="B58" s="810" t="s">
        <v>720</v>
      </c>
      <c r="C58" s="804" t="s">
        <v>721</v>
      </c>
      <c r="D58" s="1505" t="s">
        <v>317</v>
      </c>
      <c r="E58" s="784"/>
      <c r="F58" s="785"/>
      <c r="G58" s="786"/>
    </row>
    <row r="59" spans="1:7" ht="28.5" hidden="1">
      <c r="B59" s="980" t="s">
        <v>722</v>
      </c>
      <c r="D59" s="1505" t="str">
        <f t="shared" si="0"/>
        <v/>
      </c>
    </row>
    <row r="60" spans="1:7">
      <c r="D60" s="1505" t="str">
        <f t="shared" si="0"/>
        <v/>
      </c>
    </row>
    <row r="61" spans="1:7">
      <c r="A61" s="2107" t="s">
        <v>275</v>
      </c>
      <c r="B61" s="810" t="s">
        <v>723</v>
      </c>
      <c r="C61" s="804" t="s">
        <v>724</v>
      </c>
      <c r="D61" s="1505" t="s">
        <v>317</v>
      </c>
      <c r="E61" s="784"/>
      <c r="F61" s="785"/>
      <c r="G61" s="786"/>
    </row>
    <row r="62" spans="1:7" ht="28.5" hidden="1">
      <c r="B62" s="980" t="s">
        <v>36</v>
      </c>
      <c r="D62" s="1505" t="str">
        <f t="shared" si="0"/>
        <v/>
      </c>
    </row>
    <row r="63" spans="1:7">
      <c r="D63" s="1505" t="str">
        <f t="shared" si="0"/>
        <v/>
      </c>
    </row>
    <row r="64" spans="1:7" ht="19.5" thickBot="1">
      <c r="A64" s="806" t="s">
        <v>9</v>
      </c>
      <c r="B64" s="815"/>
      <c r="C64" s="824"/>
      <c r="D64" s="1505" t="str">
        <f t="shared" si="0"/>
        <v/>
      </c>
      <c r="E64" s="806"/>
      <c r="F64" s="975"/>
      <c r="G64" s="806"/>
    </row>
    <row r="65" spans="1:7" s="453" customFormat="1" ht="15" thickTop="1">
      <c r="B65" s="825"/>
      <c r="C65" s="825"/>
      <c r="D65" s="1505" t="str">
        <f t="shared" si="0"/>
        <v/>
      </c>
      <c r="F65" s="473"/>
    </row>
    <row r="66" spans="1:7">
      <c r="A66" s="2107" t="s">
        <v>275</v>
      </c>
      <c r="B66" s="810" t="s">
        <v>37</v>
      </c>
      <c r="C66" s="804" t="s">
        <v>38</v>
      </c>
      <c r="D66" s="1505" t="s">
        <v>317</v>
      </c>
      <c r="E66" s="784"/>
      <c r="F66" s="785"/>
      <c r="G66" s="786"/>
    </row>
    <row r="67" spans="1:7" ht="57" hidden="1">
      <c r="B67" s="980" t="s">
        <v>725</v>
      </c>
      <c r="D67" s="1505" t="str">
        <f t="shared" si="0"/>
        <v/>
      </c>
    </row>
    <row r="68" spans="1:7">
      <c r="D68" s="1505" t="str">
        <f t="shared" si="0"/>
        <v/>
      </c>
    </row>
    <row r="69" spans="1:7" ht="19.5" thickBot="1">
      <c r="A69" s="806" t="s">
        <v>39</v>
      </c>
      <c r="B69" s="815"/>
      <c r="C69" s="824"/>
      <c r="D69" s="1505" t="str">
        <f t="shared" si="0"/>
        <v/>
      </c>
      <c r="E69" s="806"/>
      <c r="F69" s="975"/>
      <c r="G69" s="806"/>
    </row>
    <row r="70" spans="1:7" s="453" customFormat="1" ht="15" thickTop="1">
      <c r="B70" s="825"/>
      <c r="C70" s="825"/>
      <c r="D70" s="1505" t="str">
        <f t="shared" si="0"/>
        <v/>
      </c>
      <c r="F70" s="473"/>
    </row>
    <row r="71" spans="1:7" ht="28.5">
      <c r="A71" s="2107" t="s">
        <v>275</v>
      </c>
      <c r="B71" s="810" t="s">
        <v>40</v>
      </c>
      <c r="C71" s="804" t="s">
        <v>726</v>
      </c>
      <c r="D71" s="1505" t="s">
        <v>317</v>
      </c>
      <c r="E71" s="784"/>
      <c r="F71" s="785"/>
      <c r="G71" s="786"/>
    </row>
    <row r="72" spans="1:7" hidden="1">
      <c r="B72" s="980" t="s">
        <v>727</v>
      </c>
      <c r="D72" s="1505" t="str">
        <f t="shared" si="0"/>
        <v/>
      </c>
    </row>
    <row r="73" spans="1:7">
      <c r="D73" s="1505" t="str">
        <f t="shared" si="0"/>
        <v/>
      </c>
    </row>
    <row r="74" spans="1:7">
      <c r="B74" s="810" t="s">
        <v>41</v>
      </c>
      <c r="C74" s="804" t="s">
        <v>42</v>
      </c>
      <c r="D74" s="1505" t="s">
        <v>821</v>
      </c>
      <c r="E74" s="784"/>
      <c r="F74" s="785"/>
      <c r="G74" s="786"/>
    </row>
    <row r="75" spans="1:7">
      <c r="D75" s="1505" t="str">
        <f t="shared" si="0"/>
        <v/>
      </c>
    </row>
    <row r="76" spans="1:7">
      <c r="D76" s="1505" t="str">
        <f t="shared" si="0"/>
        <v/>
      </c>
    </row>
    <row r="77" spans="1:7" ht="28.5">
      <c r="A77" s="2107" t="s">
        <v>275</v>
      </c>
      <c r="B77" s="810" t="s">
        <v>129</v>
      </c>
      <c r="C77" s="804" t="s">
        <v>728</v>
      </c>
      <c r="D77" s="1505" t="s">
        <v>317</v>
      </c>
      <c r="E77" s="784"/>
      <c r="F77" s="785"/>
      <c r="G77" s="786"/>
    </row>
    <row r="78" spans="1:7" ht="42.75" hidden="1">
      <c r="B78" s="981" t="s">
        <v>43</v>
      </c>
      <c r="D78" s="1505" t="str">
        <f t="shared" si="0"/>
        <v/>
      </c>
    </row>
    <row r="79" spans="1:7">
      <c r="D79" s="1505" t="str">
        <f t="shared" si="0"/>
        <v/>
      </c>
    </row>
    <row r="80" spans="1:7" ht="19.5" thickBot="1">
      <c r="A80" s="806" t="s">
        <v>44</v>
      </c>
      <c r="B80" s="815"/>
      <c r="C80" s="824"/>
      <c r="D80" s="1505" t="str">
        <f t="shared" si="0"/>
        <v/>
      </c>
      <c r="E80" s="806"/>
      <c r="F80" s="975"/>
      <c r="G80" s="806"/>
    </row>
    <row r="81" spans="1:7" s="453" customFormat="1" ht="15" thickTop="1">
      <c r="B81" s="825"/>
      <c r="C81" s="825"/>
      <c r="D81" s="1505" t="str">
        <f t="shared" si="0"/>
        <v/>
      </c>
      <c r="F81" s="473"/>
    </row>
    <row r="82" spans="1:7" ht="42.75">
      <c r="A82" s="2107" t="s">
        <v>275</v>
      </c>
      <c r="B82" s="810" t="s">
        <v>45</v>
      </c>
      <c r="C82" s="804" t="s">
        <v>1399</v>
      </c>
      <c r="D82" s="1505" t="s">
        <v>317</v>
      </c>
      <c r="E82" s="784"/>
      <c r="F82" s="785"/>
      <c r="G82" s="786"/>
    </row>
    <row r="83" spans="1:7" ht="71.25" hidden="1">
      <c r="B83" s="981" t="s">
        <v>46</v>
      </c>
      <c r="D83" s="1505" t="str">
        <f t="shared" si="0"/>
        <v/>
      </c>
    </row>
    <row r="84" spans="1:7">
      <c r="D84" s="1505" t="str">
        <f t="shared" si="0"/>
        <v/>
      </c>
    </row>
    <row r="85" spans="1:7">
      <c r="A85" s="2107" t="s">
        <v>275</v>
      </c>
      <c r="B85" s="810" t="s">
        <v>47</v>
      </c>
      <c r="C85" s="804" t="s">
        <v>48</v>
      </c>
      <c r="D85" s="1505" t="s">
        <v>317</v>
      </c>
      <c r="E85" s="784"/>
      <c r="F85" s="785"/>
      <c r="G85" s="786"/>
    </row>
    <row r="86" spans="1:7" ht="71.25" hidden="1">
      <c r="B86" s="981" t="s">
        <v>729</v>
      </c>
      <c r="D86" s="1505" t="str">
        <f t="shared" si="0"/>
        <v/>
      </c>
    </row>
    <row r="87" spans="1:7">
      <c r="D87" s="1505" t="str">
        <f t="shared" si="0"/>
        <v/>
      </c>
    </row>
    <row r="88" spans="1:7">
      <c r="A88" s="2107" t="s">
        <v>275</v>
      </c>
      <c r="B88" s="810" t="s">
        <v>49</v>
      </c>
      <c r="C88" s="804" t="s">
        <v>50</v>
      </c>
      <c r="D88" s="1505" t="s">
        <v>317</v>
      </c>
      <c r="E88" s="784"/>
      <c r="F88" s="785"/>
      <c r="G88" s="786"/>
    </row>
    <row r="89" spans="1:7" ht="28.5" hidden="1">
      <c r="B89" s="981" t="s">
        <v>730</v>
      </c>
      <c r="D89" s="1505" t="str">
        <f t="shared" si="0"/>
        <v/>
      </c>
    </row>
    <row r="90" spans="1:7">
      <c r="D90" s="1505" t="str">
        <f t="shared" si="0"/>
        <v/>
      </c>
    </row>
    <row r="91" spans="1:7">
      <c r="A91" s="2107" t="s">
        <v>275</v>
      </c>
      <c r="B91" s="810" t="s">
        <v>51</v>
      </c>
      <c r="C91" s="804" t="s">
        <v>52</v>
      </c>
      <c r="D91" s="1505" t="s">
        <v>821</v>
      </c>
      <c r="E91" s="784"/>
      <c r="F91" s="785"/>
      <c r="G91" s="786"/>
    </row>
    <row r="92" spans="1:7" ht="42.75" hidden="1">
      <c r="B92" s="981" t="s">
        <v>53</v>
      </c>
      <c r="D92" s="1505" t="str">
        <f t="shared" si="0"/>
        <v/>
      </c>
    </row>
    <row r="93" spans="1:7">
      <c r="D93" s="1505" t="str">
        <f t="shared" si="0"/>
        <v/>
      </c>
    </row>
    <row r="94" spans="1:7">
      <c r="B94" s="810" t="s">
        <v>54</v>
      </c>
      <c r="C94" s="804" t="s">
        <v>55</v>
      </c>
      <c r="D94" s="1505" t="s">
        <v>317</v>
      </c>
      <c r="E94" s="784"/>
      <c r="F94" s="785"/>
      <c r="G94" s="786"/>
    </row>
    <row r="95" spans="1:7">
      <c r="D95" s="1505" t="str">
        <f t="shared" si="0"/>
        <v/>
      </c>
    </row>
    <row r="96" spans="1:7">
      <c r="D96" s="1505" t="str">
        <f t="shared" si="0"/>
        <v/>
      </c>
    </row>
    <row r="97" spans="1:7">
      <c r="A97" s="2107" t="s">
        <v>275</v>
      </c>
      <c r="B97" s="810" t="s">
        <v>56</v>
      </c>
      <c r="C97" s="804" t="s">
        <v>57</v>
      </c>
      <c r="D97" s="1505" t="s">
        <v>317</v>
      </c>
      <c r="E97" s="784"/>
      <c r="F97" s="785"/>
      <c r="G97" s="786"/>
    </row>
    <row r="98" spans="1:7" hidden="1">
      <c r="B98" s="981" t="s">
        <v>58</v>
      </c>
      <c r="D98" s="1505" t="str">
        <f t="shared" si="0"/>
        <v/>
      </c>
    </row>
    <row r="99" spans="1:7">
      <c r="D99" s="1505" t="str">
        <f t="shared" si="0"/>
        <v/>
      </c>
    </row>
    <row r="100" spans="1:7">
      <c r="A100" s="2107" t="s">
        <v>275</v>
      </c>
      <c r="B100" s="810" t="s">
        <v>59</v>
      </c>
      <c r="C100" s="804" t="s">
        <v>60</v>
      </c>
      <c r="D100" s="1505" t="s">
        <v>821</v>
      </c>
      <c r="E100" s="784"/>
      <c r="F100" s="785"/>
      <c r="G100" s="786"/>
    </row>
    <row r="101" spans="1:7" ht="28.5" hidden="1">
      <c r="B101" s="981" t="s">
        <v>731</v>
      </c>
      <c r="D101" s="1505" t="str">
        <f t="shared" ref="D101:D163" si="1">_xlfn.CONCAT(E101:G101)</f>
        <v/>
      </c>
    </row>
    <row r="102" spans="1:7">
      <c r="D102" s="1505" t="str">
        <f t="shared" si="1"/>
        <v/>
      </c>
    </row>
    <row r="103" spans="1:7" ht="19.5" thickBot="1">
      <c r="A103" s="806" t="s">
        <v>61</v>
      </c>
      <c r="B103" s="815"/>
      <c r="C103" s="824"/>
      <c r="D103" s="1505" t="str">
        <f t="shared" si="1"/>
        <v/>
      </c>
      <c r="E103" s="806"/>
      <c r="F103" s="975"/>
      <c r="G103" s="806"/>
    </row>
    <row r="104" spans="1:7" s="453" customFormat="1" ht="15" thickTop="1">
      <c r="B104" s="825"/>
      <c r="C104" s="825"/>
      <c r="D104" s="1505" t="str">
        <f t="shared" si="1"/>
        <v/>
      </c>
      <c r="F104" s="473"/>
    </row>
    <row r="105" spans="1:7" ht="28.5">
      <c r="A105" s="2107" t="s">
        <v>275</v>
      </c>
      <c r="B105" s="816" t="s">
        <v>130</v>
      </c>
      <c r="C105" s="804" t="s">
        <v>62</v>
      </c>
      <c r="D105" s="1505" t="s">
        <v>317</v>
      </c>
      <c r="E105" s="784"/>
      <c r="F105" s="785"/>
      <c r="G105" s="786"/>
    </row>
    <row r="106" spans="1:7" ht="28.5" hidden="1">
      <c r="B106" s="981" t="s">
        <v>63</v>
      </c>
      <c r="D106" s="1505" t="str">
        <f t="shared" si="1"/>
        <v/>
      </c>
    </row>
    <row r="107" spans="1:7">
      <c r="D107" s="1505" t="str">
        <f t="shared" si="1"/>
        <v/>
      </c>
    </row>
    <row r="108" spans="1:7">
      <c r="B108" s="810" t="s">
        <v>131</v>
      </c>
      <c r="C108" s="804" t="s">
        <v>64</v>
      </c>
      <c r="D108" s="1505" t="s">
        <v>821</v>
      </c>
      <c r="E108" s="784"/>
      <c r="F108" s="785"/>
      <c r="G108" s="786"/>
    </row>
    <row r="109" spans="1:7">
      <c r="D109" s="1505" t="str">
        <f t="shared" si="1"/>
        <v/>
      </c>
    </row>
    <row r="110" spans="1:7">
      <c r="D110" s="1505" t="str">
        <f t="shared" si="1"/>
        <v/>
      </c>
    </row>
    <row r="111" spans="1:7">
      <c r="B111" s="810" t="s">
        <v>65</v>
      </c>
      <c r="C111" s="804" t="s">
        <v>66</v>
      </c>
      <c r="D111" s="1505" t="s">
        <v>317</v>
      </c>
      <c r="E111" s="784"/>
      <c r="F111" s="785"/>
      <c r="G111" s="786"/>
    </row>
    <row r="112" spans="1:7">
      <c r="D112" s="1505" t="str">
        <f t="shared" si="1"/>
        <v/>
      </c>
    </row>
    <row r="113" spans="1:7">
      <c r="D113" s="1505" t="str">
        <f t="shared" si="1"/>
        <v/>
      </c>
    </row>
    <row r="114" spans="1:7">
      <c r="A114" s="2107" t="s">
        <v>275</v>
      </c>
      <c r="B114" s="810" t="s">
        <v>67</v>
      </c>
      <c r="C114" s="804" t="s">
        <v>68</v>
      </c>
      <c r="D114" s="1505" t="s">
        <v>821</v>
      </c>
      <c r="E114" s="784"/>
      <c r="F114" s="785"/>
      <c r="G114" s="786"/>
    </row>
    <row r="115" spans="1:7" ht="28.5" hidden="1">
      <c r="B115" s="980" t="s">
        <v>69</v>
      </c>
      <c r="D115" s="1505" t="str">
        <f t="shared" si="1"/>
        <v/>
      </c>
    </row>
    <row r="116" spans="1:7">
      <c r="D116" s="1505" t="str">
        <f t="shared" si="1"/>
        <v/>
      </c>
    </row>
    <row r="117" spans="1:7" ht="19.5" thickBot="1">
      <c r="A117" s="806" t="s">
        <v>70</v>
      </c>
      <c r="B117" s="815"/>
      <c r="C117" s="824"/>
      <c r="D117" s="1505" t="str">
        <f t="shared" si="1"/>
        <v/>
      </c>
      <c r="E117" s="806"/>
      <c r="F117" s="975"/>
      <c r="G117" s="806"/>
    </row>
    <row r="118" spans="1:7" s="453" customFormat="1" ht="15" thickTop="1">
      <c r="B118" s="825"/>
      <c r="C118" s="825"/>
      <c r="D118" s="1505" t="str">
        <f t="shared" si="1"/>
        <v/>
      </c>
      <c r="F118" s="473"/>
    </row>
    <row r="119" spans="1:7" ht="28.5">
      <c r="B119" s="810" t="s">
        <v>71</v>
      </c>
      <c r="C119" s="804" t="s">
        <v>72</v>
      </c>
      <c r="D119" s="1505" t="s">
        <v>317</v>
      </c>
      <c r="E119" s="784"/>
      <c r="F119" s="785"/>
      <c r="G119" s="786"/>
    </row>
    <row r="120" spans="1:7">
      <c r="D120" s="1505" t="str">
        <f t="shared" si="1"/>
        <v/>
      </c>
    </row>
    <row r="121" spans="1:7">
      <c r="D121" s="1505" t="str">
        <f t="shared" si="1"/>
        <v/>
      </c>
    </row>
    <row r="122" spans="1:7" ht="28.5">
      <c r="B122" s="810" t="s">
        <v>73</v>
      </c>
      <c r="C122" s="804" t="s">
        <v>732</v>
      </c>
      <c r="D122" s="1505" t="s">
        <v>821</v>
      </c>
      <c r="E122" s="784"/>
      <c r="F122" s="785"/>
      <c r="G122" s="786"/>
    </row>
    <row r="123" spans="1:7">
      <c r="D123" s="1505" t="str">
        <f t="shared" si="1"/>
        <v/>
      </c>
    </row>
    <row r="124" spans="1:7">
      <c r="C124" s="804" t="s">
        <v>28</v>
      </c>
      <c r="D124" s="1505" t="str">
        <f t="shared" si="1"/>
        <v/>
      </c>
    </row>
    <row r="125" spans="1:7" ht="24.75" thickBot="1">
      <c r="A125" s="805" t="s">
        <v>1016</v>
      </c>
      <c r="B125" s="820"/>
      <c r="C125" s="820"/>
      <c r="D125" s="1505" t="str">
        <f t="shared" si="1"/>
        <v/>
      </c>
      <c r="E125" s="805"/>
      <c r="F125" s="299"/>
      <c r="G125" s="805"/>
    </row>
    <row r="126" spans="1:7" s="798" customFormat="1" ht="15" thickTop="1">
      <c r="B126" s="811"/>
      <c r="C126" s="811"/>
      <c r="D126" s="1505" t="str">
        <f t="shared" si="1"/>
        <v/>
      </c>
      <c r="F126" s="567"/>
    </row>
    <row r="127" spans="1:7" ht="28.5">
      <c r="B127" s="977" t="s">
        <v>139</v>
      </c>
      <c r="D127" s="1505" t="str">
        <f t="shared" si="1"/>
        <v/>
      </c>
    </row>
    <row r="128" spans="1:7" ht="28.5">
      <c r="B128" s="2102" t="s">
        <v>1009</v>
      </c>
      <c r="D128" s="1505" t="str">
        <f t="shared" si="1"/>
        <v/>
      </c>
    </row>
    <row r="129" spans="1:7">
      <c r="A129" s="793"/>
      <c r="D129" s="1505" t="str">
        <f t="shared" si="1"/>
        <v/>
      </c>
    </row>
    <row r="130" spans="1:7" ht="19.5" thickBot="1">
      <c r="A130" s="803" t="s">
        <v>74</v>
      </c>
      <c r="B130" s="826"/>
      <c r="C130" s="826"/>
      <c r="D130" s="1505" t="str">
        <f t="shared" si="1"/>
        <v/>
      </c>
      <c r="E130" s="803"/>
      <c r="F130" s="300"/>
      <c r="G130" s="803"/>
    </row>
    <row r="131" spans="1:7" s="453" customFormat="1" ht="15" thickTop="1">
      <c r="B131" s="825"/>
      <c r="C131" s="825"/>
      <c r="D131" s="1505" t="str">
        <f t="shared" si="1"/>
        <v/>
      </c>
      <c r="F131" s="473"/>
    </row>
    <row r="132" spans="1:7" ht="28.5">
      <c r="B132" s="821" t="s">
        <v>132</v>
      </c>
      <c r="C132" s="804" t="s">
        <v>75</v>
      </c>
      <c r="D132" s="1505" t="s">
        <v>31</v>
      </c>
      <c r="E132" s="784"/>
      <c r="F132" s="785"/>
      <c r="G132" s="786"/>
    </row>
    <row r="133" spans="1:7">
      <c r="D133" s="1505" t="str">
        <f t="shared" si="1"/>
        <v/>
      </c>
    </row>
    <row r="134" spans="1:7">
      <c r="B134" s="821" t="s">
        <v>76</v>
      </c>
      <c r="C134" s="804" t="s">
        <v>77</v>
      </c>
      <c r="D134" s="1505" t="s">
        <v>821</v>
      </c>
      <c r="E134" s="784"/>
      <c r="F134" s="785"/>
      <c r="G134" s="786"/>
    </row>
    <row r="135" spans="1:7">
      <c r="D135" s="1505" t="str">
        <f t="shared" si="1"/>
        <v/>
      </c>
    </row>
    <row r="136" spans="1:7">
      <c r="D136" s="1505" t="str">
        <f t="shared" si="1"/>
        <v/>
      </c>
    </row>
    <row r="137" spans="1:7" ht="19.5" thickBot="1">
      <c r="A137" s="803" t="s">
        <v>78</v>
      </c>
      <c r="B137" s="826"/>
      <c r="C137" s="826"/>
      <c r="D137" s="1505" t="str">
        <f t="shared" si="1"/>
        <v/>
      </c>
      <c r="E137" s="803"/>
      <c r="F137" s="300"/>
      <c r="G137" s="803"/>
    </row>
    <row r="138" spans="1:7" s="453" customFormat="1" ht="15" thickTop="1">
      <c r="B138" s="825"/>
      <c r="C138" s="825"/>
      <c r="D138" s="1505" t="str">
        <f t="shared" si="1"/>
        <v/>
      </c>
      <c r="F138" s="473"/>
    </row>
    <row r="139" spans="1:7" ht="28.5">
      <c r="B139" s="821" t="s">
        <v>79</v>
      </c>
      <c r="C139" s="804" t="s">
        <v>80</v>
      </c>
      <c r="D139" s="1505" t="s">
        <v>821</v>
      </c>
      <c r="E139" s="784"/>
      <c r="F139" s="785"/>
      <c r="G139" s="786"/>
    </row>
    <row r="140" spans="1:7">
      <c r="D140" s="1505" t="str">
        <f t="shared" si="1"/>
        <v/>
      </c>
    </row>
    <row r="141" spans="1:7">
      <c r="D141" s="1505" t="str">
        <f t="shared" si="1"/>
        <v/>
      </c>
    </row>
    <row r="142" spans="1:7" ht="19.5" thickBot="1">
      <c r="A142" s="803" t="s">
        <v>81</v>
      </c>
      <c r="B142" s="826"/>
      <c r="C142" s="826"/>
      <c r="D142" s="1505" t="str">
        <f t="shared" si="1"/>
        <v/>
      </c>
      <c r="E142" s="803"/>
      <c r="F142" s="300"/>
      <c r="G142" s="803"/>
    </row>
    <row r="143" spans="1:7" s="453" customFormat="1" ht="15" thickTop="1">
      <c r="B143" s="825"/>
      <c r="C143" s="825"/>
      <c r="D143" s="1505" t="str">
        <f t="shared" si="1"/>
        <v/>
      </c>
      <c r="F143" s="473"/>
    </row>
    <row r="144" spans="1:7" ht="28.5">
      <c r="A144" s="2107" t="s">
        <v>275</v>
      </c>
      <c r="B144" s="821" t="s">
        <v>82</v>
      </c>
      <c r="C144" s="804" t="s">
        <v>83</v>
      </c>
      <c r="D144" s="1505" t="s">
        <v>31</v>
      </c>
      <c r="E144" s="784"/>
      <c r="F144" s="785"/>
      <c r="G144" s="786"/>
    </row>
    <row r="145" spans="1:7" ht="85.5">
      <c r="B145" s="982" t="s">
        <v>84</v>
      </c>
      <c r="D145" s="1505" t="str">
        <f t="shared" si="1"/>
        <v/>
      </c>
    </row>
    <row r="146" spans="1:7">
      <c r="D146" s="1505" t="str">
        <f t="shared" si="1"/>
        <v/>
      </c>
    </row>
    <row r="147" spans="1:7" ht="28.5">
      <c r="B147" s="821" t="s">
        <v>85</v>
      </c>
      <c r="C147" s="804" t="s">
        <v>86</v>
      </c>
      <c r="D147" s="1505" t="s">
        <v>31</v>
      </c>
      <c r="E147" s="784"/>
      <c r="F147" s="785"/>
      <c r="G147" s="786"/>
    </row>
    <row r="148" spans="1:7">
      <c r="D148" s="1505" t="str">
        <f t="shared" si="1"/>
        <v/>
      </c>
    </row>
    <row r="149" spans="1:7" ht="42.75">
      <c r="A149" s="2107" t="s">
        <v>275</v>
      </c>
      <c r="B149" s="821" t="s">
        <v>133</v>
      </c>
      <c r="C149" s="804" t="s">
        <v>87</v>
      </c>
      <c r="D149" s="1505" t="s">
        <v>31</v>
      </c>
      <c r="E149" s="784"/>
      <c r="F149" s="785"/>
      <c r="G149" s="786"/>
    </row>
    <row r="150" spans="1:7">
      <c r="B150" s="982" t="s">
        <v>88</v>
      </c>
      <c r="D150" s="1505" t="str">
        <f t="shared" si="1"/>
        <v/>
      </c>
    </row>
    <row r="151" spans="1:7">
      <c r="D151" s="1505" t="str">
        <f t="shared" si="1"/>
        <v/>
      </c>
    </row>
    <row r="152" spans="1:7">
      <c r="B152" s="821" t="s">
        <v>89</v>
      </c>
      <c r="C152" s="804" t="s">
        <v>90</v>
      </c>
      <c r="D152" s="1505" t="s">
        <v>31</v>
      </c>
      <c r="E152" s="784"/>
      <c r="F152" s="785"/>
      <c r="G152" s="786"/>
    </row>
    <row r="153" spans="1:7">
      <c r="D153" s="1505" t="str">
        <f t="shared" si="1"/>
        <v/>
      </c>
    </row>
    <row r="154" spans="1:7" ht="19.5" thickBot="1">
      <c r="A154" s="803" t="s">
        <v>91</v>
      </c>
      <c r="B154" s="826"/>
      <c r="C154" s="826"/>
      <c r="D154" s="1505" t="str">
        <f t="shared" si="1"/>
        <v/>
      </c>
      <c r="E154" s="803"/>
      <c r="F154" s="300"/>
      <c r="G154" s="803"/>
    </row>
    <row r="155" spans="1:7" s="453" customFormat="1" ht="15" thickTop="1">
      <c r="B155" s="825"/>
      <c r="C155" s="825"/>
      <c r="D155" s="1505" t="str">
        <f t="shared" si="1"/>
        <v/>
      </c>
      <c r="F155" s="473"/>
    </row>
    <row r="156" spans="1:7">
      <c r="A156" s="2107" t="s">
        <v>275</v>
      </c>
      <c r="B156" s="821" t="s">
        <v>92</v>
      </c>
      <c r="C156" s="804" t="s">
        <v>93</v>
      </c>
      <c r="D156" s="1505" t="s">
        <v>31</v>
      </c>
      <c r="E156" s="784"/>
      <c r="F156" s="785"/>
      <c r="G156" s="786"/>
    </row>
    <row r="157" spans="1:7" ht="28.5">
      <c r="B157" s="982" t="s">
        <v>94</v>
      </c>
      <c r="D157" s="1505" t="str">
        <f t="shared" si="1"/>
        <v/>
      </c>
    </row>
    <row r="158" spans="1:7">
      <c r="D158" s="1505" t="str">
        <f t="shared" si="1"/>
        <v/>
      </c>
    </row>
    <row r="159" spans="1:7">
      <c r="A159" s="2107" t="s">
        <v>275</v>
      </c>
      <c r="B159" s="821" t="s">
        <v>95</v>
      </c>
      <c r="C159" s="804" t="s">
        <v>96</v>
      </c>
      <c r="D159" s="1505" t="s">
        <v>31</v>
      </c>
      <c r="E159" s="784"/>
      <c r="F159" s="785"/>
      <c r="G159" s="786"/>
    </row>
    <row r="160" spans="1:7" ht="57">
      <c r="B160" s="982" t="s">
        <v>97</v>
      </c>
      <c r="D160" s="1505" t="str">
        <f t="shared" si="1"/>
        <v/>
      </c>
    </row>
    <row r="161" spans="1:7">
      <c r="D161" s="1505" t="str">
        <f t="shared" si="1"/>
        <v/>
      </c>
    </row>
    <row r="162" spans="1:7">
      <c r="A162" s="2107" t="s">
        <v>275</v>
      </c>
      <c r="B162" s="821" t="s">
        <v>134</v>
      </c>
      <c r="C162" s="804" t="s">
        <v>98</v>
      </c>
      <c r="D162" s="1505" t="s">
        <v>31</v>
      </c>
      <c r="E162" s="784"/>
      <c r="F162" s="785"/>
      <c r="G162" s="786"/>
    </row>
    <row r="163" spans="1:7" ht="42.75">
      <c r="B163" s="982" t="s">
        <v>99</v>
      </c>
      <c r="D163" s="1505" t="str">
        <f t="shared" si="1"/>
        <v/>
      </c>
    </row>
    <row r="164" spans="1:7">
      <c r="D164" s="1505" t="str">
        <f t="shared" ref="D164:D201" si="2">_xlfn.CONCAT(E164:G164)</f>
        <v/>
      </c>
    </row>
    <row r="165" spans="1:7" ht="28.5">
      <c r="A165" s="2107" t="s">
        <v>275</v>
      </c>
      <c r="B165" s="821" t="s">
        <v>135</v>
      </c>
      <c r="C165" s="804" t="s">
        <v>100</v>
      </c>
      <c r="D165" s="1505" t="s">
        <v>31</v>
      </c>
      <c r="E165" s="784"/>
      <c r="F165" s="785"/>
      <c r="G165" s="786"/>
    </row>
    <row r="166" spans="1:7" ht="28.5">
      <c r="B166" s="982" t="s">
        <v>101</v>
      </c>
      <c r="D166" s="1505" t="str">
        <f t="shared" si="2"/>
        <v/>
      </c>
    </row>
    <row r="167" spans="1:7">
      <c r="D167" s="1505" t="str">
        <f t="shared" si="2"/>
        <v/>
      </c>
    </row>
    <row r="168" spans="1:7">
      <c r="A168" s="2107" t="s">
        <v>275</v>
      </c>
      <c r="B168" s="821" t="s">
        <v>102</v>
      </c>
      <c r="C168" s="804" t="s">
        <v>103</v>
      </c>
      <c r="D168" s="1505" t="s">
        <v>31</v>
      </c>
      <c r="E168" s="784"/>
      <c r="F168" s="785"/>
      <c r="G168" s="786"/>
    </row>
    <row r="169" spans="1:7">
      <c r="B169" s="982" t="s">
        <v>104</v>
      </c>
      <c r="D169" s="1505" t="str">
        <f t="shared" si="2"/>
        <v/>
      </c>
    </row>
    <row r="170" spans="1:7">
      <c r="D170" s="1505" t="str">
        <f t="shared" si="2"/>
        <v/>
      </c>
    </row>
    <row r="171" spans="1:7" ht="28.5">
      <c r="A171" s="2107" t="s">
        <v>275</v>
      </c>
      <c r="B171" s="821" t="s">
        <v>105</v>
      </c>
      <c r="C171" s="804" t="s">
        <v>106</v>
      </c>
      <c r="D171" s="1505" t="s">
        <v>31</v>
      </c>
      <c r="E171" s="784"/>
      <c r="F171" s="785"/>
      <c r="G171" s="786"/>
    </row>
    <row r="172" spans="1:7" ht="42.75">
      <c r="B172" s="982" t="s">
        <v>107</v>
      </c>
      <c r="D172" s="1505" t="str">
        <f t="shared" si="2"/>
        <v/>
      </c>
    </row>
    <row r="173" spans="1:7">
      <c r="D173" s="1505" t="str">
        <f t="shared" si="2"/>
        <v/>
      </c>
    </row>
    <row r="174" spans="1:7">
      <c r="A174" s="2107" t="s">
        <v>275</v>
      </c>
      <c r="B174" s="821" t="s">
        <v>136</v>
      </c>
      <c r="C174" s="804" t="s">
        <v>108</v>
      </c>
      <c r="D174" s="1505" t="s">
        <v>31</v>
      </c>
      <c r="E174" s="784"/>
      <c r="F174" s="785"/>
      <c r="G174" s="786"/>
    </row>
    <row r="175" spans="1:7" ht="28.5">
      <c r="B175" s="982" t="s">
        <v>109</v>
      </c>
      <c r="D175" s="1505" t="str">
        <f t="shared" si="2"/>
        <v/>
      </c>
    </row>
    <row r="176" spans="1:7">
      <c r="D176" s="1505" t="str">
        <f t="shared" si="2"/>
        <v/>
      </c>
    </row>
    <row r="177" spans="1:7" ht="19.5" thickBot="1">
      <c r="A177" s="803" t="s">
        <v>110</v>
      </c>
      <c r="B177" s="826"/>
      <c r="C177" s="826"/>
      <c r="D177" s="1505" t="str">
        <f t="shared" si="2"/>
        <v/>
      </c>
      <c r="E177" s="803"/>
      <c r="F177" s="300"/>
      <c r="G177" s="803"/>
    </row>
    <row r="178" spans="1:7" s="453" customFormat="1" ht="15" thickTop="1">
      <c r="B178" s="825"/>
      <c r="C178" s="825"/>
      <c r="D178" s="1505" t="str">
        <f t="shared" si="2"/>
        <v/>
      </c>
      <c r="F178" s="473"/>
    </row>
    <row r="179" spans="1:7" ht="28.5">
      <c r="A179" s="2107" t="s">
        <v>275</v>
      </c>
      <c r="B179" s="821" t="s">
        <v>819</v>
      </c>
      <c r="C179" s="804" t="s">
        <v>111</v>
      </c>
      <c r="D179" s="1505" t="s">
        <v>31</v>
      </c>
      <c r="E179" s="784"/>
      <c r="F179" s="785"/>
      <c r="G179" s="786"/>
    </row>
    <row r="180" spans="1:7" ht="85.5">
      <c r="B180" s="982" t="s">
        <v>1010</v>
      </c>
      <c r="D180" s="1505" t="str">
        <f t="shared" si="2"/>
        <v/>
      </c>
    </row>
    <row r="181" spans="1:7">
      <c r="D181" s="1505" t="str">
        <f t="shared" si="2"/>
        <v/>
      </c>
    </row>
    <row r="182" spans="1:7">
      <c r="B182" s="821" t="s">
        <v>112</v>
      </c>
      <c r="C182" s="804" t="s">
        <v>113</v>
      </c>
      <c r="D182" s="1505" t="s">
        <v>821</v>
      </c>
      <c r="E182" s="784"/>
      <c r="F182" s="785"/>
      <c r="G182" s="786"/>
    </row>
    <row r="183" spans="1:7">
      <c r="A183" s="1672"/>
      <c r="B183" s="1673"/>
      <c r="D183" s="1505" t="str">
        <f t="shared" si="2"/>
        <v/>
      </c>
    </row>
    <row r="184" spans="1:7" ht="71.25">
      <c r="A184" s="2107" t="s">
        <v>275</v>
      </c>
      <c r="B184" s="821" t="s">
        <v>114</v>
      </c>
      <c r="C184" s="804" t="s">
        <v>115</v>
      </c>
      <c r="D184" s="1505" t="s">
        <v>821</v>
      </c>
      <c r="E184" s="784"/>
      <c r="F184" s="785"/>
      <c r="G184" s="786"/>
    </row>
    <row r="185" spans="1:7" ht="156.75">
      <c r="B185" s="982" t="s">
        <v>1453</v>
      </c>
      <c r="D185" s="1505" t="str">
        <f t="shared" si="2"/>
        <v/>
      </c>
    </row>
    <row r="186" spans="1:7">
      <c r="D186" s="1505" t="str">
        <f t="shared" si="2"/>
        <v/>
      </c>
    </row>
    <row r="187" spans="1:7" customFormat="1" ht="42.75">
      <c r="B187" s="821" t="s">
        <v>1011</v>
      </c>
      <c r="C187" s="804" t="s">
        <v>116</v>
      </c>
      <c r="D187" s="1505" t="s">
        <v>31</v>
      </c>
      <c r="E187" s="784"/>
      <c r="F187" s="785"/>
      <c r="G187" s="786"/>
    </row>
    <row r="188" spans="1:7">
      <c r="D188" s="1505" t="str">
        <f t="shared" si="2"/>
        <v/>
      </c>
    </row>
    <row r="189" spans="1:7">
      <c r="B189" s="821" t="s">
        <v>117</v>
      </c>
      <c r="C189" s="804" t="s">
        <v>118</v>
      </c>
      <c r="D189" s="1505" t="s">
        <v>821</v>
      </c>
      <c r="E189" s="784"/>
      <c r="F189" s="785"/>
      <c r="G189" s="786"/>
    </row>
    <row r="190" spans="1:7">
      <c r="D190" s="1505" t="str">
        <f t="shared" si="2"/>
        <v/>
      </c>
    </row>
    <row r="191" spans="1:7">
      <c r="A191" s="2107" t="s">
        <v>275</v>
      </c>
      <c r="B191" s="821" t="s">
        <v>119</v>
      </c>
      <c r="C191" s="804" t="s">
        <v>120</v>
      </c>
      <c r="D191" s="1505" t="s">
        <v>821</v>
      </c>
      <c r="E191" s="784"/>
      <c r="F191" s="785"/>
      <c r="G191" s="786"/>
    </row>
    <row r="192" spans="1:7" ht="28.5">
      <c r="B192" s="982" t="s">
        <v>121</v>
      </c>
      <c r="D192" s="1505" t="s">
        <v>317</v>
      </c>
    </row>
    <row r="193" spans="1:7">
      <c r="D193" s="1505" t="str">
        <f t="shared" si="2"/>
        <v/>
      </c>
    </row>
    <row r="194" spans="1:7" ht="19.5" thickBot="1">
      <c r="A194" s="803" t="s">
        <v>122</v>
      </c>
      <c r="B194" s="826"/>
      <c r="C194" s="826"/>
      <c r="D194" s="1505" t="str">
        <f t="shared" si="2"/>
        <v/>
      </c>
      <c r="E194" s="803"/>
      <c r="F194" s="300"/>
      <c r="G194" s="803"/>
    </row>
    <row r="195" spans="1:7" s="453" customFormat="1" ht="15" thickTop="1">
      <c r="B195" s="825"/>
      <c r="C195" s="825"/>
      <c r="D195" s="1505" t="str">
        <f t="shared" si="2"/>
        <v/>
      </c>
      <c r="F195" s="473"/>
    </row>
    <row r="196" spans="1:7" ht="28.5">
      <c r="B196" s="821" t="s">
        <v>137</v>
      </c>
      <c r="C196" s="804" t="s">
        <v>123</v>
      </c>
      <c r="D196" s="1505" t="s">
        <v>317</v>
      </c>
      <c r="E196" s="784"/>
      <c r="F196" s="785"/>
      <c r="G196" s="786"/>
    </row>
    <row r="197" spans="1:7">
      <c r="D197" s="1505" t="str">
        <f t="shared" si="2"/>
        <v/>
      </c>
    </row>
    <row r="198" spans="1:7" ht="42.75">
      <c r="B198" s="821" t="s">
        <v>138</v>
      </c>
      <c r="C198" s="804" t="s">
        <v>124</v>
      </c>
      <c r="D198" s="1505" t="s">
        <v>821</v>
      </c>
      <c r="E198" s="784"/>
      <c r="F198" s="785"/>
      <c r="G198" s="786"/>
    </row>
    <row r="199" spans="1:7">
      <c r="D199" s="1505" t="str">
        <f t="shared" si="2"/>
        <v/>
      </c>
    </row>
    <row r="200" spans="1:7" ht="19.5" thickBot="1">
      <c r="A200" s="803" t="s">
        <v>125</v>
      </c>
      <c r="B200" s="826"/>
      <c r="C200" s="826"/>
      <c r="D200" s="1505" t="str">
        <f t="shared" si="2"/>
        <v/>
      </c>
      <c r="E200" s="803"/>
      <c r="F200" s="300"/>
      <c r="G200" s="803"/>
    </row>
    <row r="201" spans="1:7" s="453" customFormat="1" ht="15" thickTop="1">
      <c r="B201" s="825"/>
      <c r="C201" s="825"/>
      <c r="D201" s="1505" t="str">
        <f t="shared" si="2"/>
        <v/>
      </c>
      <c r="F201" s="473"/>
    </row>
    <row r="202" spans="1:7" ht="28.5">
      <c r="A202" s="2107" t="s">
        <v>275</v>
      </c>
      <c r="B202" s="821" t="s">
        <v>126</v>
      </c>
      <c r="C202" s="804" t="s">
        <v>123</v>
      </c>
      <c r="D202" s="1505" t="s">
        <v>31</v>
      </c>
      <c r="E202" s="784"/>
      <c r="F202" s="785"/>
      <c r="G202" s="786"/>
    </row>
    <row r="203" spans="1:7" ht="42.75">
      <c r="B203" s="982" t="s">
        <v>127</v>
      </c>
    </row>
    <row r="204" spans="1:7">
      <c r="C204" s="804" t="s">
        <v>28</v>
      </c>
    </row>
    <row r="209" spans="2:5" ht="24.75" thickBot="1">
      <c r="B209" s="983" t="s">
        <v>1138</v>
      </c>
      <c r="C209" s="960"/>
      <c r="D209" s="1510" t="s">
        <v>317</v>
      </c>
    </row>
    <row r="210" spans="2:5" customFormat="1" ht="15" thickTop="1">
      <c r="B210" s="306"/>
      <c r="D210" s="1504" t="s">
        <v>821</v>
      </c>
    </row>
    <row r="211" spans="2:5">
      <c r="B211"/>
      <c r="C211"/>
      <c r="D211" s="1511"/>
    </row>
    <row r="213" spans="2:5">
      <c r="B213" s="1076" t="s">
        <v>1153</v>
      </c>
      <c r="C213" s="1077" t="s">
        <v>1140</v>
      </c>
      <c r="D213" s="1504"/>
      <c r="E213"/>
    </row>
    <row r="214" spans="2:5">
      <c r="B214" s="445" t="s">
        <v>821</v>
      </c>
      <c r="C214"/>
      <c r="D214" s="1504"/>
      <c r="E214"/>
    </row>
    <row r="215" spans="2:5" ht="28.5">
      <c r="B215" s="446" t="s">
        <v>707</v>
      </c>
      <c r="C215" s="445" t="s">
        <v>708</v>
      </c>
      <c r="D215" s="1504"/>
      <c r="E215"/>
    </row>
    <row r="216" spans="2:5">
      <c r="B216" s="933" t="s">
        <v>112</v>
      </c>
      <c r="C216" s="445" t="s">
        <v>113</v>
      </c>
      <c r="D216" s="1504"/>
      <c r="E216"/>
    </row>
    <row r="217" spans="2:5">
      <c r="B217" s="933" t="s">
        <v>114</v>
      </c>
      <c r="C217" s="445" t="s">
        <v>115</v>
      </c>
      <c r="D217" s="1504"/>
      <c r="E217"/>
    </row>
    <row r="218" spans="2:5">
      <c r="B218" s="933" t="s">
        <v>117</v>
      </c>
      <c r="C218" s="445" t="s">
        <v>118</v>
      </c>
      <c r="D218" s="1504"/>
      <c r="E218"/>
    </row>
    <row r="219" spans="2:5">
      <c r="B219" s="933" t="s">
        <v>119</v>
      </c>
      <c r="C219" s="445" t="s">
        <v>120</v>
      </c>
      <c r="D219" s="1504"/>
      <c r="E219"/>
    </row>
    <row r="220" spans="2:5">
      <c r="B220" s="933" t="s">
        <v>138</v>
      </c>
      <c r="C220" s="445" t="s">
        <v>124</v>
      </c>
      <c r="D220" s="1504"/>
      <c r="E220"/>
    </row>
    <row r="221" spans="2:5">
      <c r="B221" s="446" t="s">
        <v>128</v>
      </c>
      <c r="C221" s="445" t="s">
        <v>710</v>
      </c>
      <c r="D221" s="1504"/>
      <c r="E221"/>
    </row>
    <row r="222" spans="2:5">
      <c r="B222" s="933" t="s">
        <v>33</v>
      </c>
      <c r="C222" s="445" t="s">
        <v>35</v>
      </c>
      <c r="D222" s="1504" t="s">
        <v>31</v>
      </c>
      <c r="E222"/>
    </row>
    <row r="223" spans="2:5">
      <c r="B223" s="933" t="s">
        <v>41</v>
      </c>
      <c r="C223" s="445" t="s">
        <v>42</v>
      </c>
      <c r="D223" s="1504"/>
      <c r="E223"/>
    </row>
    <row r="224" spans="2:5">
      <c r="B224" s="933" t="s">
        <v>51</v>
      </c>
      <c r="C224" s="445" t="s">
        <v>52</v>
      </c>
      <c r="D224" s="1504"/>
      <c r="E224"/>
    </row>
    <row r="225" spans="2:5">
      <c r="B225" s="933" t="s">
        <v>59</v>
      </c>
      <c r="C225" s="445" t="s">
        <v>60</v>
      </c>
      <c r="D225" s="1504"/>
      <c r="E225"/>
    </row>
    <row r="226" spans="2:5">
      <c r="B226" s="933" t="s">
        <v>131</v>
      </c>
      <c r="C226" s="445" t="s">
        <v>64</v>
      </c>
      <c r="D226" s="1504"/>
      <c r="E226"/>
    </row>
    <row r="227" spans="2:5">
      <c r="B227" s="933" t="s">
        <v>67</v>
      </c>
      <c r="C227" s="445" t="s">
        <v>68</v>
      </c>
      <c r="D227" s="1504" t="s">
        <v>821</v>
      </c>
      <c r="E227"/>
    </row>
    <row r="228" spans="2:5">
      <c r="B228" s="933" t="s">
        <v>73</v>
      </c>
      <c r="C228" s="445" t="s">
        <v>732</v>
      </c>
      <c r="D228" s="1504"/>
      <c r="E228"/>
    </row>
    <row r="229" spans="2:5">
      <c r="B229" s="933" t="s">
        <v>76</v>
      </c>
      <c r="C229" s="445" t="s">
        <v>77</v>
      </c>
      <c r="D229" s="1504"/>
      <c r="E229"/>
    </row>
    <row r="230" spans="2:5">
      <c r="B230" s="933" t="s">
        <v>79</v>
      </c>
      <c r="C230" s="445" t="s">
        <v>80</v>
      </c>
      <c r="D230" s="1504"/>
      <c r="E230"/>
    </row>
    <row r="231" spans="2:5">
      <c r="B231" s="933" t="s">
        <v>1154</v>
      </c>
      <c r="C231" s="445" t="s">
        <v>28</v>
      </c>
      <c r="D231" s="1504"/>
      <c r="E231"/>
    </row>
    <row r="232" spans="2:5">
      <c r="B232"/>
      <c r="C232"/>
      <c r="D232" s="1504"/>
      <c r="E232"/>
    </row>
    <row r="233" spans="2:5">
      <c r="B233"/>
      <c r="C233"/>
      <c r="D233" s="1504"/>
      <c r="E233"/>
    </row>
    <row r="234" spans="2:5">
      <c r="B234"/>
      <c r="C234"/>
      <c r="D234" s="1504"/>
      <c r="E234"/>
    </row>
    <row r="235" spans="2:5">
      <c r="B235"/>
      <c r="C235"/>
      <c r="D235" s="1504"/>
      <c r="E235"/>
    </row>
    <row r="236" spans="2:5">
      <c r="B236"/>
      <c r="C236"/>
      <c r="D236" s="1504"/>
      <c r="E236"/>
    </row>
    <row r="237" spans="2:5">
      <c r="B237"/>
      <c r="C237"/>
      <c r="D237" s="1504"/>
      <c r="E237"/>
    </row>
    <row r="238" spans="2:5">
      <c r="B238"/>
      <c r="C238"/>
      <c r="D238" s="1504"/>
      <c r="E238"/>
    </row>
    <row r="239" spans="2:5">
      <c r="B239"/>
      <c r="C239"/>
      <c r="D239" s="1504"/>
      <c r="E239"/>
    </row>
    <row r="240" spans="2:5">
      <c r="B240"/>
      <c r="C240"/>
      <c r="D240" s="1504"/>
      <c r="E240"/>
    </row>
    <row r="241" spans="2:5">
      <c r="B241"/>
      <c r="C241"/>
      <c r="D241" s="1504"/>
      <c r="E241"/>
    </row>
    <row r="242" spans="2:5">
      <c r="B242"/>
      <c r="C242"/>
      <c r="D242" s="1504"/>
      <c r="E242"/>
    </row>
    <row r="243" spans="2:5">
      <c r="B243"/>
      <c r="C243"/>
      <c r="D243" s="1504"/>
      <c r="E243"/>
    </row>
    <row r="244" spans="2:5">
      <c r="B244"/>
      <c r="C244"/>
      <c r="D244" s="1504"/>
      <c r="E244"/>
    </row>
    <row r="245" spans="2:5">
      <c r="B245"/>
      <c r="C245"/>
      <c r="D245" s="1504"/>
      <c r="E245"/>
    </row>
    <row r="246" spans="2:5">
      <c r="B246"/>
      <c r="C246"/>
      <c r="D246" s="1504"/>
      <c r="E246"/>
    </row>
    <row r="247" spans="2:5">
      <c r="B247"/>
      <c r="C247"/>
      <c r="D247" s="1504"/>
      <c r="E247"/>
    </row>
    <row r="248" spans="2:5">
      <c r="B248"/>
      <c r="C248"/>
      <c r="D248" s="1504"/>
      <c r="E248"/>
    </row>
    <row r="249" spans="2:5">
      <c r="B249"/>
      <c r="C249"/>
      <c r="D249" s="1504"/>
      <c r="E249"/>
    </row>
    <row r="250" spans="2:5">
      <c r="B250"/>
      <c r="C250"/>
      <c r="D250" s="1504"/>
      <c r="E250"/>
    </row>
    <row r="251" spans="2:5">
      <c r="B251"/>
      <c r="C251"/>
      <c r="D251" s="1504"/>
      <c r="E251"/>
    </row>
    <row r="252" spans="2:5">
      <c r="B252"/>
      <c r="C252"/>
      <c r="D252" s="1504"/>
      <c r="E252"/>
    </row>
    <row r="253" spans="2:5">
      <c r="B253"/>
      <c r="C253"/>
      <c r="D253" s="1504"/>
      <c r="E253"/>
    </row>
    <row r="254" spans="2:5">
      <c r="B254"/>
      <c r="C254"/>
      <c r="D254" s="1504"/>
      <c r="E254"/>
    </row>
    <row r="255" spans="2:5">
      <c r="B255"/>
      <c r="C255"/>
      <c r="D255" s="1504"/>
      <c r="E255"/>
    </row>
    <row r="256" spans="2:5">
      <c r="B256"/>
      <c r="C256"/>
      <c r="D256" s="1504"/>
      <c r="E256"/>
    </row>
    <row r="257" spans="2:5">
      <c r="B257"/>
      <c r="C257"/>
      <c r="D257" s="1504"/>
      <c r="E257"/>
    </row>
    <row r="258" spans="2:5">
      <c r="B258"/>
      <c r="C258"/>
      <c r="D258" s="1504"/>
      <c r="E258"/>
    </row>
    <row r="259" spans="2:5">
      <c r="B259"/>
      <c r="C259"/>
      <c r="D259" s="1504"/>
      <c r="E259"/>
    </row>
    <row r="260" spans="2:5">
      <c r="B260"/>
      <c r="C260"/>
      <c r="D260" s="1504"/>
      <c r="E260"/>
    </row>
    <row r="261" spans="2:5">
      <c r="B261"/>
      <c r="C261"/>
      <c r="D261" s="1504"/>
      <c r="E261"/>
    </row>
    <row r="262" spans="2:5">
      <c r="B262"/>
      <c r="C262"/>
      <c r="D262" s="1504"/>
      <c r="E262"/>
    </row>
    <row r="263" spans="2:5">
      <c r="B263"/>
      <c r="C263"/>
      <c r="D263" s="1504"/>
      <c r="E263"/>
    </row>
    <row r="264" spans="2:5">
      <c r="B264"/>
      <c r="C264"/>
      <c r="D264" s="1504"/>
      <c r="E264"/>
    </row>
    <row r="265" spans="2:5">
      <c r="B265"/>
      <c r="C265"/>
      <c r="D265" s="1504"/>
      <c r="E265"/>
    </row>
    <row r="266" spans="2:5">
      <c r="B266"/>
      <c r="C266"/>
      <c r="D266" s="1504"/>
      <c r="E266"/>
    </row>
    <row r="267" spans="2:5">
      <c r="B267"/>
      <c r="C267"/>
      <c r="D267" s="1504"/>
      <c r="E267"/>
    </row>
    <row r="268" spans="2:5">
      <c r="B268"/>
      <c r="C268"/>
      <c r="D268" s="1504"/>
      <c r="E268"/>
    </row>
    <row r="269" spans="2:5">
      <c r="B269"/>
      <c r="C269"/>
      <c r="D269" s="1504"/>
      <c r="E269"/>
    </row>
    <row r="270" spans="2:5">
      <c r="B270"/>
      <c r="C270"/>
      <c r="D270" s="1504"/>
      <c r="E270"/>
    </row>
    <row r="271" spans="2:5">
      <c r="B271"/>
      <c r="C271"/>
      <c r="D271" s="1504"/>
      <c r="E271"/>
    </row>
    <row r="272" spans="2:5">
      <c r="B272"/>
      <c r="C272"/>
      <c r="D272" s="1504"/>
      <c r="E272"/>
    </row>
    <row r="273" spans="2:5">
      <c r="B273"/>
      <c r="C273"/>
      <c r="D273" s="1504"/>
      <c r="E273"/>
    </row>
    <row r="274" spans="2:5">
      <c r="B274"/>
      <c r="C274"/>
      <c r="D274" s="1504"/>
      <c r="E274"/>
    </row>
    <row r="275" spans="2:5">
      <c r="B275"/>
      <c r="C275"/>
      <c r="D275" s="1504"/>
      <c r="E275"/>
    </row>
    <row r="276" spans="2:5">
      <c r="B276"/>
      <c r="C276"/>
      <c r="D276" s="1504"/>
      <c r="E276"/>
    </row>
    <row r="277" spans="2:5">
      <c r="B277"/>
      <c r="C277"/>
      <c r="D277" s="1504"/>
      <c r="E277"/>
    </row>
    <row r="278" spans="2:5">
      <c r="B278"/>
      <c r="C278"/>
      <c r="D278" s="1504"/>
      <c r="E278"/>
    </row>
    <row r="279" spans="2:5">
      <c r="B279"/>
      <c r="C279"/>
      <c r="D279" s="1504"/>
      <c r="E279"/>
    </row>
    <row r="280" spans="2:5">
      <c r="B280"/>
      <c r="C280"/>
      <c r="D280" s="1504"/>
      <c r="E280"/>
    </row>
    <row r="281" spans="2:5">
      <c r="B281"/>
      <c r="C281"/>
      <c r="D281" s="1504"/>
      <c r="E281"/>
    </row>
    <row r="282" spans="2:5">
      <c r="B282"/>
      <c r="C282"/>
      <c r="D282" s="1504"/>
      <c r="E282"/>
    </row>
    <row r="283" spans="2:5">
      <c r="B283"/>
      <c r="C283"/>
      <c r="D283" s="1504"/>
      <c r="E283"/>
    </row>
    <row r="284" spans="2:5">
      <c r="B284"/>
      <c r="C284"/>
      <c r="D284" s="1504"/>
      <c r="E284"/>
    </row>
    <row r="285" spans="2:5">
      <c r="B285"/>
      <c r="C285"/>
      <c r="D285" s="1504"/>
      <c r="E285"/>
    </row>
    <row r="286" spans="2:5">
      <c r="B286"/>
      <c r="C286"/>
      <c r="D286" s="1504"/>
      <c r="E286"/>
    </row>
    <row r="287" spans="2:5">
      <c r="B287"/>
      <c r="C287"/>
      <c r="D287" s="1504"/>
      <c r="E287"/>
    </row>
    <row r="288" spans="2:5">
      <c r="B288"/>
      <c r="C288"/>
      <c r="D288" s="1504"/>
      <c r="E288"/>
    </row>
    <row r="289" spans="2:5">
      <c r="B289"/>
      <c r="C289"/>
      <c r="D289" s="1504"/>
      <c r="E289"/>
    </row>
    <row r="290" spans="2:5">
      <c r="B290"/>
      <c r="C290"/>
      <c r="D290" s="1504"/>
      <c r="E290"/>
    </row>
    <row r="291" spans="2:5">
      <c r="B291"/>
      <c r="C291"/>
      <c r="D291" s="1504"/>
      <c r="E291"/>
    </row>
    <row r="292" spans="2:5">
      <c r="B292"/>
      <c r="C292"/>
      <c r="D292" s="1504"/>
      <c r="E292"/>
    </row>
    <row r="293" spans="2:5">
      <c r="B293"/>
      <c r="C293"/>
      <c r="D293" s="1504"/>
      <c r="E293"/>
    </row>
    <row r="294" spans="2:5">
      <c r="B294"/>
      <c r="C294"/>
      <c r="D294" s="1504"/>
      <c r="E294"/>
    </row>
    <row r="295" spans="2:5">
      <c r="B295"/>
      <c r="C295"/>
      <c r="D295" s="1504"/>
      <c r="E295"/>
    </row>
    <row r="296" spans="2:5">
      <c r="B296"/>
      <c r="C296"/>
      <c r="D296" s="1504"/>
      <c r="E296"/>
    </row>
    <row r="297" spans="2:5">
      <c r="B297"/>
      <c r="C297"/>
      <c r="D297" s="1504"/>
      <c r="E297"/>
    </row>
    <row r="298" spans="2:5">
      <c r="B298"/>
      <c r="C298"/>
      <c r="D298" s="1504"/>
      <c r="E298"/>
    </row>
    <row r="299" spans="2:5">
      <c r="B299"/>
      <c r="C299"/>
      <c r="D299" s="1504"/>
      <c r="E299"/>
    </row>
    <row r="300" spans="2:5">
      <c r="B300"/>
      <c r="C300"/>
      <c r="D300" s="1504"/>
    </row>
    <row r="301" spans="2:5">
      <c r="B301"/>
      <c r="C301"/>
      <c r="D301" s="1504"/>
    </row>
    <row r="302" spans="2:5">
      <c r="B302"/>
      <c r="C302"/>
      <c r="D302" s="1504"/>
    </row>
    <row r="303" spans="2:5">
      <c r="B303"/>
      <c r="C303"/>
      <c r="D303" s="1504"/>
    </row>
    <row r="304" spans="2:5">
      <c r="B304"/>
      <c r="C304"/>
      <c r="D304" s="1504"/>
    </row>
    <row r="305" spans="2:4">
      <c r="B305"/>
      <c r="C305"/>
      <c r="D305" s="1504"/>
    </row>
    <row r="306" spans="2:4">
      <c r="B306"/>
      <c r="C306"/>
      <c r="D306" s="1504"/>
    </row>
    <row r="307" spans="2:4">
      <c r="B307"/>
      <c r="C307"/>
      <c r="D307" s="1504"/>
    </row>
    <row r="308" spans="2:4">
      <c r="B308"/>
      <c r="C308"/>
      <c r="D308" s="1504"/>
    </row>
    <row r="309" spans="2:4">
      <c r="B309"/>
      <c r="C309"/>
      <c r="D309" s="1504"/>
    </row>
    <row r="310" spans="2:4">
      <c r="B310"/>
      <c r="C310"/>
      <c r="D310" s="1504"/>
    </row>
    <row r="311" spans="2:4">
      <c r="B311"/>
      <c r="C311"/>
      <c r="D311" s="1504"/>
    </row>
    <row r="312" spans="2:4">
      <c r="B312"/>
      <c r="C312"/>
      <c r="D312" s="1504"/>
    </row>
    <row r="313" spans="2:4">
      <c r="B313"/>
      <c r="C313"/>
      <c r="D313" s="1504"/>
    </row>
    <row r="314" spans="2:4">
      <c r="B314"/>
      <c r="C314"/>
      <c r="D314" s="1504"/>
    </row>
    <row r="315" spans="2:4">
      <c r="B315"/>
      <c r="C315"/>
      <c r="D315" s="1504"/>
    </row>
    <row r="316" spans="2:4">
      <c r="B316"/>
      <c r="C316"/>
      <c r="D316" s="1504"/>
    </row>
    <row r="317" spans="2:4">
      <c r="B317"/>
      <c r="C317"/>
      <c r="D317" s="1504"/>
    </row>
    <row r="318" spans="2:4">
      <c r="B318"/>
      <c r="C318"/>
      <c r="D318" s="1504"/>
    </row>
    <row r="319" spans="2:4">
      <c r="B319"/>
      <c r="C319"/>
      <c r="D319" s="1504"/>
    </row>
    <row r="320" spans="2:4">
      <c r="B320"/>
      <c r="C320"/>
      <c r="D320" s="1504"/>
    </row>
    <row r="321" spans="2:4">
      <c r="B321"/>
      <c r="C321"/>
      <c r="D321" s="1504"/>
    </row>
    <row r="322" spans="2:4">
      <c r="B322"/>
      <c r="C322"/>
      <c r="D322" s="1504"/>
    </row>
    <row r="323" spans="2:4">
      <c r="B323"/>
      <c r="C323"/>
      <c r="D323" s="1504"/>
    </row>
    <row r="324" spans="2:4">
      <c r="B324"/>
      <c r="C324"/>
      <c r="D324" s="1504"/>
    </row>
    <row r="325" spans="2:4">
      <c r="B325"/>
      <c r="C325"/>
      <c r="D325" s="1504"/>
    </row>
    <row r="326" spans="2:4">
      <c r="B326"/>
      <c r="C326"/>
      <c r="D326" s="1504"/>
    </row>
    <row r="327" spans="2:4">
      <c r="B327"/>
      <c r="C327"/>
      <c r="D327" s="1504"/>
    </row>
    <row r="328" spans="2:4">
      <c r="B328"/>
      <c r="C328"/>
      <c r="D328" s="1504"/>
    </row>
    <row r="329" spans="2:4">
      <c r="B329"/>
      <c r="C329"/>
      <c r="D329" s="1504"/>
    </row>
    <row r="330" spans="2:4">
      <c r="B330"/>
      <c r="C330"/>
      <c r="D330" s="1504"/>
    </row>
    <row r="331" spans="2:4">
      <c r="B331"/>
      <c r="C331"/>
      <c r="D331" s="1504"/>
    </row>
    <row r="332" spans="2:4">
      <c r="B332"/>
      <c r="C332"/>
      <c r="D332" s="1504"/>
    </row>
    <row r="333" spans="2:4">
      <c r="B333"/>
      <c r="C333"/>
      <c r="D333" s="1504"/>
    </row>
    <row r="334" spans="2:4">
      <c r="B334"/>
      <c r="C334"/>
      <c r="D334" s="1504"/>
    </row>
    <row r="335" spans="2:4">
      <c r="B335"/>
      <c r="C335"/>
      <c r="D335" s="1504"/>
    </row>
    <row r="336" spans="2:4">
      <c r="B336"/>
      <c r="C336"/>
      <c r="D336" s="1504"/>
    </row>
    <row r="337" spans="2:4">
      <c r="B337"/>
      <c r="C337"/>
      <c r="D337" s="1504"/>
    </row>
    <row r="338" spans="2:4">
      <c r="B338"/>
      <c r="C338"/>
      <c r="D338" s="1504"/>
    </row>
    <row r="339" spans="2:4">
      <c r="B339"/>
      <c r="C339"/>
      <c r="D339" s="1504"/>
    </row>
    <row r="340" spans="2:4">
      <c r="B340"/>
      <c r="C340"/>
      <c r="D340" s="1504"/>
    </row>
    <row r="341" spans="2:4">
      <c r="B341"/>
      <c r="C341"/>
      <c r="D341" s="1504"/>
    </row>
    <row r="342" spans="2:4">
      <c r="B342"/>
      <c r="C342"/>
      <c r="D342" s="1504"/>
    </row>
    <row r="343" spans="2:4">
      <c r="B343"/>
      <c r="C343"/>
      <c r="D343" s="1504"/>
    </row>
    <row r="344" spans="2:4">
      <c r="B344"/>
      <c r="C344"/>
      <c r="D344" s="1504"/>
    </row>
    <row r="345" spans="2:4">
      <c r="B345"/>
      <c r="C345"/>
      <c r="D345" s="1504"/>
    </row>
    <row r="346" spans="2:4">
      <c r="B346"/>
      <c r="C346"/>
      <c r="D346" s="1504"/>
    </row>
    <row r="347" spans="2:4">
      <c r="B347"/>
      <c r="C347"/>
      <c r="D347" s="1504"/>
    </row>
    <row r="348" spans="2:4">
      <c r="B348"/>
      <c r="C348"/>
      <c r="D348" s="1504"/>
    </row>
    <row r="349" spans="2:4">
      <c r="B349"/>
      <c r="C349"/>
      <c r="D349" s="1504"/>
    </row>
    <row r="350" spans="2:4">
      <c r="B350"/>
      <c r="C350"/>
      <c r="D350" s="1504"/>
    </row>
    <row r="351" spans="2:4">
      <c r="B351"/>
      <c r="C351"/>
      <c r="D351" s="1504"/>
    </row>
    <row r="352" spans="2:4">
      <c r="B352"/>
      <c r="C352"/>
      <c r="D352" s="1504"/>
    </row>
    <row r="353" spans="2:4">
      <c r="B353"/>
      <c r="C353"/>
      <c r="D353" s="1504"/>
    </row>
    <row r="354" spans="2:4">
      <c r="B354"/>
      <c r="C354"/>
      <c r="D354" s="1504"/>
    </row>
    <row r="355" spans="2:4">
      <c r="B355"/>
      <c r="C355"/>
      <c r="D355" s="1504"/>
    </row>
    <row r="356" spans="2:4">
      <c r="B356"/>
      <c r="C356"/>
      <c r="D356" s="1504"/>
    </row>
    <row r="357" spans="2:4">
      <c r="B357"/>
      <c r="C357"/>
      <c r="D357" s="1504"/>
    </row>
    <row r="358" spans="2:4">
      <c r="B358"/>
      <c r="C358"/>
      <c r="D358" s="1504"/>
    </row>
    <row r="359" spans="2:4">
      <c r="B359"/>
      <c r="C359"/>
      <c r="D359" s="1504"/>
    </row>
    <row r="360" spans="2:4">
      <c r="B360"/>
      <c r="C360"/>
      <c r="D360" s="1504"/>
    </row>
    <row r="361" spans="2:4">
      <c r="B361"/>
      <c r="C361"/>
      <c r="D361" s="1504"/>
    </row>
    <row r="362" spans="2:4">
      <c r="B362"/>
      <c r="C362"/>
      <c r="D362" s="1504"/>
    </row>
    <row r="363" spans="2:4">
      <c r="B363"/>
      <c r="C363"/>
      <c r="D363" s="1504"/>
    </row>
    <row r="364" spans="2:4">
      <c r="B364"/>
      <c r="C364"/>
      <c r="D364" s="1504"/>
    </row>
    <row r="365" spans="2:4">
      <c r="B365"/>
      <c r="C365"/>
      <c r="D365" s="1504"/>
    </row>
    <row r="366" spans="2:4">
      <c r="B366"/>
      <c r="C366"/>
      <c r="D366" s="1504"/>
    </row>
    <row r="367" spans="2:4">
      <c r="B367"/>
      <c r="C367"/>
      <c r="D367" s="1504"/>
    </row>
    <row r="368" spans="2:4">
      <c r="B368"/>
      <c r="C368"/>
      <c r="D368" s="1504"/>
    </row>
    <row r="369" spans="2:4">
      <c r="B369"/>
      <c r="C369"/>
      <c r="D369" s="1504"/>
    </row>
    <row r="370" spans="2:4">
      <c r="B370"/>
      <c r="C370"/>
      <c r="D370" s="1504"/>
    </row>
    <row r="371" spans="2:4">
      <c r="B371"/>
      <c r="C371"/>
      <c r="D371" s="1504"/>
    </row>
    <row r="372" spans="2:4">
      <c r="B372"/>
      <c r="C372"/>
      <c r="D372" s="1504"/>
    </row>
    <row r="373" spans="2:4">
      <c r="B373"/>
      <c r="C373"/>
      <c r="D373" s="1504"/>
    </row>
    <row r="374" spans="2:4">
      <c r="B374"/>
      <c r="C374"/>
      <c r="D374" s="1504"/>
    </row>
    <row r="375" spans="2:4">
      <c r="B375"/>
      <c r="C375"/>
      <c r="D375" s="1504"/>
    </row>
    <row r="376" spans="2:4">
      <c r="B376"/>
      <c r="C376"/>
      <c r="D376" s="1504"/>
    </row>
    <row r="377" spans="2:4">
      <c r="B377"/>
      <c r="C377"/>
      <c r="D377" s="1504"/>
    </row>
    <row r="378" spans="2:4">
      <c r="B378"/>
      <c r="C378"/>
      <c r="D378" s="1504"/>
    </row>
    <row r="379" spans="2:4">
      <c r="B379"/>
      <c r="C379"/>
      <c r="D379" s="1504"/>
    </row>
    <row r="380" spans="2:4">
      <c r="B380"/>
      <c r="C380"/>
      <c r="D380" s="1504"/>
    </row>
    <row r="381" spans="2:4">
      <c r="B381"/>
      <c r="C381"/>
      <c r="D381" s="1504"/>
    </row>
    <row r="382" spans="2:4">
      <c r="B382"/>
      <c r="C382"/>
      <c r="D382" s="1504"/>
    </row>
    <row r="383" spans="2:4">
      <c r="B383"/>
      <c r="C383"/>
      <c r="D383" s="1504"/>
    </row>
    <row r="384" spans="2:4">
      <c r="B384"/>
      <c r="C384"/>
      <c r="D384" s="1504"/>
    </row>
    <row r="385" spans="2:4">
      <c r="B385"/>
      <c r="C385"/>
      <c r="D385" s="1504"/>
    </row>
    <row r="386" spans="2:4">
      <c r="B386"/>
      <c r="C386"/>
      <c r="D386" s="1504"/>
    </row>
    <row r="387" spans="2:4">
      <c r="B387"/>
    </row>
    <row r="388" spans="2:4">
      <c r="B388"/>
    </row>
    <row r="389" spans="2:4">
      <c r="B389"/>
    </row>
    <row r="390" spans="2:4">
      <c r="B390"/>
    </row>
    <row r="391" spans="2:4">
      <c r="B391"/>
    </row>
    <row r="392" spans="2:4">
      <c r="B392"/>
    </row>
  </sheetData>
  <sheetProtection sheet="1" objects="1" scenarios="1" selectLockedCells="1"/>
  <conditionalFormatting sqref="F23:G23 E38:E39 E30:E31 E34:E35 E41 E44:E45 E27:E28 E106:E107 E47:E48 E50:E51 E53:E54 E56:E57 E59:E60 E62:E64 E67:E69 E72:E73 E75:E76 E78:E80 E83:E84 E86:E87 E89:E90 E92:E93 E95:E96 E98:E99 E101:E103 E109:E110 E112:E113 E115:E116 E120:E121 E123:E125 E133 E135:E136 E140:E141 E145:E146 E148 E150:E151 E153 E157:E158 E160:E161 E163:E164 E166:E167 E169:E170 E172:E173 E175:E176 E183 E185:E186 E190 E192:E193 E203:E209 F103:G103 E129:E130 E180:E181 E197 E188 E199 E1:G1 E3:G18 E300:E1048576 E211:E213 E20:E23">
    <cfRule type="expression" dxfId="32" priority="29">
      <formula>E1="Non-conforme"</formula>
    </cfRule>
  </conditionalFormatting>
  <conditionalFormatting sqref="B105:B116 B30:B31 B66:B68 B119:B125 B139:B141 B144 B202:B203 B41 B43:B56 B82:B102 B71:B79 B129 B156:B176 B132:B136 B179:B186 B188:B193 B196:B199 B146:B153 B33:B35 B58:B63 E130:G130 E137:G137 E142:G142 E154:G154 E177:G177 E194:G194 E200:G200">
    <cfRule type="expression" dxfId="31" priority="28">
      <formula>E30="Non-conforme"</formula>
    </cfRule>
  </conditionalFormatting>
  <conditionalFormatting sqref="A103 A64 A69 A80 A130:C130 A137:C137 A142:C142 A154:C154 A177:C177 A194:C194 A200:C200">
    <cfRule type="expression" dxfId="30" priority="150">
      <formula>E64="Non-conforme"</formula>
    </cfRule>
  </conditionalFormatting>
  <conditionalFormatting sqref="E33">
    <cfRule type="expression" dxfId="29" priority="27">
      <formula>E33="Non-conforme"</formula>
    </cfRule>
  </conditionalFormatting>
  <conditionalFormatting sqref="E25:E26">
    <cfRule type="expression" dxfId="28" priority="26">
      <formula>E25="Non-conforme"</formula>
    </cfRule>
  </conditionalFormatting>
  <conditionalFormatting sqref="E43">
    <cfRule type="expression" dxfId="27" priority="25">
      <formula>E43="Non-conforme"</formula>
    </cfRule>
  </conditionalFormatting>
  <conditionalFormatting sqref="E46">
    <cfRule type="expression" dxfId="26" priority="24">
      <formula>E46="Non-conforme"</formula>
    </cfRule>
  </conditionalFormatting>
  <conditionalFormatting sqref="E49">
    <cfRule type="expression" dxfId="25" priority="23">
      <formula>E49="Non-conforme"</formula>
    </cfRule>
  </conditionalFormatting>
  <conditionalFormatting sqref="E52">
    <cfRule type="expression" dxfId="24" priority="22">
      <formula>E52="Non-conforme"</formula>
    </cfRule>
  </conditionalFormatting>
  <conditionalFormatting sqref="E202 E198 E196 E191 E189 E187 E184 E182 E179 E174 E171 E168 E165 E162 E159 E156 E152 E149 E147 E144 E139 E134 E132 E122 E119 E114 E111 E108 E105 E100 E97 E94 E91 E88 E85 E82 E77 E74 E71 E66 E61">
    <cfRule type="expression" dxfId="23" priority="19">
      <formula>E61="Non-conforme"</formula>
    </cfRule>
  </conditionalFormatting>
  <conditionalFormatting sqref="E55">
    <cfRule type="expression" dxfId="22" priority="21">
      <formula>E55="Non-conforme"</formula>
    </cfRule>
  </conditionalFormatting>
  <conditionalFormatting sqref="E58">
    <cfRule type="expression" dxfId="21" priority="20">
      <formula>E58="Non-conforme"</formula>
    </cfRule>
  </conditionalFormatting>
  <conditionalFormatting sqref="E117:G117">
    <cfRule type="expression" dxfId="20" priority="17">
      <formula>E117="Non-conforme"</formula>
    </cfRule>
  </conditionalFormatting>
  <conditionalFormatting sqref="E142">
    <cfRule type="expression" dxfId="19" priority="13">
      <formula>E142="Non-conforme"</formula>
    </cfRule>
  </conditionalFormatting>
  <conditionalFormatting sqref="A117">
    <cfRule type="expression" dxfId="18" priority="18">
      <formula>E117="Non-conforme"</formula>
    </cfRule>
  </conditionalFormatting>
  <conditionalFormatting sqref="E137">
    <cfRule type="expression" dxfId="17" priority="15">
      <formula>E137="Non-conforme"</formula>
    </cfRule>
  </conditionalFormatting>
  <conditionalFormatting sqref="E127:E128">
    <cfRule type="expression" dxfId="16" priority="12">
      <formula>E127="Non-conforme"</formula>
    </cfRule>
  </conditionalFormatting>
  <conditionalFormatting sqref="E154">
    <cfRule type="expression" dxfId="15" priority="10">
      <formula>E154="Non-conforme"</formula>
    </cfRule>
  </conditionalFormatting>
  <conditionalFormatting sqref="E177">
    <cfRule type="expression" dxfId="14" priority="8">
      <formula>E177="Non-conforme"</formula>
    </cfRule>
  </conditionalFormatting>
  <conditionalFormatting sqref="A41">
    <cfRule type="expression" dxfId="13" priority="7">
      <formula>C41="Non-conforme"</formula>
    </cfRule>
  </conditionalFormatting>
  <conditionalFormatting sqref="B187">
    <cfRule type="expression" dxfId="12" priority="6">
      <formula>E187="Non-conforme"</formula>
    </cfRule>
  </conditionalFormatting>
  <conditionalFormatting sqref="E194">
    <cfRule type="expression" dxfId="11" priority="4">
      <formula>E194="Non-conforme"</formula>
    </cfRule>
  </conditionalFormatting>
  <conditionalFormatting sqref="E200">
    <cfRule type="expression" dxfId="10" priority="2">
      <formula>E200="Non-conforme"</formula>
    </cfRule>
  </conditionalFormatting>
  <conditionalFormatting sqref="B212:C293">
    <cfRule type="containsText" dxfId="9" priority="1" operator="containsText" text="(vide)">
      <formula>NOT(ISERROR(SEARCH("(vide)",B212)))</formula>
    </cfRule>
  </conditionalFormatting>
  <dataValidations disablePrompts="1" count="3">
    <dataValidation type="list" allowBlank="1" showErrorMessage="1" sqref="E180 E31" xr:uid="{00000000-0002-0000-0B00-000000000000}">
      <formula1>"Conforme,No,,,ऀ,,က,,＀?＀_xFFFF_ÿ,,objet"</formula1>
    </dataValidation>
    <dataValidation allowBlank="1" showInputMessage="1" promptTitle="Détails" prompt="Conception d'un plan de production biologique et mise à jour chaque année (4.1 et 4.2)." sqref="B30:B31" xr:uid="{00000000-0002-0000-0B00-000001000000}"/>
    <dataValidation allowBlank="1" showInputMessage="1" showErrorMessage="1" promptTitle="Détails" prompt="Permet la tracabilité et le maintien de l'intégrité biologique. Le registre d'épandage inclut : superficies des champs, doses appliquées, période d'épandage et méthodes d'incorporation (5.5.2.1)." sqref="B33" xr:uid="{00000000-0002-0000-0B00-000002000000}"/>
  </dataValidations>
  <hyperlinks>
    <hyperlink ref="A31" location="Champs!lignesChargesTotalesParCulture" display=" [+]" xr:uid="{00000000-0004-0000-0B00-000000000000}"/>
    <hyperlink ref="A44" location="Champs!lignesChargesTotalesParCulture" display=" [+]" xr:uid="{00000000-0004-0000-0B00-000001000000}"/>
    <hyperlink ref="A51" location="Champs!lignesChargesTotalesParCulture" display=" [+]" xr:uid="{00000000-0004-0000-0B00-000002000000}"/>
    <hyperlink ref="A54" location="Champs!lignesChargesTotalesParCulture" display=" [+]" xr:uid="{00000000-0004-0000-0B00-000003000000}"/>
    <hyperlink ref="B39" r:id="rId2" location="a6" xr:uid="{00000000-0004-0000-0B00-000004000000}"/>
    <hyperlink ref="B128" r:id="rId3" location="a7" xr:uid="{00000000-0004-0000-0B00-000005000000}"/>
    <hyperlink ref="B4" location="$A$23" tooltip="Descendre à la section NORMES GÉNÉRALES" display="NORMES GÉNÉRALES" xr:uid="{00000000-0004-0000-0B00-000006000000}"/>
    <hyperlink ref="B5" location="$A$28" tooltip="Descendre à la section Tenue de registre" display="Tenue de registre" xr:uid="{00000000-0004-0000-0B00-000007000000}"/>
    <hyperlink ref="B7" location="$A$41" tooltip="Descendre à la section Intrants" display="Intrants" xr:uid="{00000000-0004-0000-0B00-000008000000}"/>
    <hyperlink ref="B8" location="$A$64" tooltip="Descendre à la section Semences" display="Semences" xr:uid="{00000000-0004-0000-0B00-000009000000}"/>
    <hyperlink ref="B9" location="$A$69" tooltip="Descendre à la section Fertilisation" display="Fertilisation" xr:uid="{00000000-0004-0000-0B00-00000A000000}"/>
    <hyperlink ref="B10" location="$A$80" tooltip="Descendre à la section Gestion de la matière organique" display="Gestion de la matière organique" xr:uid="{00000000-0004-0000-0B00-00000B000000}"/>
    <hyperlink ref="B11" location="$A$103" tooltip="Descendre à la section Protection des cultures" display="Protection des cultures" xr:uid="{00000000-0004-0000-0B00-00000C000000}"/>
    <hyperlink ref="B12" location="$A$117" tooltip="Descendre à la section Récolte - Stockage des productions - Mixité" display="Récolte - Stockage des productions - Mixité" xr:uid="{00000000-0004-0000-0B00-00000D000000}"/>
    <hyperlink ref="B13" location="$A$125" tooltip="Descendre à la section NORMES ANIMALES " display="NORMES ANIMALES " xr:uid="{00000000-0004-0000-0B00-00000E000000}"/>
    <hyperlink ref="B14" location="$A$130" tooltip="Descendre à la section Origine de l'élevage" display="Origine de l'élevage" xr:uid="{00000000-0004-0000-0B00-00000F000000}"/>
    <hyperlink ref="B15" location="$A$137" tooltip="Descendre à la section Reproduction" display="Reproduction" xr:uid="{00000000-0004-0000-0B00-000010000000}"/>
    <hyperlink ref="B16" location="$A$142" tooltip="Descendre à la section Alimentation" display="Alimentation" xr:uid="{00000000-0004-0000-0B00-000011000000}"/>
    <hyperlink ref="B17" location="$A$154" tooltip="Descendre à la section Soins de santé" display="Soins de santé" xr:uid="{00000000-0004-0000-0B00-000012000000}"/>
    <hyperlink ref="B18" location="$A$177" tooltip="Descendre à la section Conditions d'élevage" display="Conditions d'élevage" xr:uid="{00000000-0004-0000-0B00-000013000000}"/>
    <hyperlink ref="A3" location="Normes!RéfTableDesMatières" tooltip="Afficher/cacher la table des matières" display=" [-]" xr:uid="{00000000-0004-0000-0B00-000014000000}"/>
    <hyperlink ref="B26" r:id="rId4" xr:uid="{00000000-0004-0000-0B00-000015000000}"/>
    <hyperlink ref="B19" location="$A$194" tooltip="Descendre à la section Gestion des déjections" display="Gestion des déjections" xr:uid="{00000000-0004-0000-0B00-000016000000}"/>
    <hyperlink ref="B20" location="$A$200" tooltip="Descendre à la section Transport et abattage" display="Transport et abattage" xr:uid="{00000000-0004-0000-0B00-000017000000}"/>
    <hyperlink ref="B6" location="$A$36" tooltip="Descendre à la section NORMES VÉGÉTALES  " display="NORMES VÉGÉTALES  " xr:uid="{00000000-0004-0000-0B00-000018000000}"/>
    <hyperlink ref="A30" location="$B$31" tooltip="Afficher/cacher l'aide" display=" [+]" xr:uid="{00000000-0004-0000-0B00-000019000000}"/>
    <hyperlink ref="A33" location="$B$34" tooltip="Afficher/cacher l'aide" display=" [+]" xr:uid="{00000000-0004-0000-0B00-00001A000000}"/>
    <hyperlink ref="A43" location="$B$44" tooltip="Afficher/cacher l'aide" display=" [+]" xr:uid="{00000000-0004-0000-0B00-00001B000000}"/>
    <hyperlink ref="A46" location="$B$47" tooltip="Afficher/cacher l'aide" display=" [+]" xr:uid="{00000000-0004-0000-0B00-00001C000000}"/>
    <hyperlink ref="A49" location="$B$50" tooltip="Afficher/cacher l'aide" display=" [+]" xr:uid="{00000000-0004-0000-0B00-00001D000000}"/>
    <hyperlink ref="A52" location="$B$53" tooltip="Afficher/cacher l'aide" display=" [+]" xr:uid="{00000000-0004-0000-0B00-00001E000000}"/>
    <hyperlink ref="A55" location="$B$56" tooltip="Afficher/cacher l'aide" display=" [+]" xr:uid="{00000000-0004-0000-0B00-00001F000000}"/>
    <hyperlink ref="A58" location="$B$59" tooltip="Afficher/cacher l'aide" display=" [+]" xr:uid="{00000000-0004-0000-0B00-000020000000}"/>
    <hyperlink ref="A61" location="$B$62" tooltip="Afficher/cacher l'aide" display=" [+]" xr:uid="{00000000-0004-0000-0B00-000021000000}"/>
    <hyperlink ref="A66" location="$B$67" tooltip="Afficher/cacher l'aide" display=" [+]" xr:uid="{00000000-0004-0000-0B00-000022000000}"/>
    <hyperlink ref="A71" location="$B$72" tooltip="Afficher/cacher l'aide" display=" [+]" xr:uid="{00000000-0004-0000-0B00-000023000000}"/>
    <hyperlink ref="A77" location="$B$78" tooltip="Afficher/cacher l'aide" display=" [+]" xr:uid="{00000000-0004-0000-0B00-000024000000}"/>
    <hyperlink ref="A82" location="$B$83" tooltip="Afficher/cacher l'aide" display=" [+]" xr:uid="{00000000-0004-0000-0B00-000025000000}"/>
    <hyperlink ref="A85" location="$B$86" tooltip="Afficher/cacher l'aide" display=" [+]" xr:uid="{00000000-0004-0000-0B00-000026000000}"/>
    <hyperlink ref="A88" location="$B$89" tooltip="Afficher/cacher l'aide" display=" [+]" xr:uid="{00000000-0004-0000-0B00-000027000000}"/>
    <hyperlink ref="A91" location="$B$92" tooltip="Afficher/cacher l'aide" display=" [+]" xr:uid="{00000000-0004-0000-0B00-000028000000}"/>
    <hyperlink ref="A97" location="$B$98" tooltip="Afficher/cacher l'aide" display=" [+]" xr:uid="{00000000-0004-0000-0B00-000029000000}"/>
    <hyperlink ref="A100" location="$B$101" tooltip="Afficher/cacher l'aide" display=" [+]" xr:uid="{00000000-0004-0000-0B00-00002A000000}"/>
    <hyperlink ref="A105" location="$B$106" tooltip="Afficher/cacher l'aide" display=" [+]" xr:uid="{00000000-0004-0000-0B00-00002B000000}"/>
    <hyperlink ref="A114" location="$B$115" tooltip="Afficher/cacher l'aide" display=" [+]" xr:uid="{00000000-0004-0000-0B00-00002C000000}"/>
    <hyperlink ref="A144" location="$B$145" tooltip="Afficher/cacher l'aide" display=" [+]" xr:uid="{00000000-0004-0000-0B00-00002D000000}"/>
    <hyperlink ref="A149" location="$B$150" tooltip="Afficher/cacher l'aide" display=" [+]" xr:uid="{00000000-0004-0000-0B00-00002E000000}"/>
    <hyperlink ref="A156" location="$B$157" tooltip="Afficher/cacher l'aide" display=" [+]" xr:uid="{00000000-0004-0000-0B00-00002F000000}"/>
    <hyperlink ref="A159" location="$B$160" tooltip="Afficher/cacher l'aide" display=" [+]" xr:uid="{00000000-0004-0000-0B00-000030000000}"/>
    <hyperlink ref="A162" location="$B$163" tooltip="Afficher/cacher l'aide" display=" [+]" xr:uid="{00000000-0004-0000-0B00-000031000000}"/>
    <hyperlink ref="A165" location="$B$166" tooltip="Afficher/cacher l'aide" display=" [+]" xr:uid="{00000000-0004-0000-0B00-000032000000}"/>
    <hyperlink ref="A168" location="$B$169" tooltip="Afficher/cacher l'aide" display=" [+]" xr:uid="{00000000-0004-0000-0B00-000033000000}"/>
    <hyperlink ref="A171" location="$B$172" tooltip="Afficher/cacher l'aide" display=" [+]" xr:uid="{00000000-0004-0000-0B00-000034000000}"/>
    <hyperlink ref="A174" location="$B$175" tooltip="Afficher/cacher l'aide" display=" [+]" xr:uid="{00000000-0004-0000-0B00-000035000000}"/>
    <hyperlink ref="A179" location="$B$180" tooltip="Afficher/cacher l'aide" display=" [+]" xr:uid="{00000000-0004-0000-0B00-000036000000}"/>
    <hyperlink ref="A184" location="$B$185" tooltip="Afficher/cacher l'aide" display=" [+]" xr:uid="{00000000-0004-0000-0B00-000037000000}"/>
    <hyperlink ref="A191" location="$B$192" tooltip="Afficher/cacher l'aide" display=" [+]" xr:uid="{00000000-0004-0000-0B00-000038000000}"/>
    <hyperlink ref="A202" location="$B$203" tooltip="Afficher/cacher l'aide" display=" [+]" xr:uid="{00000000-0004-0000-0B00-000039000000}"/>
  </hyperlinks>
  <pageMargins left="0.7" right="0.7" top="0.75" bottom="0.75" header="0.3" footer="0.3"/>
  <pageSetup paperSize="9" orientation="portrait" r:id="rId5"/>
  <drawing r:id="rId6"/>
  <legacyDrawing r:id="rId7"/>
  <mc:AlternateContent xmlns:mc="http://schemas.openxmlformats.org/markup-compatibility/2006">
    <mc:Choice Requires="x14">
      <controls>
        <mc:AlternateContent xmlns:mc="http://schemas.openxmlformats.org/markup-compatibility/2006">
          <mc:Choice Requires="x14">
            <control shapeId="69634" r:id="rId8" name="Button 2">
              <controlPr defaultSize="0" print="0" autoFill="0" autoPict="0" macro="[0]!Normes.cmdResetNormes_Click">
                <anchor moveWithCells="1">
                  <from>
                    <xdr:col>5</xdr:col>
                    <xdr:colOff>571500</xdr:colOff>
                    <xdr:row>2</xdr:row>
                    <xdr:rowOff>0</xdr:rowOff>
                  </from>
                  <to>
                    <xdr:col>6</xdr:col>
                    <xdr:colOff>1057275</xdr:colOff>
                    <xdr:row>12</xdr:row>
                    <xdr:rowOff>104775</xdr:rowOff>
                  </to>
                </anchor>
              </controlPr>
            </control>
          </mc:Choice>
        </mc:AlternateContent>
        <mc:AlternateContent xmlns:mc="http://schemas.openxmlformats.org/markup-compatibility/2006">
          <mc:Choice Requires="x14">
            <control shapeId="69635" r:id="rId9" name="Drop Down 3">
              <controlPr defaultSize="0" autoLine="0" autoPict="0" macro="[0]!Normes.GotoCulture">
                <anchor moveWithCells="1">
                  <from>
                    <xdr:col>1</xdr:col>
                    <xdr:colOff>3667125</xdr:colOff>
                    <xdr:row>0</xdr:row>
                    <xdr:rowOff>104775</xdr:rowOff>
                  </from>
                  <to>
                    <xdr:col>1</xdr:col>
                    <xdr:colOff>5000625</xdr:colOff>
                    <xdr:row>0</xdr:row>
                    <xdr:rowOff>295275</xdr:rowOff>
                  </to>
                </anchor>
              </controlPr>
            </control>
          </mc:Choice>
        </mc:AlternateContent>
        <mc:AlternateContent xmlns:mc="http://schemas.openxmlformats.org/markup-compatibility/2006">
          <mc:Choice Requires="x14">
            <control shapeId="69636" r:id="rId10" name="Button 4">
              <controlPr defaultSize="0" print="0" autoFill="0" autoPict="0" macro="[0]!Normes.UpdateTCD">
                <anchor moveWithCells="1" sizeWithCells="1">
                  <from>
                    <xdr:col>4</xdr:col>
                    <xdr:colOff>190500</xdr:colOff>
                    <xdr:row>206</xdr:row>
                    <xdr:rowOff>104775</xdr:rowOff>
                  </from>
                  <to>
                    <xdr:col>5</xdr:col>
                    <xdr:colOff>790575</xdr:colOff>
                    <xdr:row>207</xdr:row>
                    <xdr:rowOff>180975</xdr:rowOff>
                  </to>
                </anchor>
              </controlPr>
            </control>
          </mc:Choice>
        </mc:AlternateContent>
        <mc:AlternateContent xmlns:mc="http://schemas.openxmlformats.org/markup-compatibility/2006">
          <mc:Choice Requires="x14">
            <control shapeId="69638" r:id="rId11" name="AfficherToutesExplications">
              <controlPr defaultSize="0" autoFill="0" autoLine="0" autoPict="0" macro="[0]!Normes.ToggleAfficherToutesExplications">
                <anchor moveWithCells="1">
                  <from>
                    <xdr:col>2</xdr:col>
                    <xdr:colOff>666750</xdr:colOff>
                    <xdr:row>2</xdr:row>
                    <xdr:rowOff>0</xdr:rowOff>
                  </from>
                  <to>
                    <xdr:col>5</xdr:col>
                    <xdr:colOff>314325</xdr:colOff>
                    <xdr:row>12</xdr:row>
                    <xdr:rowOff>38100</xdr:rowOff>
                  </to>
                </anchor>
              </controlPr>
            </control>
          </mc:Choice>
        </mc:AlternateContent>
      </controls>
    </mc:Choice>
  </mc:AlternateContent>
  <extLst>
    <ext xmlns:x14="http://schemas.microsoft.com/office/spreadsheetml/2009/9/main" uri="{A8765BA9-456A-4dab-B4F3-ACF838C121DE}">
      <x14:slicerList>
        <x14:slicer r:id="rId12"/>
      </x14:slicerList>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RefInvest">
    <tabColor theme="8" tint="0.59999389629810485"/>
  </sheetPr>
  <dimension ref="A1:R75"/>
  <sheetViews>
    <sheetView workbookViewId="0">
      <selection activeCell="G4" sqref="G4"/>
    </sheetView>
  </sheetViews>
  <sheetFormatPr baseColWidth="10" defaultColWidth="11.42578125" defaultRowHeight="14.25"/>
  <cols>
    <col min="1" max="1" width="35" style="310" customWidth="1"/>
    <col min="2" max="2" width="8" style="310" customWidth="1"/>
    <col min="3" max="3" width="6.85546875" style="310" customWidth="1"/>
    <col min="4" max="4" width="11.42578125" style="310"/>
    <col min="5" max="5" width="6.42578125" style="61" bestFit="1" customWidth="1"/>
    <col min="6" max="6" width="7.5703125" style="61" bestFit="1" customWidth="1"/>
    <col min="7" max="7" width="6" style="61" bestFit="1" customWidth="1"/>
    <col min="8" max="10" width="7.5703125" style="61" bestFit="1" customWidth="1"/>
    <col min="11" max="11" width="7.42578125" style="61" bestFit="1" customWidth="1"/>
    <col min="12" max="12" width="9.140625" style="61" bestFit="1" customWidth="1"/>
    <col min="13" max="13" width="8.85546875" style="61" bestFit="1" customWidth="1"/>
    <col min="14" max="14" width="9.140625" style="62" bestFit="1" customWidth="1"/>
    <col min="15" max="15" width="11" style="61" customWidth="1"/>
    <col min="16" max="16" width="9.140625" style="1291" bestFit="1" customWidth="1"/>
    <col min="17" max="17" width="9.140625" style="1334" customWidth="1"/>
    <col min="18" max="18" width="17" style="1335" customWidth="1"/>
    <col min="19" max="16384" width="11.42578125" style="310"/>
  </cols>
  <sheetData>
    <row r="1" spans="1:18">
      <c r="A1"/>
    </row>
    <row r="2" spans="1:18">
      <c r="A2" s="310" t="s">
        <v>847</v>
      </c>
    </row>
    <row r="3" spans="1:18">
      <c r="A3" s="310" t="s">
        <v>848</v>
      </c>
    </row>
    <row r="4" spans="1:18">
      <c r="A4" s="310" t="s">
        <v>855</v>
      </c>
    </row>
    <row r="5" spans="1:18">
      <c r="E5" s="311"/>
      <c r="F5" s="311"/>
      <c r="G5" s="311"/>
      <c r="H5" s="311"/>
      <c r="I5" s="312"/>
      <c r="J5" s="311"/>
      <c r="K5" s="311"/>
      <c r="L5" s="311"/>
      <c r="M5" s="311"/>
      <c r="N5" s="313"/>
      <c r="O5" s="311"/>
      <c r="P5" s="1292"/>
      <c r="Q5" s="1336"/>
    </row>
    <row r="6" spans="1:18" ht="16.5">
      <c r="A6" s="314" t="s">
        <v>309</v>
      </c>
      <c r="B6" s="315"/>
      <c r="C6" s="315"/>
      <c r="D6" s="316" t="s">
        <v>319</v>
      </c>
      <c r="E6" s="2200">
        <v>30</v>
      </c>
      <c r="F6" s="2201"/>
      <c r="G6" s="2200">
        <v>75</v>
      </c>
      <c r="H6" s="2201"/>
      <c r="I6" s="2200">
        <v>150</v>
      </c>
      <c r="J6" s="2201"/>
      <c r="K6" s="2200">
        <v>300</v>
      </c>
      <c r="L6" s="2201"/>
      <c r="M6" s="2198">
        <v>500</v>
      </c>
      <c r="N6" s="2199"/>
      <c r="O6" s="2198" t="s">
        <v>1268</v>
      </c>
      <c r="P6" s="2199" t="s">
        <v>1269</v>
      </c>
      <c r="Q6" s="1337"/>
    </row>
    <row r="7" spans="1:18" ht="42.75">
      <c r="A7" s="317" t="s">
        <v>826</v>
      </c>
      <c r="B7" s="241" t="s">
        <v>737</v>
      </c>
      <c r="C7" s="318" t="s">
        <v>738</v>
      </c>
      <c r="D7" s="319" t="s">
        <v>739</v>
      </c>
      <c r="E7" s="63" t="s">
        <v>313</v>
      </c>
      <c r="F7" s="64" t="s">
        <v>320</v>
      </c>
      <c r="G7" s="63" t="s">
        <v>321</v>
      </c>
      <c r="H7" s="64" t="s">
        <v>322</v>
      </c>
      <c r="I7" s="63" t="s">
        <v>321</v>
      </c>
      <c r="J7" s="64" t="s">
        <v>320</v>
      </c>
      <c r="K7" s="63" t="s">
        <v>321</v>
      </c>
      <c r="L7" s="64" t="s">
        <v>322</v>
      </c>
      <c r="M7" s="63" t="s">
        <v>321</v>
      </c>
      <c r="N7" s="65" t="s">
        <v>322</v>
      </c>
      <c r="O7" s="1338" t="s">
        <v>1307</v>
      </c>
      <c r="P7" s="1339" t="s">
        <v>1308</v>
      </c>
      <c r="Q7" s="1340" t="s">
        <v>1309</v>
      </c>
      <c r="R7" s="1347" t="s">
        <v>1310</v>
      </c>
    </row>
    <row r="8" spans="1:18">
      <c r="A8" s="326" t="s">
        <v>849</v>
      </c>
      <c r="B8" s="320" t="s">
        <v>740</v>
      </c>
      <c r="C8" s="320">
        <v>360</v>
      </c>
      <c r="D8" s="321">
        <v>161.46</v>
      </c>
      <c r="E8" s="322">
        <v>1</v>
      </c>
      <c r="F8" s="323">
        <f>D8*C8</f>
        <v>58125.600000000006</v>
      </c>
      <c r="G8" s="324"/>
      <c r="H8" s="323"/>
      <c r="I8" s="324"/>
      <c r="J8" s="323"/>
      <c r="K8" s="324"/>
      <c r="L8" s="323"/>
      <c r="M8" s="324"/>
      <c r="N8" s="325"/>
      <c r="O8" s="324">
        <v>40</v>
      </c>
      <c r="P8" s="1293">
        <v>0.1</v>
      </c>
      <c r="Q8" s="1341"/>
    </row>
    <row r="9" spans="1:18">
      <c r="A9" s="326" t="s">
        <v>849</v>
      </c>
      <c r="B9" s="327" t="s">
        <v>740</v>
      </c>
      <c r="C9" s="327">
        <v>360</v>
      </c>
      <c r="D9" s="328">
        <v>161.46</v>
      </c>
      <c r="E9" s="329"/>
      <c r="F9" s="309"/>
      <c r="G9" s="330">
        <v>1</v>
      </c>
      <c r="H9" s="309">
        <f>D9*C9</f>
        <v>58125.600000000006</v>
      </c>
      <c r="I9" s="330"/>
      <c r="J9" s="309"/>
      <c r="K9" s="330"/>
      <c r="L9" s="309"/>
      <c r="M9" s="330"/>
      <c r="N9" s="331"/>
      <c r="O9" s="324">
        <v>40</v>
      </c>
      <c r="P9" s="1293">
        <v>0.1</v>
      </c>
      <c r="Q9" s="1341"/>
    </row>
    <row r="10" spans="1:18">
      <c r="A10" s="326" t="s">
        <v>849</v>
      </c>
      <c r="B10" s="327" t="s">
        <v>741</v>
      </c>
      <c r="C10" s="327">
        <v>540</v>
      </c>
      <c r="D10" s="328">
        <v>161.46</v>
      </c>
      <c r="E10" s="329"/>
      <c r="F10" s="309"/>
      <c r="G10" s="330"/>
      <c r="H10" s="309"/>
      <c r="I10" s="330">
        <v>1</v>
      </c>
      <c r="J10" s="309">
        <f>D10*C10</f>
        <v>87188.400000000009</v>
      </c>
      <c r="K10" s="330"/>
      <c r="L10" s="309"/>
      <c r="M10" s="330"/>
      <c r="N10" s="331"/>
      <c r="O10" s="324">
        <v>40</v>
      </c>
      <c r="P10" s="1293">
        <v>0.1</v>
      </c>
      <c r="Q10" s="1341"/>
    </row>
    <row r="11" spans="1:18">
      <c r="A11" s="326" t="s">
        <v>849</v>
      </c>
      <c r="B11" s="327" t="s">
        <v>742</v>
      </c>
      <c r="C11" s="327">
        <v>720</v>
      </c>
      <c r="D11" s="328">
        <v>161.46</v>
      </c>
      <c r="E11" s="329"/>
      <c r="F11" s="309"/>
      <c r="G11" s="330"/>
      <c r="H11" s="309"/>
      <c r="I11" s="330"/>
      <c r="J11" s="309"/>
      <c r="K11" s="330">
        <v>1</v>
      </c>
      <c r="L11" s="309">
        <f>D11*C11</f>
        <v>116251.20000000001</v>
      </c>
      <c r="M11" s="330"/>
      <c r="N11" s="331"/>
      <c r="O11" s="324">
        <v>40</v>
      </c>
      <c r="P11" s="1293">
        <v>0.1</v>
      </c>
      <c r="Q11" s="1341"/>
    </row>
    <row r="12" spans="1:18">
      <c r="A12" s="326" t="s">
        <v>849</v>
      </c>
      <c r="B12" s="327" t="s">
        <v>743</v>
      </c>
      <c r="C12" s="327">
        <v>900</v>
      </c>
      <c r="D12" s="328">
        <v>161.46</v>
      </c>
      <c r="E12" s="329"/>
      <c r="F12" s="309"/>
      <c r="G12" s="330"/>
      <c r="H12" s="309"/>
      <c r="I12" s="330"/>
      <c r="J12" s="309"/>
      <c r="K12" s="330"/>
      <c r="L12" s="309"/>
      <c r="M12" s="330">
        <v>1</v>
      </c>
      <c r="N12" s="331">
        <f>D12*C12</f>
        <v>145314</v>
      </c>
      <c r="O12" s="324">
        <v>40</v>
      </c>
      <c r="P12" s="1293">
        <v>0.1</v>
      </c>
      <c r="Q12" s="1341"/>
    </row>
    <row r="13" spans="1:18">
      <c r="A13" s="326" t="s">
        <v>1454</v>
      </c>
      <c r="B13" s="327"/>
      <c r="C13" s="327">
        <v>167</v>
      </c>
      <c r="D13" s="328">
        <v>359.97</v>
      </c>
      <c r="E13" s="66">
        <v>1</v>
      </c>
      <c r="F13" s="309">
        <f>E13*$D13*$C13</f>
        <v>60114.990000000005</v>
      </c>
      <c r="G13" s="67">
        <v>1</v>
      </c>
      <c r="H13" s="309">
        <f>G13*$D13*$C13</f>
        <v>60114.990000000005</v>
      </c>
      <c r="I13" s="67">
        <v>1</v>
      </c>
      <c r="J13" s="309">
        <f>I13*$D13*$C13</f>
        <v>60114.990000000005</v>
      </c>
      <c r="K13" s="67">
        <v>1</v>
      </c>
      <c r="L13" s="309">
        <f>K13*$D13*$C13</f>
        <v>60114.990000000005</v>
      </c>
      <c r="M13" s="67">
        <v>1</v>
      </c>
      <c r="N13" s="331">
        <f>M13*$D13*$C13</f>
        <v>60114.990000000005</v>
      </c>
      <c r="O13" s="324">
        <v>40</v>
      </c>
      <c r="P13" s="1293">
        <v>0.1</v>
      </c>
      <c r="Q13" s="1341"/>
    </row>
    <row r="14" spans="1:18">
      <c r="A14" s="326"/>
      <c r="B14" s="332" t="s">
        <v>744</v>
      </c>
      <c r="C14" s="327"/>
      <c r="D14" s="328"/>
      <c r="E14" s="66"/>
      <c r="F14" s="309"/>
      <c r="G14" s="67"/>
      <c r="H14" s="309"/>
      <c r="I14" s="67"/>
      <c r="J14" s="309"/>
      <c r="K14" s="67"/>
      <c r="L14" s="309"/>
      <c r="M14" s="67"/>
      <c r="N14" s="331"/>
      <c r="O14" s="324">
        <v>30</v>
      </c>
      <c r="P14" s="1293">
        <v>0.1</v>
      </c>
      <c r="Q14" s="1341"/>
    </row>
    <row r="15" spans="1:18">
      <c r="A15" s="326" t="s">
        <v>745</v>
      </c>
      <c r="B15" s="327" t="s">
        <v>746</v>
      </c>
      <c r="C15" s="327"/>
      <c r="D15" s="328"/>
      <c r="E15" s="66">
        <v>1</v>
      </c>
      <c r="F15" s="68">
        <v>39600</v>
      </c>
      <c r="G15" s="67">
        <v>1</v>
      </c>
      <c r="H15" s="68">
        <v>39600</v>
      </c>
      <c r="I15" s="67"/>
      <c r="J15" s="68"/>
      <c r="K15" s="67"/>
      <c r="L15" s="68"/>
      <c r="M15" s="67"/>
      <c r="N15" s="69"/>
      <c r="O15" s="324">
        <v>30</v>
      </c>
      <c r="P15" s="1293">
        <v>0.1</v>
      </c>
      <c r="Q15" s="1341"/>
    </row>
    <row r="16" spans="1:18">
      <c r="A16" s="326" t="s">
        <v>745</v>
      </c>
      <c r="B16" s="327" t="s">
        <v>747</v>
      </c>
      <c r="C16" s="327"/>
      <c r="D16" s="328"/>
      <c r="E16" s="66"/>
      <c r="F16" s="68"/>
      <c r="G16" s="67"/>
      <c r="H16" s="68"/>
      <c r="I16" s="67">
        <v>1</v>
      </c>
      <c r="J16" s="68">
        <v>57090</v>
      </c>
      <c r="K16" s="67">
        <v>2</v>
      </c>
      <c r="L16" s="68">
        <v>114180</v>
      </c>
      <c r="M16" s="67">
        <v>3</v>
      </c>
      <c r="N16" s="69">
        <v>171270</v>
      </c>
      <c r="O16" s="324">
        <v>30</v>
      </c>
      <c r="P16" s="1293">
        <v>0.1</v>
      </c>
      <c r="Q16" s="1341"/>
    </row>
    <row r="17" spans="1:18">
      <c r="A17" s="326"/>
      <c r="B17" s="327"/>
      <c r="C17" s="327"/>
      <c r="D17" s="328"/>
      <c r="E17" s="66"/>
      <c r="F17" s="68"/>
      <c r="G17" s="67"/>
      <c r="H17" s="68"/>
      <c r="I17" s="67"/>
      <c r="J17" s="68"/>
      <c r="K17" s="67"/>
      <c r="L17" s="68"/>
      <c r="M17" s="67"/>
      <c r="N17" s="69"/>
      <c r="O17" s="324">
        <v>30</v>
      </c>
      <c r="P17" s="1293">
        <v>0.1</v>
      </c>
      <c r="Q17" s="1341"/>
    </row>
    <row r="18" spans="1:18">
      <c r="A18" s="326" t="s">
        <v>850</v>
      </c>
      <c r="B18" s="327" t="s">
        <v>748</v>
      </c>
      <c r="C18" s="327"/>
      <c r="D18" s="328"/>
      <c r="E18" s="66">
        <v>2</v>
      </c>
      <c r="F18" s="68">
        <v>25724</v>
      </c>
      <c r="G18" s="67"/>
      <c r="H18" s="68"/>
      <c r="I18" s="67"/>
      <c r="J18" s="68"/>
      <c r="K18" s="67"/>
      <c r="L18" s="68"/>
      <c r="M18" s="67"/>
      <c r="N18" s="69"/>
      <c r="O18" s="324">
        <v>30</v>
      </c>
      <c r="P18" s="1293">
        <v>0.1</v>
      </c>
      <c r="Q18" s="1341"/>
    </row>
    <row r="19" spans="1:18">
      <c r="A19" s="326" t="s">
        <v>850</v>
      </c>
      <c r="B19" s="327" t="s">
        <v>749</v>
      </c>
      <c r="C19" s="327"/>
      <c r="D19" s="328"/>
      <c r="E19" s="66">
        <v>1</v>
      </c>
      <c r="F19" s="68">
        <v>14155</v>
      </c>
      <c r="G19" s="67">
        <v>2</v>
      </c>
      <c r="H19" s="68">
        <v>28310</v>
      </c>
      <c r="I19" s="67"/>
      <c r="J19" s="68"/>
      <c r="K19" s="67"/>
      <c r="L19" s="68"/>
      <c r="M19" s="67"/>
      <c r="N19" s="69"/>
      <c r="O19" s="324">
        <v>30</v>
      </c>
      <c r="P19" s="1293">
        <v>0.1</v>
      </c>
      <c r="Q19" s="1341"/>
    </row>
    <row r="20" spans="1:18">
      <c r="A20" s="326" t="s">
        <v>850</v>
      </c>
      <c r="B20" s="327" t="s">
        <v>750</v>
      </c>
      <c r="C20" s="327"/>
      <c r="D20" s="328"/>
      <c r="E20" s="66"/>
      <c r="F20" s="68"/>
      <c r="G20" s="67">
        <v>1</v>
      </c>
      <c r="H20" s="68">
        <v>22638</v>
      </c>
      <c r="I20" s="67"/>
      <c r="J20" s="68"/>
      <c r="K20" s="67"/>
      <c r="L20" s="68"/>
      <c r="M20" s="67"/>
      <c r="N20" s="69"/>
      <c r="O20" s="324">
        <v>30</v>
      </c>
      <c r="P20" s="1293">
        <v>0.1</v>
      </c>
      <c r="Q20" s="1341"/>
    </row>
    <row r="21" spans="1:18">
      <c r="A21" s="326" t="s">
        <v>850</v>
      </c>
      <c r="B21" s="327" t="s">
        <v>751</v>
      </c>
      <c r="C21" s="327"/>
      <c r="D21" s="328"/>
      <c r="E21" s="66"/>
      <c r="F21" s="68"/>
      <c r="G21" s="67"/>
      <c r="H21" s="68"/>
      <c r="I21" s="67">
        <v>2</v>
      </c>
      <c r="J21" s="68">
        <v>45276</v>
      </c>
      <c r="K21" s="67"/>
      <c r="L21" s="68"/>
      <c r="M21" s="67"/>
      <c r="N21" s="69"/>
      <c r="O21" s="324">
        <v>30</v>
      </c>
      <c r="P21" s="1293">
        <v>0.1</v>
      </c>
      <c r="Q21" s="1341"/>
    </row>
    <row r="22" spans="1:18">
      <c r="A22" s="326" t="s">
        <v>850</v>
      </c>
      <c r="B22" s="327" t="s">
        <v>752</v>
      </c>
      <c r="C22" s="327"/>
      <c r="D22" s="328"/>
      <c r="E22" s="66"/>
      <c r="F22" s="68"/>
      <c r="G22" s="67"/>
      <c r="H22" s="68"/>
      <c r="I22" s="67">
        <v>1</v>
      </c>
      <c r="J22" s="68">
        <v>25430</v>
      </c>
      <c r="K22" s="67">
        <v>4</v>
      </c>
      <c r="L22" s="68">
        <v>101720</v>
      </c>
      <c r="M22" s="67"/>
      <c r="N22" s="69"/>
      <c r="O22" s="324">
        <v>30</v>
      </c>
      <c r="P22" s="1293">
        <v>0.1</v>
      </c>
      <c r="Q22" s="1341"/>
    </row>
    <row r="23" spans="1:18">
      <c r="A23" s="326" t="s">
        <v>850</v>
      </c>
      <c r="B23" s="327" t="s">
        <v>753</v>
      </c>
      <c r="C23" s="327"/>
      <c r="D23" s="328"/>
      <c r="E23" s="66"/>
      <c r="F23" s="68"/>
      <c r="G23" s="67"/>
      <c r="H23" s="68"/>
      <c r="I23" s="67"/>
      <c r="J23" s="68"/>
      <c r="K23" s="67"/>
      <c r="L23" s="68"/>
      <c r="M23" s="67">
        <v>1</v>
      </c>
      <c r="N23" s="69">
        <v>81642</v>
      </c>
      <c r="O23" s="324">
        <v>30</v>
      </c>
      <c r="P23" s="1293">
        <v>0.1</v>
      </c>
      <c r="Q23" s="1341"/>
    </row>
    <row r="24" spans="1:18">
      <c r="A24" s="326" t="s">
        <v>850</v>
      </c>
      <c r="B24" s="333" t="s">
        <v>754</v>
      </c>
      <c r="C24" s="333"/>
      <c r="D24" s="334"/>
      <c r="E24" s="70"/>
      <c r="F24" s="71"/>
      <c r="G24" s="72"/>
      <c r="H24" s="71"/>
      <c r="I24" s="72"/>
      <c r="J24" s="71"/>
      <c r="K24" s="72"/>
      <c r="L24" s="71"/>
      <c r="M24" s="72">
        <v>1</v>
      </c>
      <c r="N24" s="73">
        <v>65864</v>
      </c>
      <c r="O24" s="324">
        <v>30</v>
      </c>
      <c r="P24" s="1293">
        <v>0.1</v>
      </c>
      <c r="Q24" s="1341"/>
    </row>
    <row r="25" spans="1:18">
      <c r="A25" s="335"/>
      <c r="B25" s="336" t="s">
        <v>755</v>
      </c>
      <c r="C25" s="336"/>
      <c r="D25" s="337"/>
      <c r="E25" s="74">
        <f t="shared" ref="E25:N25" si="0">SUM(E8:E24)</f>
        <v>6</v>
      </c>
      <c r="F25" s="75">
        <f t="shared" si="0"/>
        <v>197719.59000000003</v>
      </c>
      <c r="G25" s="76">
        <f t="shared" si="0"/>
        <v>6</v>
      </c>
      <c r="H25" s="75">
        <f t="shared" si="0"/>
        <v>208788.59000000003</v>
      </c>
      <c r="I25" s="76">
        <f t="shared" si="0"/>
        <v>6</v>
      </c>
      <c r="J25" s="75">
        <f t="shared" si="0"/>
        <v>275099.39</v>
      </c>
      <c r="K25" s="76">
        <f t="shared" si="0"/>
        <v>8</v>
      </c>
      <c r="L25" s="75">
        <f t="shared" si="0"/>
        <v>392266.19</v>
      </c>
      <c r="M25" s="76">
        <f t="shared" si="0"/>
        <v>7</v>
      </c>
      <c r="N25" s="77">
        <f t="shared" si="0"/>
        <v>524204.99</v>
      </c>
      <c r="O25" s="76"/>
      <c r="P25" s="1294"/>
      <c r="Q25" s="1342"/>
    </row>
    <row r="27" spans="1:18" ht="16.5">
      <c r="A27" s="314" t="s">
        <v>310</v>
      </c>
      <c r="B27" s="338" t="s">
        <v>756</v>
      </c>
      <c r="C27" s="338"/>
      <c r="D27" s="338"/>
      <c r="E27" s="78" t="s">
        <v>323</v>
      </c>
      <c r="F27" s="79" t="s">
        <v>323</v>
      </c>
      <c r="G27" s="78" t="s">
        <v>323</v>
      </c>
      <c r="H27" s="79" t="s">
        <v>323</v>
      </c>
      <c r="I27" s="78" t="s">
        <v>323</v>
      </c>
      <c r="J27" s="79" t="s">
        <v>323</v>
      </c>
      <c r="K27" s="78" t="s">
        <v>323</v>
      </c>
      <c r="L27" s="79" t="s">
        <v>323</v>
      </c>
      <c r="M27" s="78" t="s">
        <v>323</v>
      </c>
      <c r="N27" s="80" t="s">
        <v>323</v>
      </c>
      <c r="O27" s="78"/>
      <c r="P27" s="1295"/>
      <c r="Q27" s="1341"/>
    </row>
    <row r="28" spans="1:18">
      <c r="A28" s="317" t="s">
        <v>311</v>
      </c>
      <c r="B28" s="310" t="s">
        <v>757</v>
      </c>
      <c r="E28" s="81">
        <v>1</v>
      </c>
      <c r="F28" s="82">
        <v>51790</v>
      </c>
      <c r="G28" s="83"/>
      <c r="H28" s="82"/>
      <c r="I28" s="83"/>
      <c r="J28" s="82"/>
      <c r="K28" s="83"/>
      <c r="L28" s="82"/>
      <c r="M28" s="83"/>
      <c r="N28" s="84"/>
      <c r="O28" s="83">
        <v>12</v>
      </c>
      <c r="P28" s="1296">
        <v>0.3</v>
      </c>
      <c r="Q28" s="1341">
        <v>500</v>
      </c>
      <c r="R28" s="1335">
        <v>14.48</v>
      </c>
    </row>
    <row r="29" spans="1:18">
      <c r="A29" s="317" t="s">
        <v>311</v>
      </c>
      <c r="B29" s="310" t="s">
        <v>758</v>
      </c>
      <c r="E29" s="81"/>
      <c r="F29" s="82"/>
      <c r="G29" s="83">
        <v>1</v>
      </c>
      <c r="H29" s="82">
        <v>65468</v>
      </c>
      <c r="I29" s="83">
        <v>1</v>
      </c>
      <c r="J29" s="82">
        <v>65468</v>
      </c>
      <c r="K29" s="83"/>
      <c r="L29" s="82"/>
      <c r="M29" s="83">
        <v>1</v>
      </c>
      <c r="N29" s="84">
        <v>65468</v>
      </c>
      <c r="O29" s="83">
        <v>12</v>
      </c>
      <c r="P29" s="1296">
        <v>0.3</v>
      </c>
      <c r="Q29" s="1341">
        <v>500</v>
      </c>
      <c r="R29" s="1335">
        <v>18.690000000000001</v>
      </c>
    </row>
    <row r="30" spans="1:18">
      <c r="A30" s="317" t="s">
        <v>311</v>
      </c>
      <c r="B30" s="310" t="s">
        <v>759</v>
      </c>
      <c r="E30" s="81"/>
      <c r="F30" s="82"/>
      <c r="G30" s="83"/>
      <c r="H30" s="82"/>
      <c r="I30" s="83"/>
      <c r="J30" s="82"/>
      <c r="K30" s="83">
        <v>1</v>
      </c>
      <c r="L30" s="82">
        <v>70395</v>
      </c>
      <c r="M30" s="83"/>
      <c r="N30" s="84"/>
      <c r="O30" s="83">
        <v>12</v>
      </c>
      <c r="P30" s="1296">
        <v>0.3</v>
      </c>
      <c r="Q30" s="1341">
        <v>500</v>
      </c>
      <c r="R30" s="1335">
        <v>20.09</v>
      </c>
    </row>
    <row r="31" spans="1:18">
      <c r="A31" s="317" t="s">
        <v>311</v>
      </c>
      <c r="B31" s="310" t="s">
        <v>760</v>
      </c>
      <c r="E31" s="81"/>
      <c r="F31" s="82"/>
      <c r="G31" s="83"/>
      <c r="H31" s="82"/>
      <c r="I31" s="83">
        <v>1</v>
      </c>
      <c r="J31" s="82">
        <v>115679</v>
      </c>
      <c r="K31" s="83"/>
      <c r="L31" s="82"/>
      <c r="M31" s="83"/>
      <c r="N31" s="84"/>
      <c r="O31" s="83">
        <v>12</v>
      </c>
      <c r="P31" s="1296">
        <v>0.3</v>
      </c>
      <c r="Q31" s="1341">
        <v>500</v>
      </c>
      <c r="R31" s="1343">
        <v>33.020000000000003</v>
      </c>
    </row>
    <row r="32" spans="1:18">
      <c r="A32" s="317" t="s">
        <v>311</v>
      </c>
      <c r="B32" s="310" t="s">
        <v>761</v>
      </c>
      <c r="E32" s="81"/>
      <c r="F32" s="82"/>
      <c r="G32" s="83"/>
      <c r="H32" s="82"/>
      <c r="I32" s="83"/>
      <c r="J32" s="82"/>
      <c r="K32" s="83"/>
      <c r="L32" s="82"/>
      <c r="M32" s="83">
        <v>1</v>
      </c>
      <c r="N32" s="84">
        <v>107700</v>
      </c>
      <c r="O32" s="83">
        <v>12</v>
      </c>
      <c r="P32" s="1296">
        <v>0.3</v>
      </c>
      <c r="Q32" s="1341">
        <v>500</v>
      </c>
      <c r="R32" s="1343">
        <v>42.12</v>
      </c>
    </row>
    <row r="33" spans="1:18">
      <c r="A33" s="317" t="s">
        <v>311</v>
      </c>
      <c r="B33" s="310" t="s">
        <v>851</v>
      </c>
      <c r="E33" s="81"/>
      <c r="F33" s="82"/>
      <c r="G33" s="83"/>
      <c r="H33" s="82"/>
      <c r="I33" s="83"/>
      <c r="J33" s="82"/>
      <c r="K33" s="83">
        <v>1</v>
      </c>
      <c r="L33" s="82">
        <v>115800</v>
      </c>
      <c r="M33" s="83"/>
      <c r="N33" s="84"/>
      <c r="O33" s="83">
        <v>12</v>
      </c>
      <c r="P33" s="1296">
        <v>0.3</v>
      </c>
      <c r="Q33" s="1341">
        <v>500</v>
      </c>
      <c r="R33" s="1343">
        <v>45.28</v>
      </c>
    </row>
    <row r="34" spans="1:18">
      <c r="A34" s="317" t="s">
        <v>311</v>
      </c>
      <c r="B34" s="310" t="s">
        <v>762</v>
      </c>
      <c r="E34" s="81"/>
      <c r="F34" s="82"/>
      <c r="G34" s="83"/>
      <c r="H34" s="82"/>
      <c r="I34" s="83"/>
      <c r="J34" s="82"/>
      <c r="K34" s="83"/>
      <c r="L34" s="82"/>
      <c r="M34" s="83">
        <v>1</v>
      </c>
      <c r="N34" s="84">
        <v>200447</v>
      </c>
      <c r="O34" s="83">
        <v>12</v>
      </c>
      <c r="P34" s="1296">
        <v>0.3</v>
      </c>
      <c r="Q34" s="1341">
        <v>500</v>
      </c>
      <c r="R34" s="1343">
        <v>58.82</v>
      </c>
    </row>
    <row r="35" spans="1:18">
      <c r="A35" s="317" t="s">
        <v>827</v>
      </c>
      <c r="E35" s="81"/>
      <c r="F35" s="82"/>
      <c r="G35" s="83"/>
      <c r="H35" s="82"/>
      <c r="I35" s="83"/>
      <c r="J35" s="82"/>
      <c r="K35" s="83"/>
      <c r="L35" s="82"/>
      <c r="M35" s="83"/>
      <c r="N35" s="84"/>
      <c r="O35" s="83">
        <v>10</v>
      </c>
      <c r="P35" s="1296">
        <v>0.1</v>
      </c>
      <c r="Q35" s="1341"/>
    </row>
    <row r="36" spans="1:18">
      <c r="A36" s="317" t="s">
        <v>828</v>
      </c>
      <c r="E36" s="81">
        <v>1</v>
      </c>
      <c r="F36" s="82">
        <v>64250</v>
      </c>
      <c r="G36" s="83">
        <v>1</v>
      </c>
      <c r="H36" s="82">
        <v>64250</v>
      </c>
      <c r="I36" s="83">
        <v>1</v>
      </c>
      <c r="J36" s="82">
        <v>64250</v>
      </c>
      <c r="M36" s="81"/>
      <c r="N36" s="85"/>
      <c r="O36" s="83">
        <v>10</v>
      </c>
      <c r="P36" s="1296">
        <v>0.33</v>
      </c>
      <c r="Q36" s="1341">
        <v>200</v>
      </c>
      <c r="R36" s="1335">
        <v>35.96</v>
      </c>
    </row>
    <row r="37" spans="1:18">
      <c r="A37" s="317" t="s">
        <v>829</v>
      </c>
      <c r="E37" s="81"/>
      <c r="F37" s="82"/>
      <c r="G37" s="83"/>
      <c r="H37" s="82"/>
      <c r="I37" s="83"/>
      <c r="J37" s="82"/>
      <c r="K37" s="83">
        <v>1</v>
      </c>
      <c r="L37" s="86">
        <v>72750</v>
      </c>
      <c r="M37" s="81"/>
      <c r="N37" s="85"/>
      <c r="O37" s="83">
        <v>10</v>
      </c>
      <c r="P37" s="1296">
        <v>0.33</v>
      </c>
      <c r="Q37" s="1341">
        <v>200</v>
      </c>
      <c r="R37" s="1335">
        <v>40.71</v>
      </c>
    </row>
    <row r="38" spans="1:18">
      <c r="A38" s="317" t="s">
        <v>830</v>
      </c>
      <c r="E38" s="81"/>
      <c r="F38" s="82"/>
      <c r="G38" s="83"/>
      <c r="H38" s="82"/>
      <c r="I38" s="83"/>
      <c r="J38" s="82"/>
      <c r="K38" s="83"/>
      <c r="L38" s="82"/>
      <c r="M38" s="83">
        <v>1</v>
      </c>
      <c r="N38" s="84">
        <v>80500</v>
      </c>
      <c r="O38" s="83">
        <v>10</v>
      </c>
      <c r="P38" s="1296">
        <v>0.33</v>
      </c>
      <c r="Q38" s="1341">
        <v>200</v>
      </c>
      <c r="R38" s="1335">
        <v>45.05</v>
      </c>
    </row>
    <row r="39" spans="1:18">
      <c r="A39" s="317" t="s">
        <v>831</v>
      </c>
      <c r="E39" s="339">
        <v>1</v>
      </c>
      <c r="F39" s="340">
        <v>30000</v>
      </c>
      <c r="G39" s="341">
        <v>1</v>
      </c>
      <c r="H39" s="340">
        <v>30000</v>
      </c>
      <c r="I39" s="341">
        <v>1</v>
      </c>
      <c r="J39" s="340">
        <v>30000</v>
      </c>
      <c r="K39" s="341">
        <v>1</v>
      </c>
      <c r="L39" s="340">
        <v>31250</v>
      </c>
      <c r="M39" s="341">
        <v>1</v>
      </c>
      <c r="N39" s="340">
        <v>35000</v>
      </c>
      <c r="O39" s="83">
        <v>10</v>
      </c>
      <c r="P39" s="1344">
        <f>((0.891-0.11*(O39^0.5))^2)</f>
        <v>0.29501133305379423</v>
      </c>
      <c r="Q39" s="1345">
        <v>200</v>
      </c>
      <c r="R39" s="1335">
        <v>17.96</v>
      </c>
    </row>
    <row r="40" spans="1:18">
      <c r="A40" s="317" t="s">
        <v>1311</v>
      </c>
      <c r="E40" s="339">
        <v>1</v>
      </c>
      <c r="F40" s="340">
        <v>31500</v>
      </c>
      <c r="G40" s="341">
        <v>1</v>
      </c>
      <c r="H40" s="340">
        <v>31500</v>
      </c>
      <c r="I40" s="341">
        <v>1</v>
      </c>
      <c r="J40" s="340">
        <v>31500</v>
      </c>
      <c r="K40" s="341">
        <v>1</v>
      </c>
      <c r="L40" s="340">
        <v>37250</v>
      </c>
      <c r="M40" s="341">
        <v>1</v>
      </c>
      <c r="N40" s="340">
        <v>37250</v>
      </c>
      <c r="O40" s="83">
        <v>10</v>
      </c>
      <c r="P40" s="1344">
        <f t="shared" ref="P40:P55" si="1">((0.891-0.11*(O40^0.5))^2)</f>
        <v>0.29501133305379423</v>
      </c>
      <c r="Q40" s="1345">
        <v>200</v>
      </c>
      <c r="R40" s="1335">
        <v>36.6</v>
      </c>
    </row>
    <row r="41" spans="1:18">
      <c r="A41" s="317" t="s">
        <v>832</v>
      </c>
      <c r="E41" s="339">
        <v>1</v>
      </c>
      <c r="F41" s="340">
        <v>21000</v>
      </c>
      <c r="G41" s="341">
        <v>1</v>
      </c>
      <c r="H41" s="340">
        <v>21000</v>
      </c>
      <c r="I41" s="341">
        <v>1</v>
      </c>
      <c r="J41" s="340">
        <v>21000</v>
      </c>
      <c r="K41" s="341">
        <v>1</v>
      </c>
      <c r="L41" s="340">
        <v>29000</v>
      </c>
      <c r="M41" s="341">
        <v>1</v>
      </c>
      <c r="N41" s="340">
        <v>40000</v>
      </c>
      <c r="O41" s="83">
        <v>10</v>
      </c>
      <c r="P41" s="1344">
        <f t="shared" si="1"/>
        <v>0.29501133305379423</v>
      </c>
      <c r="Q41" s="1345">
        <v>200</v>
      </c>
      <c r="R41" s="1335">
        <v>27.6</v>
      </c>
    </row>
    <row r="42" spans="1:18">
      <c r="A42" s="317" t="s">
        <v>833</v>
      </c>
      <c r="E42" s="339">
        <v>1</v>
      </c>
      <c r="F42" s="340">
        <v>4500</v>
      </c>
      <c r="G42" s="341">
        <v>1</v>
      </c>
      <c r="H42" s="340">
        <v>6500</v>
      </c>
      <c r="I42" s="341">
        <v>1</v>
      </c>
      <c r="J42" s="340">
        <v>11500</v>
      </c>
      <c r="K42" s="341">
        <v>1</v>
      </c>
      <c r="L42" s="340">
        <v>13500</v>
      </c>
      <c r="M42" s="341">
        <v>1</v>
      </c>
      <c r="N42" s="340">
        <v>27000</v>
      </c>
      <c r="O42" s="83">
        <v>10</v>
      </c>
      <c r="P42" s="1344">
        <f t="shared" si="1"/>
        <v>0.29501133305379423</v>
      </c>
      <c r="Q42" s="1345">
        <v>200</v>
      </c>
      <c r="R42" s="1335">
        <v>24</v>
      </c>
    </row>
    <row r="43" spans="1:18">
      <c r="A43" s="317" t="s">
        <v>834</v>
      </c>
      <c r="E43" s="339">
        <v>1</v>
      </c>
      <c r="F43" s="340">
        <v>8000</v>
      </c>
      <c r="G43" s="341">
        <v>1</v>
      </c>
      <c r="H43" s="340">
        <v>8000</v>
      </c>
      <c r="I43" s="341">
        <v>1</v>
      </c>
      <c r="J43" s="340">
        <v>15000</v>
      </c>
      <c r="K43" s="341">
        <v>1</v>
      </c>
      <c r="L43" s="340">
        <v>15000</v>
      </c>
      <c r="M43" s="341">
        <v>1</v>
      </c>
      <c r="N43" s="340">
        <v>15000</v>
      </c>
      <c r="O43" s="83">
        <v>10</v>
      </c>
      <c r="P43" s="1344">
        <f t="shared" si="1"/>
        <v>0.29501133305379423</v>
      </c>
      <c r="Q43" s="1345">
        <v>200</v>
      </c>
      <c r="R43" s="1335">
        <v>29.2</v>
      </c>
    </row>
    <row r="44" spans="1:18">
      <c r="A44" s="317" t="s">
        <v>835</v>
      </c>
      <c r="E44" s="339">
        <v>1</v>
      </c>
      <c r="F44" s="340">
        <v>8750</v>
      </c>
      <c r="G44" s="341">
        <v>1</v>
      </c>
      <c r="H44" s="340">
        <v>10000</v>
      </c>
      <c r="I44" s="341">
        <v>1</v>
      </c>
      <c r="J44" s="340">
        <v>11000</v>
      </c>
      <c r="K44" s="341">
        <v>1</v>
      </c>
      <c r="L44" s="340">
        <v>12000</v>
      </c>
      <c r="M44" s="341">
        <v>1</v>
      </c>
      <c r="N44" s="340">
        <v>24250</v>
      </c>
      <c r="O44" s="83">
        <v>10</v>
      </c>
      <c r="P44" s="1344">
        <f t="shared" si="1"/>
        <v>0.29501133305379423</v>
      </c>
      <c r="Q44" s="1345">
        <v>200</v>
      </c>
      <c r="R44" s="1335">
        <v>6.63</v>
      </c>
    </row>
    <row r="45" spans="1:18">
      <c r="A45" s="317" t="s">
        <v>836</v>
      </c>
      <c r="E45" s="81"/>
      <c r="F45" s="82"/>
      <c r="G45" s="83">
        <v>1</v>
      </c>
      <c r="H45" s="82">
        <v>35000</v>
      </c>
      <c r="I45" s="83">
        <v>1</v>
      </c>
      <c r="J45" s="82">
        <v>35000</v>
      </c>
      <c r="K45" s="83">
        <v>2</v>
      </c>
      <c r="L45" s="82">
        <v>70000</v>
      </c>
      <c r="M45" s="83">
        <v>3</v>
      </c>
      <c r="N45" s="84">
        <v>105000</v>
      </c>
      <c r="O45" s="83">
        <v>12</v>
      </c>
      <c r="P45" s="1344">
        <f>((0.891-0.11*(O45^0.5))^2)</f>
        <v>0.26004780140069728</v>
      </c>
      <c r="Q45" s="1345">
        <v>100</v>
      </c>
      <c r="R45" s="1335">
        <v>35.75</v>
      </c>
    </row>
    <row r="46" spans="1:18">
      <c r="A46" s="317" t="s">
        <v>227</v>
      </c>
      <c r="E46" s="81"/>
      <c r="F46" s="82"/>
      <c r="G46" s="83">
        <v>1</v>
      </c>
      <c r="H46" s="82">
        <v>13750</v>
      </c>
      <c r="I46" s="83">
        <v>1</v>
      </c>
      <c r="J46" s="82">
        <v>13750</v>
      </c>
      <c r="K46" s="83">
        <v>1</v>
      </c>
      <c r="L46" s="82">
        <v>13750</v>
      </c>
      <c r="M46" s="83">
        <v>1</v>
      </c>
      <c r="N46" s="84">
        <v>13750</v>
      </c>
      <c r="O46" s="83">
        <v>12</v>
      </c>
      <c r="P46" s="1344">
        <f t="shared" si="1"/>
        <v>0.26004780140069728</v>
      </c>
      <c r="Q46" s="1345"/>
    </row>
    <row r="47" spans="1:18">
      <c r="A47" s="317" t="s">
        <v>856</v>
      </c>
      <c r="E47" s="81"/>
      <c r="F47" s="82"/>
      <c r="G47" s="83"/>
      <c r="H47" s="82"/>
      <c r="I47" s="83"/>
      <c r="J47" s="82"/>
      <c r="K47" s="83"/>
      <c r="L47" s="82">
        <v>355000</v>
      </c>
      <c r="M47" s="83"/>
      <c r="N47" s="84">
        <v>355000</v>
      </c>
      <c r="O47" s="83">
        <v>10</v>
      </c>
      <c r="P47" s="1344">
        <f t="shared" si="1"/>
        <v>0.29501133305379423</v>
      </c>
      <c r="Q47" s="1345">
        <v>300</v>
      </c>
      <c r="R47" s="1335">
        <v>178.57</v>
      </c>
    </row>
    <row r="48" spans="1:18">
      <c r="A48" s="317" t="s">
        <v>837</v>
      </c>
      <c r="E48" s="81"/>
      <c r="F48" s="82"/>
      <c r="G48" s="83">
        <v>1</v>
      </c>
      <c r="H48" s="82">
        <v>7000</v>
      </c>
      <c r="I48" s="83">
        <v>1</v>
      </c>
      <c r="J48" s="82">
        <v>7000</v>
      </c>
      <c r="K48" s="62"/>
      <c r="L48" s="62"/>
      <c r="M48" s="87"/>
      <c r="N48" s="85"/>
      <c r="O48" s="83">
        <v>13</v>
      </c>
      <c r="P48" s="1344">
        <f t="shared" si="1"/>
        <v>0.24442083898354883</v>
      </c>
      <c r="Q48" s="1345">
        <v>300</v>
      </c>
      <c r="R48" s="1335">
        <v>5.76</v>
      </c>
    </row>
    <row r="49" spans="1:18">
      <c r="A49" s="317" t="s">
        <v>1455</v>
      </c>
      <c r="E49" s="81"/>
      <c r="F49" s="82"/>
      <c r="G49" s="83"/>
      <c r="H49" s="82"/>
      <c r="I49" s="83"/>
      <c r="J49" s="82"/>
      <c r="K49" s="83">
        <v>1</v>
      </c>
      <c r="L49" s="82">
        <v>38500</v>
      </c>
      <c r="M49" s="83"/>
      <c r="N49" s="84"/>
      <c r="O49" s="83">
        <v>13</v>
      </c>
      <c r="P49" s="1344">
        <f t="shared" si="1"/>
        <v>0.24442083898354883</v>
      </c>
      <c r="Q49" s="1345">
        <v>300</v>
      </c>
      <c r="R49" s="1335">
        <v>12.67</v>
      </c>
    </row>
    <row r="50" spans="1:18">
      <c r="A50" s="317" t="s">
        <v>1456</v>
      </c>
      <c r="E50" s="81"/>
      <c r="F50" s="82"/>
      <c r="G50" s="83"/>
      <c r="H50" s="82"/>
      <c r="I50" s="83"/>
      <c r="J50" s="82"/>
      <c r="K50" s="83"/>
      <c r="L50" s="82"/>
      <c r="M50" s="83">
        <v>1</v>
      </c>
      <c r="N50" s="84">
        <v>45000</v>
      </c>
      <c r="O50" s="83">
        <v>13</v>
      </c>
      <c r="P50" s="1344">
        <f t="shared" si="1"/>
        <v>0.24442083898354883</v>
      </c>
      <c r="Q50" s="1345">
        <v>300</v>
      </c>
      <c r="R50" s="1335">
        <v>14.81</v>
      </c>
    </row>
    <row r="51" spans="1:18">
      <c r="A51" s="317" t="s">
        <v>838</v>
      </c>
      <c r="E51" s="81"/>
      <c r="F51" s="82"/>
      <c r="G51" s="83"/>
      <c r="H51" s="82"/>
      <c r="I51" s="83"/>
      <c r="J51" s="82"/>
      <c r="K51" s="83">
        <v>1</v>
      </c>
      <c r="L51" s="82">
        <v>92000</v>
      </c>
      <c r="M51" s="83">
        <v>1</v>
      </c>
      <c r="N51" s="84">
        <v>106500</v>
      </c>
      <c r="O51" s="83">
        <v>10</v>
      </c>
      <c r="P51" s="1344">
        <f t="shared" si="1"/>
        <v>0.29501133305379423</v>
      </c>
      <c r="Q51" s="1345"/>
    </row>
    <row r="52" spans="1:18">
      <c r="A52" s="317" t="s">
        <v>839</v>
      </c>
      <c r="E52" s="81">
        <v>1</v>
      </c>
      <c r="F52" s="82">
        <v>6250</v>
      </c>
      <c r="G52" s="83">
        <v>1</v>
      </c>
      <c r="H52" s="82">
        <v>6250</v>
      </c>
      <c r="I52" s="83">
        <v>1</v>
      </c>
      <c r="J52" s="82">
        <v>18500</v>
      </c>
      <c r="K52" s="83">
        <v>1</v>
      </c>
      <c r="L52" s="82">
        <v>31750</v>
      </c>
      <c r="M52" s="83">
        <v>1</v>
      </c>
      <c r="N52" s="84">
        <v>31750</v>
      </c>
      <c r="O52" s="83">
        <v>10</v>
      </c>
      <c r="P52" s="1344">
        <f t="shared" si="1"/>
        <v>0.29501133305379423</v>
      </c>
      <c r="Q52" s="1345">
        <v>200</v>
      </c>
      <c r="R52" s="1335">
        <v>54.2</v>
      </c>
    </row>
    <row r="53" spans="1:18">
      <c r="A53" s="317" t="s">
        <v>840</v>
      </c>
      <c r="E53" s="81"/>
      <c r="F53" s="82"/>
      <c r="G53" s="83"/>
      <c r="H53" s="82"/>
      <c r="I53" s="83"/>
      <c r="J53" s="82"/>
      <c r="K53" s="83">
        <v>1</v>
      </c>
      <c r="L53" s="82">
        <v>24000</v>
      </c>
      <c r="M53" s="83">
        <v>1</v>
      </c>
      <c r="N53" s="84">
        <v>24000</v>
      </c>
      <c r="O53" s="83">
        <v>10</v>
      </c>
      <c r="P53" s="1344">
        <f t="shared" si="1"/>
        <v>0.29501133305379423</v>
      </c>
      <c r="Q53" s="1345"/>
    </row>
    <row r="54" spans="1:18">
      <c r="A54" s="317" t="s">
        <v>841</v>
      </c>
      <c r="E54" s="81"/>
      <c r="F54" s="82"/>
      <c r="G54" s="83"/>
      <c r="H54" s="82"/>
      <c r="I54" s="83">
        <v>1</v>
      </c>
      <c r="J54" s="82">
        <v>20000</v>
      </c>
      <c r="K54" s="83">
        <v>1</v>
      </c>
      <c r="L54" s="82">
        <v>20000</v>
      </c>
      <c r="M54" s="83">
        <v>1</v>
      </c>
      <c r="N54" s="84">
        <v>20000</v>
      </c>
      <c r="O54" s="83">
        <v>8</v>
      </c>
      <c r="P54" s="1344">
        <f t="shared" si="1"/>
        <v>0.33625271500725185</v>
      </c>
      <c r="Q54" s="1345"/>
    </row>
    <row r="55" spans="1:18">
      <c r="A55" s="317" t="s">
        <v>852</v>
      </c>
      <c r="E55" s="81"/>
      <c r="F55" s="82"/>
      <c r="G55" s="83">
        <v>1</v>
      </c>
      <c r="H55" s="82">
        <v>2400</v>
      </c>
      <c r="I55" s="83">
        <v>1</v>
      </c>
      <c r="J55" s="82">
        <v>2400</v>
      </c>
      <c r="K55" s="83">
        <v>1</v>
      </c>
      <c r="L55" s="82">
        <v>2400</v>
      </c>
      <c r="M55" s="83">
        <v>1</v>
      </c>
      <c r="N55" s="84">
        <v>2400</v>
      </c>
      <c r="O55" s="83">
        <v>8</v>
      </c>
      <c r="P55" s="1344">
        <f t="shared" si="1"/>
        <v>0.33625271500725185</v>
      </c>
      <c r="Q55" s="1345"/>
    </row>
    <row r="56" spans="1:18" s="342" customFormat="1">
      <c r="A56" s="343"/>
      <c r="B56" s="336"/>
      <c r="C56" s="336" t="s">
        <v>763</v>
      </c>
      <c r="D56" s="336"/>
      <c r="E56" s="88">
        <f>SUM(E27:E55)</f>
        <v>9</v>
      </c>
      <c r="F56" s="75">
        <f>SUM(F27:F55)</f>
        <v>226040</v>
      </c>
      <c r="G56" s="76"/>
      <c r="H56" s="75">
        <f>SUM(H27:H55)</f>
        <v>301118</v>
      </c>
      <c r="I56" s="76"/>
      <c r="J56" s="75">
        <f>SUM(J27:J55)</f>
        <v>462047</v>
      </c>
      <c r="K56" s="76"/>
      <c r="L56" s="75">
        <f>SUM(L27:L55)</f>
        <v>1044345</v>
      </c>
      <c r="M56" s="76"/>
      <c r="N56" s="77">
        <f>SUM(N27:N55)</f>
        <v>1336015</v>
      </c>
      <c r="O56" s="76"/>
      <c r="P56" s="1294"/>
      <c r="Q56" s="1342"/>
      <c r="R56" s="1346"/>
    </row>
    <row r="58" spans="1:18" ht="16.5">
      <c r="A58" s="314" t="s">
        <v>842</v>
      </c>
      <c r="B58" s="338"/>
      <c r="C58" s="338"/>
      <c r="D58" s="338"/>
      <c r="E58" s="78" t="s">
        <v>323</v>
      </c>
      <c r="F58" s="79" t="s">
        <v>323</v>
      </c>
      <c r="G58" s="78" t="s">
        <v>323</v>
      </c>
      <c r="H58" s="79" t="s">
        <v>323</v>
      </c>
      <c r="I58" s="78" t="s">
        <v>323</v>
      </c>
      <c r="J58" s="79" t="s">
        <v>323</v>
      </c>
      <c r="K58" s="78" t="s">
        <v>323</v>
      </c>
      <c r="L58" s="79" t="s">
        <v>323</v>
      </c>
      <c r="M58" s="78" t="s">
        <v>323</v>
      </c>
      <c r="N58" s="80" t="s">
        <v>323</v>
      </c>
      <c r="O58" s="78"/>
      <c r="P58" s="1295"/>
      <c r="Q58" s="1341"/>
    </row>
    <row r="59" spans="1:18">
      <c r="A59" s="344" t="s">
        <v>843</v>
      </c>
      <c r="E59" s="81"/>
      <c r="F59" s="82"/>
      <c r="G59" s="83"/>
      <c r="H59" s="82"/>
      <c r="I59" s="83"/>
      <c r="J59" s="82"/>
      <c r="K59" s="83"/>
      <c r="L59" s="82"/>
      <c r="M59" s="83"/>
      <c r="N59" s="84"/>
      <c r="O59" s="83"/>
      <c r="P59" s="1296"/>
      <c r="Q59" s="1341"/>
    </row>
    <row r="60" spans="1:18">
      <c r="A60" s="317" t="s">
        <v>844</v>
      </c>
      <c r="E60" s="81">
        <v>1</v>
      </c>
      <c r="F60" s="82">
        <v>41250</v>
      </c>
      <c r="G60" s="83">
        <v>1</v>
      </c>
      <c r="H60" s="82">
        <v>41250</v>
      </c>
      <c r="I60" s="83">
        <v>1</v>
      </c>
      <c r="J60" s="82">
        <v>41250</v>
      </c>
      <c r="K60" s="83"/>
      <c r="L60" s="82"/>
      <c r="M60" s="83"/>
      <c r="N60" s="85"/>
      <c r="O60" s="83">
        <v>10</v>
      </c>
      <c r="P60" s="1344">
        <f>((0.891-0.11*(O60^0.5))^2)</f>
        <v>0.29501133305379423</v>
      </c>
      <c r="Q60" s="1345">
        <v>150</v>
      </c>
      <c r="R60" s="1335">
        <v>30.38</v>
      </c>
    </row>
    <row r="61" spans="1:18">
      <c r="A61" s="317" t="s">
        <v>845</v>
      </c>
      <c r="E61" s="81"/>
      <c r="F61" s="82"/>
      <c r="G61" s="83"/>
      <c r="H61" s="82"/>
      <c r="I61" s="83"/>
      <c r="J61" s="82"/>
      <c r="K61" s="83">
        <v>1</v>
      </c>
      <c r="L61" s="82">
        <v>58000</v>
      </c>
      <c r="M61" s="83"/>
      <c r="N61" s="84"/>
      <c r="O61" s="83">
        <v>10</v>
      </c>
      <c r="P61" s="1344">
        <f t="shared" ref="P61:P74" si="2">((0.891-0.11*(O61^0.5))^2)</f>
        <v>0.29501133305379423</v>
      </c>
      <c r="Q61" s="1345">
        <v>150</v>
      </c>
      <c r="R61" s="1335">
        <v>42.72</v>
      </c>
    </row>
    <row r="62" spans="1:18">
      <c r="A62" s="317" t="s">
        <v>846</v>
      </c>
      <c r="E62" s="81"/>
      <c r="F62" s="82"/>
      <c r="G62" s="83"/>
      <c r="H62" s="82"/>
      <c r="I62" s="83"/>
      <c r="J62" s="82"/>
      <c r="K62" s="83"/>
      <c r="L62" s="82"/>
      <c r="M62" s="83">
        <v>1</v>
      </c>
      <c r="N62" s="84">
        <v>113750</v>
      </c>
      <c r="O62" s="83">
        <v>10</v>
      </c>
      <c r="P62" s="1344">
        <f t="shared" si="2"/>
        <v>0.29501133305379423</v>
      </c>
      <c r="Q62" s="1345">
        <v>150</v>
      </c>
      <c r="R62" s="1335">
        <v>83.73</v>
      </c>
    </row>
    <row r="63" spans="1:18">
      <c r="A63" s="317" t="s">
        <v>929</v>
      </c>
      <c r="E63" s="81"/>
      <c r="F63" s="82"/>
      <c r="G63" s="83"/>
      <c r="H63" s="82"/>
      <c r="I63" s="83"/>
      <c r="J63" s="82"/>
      <c r="K63" s="83">
        <v>1</v>
      </c>
      <c r="L63" s="82">
        <v>48750</v>
      </c>
      <c r="M63" s="310"/>
      <c r="N63" s="310"/>
      <c r="O63" s="83">
        <v>10</v>
      </c>
      <c r="P63" s="1344">
        <f t="shared" si="2"/>
        <v>0.29501133305379423</v>
      </c>
      <c r="Q63" s="1345">
        <v>300</v>
      </c>
    </row>
    <row r="64" spans="1:18">
      <c r="A64" s="317" t="s">
        <v>930</v>
      </c>
      <c r="E64" s="81"/>
      <c r="F64" s="82"/>
      <c r="G64" s="83"/>
      <c r="H64" s="82"/>
      <c r="I64" s="83"/>
      <c r="J64" s="82"/>
      <c r="K64" s="83"/>
      <c r="L64" s="82"/>
      <c r="M64" s="83">
        <v>1</v>
      </c>
      <c r="N64" s="84">
        <v>80000</v>
      </c>
      <c r="O64" s="83">
        <v>10</v>
      </c>
      <c r="P64" s="1344">
        <f t="shared" si="2"/>
        <v>0.29501133305379423</v>
      </c>
      <c r="Q64" s="1345">
        <v>300</v>
      </c>
    </row>
    <row r="65" spans="1:18">
      <c r="A65" s="317" t="s">
        <v>931</v>
      </c>
      <c r="E65" s="81">
        <v>1</v>
      </c>
      <c r="F65" s="82">
        <v>26750</v>
      </c>
      <c r="G65" s="83">
        <v>1</v>
      </c>
      <c r="H65" s="82">
        <v>26750</v>
      </c>
      <c r="I65" s="83">
        <v>1</v>
      </c>
      <c r="J65" s="82">
        <v>26750</v>
      </c>
      <c r="K65" s="83">
        <v>1</v>
      </c>
      <c r="L65" s="82">
        <v>29250</v>
      </c>
      <c r="M65" s="83">
        <v>1</v>
      </c>
      <c r="N65" s="84">
        <v>39000</v>
      </c>
      <c r="O65" s="83">
        <v>10</v>
      </c>
      <c r="P65" s="1344">
        <f t="shared" si="2"/>
        <v>0.29501133305379423</v>
      </c>
      <c r="Q65" s="1345">
        <v>200</v>
      </c>
      <c r="R65" s="1335">
        <v>27.6</v>
      </c>
    </row>
    <row r="66" spans="1:18">
      <c r="A66" s="317"/>
      <c r="E66" s="81"/>
      <c r="F66" s="82"/>
      <c r="G66" s="83"/>
      <c r="H66" s="82"/>
      <c r="I66" s="83"/>
      <c r="J66" s="82"/>
      <c r="K66" s="83"/>
      <c r="L66" s="82"/>
      <c r="M66" s="83"/>
      <c r="N66" s="84"/>
      <c r="O66" s="83"/>
      <c r="P66" s="1344"/>
      <c r="Q66" s="1345"/>
    </row>
    <row r="67" spans="1:18">
      <c r="A67" s="344" t="s">
        <v>1</v>
      </c>
      <c r="E67" s="81"/>
      <c r="F67" s="82"/>
      <c r="G67" s="83"/>
      <c r="H67" s="82"/>
      <c r="I67" s="83"/>
      <c r="J67" s="82"/>
      <c r="K67" s="83"/>
      <c r="L67" s="82"/>
      <c r="M67" s="83"/>
      <c r="N67" s="84"/>
      <c r="O67" s="83"/>
      <c r="P67" s="1344"/>
      <c r="Q67" s="1345"/>
    </row>
    <row r="68" spans="1:18">
      <c r="A68" s="317" t="s">
        <v>1289</v>
      </c>
      <c r="E68" s="81">
        <v>1</v>
      </c>
      <c r="F68" s="82">
        <v>25750</v>
      </c>
      <c r="G68" s="83">
        <v>1</v>
      </c>
      <c r="H68" s="82">
        <v>25750</v>
      </c>
      <c r="I68" s="83">
        <v>1</v>
      </c>
      <c r="J68" s="82">
        <v>27750</v>
      </c>
      <c r="K68" s="83">
        <v>1</v>
      </c>
      <c r="L68" s="82">
        <v>27750</v>
      </c>
      <c r="M68" s="83">
        <v>1</v>
      </c>
      <c r="N68" s="84">
        <v>71500</v>
      </c>
      <c r="O68" s="83">
        <v>10</v>
      </c>
      <c r="P68" s="1344">
        <f t="shared" si="2"/>
        <v>0.29501133305379423</v>
      </c>
      <c r="Q68" s="1345"/>
    </row>
    <row r="69" spans="1:18">
      <c r="A69" s="317" t="s">
        <v>932</v>
      </c>
      <c r="E69" s="81">
        <v>1</v>
      </c>
      <c r="F69" s="82">
        <v>8000</v>
      </c>
      <c r="G69" s="83">
        <v>1</v>
      </c>
      <c r="H69" s="82">
        <v>10250</v>
      </c>
      <c r="I69" s="83">
        <v>1</v>
      </c>
      <c r="J69" s="82">
        <v>20000</v>
      </c>
      <c r="K69" s="83">
        <v>1</v>
      </c>
      <c r="L69" s="82">
        <v>20000</v>
      </c>
      <c r="M69" s="83">
        <v>1</v>
      </c>
      <c r="N69" s="84">
        <v>20000</v>
      </c>
      <c r="O69" s="83">
        <v>10</v>
      </c>
      <c r="P69" s="1344">
        <f t="shared" si="2"/>
        <v>0.29501133305379423</v>
      </c>
      <c r="Q69" s="1345">
        <v>200</v>
      </c>
      <c r="R69" s="1335">
        <v>10.64</v>
      </c>
    </row>
    <row r="70" spans="1:18">
      <c r="A70" s="317" t="s">
        <v>1312</v>
      </c>
      <c r="E70" s="81"/>
      <c r="F70" s="82"/>
      <c r="G70" s="83"/>
      <c r="H70" s="82"/>
      <c r="I70" s="83">
        <v>1</v>
      </c>
      <c r="J70" s="82">
        <v>54000</v>
      </c>
      <c r="K70" s="83">
        <v>1</v>
      </c>
      <c r="L70" s="82">
        <v>54000</v>
      </c>
      <c r="M70" s="83">
        <v>1</v>
      </c>
      <c r="N70" s="84">
        <v>54000</v>
      </c>
      <c r="O70" s="83">
        <v>10</v>
      </c>
      <c r="P70" s="1344">
        <f t="shared" si="2"/>
        <v>0.29501133305379423</v>
      </c>
      <c r="Q70" s="1345">
        <v>200</v>
      </c>
      <c r="R70" s="1335">
        <v>31.04</v>
      </c>
    </row>
    <row r="71" spans="1:18">
      <c r="A71" s="317"/>
      <c r="E71" s="81"/>
      <c r="F71" s="82"/>
      <c r="G71" s="83"/>
      <c r="H71" s="82"/>
      <c r="I71" s="83"/>
      <c r="J71" s="82"/>
      <c r="K71" s="83"/>
      <c r="L71" s="82"/>
      <c r="M71" s="83"/>
      <c r="N71" s="84"/>
      <c r="O71" s="83"/>
      <c r="P71" s="1344"/>
      <c r="Q71" s="1345"/>
    </row>
    <row r="72" spans="1:18">
      <c r="A72" s="344" t="s">
        <v>324</v>
      </c>
      <c r="E72" s="81"/>
      <c r="F72" s="82"/>
      <c r="G72" s="83"/>
      <c r="H72" s="82"/>
      <c r="I72" s="83"/>
      <c r="J72" s="82"/>
      <c r="K72" s="83"/>
      <c r="L72" s="82"/>
      <c r="M72" s="83"/>
      <c r="N72" s="84"/>
      <c r="O72" s="83"/>
      <c r="P72" s="1344"/>
      <c r="Q72" s="1345"/>
    </row>
    <row r="73" spans="1:18">
      <c r="A73" s="317" t="s">
        <v>853</v>
      </c>
      <c r="E73" s="81">
        <v>1</v>
      </c>
      <c r="F73" s="82">
        <v>27750</v>
      </c>
      <c r="G73" s="83">
        <v>1</v>
      </c>
      <c r="H73" s="82">
        <v>27750</v>
      </c>
      <c r="I73" s="83">
        <v>1</v>
      </c>
      <c r="J73" s="82">
        <v>27750</v>
      </c>
      <c r="K73" s="83">
        <v>1</v>
      </c>
      <c r="L73" s="82">
        <v>27750</v>
      </c>
      <c r="M73" s="83"/>
      <c r="N73" s="84"/>
      <c r="O73" s="83">
        <v>10</v>
      </c>
      <c r="P73" s="1344">
        <f t="shared" si="2"/>
        <v>0.29501133305379423</v>
      </c>
      <c r="Q73" s="1345">
        <v>150</v>
      </c>
      <c r="R73" s="1335">
        <v>18.97</v>
      </c>
    </row>
    <row r="74" spans="1:18">
      <c r="A74" s="317" t="s">
        <v>854</v>
      </c>
      <c r="E74" s="81"/>
      <c r="F74" s="90"/>
      <c r="G74" s="81"/>
      <c r="H74" s="90"/>
      <c r="I74" s="81"/>
      <c r="J74" s="90"/>
      <c r="K74" s="81"/>
      <c r="L74" s="90"/>
      <c r="M74" s="83">
        <v>1</v>
      </c>
      <c r="N74" s="84">
        <v>71500</v>
      </c>
      <c r="O74" s="83">
        <v>10</v>
      </c>
      <c r="P74" s="1344">
        <f t="shared" si="2"/>
        <v>0.29501133305379423</v>
      </c>
      <c r="Q74" s="1345">
        <v>150</v>
      </c>
      <c r="R74" s="1335">
        <v>52.66</v>
      </c>
    </row>
    <row r="75" spans="1:18">
      <c r="A75" s="343"/>
      <c r="B75" s="336"/>
      <c r="C75" s="336" t="s">
        <v>763</v>
      </c>
      <c r="D75" s="336"/>
      <c r="E75" s="88">
        <f>SUM(E58:E74)</f>
        <v>5</v>
      </c>
      <c r="F75" s="1101">
        <f t="shared" ref="F75:N75" si="3">SUM(F58:F74)</f>
        <v>129500</v>
      </c>
      <c r="G75" s="1102">
        <f t="shared" si="3"/>
        <v>5</v>
      </c>
      <c r="H75" s="1101">
        <f t="shared" si="3"/>
        <v>131750</v>
      </c>
      <c r="I75" s="1102">
        <f t="shared" si="3"/>
        <v>6</v>
      </c>
      <c r="J75" s="1101">
        <f t="shared" si="3"/>
        <v>197500</v>
      </c>
      <c r="K75" s="1102">
        <f t="shared" si="3"/>
        <v>7</v>
      </c>
      <c r="L75" s="1101">
        <f t="shared" si="3"/>
        <v>265500</v>
      </c>
      <c r="M75" s="1102">
        <f t="shared" si="3"/>
        <v>7</v>
      </c>
      <c r="N75" s="1103">
        <f t="shared" si="3"/>
        <v>449750</v>
      </c>
      <c r="O75" s="1102"/>
      <c r="P75" s="1297"/>
      <c r="Q75" s="1341"/>
    </row>
  </sheetData>
  <sheetProtection sheet="1" objects="1" scenarios="1"/>
  <mergeCells count="6">
    <mergeCell ref="O6:P6"/>
    <mergeCell ref="M6:N6"/>
    <mergeCell ref="E6:F6"/>
    <mergeCell ref="G6:H6"/>
    <mergeCell ref="I6:J6"/>
    <mergeCell ref="K6:L6"/>
  </mergeCells>
  <pageMargins left="0.7" right="0.7" top="0.75" bottom="0.75" header="0.3" footer="0.3"/>
  <pageSetup orientation="portrait" horizontalDpi="360" verticalDpi="360" r:id="rId1"/>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FreinsMotivations">
    <tabColor theme="4"/>
  </sheetPr>
  <dimension ref="A1:O144"/>
  <sheetViews>
    <sheetView showGridLines="0" workbookViewId="0">
      <pane ySplit="1" topLeftCell="A2" activePane="bottomLeft" state="frozen"/>
      <selection activeCell="M20" sqref="M20:P27"/>
      <selection pane="bottomLeft" activeCell="C5" sqref="C5"/>
    </sheetView>
  </sheetViews>
  <sheetFormatPr baseColWidth="10" defaultColWidth="11.42578125" defaultRowHeight="16.5"/>
  <cols>
    <col min="1" max="1" width="4.42578125" style="884" customWidth="1"/>
    <col min="2" max="2" width="63.85546875" style="46" customWidth="1"/>
    <col min="3" max="6" width="3.42578125" style="873" customWidth="1"/>
    <col min="7" max="9" width="3.42578125" style="907" customWidth="1"/>
    <col min="10" max="10" width="3.42578125" style="871" customWidth="1"/>
    <col min="11" max="13" width="3.42578125" style="872" customWidth="1"/>
    <col min="14" max="14" width="9.5703125" style="5" hidden="1" customWidth="1"/>
    <col min="15" max="15" width="0" style="5" hidden="1" customWidth="1"/>
    <col min="16" max="16384" width="11.42578125" style="5"/>
  </cols>
  <sheetData>
    <row r="1" spans="1:15" s="533" customFormat="1" ht="24.75" thickBot="1">
      <c r="A1" s="884"/>
      <c r="B1" s="860" t="s">
        <v>1076</v>
      </c>
      <c r="C1" s="1587"/>
      <c r="D1" s="1587" t="s">
        <v>1429</v>
      </c>
      <c r="E1" s="1587" t="s">
        <v>1430</v>
      </c>
      <c r="F1" s="1587" t="s">
        <v>1062</v>
      </c>
      <c r="G1" s="870"/>
      <c r="H1" s="870"/>
      <c r="I1" s="870"/>
      <c r="J1" s="870"/>
      <c r="K1" s="870"/>
      <c r="L1" s="870"/>
      <c r="M1" s="870"/>
      <c r="O1" s="480" t="s">
        <v>175</v>
      </c>
    </row>
    <row r="2" spans="1:15" s="533" customFormat="1" ht="17.25" thickTop="1">
      <c r="A2" s="884"/>
      <c r="B2" s="869"/>
      <c r="C2" s="873"/>
      <c r="D2" s="873"/>
      <c r="E2" s="873"/>
      <c r="F2" s="873"/>
      <c r="G2" s="907"/>
      <c r="H2" s="907"/>
      <c r="I2" s="907"/>
      <c r="J2" s="871"/>
      <c r="K2" s="872"/>
      <c r="L2" s="872"/>
      <c r="M2" s="872"/>
      <c r="N2" s="533" t="s">
        <v>1136</v>
      </c>
      <c r="O2" s="480" t="s">
        <v>1429</v>
      </c>
    </row>
    <row r="3" spans="1:15" ht="19.5" thickBot="1">
      <c r="A3" s="885"/>
      <c r="B3" s="868" t="s">
        <v>1025</v>
      </c>
      <c r="C3" s="879">
        <v>0</v>
      </c>
      <c r="D3" s="879">
        <v>1</v>
      </c>
      <c r="E3" s="879">
        <v>2</v>
      </c>
      <c r="F3" s="879">
        <v>3</v>
      </c>
      <c r="G3" s="887">
        <v>4</v>
      </c>
      <c r="H3" s="887">
        <v>5</v>
      </c>
      <c r="I3" s="887">
        <v>6</v>
      </c>
      <c r="J3" s="896">
        <v>7</v>
      </c>
      <c r="K3" s="896">
        <v>8</v>
      </c>
      <c r="L3" s="896">
        <v>9</v>
      </c>
      <c r="M3" s="896">
        <v>10</v>
      </c>
      <c r="O3" s="480" t="s">
        <v>1430</v>
      </c>
    </row>
    <row r="4" spans="1:15" s="726" customFormat="1" ht="7.5" thickTop="1">
      <c r="A4" s="888"/>
      <c r="B4" s="861"/>
      <c r="C4" s="862"/>
      <c r="D4" s="863"/>
      <c r="E4" s="864"/>
      <c r="F4" s="864"/>
      <c r="G4" s="908"/>
      <c r="H4" s="908"/>
      <c r="I4" s="908"/>
      <c r="J4" s="899"/>
      <c r="K4" s="899"/>
      <c r="L4" s="899"/>
      <c r="M4" s="1062"/>
      <c r="N4" s="1061"/>
      <c r="O4" s="476" t="s">
        <v>1062</v>
      </c>
    </row>
    <row r="5" spans="1:15">
      <c r="A5" s="889">
        <v>1</v>
      </c>
      <c r="B5" s="914" t="s">
        <v>198</v>
      </c>
      <c r="C5" s="883">
        <v>0</v>
      </c>
      <c r="D5" s="883"/>
      <c r="E5" s="883"/>
      <c r="F5" s="883"/>
      <c r="G5" s="909"/>
      <c r="H5" s="909"/>
      <c r="I5" s="909"/>
      <c r="J5" s="900"/>
      <c r="K5" s="900"/>
      <c r="L5" s="900"/>
      <c r="M5" s="1063"/>
      <c r="N5" s="94">
        <f>IF(ISNUMBER(A5),MAX(C5:M5),"")</f>
        <v>0</v>
      </c>
    </row>
    <row r="6" spans="1:15" s="453" customFormat="1" ht="14.25">
      <c r="A6" s="888"/>
      <c r="B6" s="915"/>
      <c r="C6" s="865"/>
      <c r="D6" s="866"/>
      <c r="E6" s="867"/>
      <c r="F6" s="867"/>
      <c r="G6" s="910"/>
      <c r="H6" s="910"/>
      <c r="I6" s="910"/>
      <c r="J6" s="903"/>
      <c r="K6" s="903"/>
      <c r="L6" s="903"/>
      <c r="M6" s="1064"/>
      <c r="N6" s="94" t="str">
        <f t="shared" ref="N6:N69" si="0">IF(ISNUMBER(A6),MAX(C6:M6),"")</f>
        <v/>
      </c>
    </row>
    <row r="7" spans="1:15">
      <c r="A7" s="889">
        <v>2</v>
      </c>
      <c r="B7" s="914" t="s">
        <v>199</v>
      </c>
      <c r="C7" s="883"/>
      <c r="D7" s="883"/>
      <c r="E7" s="883"/>
      <c r="F7" s="883"/>
      <c r="G7" s="909"/>
      <c r="H7" s="909"/>
      <c r="I7" s="909"/>
      <c r="J7" s="900"/>
      <c r="K7" s="900"/>
      <c r="L7" s="900"/>
      <c r="M7" s="1063"/>
      <c r="N7" s="94">
        <f t="shared" si="0"/>
        <v>0</v>
      </c>
    </row>
    <row r="8" spans="1:15" s="453" customFormat="1" ht="14.25">
      <c r="A8" s="888"/>
      <c r="B8" s="915"/>
      <c r="C8" s="865"/>
      <c r="D8" s="866"/>
      <c r="E8" s="867"/>
      <c r="F8" s="867"/>
      <c r="G8" s="910"/>
      <c r="H8" s="910"/>
      <c r="I8" s="910"/>
      <c r="J8" s="903"/>
      <c r="K8" s="903"/>
      <c r="L8" s="903"/>
      <c r="M8" s="1064"/>
      <c r="N8" s="94" t="str">
        <f t="shared" si="0"/>
        <v/>
      </c>
    </row>
    <row r="9" spans="1:15">
      <c r="A9" s="889">
        <v>3</v>
      </c>
      <c r="B9" s="914" t="s">
        <v>1004</v>
      </c>
      <c r="C9" s="883"/>
      <c r="D9" s="883"/>
      <c r="E9" s="883"/>
      <c r="F9" s="883"/>
      <c r="G9" s="909"/>
      <c r="H9" s="909"/>
      <c r="I9" s="909"/>
      <c r="J9" s="900"/>
      <c r="K9" s="900"/>
      <c r="L9" s="900"/>
      <c r="M9" s="1063"/>
      <c r="N9" s="94">
        <f t="shared" si="0"/>
        <v>0</v>
      </c>
    </row>
    <row r="10" spans="1:15" s="453" customFormat="1" ht="14.25">
      <c r="A10" s="888"/>
      <c r="B10" s="915"/>
      <c r="C10" s="865"/>
      <c r="D10" s="866"/>
      <c r="E10" s="867"/>
      <c r="F10" s="867"/>
      <c r="G10" s="910"/>
      <c r="H10" s="910"/>
      <c r="I10" s="910"/>
      <c r="J10" s="903"/>
      <c r="K10" s="903"/>
      <c r="L10" s="903"/>
      <c r="M10" s="1064"/>
      <c r="N10" s="94" t="str">
        <f t="shared" si="0"/>
        <v/>
      </c>
    </row>
    <row r="11" spans="1:15">
      <c r="A11" s="889">
        <v>4</v>
      </c>
      <c r="B11" s="914" t="s">
        <v>200</v>
      </c>
      <c r="C11" s="883"/>
      <c r="D11" s="883"/>
      <c r="E11" s="883"/>
      <c r="F11" s="883"/>
      <c r="G11" s="909"/>
      <c r="H11" s="909"/>
      <c r="I11" s="909"/>
      <c r="J11" s="900"/>
      <c r="K11" s="900"/>
      <c r="L11" s="900"/>
      <c r="M11" s="1063"/>
      <c r="N11" s="94">
        <f t="shared" si="0"/>
        <v>0</v>
      </c>
    </row>
    <row r="12" spans="1:15" s="453" customFormat="1" ht="14.25">
      <c r="A12" s="888"/>
      <c r="B12" s="915"/>
      <c r="C12" s="865"/>
      <c r="D12" s="866"/>
      <c r="E12" s="867"/>
      <c r="F12" s="867"/>
      <c r="G12" s="910"/>
      <c r="H12" s="910"/>
      <c r="I12" s="910"/>
      <c r="J12" s="903"/>
      <c r="K12" s="903"/>
      <c r="L12" s="903"/>
      <c r="M12" s="1064"/>
      <c r="N12" s="94" t="str">
        <f t="shared" si="0"/>
        <v/>
      </c>
    </row>
    <row r="13" spans="1:15">
      <c r="A13" s="889">
        <v>5</v>
      </c>
      <c r="B13" s="914" t="s">
        <v>201</v>
      </c>
      <c r="C13" s="883"/>
      <c r="D13" s="883"/>
      <c r="E13" s="883"/>
      <c r="F13" s="883"/>
      <c r="G13" s="909"/>
      <c r="H13" s="909"/>
      <c r="I13" s="909"/>
      <c r="J13" s="900"/>
      <c r="K13" s="900"/>
      <c r="L13" s="900"/>
      <c r="M13" s="1063"/>
      <c r="N13" s="94">
        <f t="shared" si="0"/>
        <v>0</v>
      </c>
    </row>
    <row r="14" spans="1:15" s="453" customFormat="1" ht="14.25">
      <c r="A14" s="888"/>
      <c r="B14" s="915"/>
      <c r="C14" s="865"/>
      <c r="D14" s="866"/>
      <c r="E14" s="867"/>
      <c r="F14" s="867"/>
      <c r="G14" s="910"/>
      <c r="H14" s="910"/>
      <c r="I14" s="910"/>
      <c r="J14" s="903"/>
      <c r="K14" s="903"/>
      <c r="L14" s="903"/>
      <c r="M14" s="1064"/>
      <c r="N14" s="94" t="str">
        <f t="shared" si="0"/>
        <v/>
      </c>
    </row>
    <row r="15" spans="1:15">
      <c r="A15" s="889">
        <v>6</v>
      </c>
      <c r="B15" s="914" t="s">
        <v>202</v>
      </c>
      <c r="C15" s="883"/>
      <c r="D15" s="883"/>
      <c r="E15" s="883"/>
      <c r="F15" s="883"/>
      <c r="G15" s="909"/>
      <c r="H15" s="909"/>
      <c r="I15" s="909"/>
      <c r="J15" s="900"/>
      <c r="K15" s="900"/>
      <c r="L15" s="900"/>
      <c r="M15" s="1063"/>
      <c r="N15" s="94">
        <f t="shared" si="0"/>
        <v>0</v>
      </c>
    </row>
    <row r="16" spans="1:15" s="453" customFormat="1" ht="14.25">
      <c r="A16" s="888"/>
      <c r="B16" s="915"/>
      <c r="C16" s="865"/>
      <c r="D16" s="866"/>
      <c r="E16" s="867"/>
      <c r="F16" s="867"/>
      <c r="G16" s="910"/>
      <c r="H16" s="910"/>
      <c r="I16" s="910"/>
      <c r="J16" s="903"/>
      <c r="K16" s="903"/>
      <c r="L16" s="903"/>
      <c r="M16" s="1064"/>
      <c r="N16" s="94" t="str">
        <f t="shared" si="0"/>
        <v/>
      </c>
    </row>
    <row r="17" spans="1:14">
      <c r="A17" s="889">
        <v>7</v>
      </c>
      <c r="B17" s="914" t="s">
        <v>203</v>
      </c>
      <c r="C17" s="883"/>
      <c r="D17" s="883"/>
      <c r="E17" s="883"/>
      <c r="F17" s="883"/>
      <c r="G17" s="909"/>
      <c r="H17" s="909"/>
      <c r="I17" s="909"/>
      <c r="J17" s="900"/>
      <c r="K17" s="900"/>
      <c r="L17" s="900"/>
      <c r="M17" s="1063"/>
      <c r="N17" s="94">
        <f t="shared" si="0"/>
        <v>0</v>
      </c>
    </row>
    <row r="18" spans="1:14" s="453" customFormat="1" ht="14.25">
      <c r="A18" s="888"/>
      <c r="B18" s="915"/>
      <c r="C18" s="865"/>
      <c r="D18" s="866"/>
      <c r="E18" s="867"/>
      <c r="F18" s="867"/>
      <c r="G18" s="910"/>
      <c r="H18" s="910"/>
      <c r="I18" s="910"/>
      <c r="J18" s="903"/>
      <c r="K18" s="903"/>
      <c r="L18" s="903"/>
      <c r="M18" s="1064"/>
      <c r="N18" s="94" t="str">
        <f t="shared" si="0"/>
        <v/>
      </c>
    </row>
    <row r="19" spans="1:14">
      <c r="A19" s="889">
        <v>8</v>
      </c>
      <c r="B19" s="914" t="s">
        <v>204</v>
      </c>
      <c r="C19" s="883"/>
      <c r="D19" s="883"/>
      <c r="E19" s="883"/>
      <c r="F19" s="883"/>
      <c r="G19" s="909"/>
      <c r="H19" s="909"/>
      <c r="I19" s="909"/>
      <c r="J19" s="900"/>
      <c r="K19" s="900"/>
      <c r="L19" s="900"/>
      <c r="M19" s="1063"/>
      <c r="N19" s="94">
        <f t="shared" si="0"/>
        <v>0</v>
      </c>
    </row>
    <row r="20" spans="1:14" s="453" customFormat="1" ht="14.25">
      <c r="A20" s="888"/>
      <c r="B20" s="915"/>
      <c r="C20" s="865"/>
      <c r="D20" s="866"/>
      <c r="E20" s="867"/>
      <c r="F20" s="867"/>
      <c r="G20" s="910"/>
      <c r="H20" s="910"/>
      <c r="I20" s="910"/>
      <c r="J20" s="903"/>
      <c r="K20" s="903"/>
      <c r="L20" s="903"/>
      <c r="M20" s="1064"/>
      <c r="N20" s="94" t="str">
        <f t="shared" si="0"/>
        <v/>
      </c>
    </row>
    <row r="21" spans="1:14" ht="33">
      <c r="A21" s="889">
        <v>9</v>
      </c>
      <c r="B21" s="914" t="s">
        <v>205</v>
      </c>
      <c r="C21" s="883"/>
      <c r="D21" s="883"/>
      <c r="E21" s="883"/>
      <c r="F21" s="883"/>
      <c r="G21" s="909"/>
      <c r="H21" s="909"/>
      <c r="I21" s="909"/>
      <c r="J21" s="900"/>
      <c r="K21" s="900"/>
      <c r="L21" s="900"/>
      <c r="M21" s="1063"/>
      <c r="N21" s="94">
        <f t="shared" si="0"/>
        <v>0</v>
      </c>
    </row>
    <row r="22" spans="1:14" s="453" customFormat="1" ht="14.25">
      <c r="A22" s="888"/>
      <c r="B22" s="915"/>
      <c r="C22" s="865"/>
      <c r="D22" s="866"/>
      <c r="E22" s="867"/>
      <c r="F22" s="867"/>
      <c r="G22" s="910"/>
      <c r="H22" s="910"/>
      <c r="I22" s="910"/>
      <c r="J22" s="903"/>
      <c r="K22" s="903"/>
      <c r="L22" s="903"/>
      <c r="M22" s="1064"/>
      <c r="N22" s="94" t="str">
        <f t="shared" si="0"/>
        <v/>
      </c>
    </row>
    <row r="23" spans="1:14">
      <c r="A23" s="889">
        <v>10</v>
      </c>
      <c r="B23" s="914" t="s">
        <v>206</v>
      </c>
      <c r="C23" s="883"/>
      <c r="D23" s="883"/>
      <c r="E23" s="883"/>
      <c r="F23" s="883"/>
      <c r="G23" s="909"/>
      <c r="H23" s="909"/>
      <c r="I23" s="909"/>
      <c r="J23" s="900"/>
      <c r="K23" s="900"/>
      <c r="L23" s="900"/>
      <c r="M23" s="1063"/>
      <c r="N23" s="94">
        <f t="shared" si="0"/>
        <v>0</v>
      </c>
    </row>
    <row r="24" spans="1:14" s="453" customFormat="1" ht="14.25">
      <c r="A24" s="888"/>
      <c r="B24" s="915"/>
      <c r="C24" s="865"/>
      <c r="D24" s="866"/>
      <c r="E24" s="867"/>
      <c r="F24" s="867"/>
      <c r="G24" s="910"/>
      <c r="H24" s="910"/>
      <c r="I24" s="910"/>
      <c r="J24" s="903"/>
      <c r="K24" s="903"/>
      <c r="L24" s="903"/>
      <c r="M24" s="1064"/>
      <c r="N24" s="94" t="str">
        <f t="shared" si="0"/>
        <v/>
      </c>
    </row>
    <row r="25" spans="1:14">
      <c r="A25" s="889">
        <v>11</v>
      </c>
      <c r="B25" s="914" t="s">
        <v>207</v>
      </c>
      <c r="C25" s="883"/>
      <c r="D25" s="883"/>
      <c r="E25" s="883"/>
      <c r="F25" s="883"/>
      <c r="G25" s="909"/>
      <c r="H25" s="909"/>
      <c r="I25" s="909"/>
      <c r="J25" s="900"/>
      <c r="K25" s="900"/>
      <c r="L25" s="900"/>
      <c r="M25" s="1063"/>
      <c r="N25" s="94">
        <f t="shared" si="0"/>
        <v>0</v>
      </c>
    </row>
    <row r="26" spans="1:14" s="453" customFormat="1" ht="14.25">
      <c r="A26" s="888"/>
      <c r="B26" s="915"/>
      <c r="C26" s="865"/>
      <c r="D26" s="866"/>
      <c r="E26" s="867"/>
      <c r="F26" s="867"/>
      <c r="G26" s="910"/>
      <c r="H26" s="910"/>
      <c r="I26" s="910"/>
      <c r="J26" s="903"/>
      <c r="K26" s="903"/>
      <c r="L26" s="903"/>
      <c r="M26" s="1064"/>
      <c r="N26" s="94" t="str">
        <f t="shared" si="0"/>
        <v/>
      </c>
    </row>
    <row r="27" spans="1:14">
      <c r="A27" s="889">
        <v>12</v>
      </c>
      <c r="B27" s="914" t="s">
        <v>208</v>
      </c>
      <c r="C27" s="883"/>
      <c r="D27" s="883"/>
      <c r="E27" s="883"/>
      <c r="F27" s="883"/>
      <c r="G27" s="909"/>
      <c r="H27" s="909"/>
      <c r="I27" s="909"/>
      <c r="J27" s="900"/>
      <c r="K27" s="900"/>
      <c r="L27" s="900"/>
      <c r="M27" s="1063"/>
      <c r="N27" s="94">
        <f t="shared" si="0"/>
        <v>0</v>
      </c>
    </row>
    <row r="28" spans="1:14" s="453" customFormat="1" ht="14.25">
      <c r="A28" s="888"/>
      <c r="B28" s="915"/>
      <c r="C28" s="865"/>
      <c r="D28" s="866"/>
      <c r="E28" s="867"/>
      <c r="F28" s="867"/>
      <c r="G28" s="910"/>
      <c r="H28" s="910"/>
      <c r="I28" s="910"/>
      <c r="J28" s="903"/>
      <c r="K28" s="903"/>
      <c r="L28" s="903"/>
      <c r="M28" s="1064"/>
      <c r="N28" s="94" t="str">
        <f t="shared" si="0"/>
        <v/>
      </c>
    </row>
    <row r="29" spans="1:14">
      <c r="A29" s="889">
        <v>13</v>
      </c>
      <c r="B29" s="914" t="s">
        <v>209</v>
      </c>
      <c r="C29" s="883"/>
      <c r="D29" s="883"/>
      <c r="E29" s="883"/>
      <c r="F29" s="883"/>
      <c r="G29" s="909"/>
      <c r="H29" s="909"/>
      <c r="I29" s="909"/>
      <c r="J29" s="900"/>
      <c r="K29" s="900"/>
      <c r="L29" s="900"/>
      <c r="M29" s="1063"/>
      <c r="N29" s="94">
        <f t="shared" si="0"/>
        <v>0</v>
      </c>
    </row>
    <row r="30" spans="1:14" s="453" customFormat="1" ht="14.25">
      <c r="A30" s="888"/>
      <c r="B30" s="915"/>
      <c r="C30" s="865"/>
      <c r="D30" s="866"/>
      <c r="E30" s="867"/>
      <c r="F30" s="867"/>
      <c r="G30" s="910"/>
      <c r="H30" s="910"/>
      <c r="I30" s="910"/>
      <c r="J30" s="903"/>
      <c r="K30" s="903"/>
      <c r="L30" s="903"/>
      <c r="M30" s="1064"/>
      <c r="N30" s="94" t="str">
        <f t="shared" si="0"/>
        <v/>
      </c>
    </row>
    <row r="31" spans="1:14" ht="33">
      <c r="A31" s="889">
        <v>14</v>
      </c>
      <c r="B31" s="914" t="s">
        <v>210</v>
      </c>
      <c r="C31" s="883"/>
      <c r="D31" s="883"/>
      <c r="E31" s="883"/>
      <c r="F31" s="883"/>
      <c r="G31" s="909"/>
      <c r="H31" s="909"/>
      <c r="I31" s="909"/>
      <c r="J31" s="900"/>
      <c r="K31" s="900"/>
      <c r="L31" s="900"/>
      <c r="M31" s="1063"/>
      <c r="N31" s="94">
        <f t="shared" si="0"/>
        <v>0</v>
      </c>
    </row>
    <row r="32" spans="1:14" s="453" customFormat="1" ht="14.25">
      <c r="A32" s="888"/>
      <c r="B32" s="915"/>
      <c r="C32" s="865"/>
      <c r="D32" s="866"/>
      <c r="E32" s="867"/>
      <c r="F32" s="867"/>
      <c r="G32" s="910"/>
      <c r="H32" s="910"/>
      <c r="I32" s="910"/>
      <c r="J32" s="903"/>
      <c r="K32" s="903"/>
      <c r="L32" s="903"/>
      <c r="M32" s="1064"/>
      <c r="N32" s="94" t="str">
        <f t="shared" si="0"/>
        <v/>
      </c>
    </row>
    <row r="33" spans="1:14" ht="33">
      <c r="A33" s="889">
        <v>15</v>
      </c>
      <c r="B33" s="914" t="s">
        <v>211</v>
      </c>
      <c r="C33" s="883"/>
      <c r="D33" s="883"/>
      <c r="E33" s="883"/>
      <c r="F33" s="883"/>
      <c r="G33" s="909"/>
      <c r="H33" s="909"/>
      <c r="I33" s="909"/>
      <c r="J33" s="900"/>
      <c r="K33" s="900"/>
      <c r="L33" s="900"/>
      <c r="M33" s="1063"/>
      <c r="N33" s="94">
        <f t="shared" si="0"/>
        <v>0</v>
      </c>
    </row>
    <row r="34" spans="1:14" s="453" customFormat="1" ht="14.25">
      <c r="A34" s="888"/>
      <c r="B34" s="915"/>
      <c r="C34" s="865"/>
      <c r="D34" s="866"/>
      <c r="E34" s="867"/>
      <c r="F34" s="867"/>
      <c r="G34" s="910"/>
      <c r="H34" s="910"/>
      <c r="I34" s="910"/>
      <c r="J34" s="903"/>
      <c r="K34" s="903"/>
      <c r="L34" s="903"/>
      <c r="M34" s="1064"/>
      <c r="N34" s="94" t="str">
        <f t="shared" si="0"/>
        <v/>
      </c>
    </row>
    <row r="35" spans="1:14" ht="33">
      <c r="A35" s="889">
        <v>16</v>
      </c>
      <c r="B35" s="914" t="s">
        <v>214</v>
      </c>
      <c r="C35" s="883"/>
      <c r="D35" s="883"/>
      <c r="E35" s="883"/>
      <c r="F35" s="883"/>
      <c r="G35" s="909"/>
      <c r="H35" s="909"/>
      <c r="I35" s="909"/>
      <c r="J35" s="900"/>
      <c r="K35" s="900"/>
      <c r="L35" s="900"/>
      <c r="M35" s="1063"/>
      <c r="N35" s="94">
        <f t="shared" si="0"/>
        <v>0</v>
      </c>
    </row>
    <row r="36" spans="1:14" s="453" customFormat="1" ht="14.25">
      <c r="A36" s="888"/>
      <c r="B36" s="915"/>
      <c r="C36" s="865"/>
      <c r="D36" s="866"/>
      <c r="E36" s="867"/>
      <c r="F36" s="867"/>
      <c r="G36" s="910"/>
      <c r="H36" s="910"/>
      <c r="I36" s="910"/>
      <c r="J36" s="903"/>
      <c r="K36" s="903"/>
      <c r="L36" s="903"/>
      <c r="M36" s="1064"/>
      <c r="N36" s="94" t="str">
        <f t="shared" si="0"/>
        <v/>
      </c>
    </row>
    <row r="37" spans="1:14" ht="33">
      <c r="A37" s="889">
        <v>17</v>
      </c>
      <c r="B37" s="914" t="s">
        <v>242</v>
      </c>
      <c r="C37" s="883"/>
      <c r="D37" s="883"/>
      <c r="E37" s="883"/>
      <c r="F37" s="883"/>
      <c r="G37" s="909"/>
      <c r="H37" s="909"/>
      <c r="I37" s="909"/>
      <c r="J37" s="900"/>
      <c r="K37" s="900"/>
      <c r="L37" s="900"/>
      <c r="M37" s="1063"/>
      <c r="N37" s="94">
        <f t="shared" si="0"/>
        <v>0</v>
      </c>
    </row>
    <row r="38" spans="1:14" s="453" customFormat="1" ht="14.25">
      <c r="A38" s="888"/>
      <c r="B38" s="915"/>
      <c r="C38" s="865"/>
      <c r="D38" s="866"/>
      <c r="E38" s="867"/>
      <c r="F38" s="867"/>
      <c r="G38" s="910"/>
      <c r="H38" s="910"/>
      <c r="I38" s="910"/>
      <c r="J38" s="903"/>
      <c r="K38" s="903"/>
      <c r="L38" s="903"/>
      <c r="M38" s="1064"/>
      <c r="N38" s="94" t="str">
        <f t="shared" si="0"/>
        <v/>
      </c>
    </row>
    <row r="39" spans="1:14">
      <c r="A39" s="889">
        <v>18</v>
      </c>
      <c r="B39" s="914" t="s">
        <v>243</v>
      </c>
      <c r="C39" s="883"/>
      <c r="D39" s="883"/>
      <c r="E39" s="883"/>
      <c r="F39" s="883"/>
      <c r="G39" s="909"/>
      <c r="H39" s="909"/>
      <c r="I39" s="909"/>
      <c r="J39" s="900"/>
      <c r="K39" s="900"/>
      <c r="L39" s="900"/>
      <c r="M39" s="1063"/>
      <c r="N39" s="94">
        <f t="shared" si="0"/>
        <v>0</v>
      </c>
    </row>
    <row r="40" spans="1:14" s="453" customFormat="1" ht="14.25">
      <c r="A40" s="888"/>
      <c r="B40" s="915"/>
      <c r="C40" s="865"/>
      <c r="D40" s="866"/>
      <c r="E40" s="867"/>
      <c r="F40" s="867"/>
      <c r="G40" s="910"/>
      <c r="H40" s="910"/>
      <c r="I40" s="910"/>
      <c r="J40" s="903"/>
      <c r="K40" s="903"/>
      <c r="L40" s="903"/>
      <c r="M40" s="1064"/>
      <c r="N40" s="94" t="str">
        <f t="shared" si="0"/>
        <v/>
      </c>
    </row>
    <row r="41" spans="1:14">
      <c r="A41" s="889">
        <v>19</v>
      </c>
      <c r="B41" s="914" t="s">
        <v>212</v>
      </c>
      <c r="C41" s="883"/>
      <c r="D41" s="883"/>
      <c r="E41" s="883"/>
      <c r="F41" s="883"/>
      <c r="G41" s="909"/>
      <c r="H41" s="909"/>
      <c r="I41" s="909"/>
      <c r="J41" s="900"/>
      <c r="K41" s="900"/>
      <c r="L41" s="900"/>
      <c r="M41" s="1063"/>
      <c r="N41" s="94">
        <f t="shared" si="0"/>
        <v>0</v>
      </c>
    </row>
    <row r="42" spans="1:14" s="453" customFormat="1" ht="14.25">
      <c r="A42" s="888"/>
      <c r="B42" s="915"/>
      <c r="C42" s="865"/>
      <c r="D42" s="866"/>
      <c r="E42" s="867"/>
      <c r="F42" s="867"/>
      <c r="G42" s="910"/>
      <c r="H42" s="910"/>
      <c r="I42" s="910"/>
      <c r="J42" s="903"/>
      <c r="K42" s="903"/>
      <c r="L42" s="903"/>
      <c r="M42" s="1064"/>
      <c r="N42" s="94" t="str">
        <f t="shared" si="0"/>
        <v/>
      </c>
    </row>
    <row r="43" spans="1:14">
      <c r="A43" s="889">
        <v>20</v>
      </c>
      <c r="B43" s="914" t="s">
        <v>213</v>
      </c>
      <c r="C43" s="883"/>
      <c r="D43" s="883"/>
      <c r="E43" s="883"/>
      <c r="F43" s="883"/>
      <c r="G43" s="909"/>
      <c r="H43" s="909"/>
      <c r="I43" s="909"/>
      <c r="J43" s="900"/>
      <c r="K43" s="900"/>
      <c r="L43" s="900"/>
      <c r="M43" s="1063"/>
      <c r="N43" s="94">
        <f t="shared" si="0"/>
        <v>0</v>
      </c>
    </row>
    <row r="44" spans="1:14" s="453" customFormat="1" ht="15" thickBot="1">
      <c r="A44" s="888"/>
      <c r="B44" s="874"/>
      <c r="C44" s="875"/>
      <c r="D44" s="876"/>
      <c r="E44" s="877"/>
      <c r="F44" s="877"/>
      <c r="G44" s="911"/>
      <c r="H44" s="911"/>
      <c r="I44" s="911"/>
      <c r="J44" s="906"/>
      <c r="K44" s="906"/>
      <c r="L44" s="906"/>
      <c r="M44" s="1065"/>
      <c r="N44" s="94" t="str">
        <f t="shared" si="0"/>
        <v/>
      </c>
    </row>
    <row r="45" spans="1:14" s="453" customFormat="1" ht="15" thickTop="1">
      <c r="A45" s="886"/>
      <c r="B45" s="890"/>
      <c r="C45" s="891"/>
      <c r="D45" s="891"/>
      <c r="E45" s="891"/>
      <c r="F45" s="891"/>
      <c r="G45" s="912"/>
      <c r="H45" s="912"/>
      <c r="I45" s="912"/>
      <c r="J45" s="892"/>
      <c r="K45" s="893"/>
      <c r="L45" s="893"/>
      <c r="M45" s="893"/>
      <c r="N45" s="880" t="str">
        <f t="shared" si="0"/>
        <v/>
      </c>
    </row>
    <row r="46" spans="1:14" s="533" customFormat="1">
      <c r="A46" s="884"/>
      <c r="B46" s="894" t="s">
        <v>1028</v>
      </c>
      <c r="C46" s="2215">
        <f>IFERROR(SUM(ScoresMotivations)/(COUNTA(ScoresMotivations)*10),"")</f>
        <v>0</v>
      </c>
      <c r="D46" s="2215"/>
      <c r="E46" s="882"/>
      <c r="F46" s="882"/>
      <c r="G46" s="913"/>
      <c r="H46" s="913"/>
      <c r="I46" s="913"/>
      <c r="J46" s="410"/>
      <c r="K46" s="881"/>
      <c r="L46" s="881"/>
      <c r="M46" s="881"/>
      <c r="N46" s="880" t="str">
        <f t="shared" si="0"/>
        <v/>
      </c>
    </row>
    <row r="47" spans="1:14" customFormat="1" ht="28.5">
      <c r="A47" s="306" t="s">
        <v>294</v>
      </c>
      <c r="G47" s="878"/>
      <c r="H47" s="878"/>
      <c r="I47" s="878"/>
      <c r="N47" s="880" t="str">
        <f t="shared" si="0"/>
        <v/>
      </c>
    </row>
    <row r="48" spans="1:14" s="533" customFormat="1" ht="19.5" thickBot="1">
      <c r="A48" s="885"/>
      <c r="B48" s="868" t="s">
        <v>1026</v>
      </c>
      <c r="C48" s="896">
        <v>0</v>
      </c>
      <c r="D48" s="896">
        <v>1</v>
      </c>
      <c r="E48" s="896">
        <v>2</v>
      </c>
      <c r="F48" s="896">
        <v>3</v>
      </c>
      <c r="G48" s="887">
        <v>4</v>
      </c>
      <c r="H48" s="887">
        <v>5</v>
      </c>
      <c r="I48" s="887">
        <v>6</v>
      </c>
      <c r="J48" s="879">
        <v>7</v>
      </c>
      <c r="K48" s="879">
        <v>8</v>
      </c>
      <c r="L48" s="879">
        <v>9</v>
      </c>
      <c r="M48" s="879">
        <v>10</v>
      </c>
      <c r="N48" s="880" t="str">
        <f t="shared" si="0"/>
        <v/>
      </c>
    </row>
    <row r="49" spans="1:14" s="726" customFormat="1" ht="15" thickTop="1">
      <c r="A49" s="888"/>
      <c r="B49" s="861"/>
      <c r="C49" s="897"/>
      <c r="D49" s="898"/>
      <c r="E49" s="899"/>
      <c r="F49" s="899"/>
      <c r="G49" s="908"/>
      <c r="H49" s="908"/>
      <c r="I49" s="908"/>
      <c r="J49" s="864"/>
      <c r="K49" s="864"/>
      <c r="L49" s="864"/>
      <c r="M49" s="1066"/>
      <c r="N49" s="94" t="str">
        <f t="shared" si="0"/>
        <v/>
      </c>
    </row>
    <row r="50" spans="1:14" s="533" customFormat="1">
      <c r="A50" s="889">
        <v>1</v>
      </c>
      <c r="B50" s="914" t="s">
        <v>178</v>
      </c>
      <c r="C50" s="900"/>
      <c r="D50" s="900"/>
      <c r="E50" s="900"/>
      <c r="F50" s="900"/>
      <c r="G50" s="909"/>
      <c r="H50" s="909"/>
      <c r="I50" s="909"/>
      <c r="J50" s="883"/>
      <c r="K50" s="883"/>
      <c r="L50" s="883"/>
      <c r="M50" s="1067"/>
      <c r="N50" s="94">
        <f t="shared" si="0"/>
        <v>0</v>
      </c>
    </row>
    <row r="51" spans="1:14" s="453" customFormat="1" ht="14.25">
      <c r="A51" s="888"/>
      <c r="B51" s="915"/>
      <c r="C51" s="901"/>
      <c r="D51" s="902"/>
      <c r="E51" s="903"/>
      <c r="F51" s="903"/>
      <c r="G51" s="910"/>
      <c r="H51" s="910"/>
      <c r="I51" s="910"/>
      <c r="J51" s="867"/>
      <c r="K51" s="867"/>
      <c r="L51" s="867"/>
      <c r="M51" s="1068"/>
      <c r="N51" s="94" t="str">
        <f t="shared" si="0"/>
        <v/>
      </c>
    </row>
    <row r="52" spans="1:14" s="533" customFormat="1">
      <c r="A52" s="889">
        <v>2</v>
      </c>
      <c r="B52" s="914" t="s">
        <v>179</v>
      </c>
      <c r="C52" s="900"/>
      <c r="D52" s="900"/>
      <c r="E52" s="900"/>
      <c r="F52" s="900"/>
      <c r="G52" s="909"/>
      <c r="H52" s="909"/>
      <c r="I52" s="909"/>
      <c r="J52" s="883"/>
      <c r="K52" s="883"/>
      <c r="L52" s="883"/>
      <c r="M52" s="1067"/>
      <c r="N52" s="94">
        <f t="shared" si="0"/>
        <v>0</v>
      </c>
    </row>
    <row r="53" spans="1:14" s="453" customFormat="1" ht="14.25">
      <c r="A53" s="888"/>
      <c r="B53" s="915"/>
      <c r="C53" s="901"/>
      <c r="D53" s="902"/>
      <c r="E53" s="903"/>
      <c r="F53" s="903"/>
      <c r="G53" s="910"/>
      <c r="H53" s="910"/>
      <c r="I53" s="910"/>
      <c r="J53" s="867"/>
      <c r="K53" s="867"/>
      <c r="L53" s="867"/>
      <c r="M53" s="1068"/>
      <c r="N53" s="94" t="str">
        <f t="shared" si="0"/>
        <v/>
      </c>
    </row>
    <row r="54" spans="1:14" s="533" customFormat="1">
      <c r="A54" s="889">
        <v>3</v>
      </c>
      <c r="B54" s="914" t="s">
        <v>180</v>
      </c>
      <c r="C54" s="900"/>
      <c r="D54" s="900"/>
      <c r="E54" s="900"/>
      <c r="F54" s="900"/>
      <c r="G54" s="909"/>
      <c r="H54" s="909"/>
      <c r="I54" s="909"/>
      <c r="J54" s="883"/>
      <c r="K54" s="883"/>
      <c r="L54" s="883"/>
      <c r="M54" s="1067"/>
      <c r="N54" s="94">
        <f t="shared" si="0"/>
        <v>0</v>
      </c>
    </row>
    <row r="55" spans="1:14" s="453" customFormat="1" ht="14.25">
      <c r="A55" s="888"/>
      <c r="B55" s="915"/>
      <c r="C55" s="901"/>
      <c r="D55" s="902"/>
      <c r="E55" s="903"/>
      <c r="F55" s="903"/>
      <c r="G55" s="910"/>
      <c r="H55" s="910"/>
      <c r="I55" s="910"/>
      <c r="J55" s="867"/>
      <c r="K55" s="867"/>
      <c r="L55" s="867"/>
      <c r="M55" s="1068"/>
      <c r="N55" s="94" t="str">
        <f t="shared" si="0"/>
        <v/>
      </c>
    </row>
    <row r="56" spans="1:14" s="533" customFormat="1" ht="33">
      <c r="A56" s="889">
        <v>4</v>
      </c>
      <c r="B56" s="914" t="s">
        <v>194</v>
      </c>
      <c r="C56" s="900"/>
      <c r="D56" s="900"/>
      <c r="E56" s="900"/>
      <c r="F56" s="900"/>
      <c r="G56" s="909"/>
      <c r="H56" s="909"/>
      <c r="I56" s="909"/>
      <c r="J56" s="883"/>
      <c r="K56" s="883"/>
      <c r="L56" s="883"/>
      <c r="M56" s="1067"/>
      <c r="N56" s="94">
        <f t="shared" si="0"/>
        <v>0</v>
      </c>
    </row>
    <row r="57" spans="1:14" s="453" customFormat="1" ht="14.25">
      <c r="A57" s="888"/>
      <c r="B57" s="915"/>
      <c r="C57" s="901"/>
      <c r="D57" s="902"/>
      <c r="E57" s="903"/>
      <c r="F57" s="903"/>
      <c r="G57" s="910"/>
      <c r="H57" s="910"/>
      <c r="I57" s="910"/>
      <c r="J57" s="867"/>
      <c r="K57" s="867"/>
      <c r="L57" s="867"/>
      <c r="M57" s="1068"/>
      <c r="N57" s="94" t="str">
        <f t="shared" si="0"/>
        <v/>
      </c>
    </row>
    <row r="58" spans="1:14" s="533" customFormat="1">
      <c r="A58" s="889">
        <v>5</v>
      </c>
      <c r="B58" s="914" t="s">
        <v>181</v>
      </c>
      <c r="C58" s="900"/>
      <c r="D58" s="900"/>
      <c r="E58" s="900"/>
      <c r="F58" s="900"/>
      <c r="G58" s="909"/>
      <c r="H58" s="909"/>
      <c r="I58" s="909"/>
      <c r="J58" s="883"/>
      <c r="K58" s="883"/>
      <c r="L58" s="883"/>
      <c r="M58" s="1067"/>
      <c r="N58" s="94">
        <f t="shared" si="0"/>
        <v>0</v>
      </c>
    </row>
    <row r="59" spans="1:14" s="453" customFormat="1" ht="14.25">
      <c r="A59" s="888"/>
      <c r="B59" s="915"/>
      <c r="C59" s="901"/>
      <c r="D59" s="902"/>
      <c r="E59" s="903"/>
      <c r="F59" s="903"/>
      <c r="G59" s="910"/>
      <c r="H59" s="910"/>
      <c r="I59" s="910"/>
      <c r="J59" s="867"/>
      <c r="K59" s="867"/>
      <c r="L59" s="867"/>
      <c r="M59" s="1068"/>
      <c r="N59" s="94" t="str">
        <f t="shared" si="0"/>
        <v/>
      </c>
    </row>
    <row r="60" spans="1:14" s="533" customFormat="1" ht="33">
      <c r="A60" s="889">
        <v>6</v>
      </c>
      <c r="B60" s="914" t="s">
        <v>195</v>
      </c>
      <c r="C60" s="900"/>
      <c r="D60" s="900"/>
      <c r="E60" s="900"/>
      <c r="F60" s="900"/>
      <c r="G60" s="909"/>
      <c r="H60" s="909"/>
      <c r="I60" s="909"/>
      <c r="J60" s="883"/>
      <c r="K60" s="883"/>
      <c r="L60" s="883"/>
      <c r="M60" s="1067"/>
      <c r="N60" s="94">
        <f t="shared" si="0"/>
        <v>0</v>
      </c>
    </row>
    <row r="61" spans="1:14" s="453" customFormat="1" ht="14.25">
      <c r="A61" s="888"/>
      <c r="B61" s="915"/>
      <c r="C61" s="901"/>
      <c r="D61" s="902"/>
      <c r="E61" s="903"/>
      <c r="F61" s="903"/>
      <c r="G61" s="910"/>
      <c r="H61" s="910"/>
      <c r="I61" s="910"/>
      <c r="J61" s="867"/>
      <c r="K61" s="867"/>
      <c r="L61" s="867"/>
      <c r="M61" s="1068"/>
      <c r="N61" s="94" t="str">
        <f t="shared" si="0"/>
        <v/>
      </c>
    </row>
    <row r="62" spans="1:14" s="533" customFormat="1">
      <c r="A62" s="889">
        <v>7</v>
      </c>
      <c r="B62" s="914" t="s">
        <v>182</v>
      </c>
      <c r="C62" s="900"/>
      <c r="D62" s="900"/>
      <c r="E62" s="900"/>
      <c r="F62" s="900"/>
      <c r="G62" s="909"/>
      <c r="H62" s="909"/>
      <c r="I62" s="909"/>
      <c r="J62" s="883"/>
      <c r="K62" s="883"/>
      <c r="L62" s="883"/>
      <c r="M62" s="1067"/>
      <c r="N62" s="94">
        <f t="shared" si="0"/>
        <v>0</v>
      </c>
    </row>
    <row r="63" spans="1:14" s="453" customFormat="1" ht="14.25">
      <c r="A63" s="888"/>
      <c r="B63" s="915"/>
      <c r="C63" s="901"/>
      <c r="D63" s="902"/>
      <c r="E63" s="903"/>
      <c r="F63" s="903"/>
      <c r="G63" s="910"/>
      <c r="H63" s="910"/>
      <c r="I63" s="910"/>
      <c r="J63" s="867"/>
      <c r="K63" s="867"/>
      <c r="L63" s="867"/>
      <c r="M63" s="1068"/>
      <c r="N63" s="94" t="str">
        <f t="shared" si="0"/>
        <v/>
      </c>
    </row>
    <row r="64" spans="1:14" s="533" customFormat="1" ht="33">
      <c r="A64" s="889">
        <v>8</v>
      </c>
      <c r="B64" s="914" t="s">
        <v>183</v>
      </c>
      <c r="C64" s="900"/>
      <c r="D64" s="900"/>
      <c r="E64" s="900"/>
      <c r="F64" s="900"/>
      <c r="G64" s="909"/>
      <c r="H64" s="909"/>
      <c r="I64" s="909"/>
      <c r="J64" s="883"/>
      <c r="K64" s="883"/>
      <c r="L64" s="883"/>
      <c r="M64" s="1067"/>
      <c r="N64" s="94">
        <f t="shared" si="0"/>
        <v>0</v>
      </c>
    </row>
    <row r="65" spans="1:14" s="453" customFormat="1" ht="14.25">
      <c r="A65" s="888"/>
      <c r="B65" s="915"/>
      <c r="C65" s="901"/>
      <c r="D65" s="902"/>
      <c r="E65" s="903"/>
      <c r="F65" s="903"/>
      <c r="G65" s="910"/>
      <c r="H65" s="910"/>
      <c r="I65" s="910"/>
      <c r="J65" s="867"/>
      <c r="K65" s="867"/>
      <c r="L65" s="867"/>
      <c r="M65" s="1068"/>
      <c r="N65" s="94" t="str">
        <f t="shared" si="0"/>
        <v/>
      </c>
    </row>
    <row r="66" spans="1:14" s="533" customFormat="1" ht="33">
      <c r="A66" s="889">
        <v>9</v>
      </c>
      <c r="B66" s="914" t="s">
        <v>184</v>
      </c>
      <c r="C66" s="900"/>
      <c r="D66" s="900"/>
      <c r="E66" s="900"/>
      <c r="F66" s="900"/>
      <c r="G66" s="909"/>
      <c r="H66" s="909"/>
      <c r="I66" s="909"/>
      <c r="J66" s="883"/>
      <c r="K66" s="883"/>
      <c r="L66" s="883"/>
      <c r="M66" s="1067"/>
      <c r="N66" s="94">
        <f t="shared" si="0"/>
        <v>0</v>
      </c>
    </row>
    <row r="67" spans="1:14" s="453" customFormat="1" ht="14.25">
      <c r="A67" s="888"/>
      <c r="B67" s="915"/>
      <c r="C67" s="901"/>
      <c r="D67" s="902"/>
      <c r="E67" s="903"/>
      <c r="F67" s="903"/>
      <c r="G67" s="910"/>
      <c r="H67" s="910"/>
      <c r="I67" s="910"/>
      <c r="J67" s="867"/>
      <c r="K67" s="867"/>
      <c r="L67" s="867"/>
      <c r="M67" s="1068"/>
      <c r="N67" s="94" t="str">
        <f t="shared" si="0"/>
        <v/>
      </c>
    </row>
    <row r="68" spans="1:14" s="533" customFormat="1">
      <c r="A68" s="889">
        <v>10</v>
      </c>
      <c r="B68" s="914" t="s">
        <v>185</v>
      </c>
      <c r="C68" s="900"/>
      <c r="D68" s="900"/>
      <c r="E68" s="900"/>
      <c r="F68" s="900"/>
      <c r="G68" s="909"/>
      <c r="H68" s="909"/>
      <c r="I68" s="909"/>
      <c r="J68" s="883"/>
      <c r="K68" s="883"/>
      <c r="L68" s="883"/>
      <c r="M68" s="1067"/>
      <c r="N68" s="94">
        <f t="shared" si="0"/>
        <v>0</v>
      </c>
    </row>
    <row r="69" spans="1:14" s="453" customFormat="1" ht="14.25">
      <c r="A69" s="888"/>
      <c r="B69" s="915"/>
      <c r="C69" s="901"/>
      <c r="D69" s="902"/>
      <c r="E69" s="903"/>
      <c r="F69" s="903"/>
      <c r="G69" s="910"/>
      <c r="H69" s="910"/>
      <c r="I69" s="910"/>
      <c r="J69" s="867"/>
      <c r="K69" s="867"/>
      <c r="L69" s="867"/>
      <c r="M69" s="1068"/>
      <c r="N69" s="94" t="str">
        <f t="shared" si="0"/>
        <v/>
      </c>
    </row>
    <row r="70" spans="1:14" s="533" customFormat="1">
      <c r="A70" s="889">
        <v>11</v>
      </c>
      <c r="B70" s="914" t="s">
        <v>186</v>
      </c>
      <c r="C70" s="900"/>
      <c r="D70" s="900"/>
      <c r="E70" s="900"/>
      <c r="F70" s="900"/>
      <c r="G70" s="909"/>
      <c r="H70" s="909"/>
      <c r="I70" s="909"/>
      <c r="J70" s="883"/>
      <c r="K70" s="883"/>
      <c r="L70" s="883"/>
      <c r="M70" s="1067"/>
      <c r="N70" s="94">
        <f t="shared" ref="N70:N88" si="1">IF(ISNUMBER(A70),MAX(C70:M70),"")</f>
        <v>0</v>
      </c>
    </row>
    <row r="71" spans="1:14" s="453" customFormat="1" ht="14.25">
      <c r="A71" s="888"/>
      <c r="B71" s="915"/>
      <c r="C71" s="901"/>
      <c r="D71" s="902"/>
      <c r="E71" s="903"/>
      <c r="F71" s="903"/>
      <c r="G71" s="910"/>
      <c r="H71" s="910"/>
      <c r="I71" s="910"/>
      <c r="J71" s="867"/>
      <c r="K71" s="867"/>
      <c r="L71" s="867"/>
      <c r="M71" s="1068"/>
      <c r="N71" s="94" t="str">
        <f t="shared" si="1"/>
        <v/>
      </c>
    </row>
    <row r="72" spans="1:14" s="533" customFormat="1" ht="33">
      <c r="A72" s="889">
        <v>12</v>
      </c>
      <c r="B72" s="914" t="s">
        <v>187</v>
      </c>
      <c r="C72" s="900"/>
      <c r="D72" s="900"/>
      <c r="E72" s="900"/>
      <c r="F72" s="900"/>
      <c r="G72" s="909"/>
      <c r="H72" s="909"/>
      <c r="I72" s="909"/>
      <c r="J72" s="883"/>
      <c r="K72" s="883"/>
      <c r="L72" s="883"/>
      <c r="M72" s="1067"/>
      <c r="N72" s="94">
        <f t="shared" si="1"/>
        <v>0</v>
      </c>
    </row>
    <row r="73" spans="1:14" s="453" customFormat="1" ht="14.25">
      <c r="A73" s="888"/>
      <c r="B73" s="915"/>
      <c r="C73" s="901"/>
      <c r="D73" s="902"/>
      <c r="E73" s="903"/>
      <c r="F73" s="903"/>
      <c r="G73" s="910"/>
      <c r="H73" s="910"/>
      <c r="I73" s="910"/>
      <c r="J73" s="867"/>
      <c r="K73" s="867"/>
      <c r="L73" s="867"/>
      <c r="M73" s="1068"/>
      <c r="N73" s="94" t="str">
        <f t="shared" si="1"/>
        <v/>
      </c>
    </row>
    <row r="74" spans="1:14" s="533" customFormat="1">
      <c r="A74" s="889">
        <v>13</v>
      </c>
      <c r="B74" s="914" t="s">
        <v>188</v>
      </c>
      <c r="C74" s="900"/>
      <c r="D74" s="900"/>
      <c r="E74" s="900"/>
      <c r="F74" s="900"/>
      <c r="G74" s="909"/>
      <c r="H74" s="909"/>
      <c r="I74" s="909"/>
      <c r="J74" s="883"/>
      <c r="K74" s="883"/>
      <c r="L74" s="883"/>
      <c r="M74" s="1067"/>
      <c r="N74" s="94">
        <f t="shared" si="1"/>
        <v>0</v>
      </c>
    </row>
    <row r="75" spans="1:14" s="453" customFormat="1" ht="14.25">
      <c r="A75" s="888"/>
      <c r="B75" s="915"/>
      <c r="C75" s="901"/>
      <c r="D75" s="902"/>
      <c r="E75" s="903"/>
      <c r="F75" s="903"/>
      <c r="G75" s="910"/>
      <c r="H75" s="910"/>
      <c r="I75" s="910"/>
      <c r="J75" s="867"/>
      <c r="K75" s="867"/>
      <c r="L75" s="867"/>
      <c r="M75" s="1068"/>
      <c r="N75" s="94" t="str">
        <f t="shared" si="1"/>
        <v/>
      </c>
    </row>
    <row r="76" spans="1:14" s="533" customFormat="1">
      <c r="A76" s="889">
        <v>14</v>
      </c>
      <c r="B76" s="914" t="s">
        <v>189</v>
      </c>
      <c r="C76" s="900"/>
      <c r="D76" s="900"/>
      <c r="E76" s="900"/>
      <c r="F76" s="900"/>
      <c r="G76" s="909"/>
      <c r="H76" s="909"/>
      <c r="I76" s="909"/>
      <c r="J76" s="883"/>
      <c r="K76" s="883"/>
      <c r="L76" s="883"/>
      <c r="M76" s="1067"/>
      <c r="N76" s="94">
        <f t="shared" si="1"/>
        <v>0</v>
      </c>
    </row>
    <row r="77" spans="1:14" s="453" customFormat="1" ht="14.25">
      <c r="A77" s="888"/>
      <c r="B77" s="915"/>
      <c r="C77" s="901"/>
      <c r="D77" s="902"/>
      <c r="E77" s="903"/>
      <c r="F77" s="903"/>
      <c r="G77" s="910"/>
      <c r="H77" s="910"/>
      <c r="I77" s="910"/>
      <c r="J77" s="867"/>
      <c r="K77" s="867"/>
      <c r="L77" s="867"/>
      <c r="M77" s="1068"/>
      <c r="N77" s="94" t="str">
        <f t="shared" si="1"/>
        <v/>
      </c>
    </row>
    <row r="78" spans="1:14" s="533" customFormat="1">
      <c r="A78" s="889">
        <v>15</v>
      </c>
      <c r="B78" s="914" t="s">
        <v>190</v>
      </c>
      <c r="C78" s="900"/>
      <c r="D78" s="900"/>
      <c r="E78" s="900"/>
      <c r="F78" s="900"/>
      <c r="G78" s="909"/>
      <c r="H78" s="909"/>
      <c r="I78" s="909"/>
      <c r="J78" s="883"/>
      <c r="K78" s="883"/>
      <c r="L78" s="883"/>
      <c r="M78" s="1067"/>
      <c r="N78" s="94">
        <f t="shared" si="1"/>
        <v>0</v>
      </c>
    </row>
    <row r="79" spans="1:14" s="453" customFormat="1" ht="14.25">
      <c r="A79" s="888"/>
      <c r="B79" s="915"/>
      <c r="C79" s="901"/>
      <c r="D79" s="902"/>
      <c r="E79" s="903"/>
      <c r="F79" s="903"/>
      <c r="G79" s="910"/>
      <c r="H79" s="910"/>
      <c r="I79" s="910"/>
      <c r="J79" s="867"/>
      <c r="K79" s="867"/>
      <c r="L79" s="867"/>
      <c r="M79" s="1068"/>
      <c r="N79" s="94" t="str">
        <f t="shared" si="1"/>
        <v/>
      </c>
    </row>
    <row r="80" spans="1:14" s="533" customFormat="1" ht="33">
      <c r="A80" s="889">
        <v>16</v>
      </c>
      <c r="B80" s="914" t="s">
        <v>191</v>
      </c>
      <c r="C80" s="900"/>
      <c r="D80" s="900"/>
      <c r="E80" s="900"/>
      <c r="F80" s="900"/>
      <c r="G80" s="909"/>
      <c r="H80" s="909"/>
      <c r="I80" s="909"/>
      <c r="J80" s="883"/>
      <c r="K80" s="883"/>
      <c r="L80" s="883"/>
      <c r="M80" s="1067"/>
      <c r="N80" s="94">
        <f t="shared" si="1"/>
        <v>0</v>
      </c>
    </row>
    <row r="81" spans="1:14" s="453" customFormat="1" ht="14.25">
      <c r="A81" s="888"/>
      <c r="B81" s="915"/>
      <c r="C81" s="901"/>
      <c r="D81" s="902"/>
      <c r="E81" s="903"/>
      <c r="F81" s="903"/>
      <c r="G81" s="910"/>
      <c r="H81" s="910"/>
      <c r="I81" s="910"/>
      <c r="J81" s="867"/>
      <c r="K81" s="867"/>
      <c r="L81" s="867"/>
      <c r="M81" s="1068"/>
      <c r="N81" s="94" t="str">
        <f t="shared" si="1"/>
        <v/>
      </c>
    </row>
    <row r="82" spans="1:14" s="533" customFormat="1" ht="33">
      <c r="A82" s="889">
        <v>17</v>
      </c>
      <c r="B82" s="914" t="s">
        <v>196</v>
      </c>
      <c r="C82" s="900"/>
      <c r="D82" s="900"/>
      <c r="E82" s="900"/>
      <c r="F82" s="900"/>
      <c r="G82" s="909"/>
      <c r="H82" s="909"/>
      <c r="I82" s="909"/>
      <c r="J82" s="883"/>
      <c r="K82" s="883"/>
      <c r="L82" s="883"/>
      <c r="M82" s="1067"/>
      <c r="N82" s="94">
        <f t="shared" si="1"/>
        <v>0</v>
      </c>
    </row>
    <row r="83" spans="1:14" s="453" customFormat="1" ht="14.25">
      <c r="A83" s="888"/>
      <c r="B83" s="915"/>
      <c r="C83" s="901"/>
      <c r="D83" s="902"/>
      <c r="E83" s="903"/>
      <c r="F83" s="903"/>
      <c r="G83" s="910"/>
      <c r="H83" s="910"/>
      <c r="I83" s="910"/>
      <c r="J83" s="867"/>
      <c r="K83" s="867"/>
      <c r="L83" s="867"/>
      <c r="M83" s="1068"/>
      <c r="N83" s="94" t="str">
        <f t="shared" si="1"/>
        <v/>
      </c>
    </row>
    <row r="84" spans="1:14" s="533" customFormat="1" ht="33">
      <c r="A84" s="889">
        <v>18</v>
      </c>
      <c r="B84" s="914" t="s">
        <v>192</v>
      </c>
      <c r="C84" s="900"/>
      <c r="D84" s="900"/>
      <c r="E84" s="900"/>
      <c r="F84" s="900"/>
      <c r="G84" s="909"/>
      <c r="H84" s="909"/>
      <c r="I84" s="909"/>
      <c r="J84" s="883"/>
      <c r="K84" s="883"/>
      <c r="L84" s="883"/>
      <c r="M84" s="1067"/>
      <c r="N84" s="94">
        <f t="shared" si="1"/>
        <v>0</v>
      </c>
    </row>
    <row r="85" spans="1:14" s="453" customFormat="1" ht="14.25">
      <c r="A85" s="888"/>
      <c r="B85" s="915"/>
      <c r="C85" s="901"/>
      <c r="D85" s="902"/>
      <c r="E85" s="903"/>
      <c r="F85" s="903"/>
      <c r="G85" s="910"/>
      <c r="H85" s="910"/>
      <c r="I85" s="910"/>
      <c r="J85" s="867"/>
      <c r="K85" s="867"/>
      <c r="L85" s="867"/>
      <c r="M85" s="1068"/>
      <c r="N85" s="94" t="str">
        <f t="shared" si="1"/>
        <v/>
      </c>
    </row>
    <row r="86" spans="1:14" s="533" customFormat="1" ht="33">
      <c r="A86" s="889">
        <v>19</v>
      </c>
      <c r="B86" s="914" t="s">
        <v>197</v>
      </c>
      <c r="C86" s="900"/>
      <c r="D86" s="900"/>
      <c r="E86" s="900"/>
      <c r="F86" s="900"/>
      <c r="G86" s="909"/>
      <c r="H86" s="909"/>
      <c r="I86" s="909"/>
      <c r="J86" s="883"/>
      <c r="K86" s="883"/>
      <c r="L86" s="883"/>
      <c r="M86" s="1067"/>
      <c r="N86" s="94">
        <f t="shared" si="1"/>
        <v>0</v>
      </c>
    </row>
    <row r="87" spans="1:14" s="453" customFormat="1" ht="14.25">
      <c r="A87" s="888"/>
      <c r="B87" s="915"/>
      <c r="C87" s="901"/>
      <c r="D87" s="902"/>
      <c r="E87" s="903"/>
      <c r="F87" s="903"/>
      <c r="G87" s="910"/>
      <c r="H87" s="910"/>
      <c r="I87" s="910"/>
      <c r="J87" s="867"/>
      <c r="K87" s="867"/>
      <c r="L87" s="867"/>
      <c r="M87" s="1068"/>
      <c r="N87" s="94" t="str">
        <f t="shared" si="1"/>
        <v/>
      </c>
    </row>
    <row r="88" spans="1:14" s="533" customFormat="1">
      <c r="A88" s="889">
        <v>20</v>
      </c>
      <c r="B88" s="914" t="s">
        <v>193</v>
      </c>
      <c r="C88" s="900"/>
      <c r="D88" s="900"/>
      <c r="E88" s="900"/>
      <c r="F88" s="900"/>
      <c r="G88" s="909"/>
      <c r="H88" s="909"/>
      <c r="I88" s="909"/>
      <c r="J88" s="883"/>
      <c r="K88" s="883"/>
      <c r="L88" s="883"/>
      <c r="M88" s="1067"/>
      <c r="N88" s="94">
        <f t="shared" si="1"/>
        <v>0</v>
      </c>
    </row>
    <row r="89" spans="1:14" s="453" customFormat="1" ht="7.5" thickBot="1">
      <c r="A89" s="888"/>
      <c r="B89" s="874"/>
      <c r="C89" s="904"/>
      <c r="D89" s="905"/>
      <c r="E89" s="906"/>
      <c r="F89" s="906"/>
      <c r="G89" s="911"/>
      <c r="H89" s="911"/>
      <c r="I89" s="911"/>
      <c r="J89" s="877"/>
      <c r="K89" s="877"/>
      <c r="L89" s="877"/>
      <c r="M89" s="1069"/>
      <c r="N89" s="830"/>
    </row>
    <row r="90" spans="1:14" s="453" customFormat="1" ht="7.5" thickTop="1">
      <c r="A90" s="473"/>
      <c r="C90" s="473"/>
      <c r="D90" s="473"/>
      <c r="E90" s="473"/>
      <c r="F90" s="473"/>
      <c r="G90" s="473"/>
      <c r="H90" s="473"/>
      <c r="I90" s="473"/>
      <c r="J90" s="473"/>
      <c r="K90" s="473"/>
      <c r="L90" s="473"/>
      <c r="M90" s="473"/>
    </row>
    <row r="91" spans="1:14">
      <c r="B91" s="894" t="s">
        <v>1027</v>
      </c>
      <c r="C91" s="2215" t="str">
        <f>IFERROR(SUM(ScoresFreins)/(COUNTA(ScoresFreins)*10),"")</f>
        <v/>
      </c>
      <c r="D91" s="2215"/>
    </row>
    <row r="92" spans="1:14" s="964" customFormat="1">
      <c r="A92" s="884"/>
      <c r="B92" s="894"/>
      <c r="C92" s="965"/>
      <c r="D92" s="965"/>
      <c r="E92" s="968"/>
      <c r="F92" s="968"/>
      <c r="G92" s="907"/>
      <c r="H92" s="907"/>
      <c r="I92" s="907"/>
      <c r="J92" s="871"/>
      <c r="K92" s="872"/>
      <c r="L92" s="872"/>
      <c r="M92" s="872"/>
    </row>
    <row r="93" spans="1:14" s="964" customFormat="1">
      <c r="A93" s="884"/>
      <c r="B93" s="894"/>
      <c r="C93" s="965"/>
      <c r="D93" s="965"/>
      <c r="E93" s="968"/>
      <c r="F93" s="968"/>
      <c r="G93" s="907"/>
      <c r="H93" s="907"/>
      <c r="I93" s="907"/>
      <c r="J93" s="871"/>
      <c r="K93" s="872"/>
      <c r="L93" s="872"/>
      <c r="M93" s="872"/>
    </row>
    <row r="94" spans="1:14" s="964" customFormat="1">
      <c r="A94" s="884"/>
      <c r="B94" s="987" t="s">
        <v>1142</v>
      </c>
      <c r="C94" s="986">
        <v>6</v>
      </c>
      <c r="D94" s="881"/>
      <c r="E94" s="871"/>
      <c r="H94" s="907"/>
      <c r="I94" s="907"/>
      <c r="J94" s="871"/>
      <c r="K94" s="872"/>
      <c r="L94" s="872"/>
      <c r="M94" s="872"/>
    </row>
    <row r="95" spans="1:14">
      <c r="B95" s="987" t="s">
        <v>1198</v>
      </c>
      <c r="C95" s="986">
        <v>9</v>
      </c>
      <c r="D95" s="881"/>
      <c r="E95" s="871"/>
      <c r="F95" s="5"/>
      <c r="G95" s="5"/>
    </row>
    <row r="97" spans="1:13" ht="24.75" thickBot="1">
      <c r="B97" s="943" t="s">
        <v>1134</v>
      </c>
      <c r="C97" s="960"/>
      <c r="D97" s="960"/>
    </row>
    <row r="98" spans="1:13" s="93" customFormat="1" ht="15" thickTop="1">
      <c r="A98" s="884"/>
      <c r="B98" s="46"/>
      <c r="C98" s="882"/>
      <c r="D98" s="882"/>
      <c r="M98" s="881"/>
    </row>
    <row r="99" spans="1:13">
      <c r="B99" s="970" t="s">
        <v>1028</v>
      </c>
      <c r="C99" s="2216">
        <f>IFERROR(SUM(ScoresMotivations)/(COUNTA(ScoresMotivations)*10),"")</f>
        <v>0</v>
      </c>
      <c r="D99" s="2216"/>
    </row>
    <row r="100" spans="1:13">
      <c r="B100" s="970" t="s">
        <v>1027</v>
      </c>
      <c r="C100" s="2216" t="str">
        <f>IFERROR(SUM(ScoresFreins)/(COUNTA(ScoresFreins)*10),"")</f>
        <v/>
      </c>
      <c r="D100" s="2216"/>
    </row>
    <row r="101" spans="1:13" s="93" customFormat="1" ht="14.25">
      <c r="A101" s="884"/>
      <c r="B101" s="46"/>
      <c r="C101" s="882"/>
      <c r="D101" s="882"/>
      <c r="E101" s="882"/>
      <c r="F101" s="882"/>
      <c r="G101" s="913"/>
      <c r="H101" s="913"/>
      <c r="I101" s="913"/>
      <c r="J101" s="410"/>
      <c r="K101" s="881"/>
      <c r="L101" s="881"/>
      <c r="M101" s="881"/>
    </row>
    <row r="102" spans="1:13">
      <c r="B102" s="1122" t="s">
        <v>1135</v>
      </c>
      <c r="C102" s="1123" t="s">
        <v>1136</v>
      </c>
      <c r="D102" s="1124"/>
    </row>
    <row r="103" spans="1:13" ht="18" hidden="1" thickTop="1" thickBot="1">
      <c r="B103" s="985"/>
      <c r="C103" s="2204"/>
      <c r="D103" s="2205"/>
    </row>
    <row r="104" spans="1:13" s="964" customFormat="1" ht="18" hidden="1" thickTop="1" thickBot="1">
      <c r="A104" s="884"/>
      <c r="B104" s="985"/>
      <c r="C104" s="2204"/>
      <c r="D104" s="2205"/>
      <c r="E104" s="968"/>
      <c r="F104" s="968"/>
      <c r="G104" s="907"/>
      <c r="H104" s="907"/>
      <c r="I104" s="907"/>
      <c r="J104" s="871"/>
      <c r="K104" s="872"/>
      <c r="L104" s="872"/>
      <c r="M104" s="872"/>
    </row>
    <row r="105" spans="1:13" s="964" customFormat="1" ht="18" hidden="1" thickTop="1" thickBot="1">
      <c r="A105" s="884"/>
      <c r="B105" s="985"/>
      <c r="C105" s="2204"/>
      <c r="D105" s="2205"/>
      <c r="E105" s="968"/>
      <c r="F105" s="968"/>
      <c r="G105" s="907"/>
      <c r="H105" s="907"/>
      <c r="I105" s="907"/>
      <c r="J105" s="871"/>
      <c r="K105" s="872"/>
      <c r="L105" s="872"/>
      <c r="M105" s="872"/>
    </row>
    <row r="106" spans="1:13" s="964" customFormat="1" ht="18" hidden="1" thickTop="1" thickBot="1">
      <c r="A106" s="884"/>
      <c r="B106" s="985"/>
      <c r="C106" s="2204"/>
      <c r="D106" s="2205"/>
      <c r="E106" s="968"/>
      <c r="F106" s="968"/>
      <c r="G106" s="907"/>
      <c r="H106" s="907"/>
      <c r="I106" s="907"/>
      <c r="J106" s="871"/>
      <c r="K106" s="872"/>
      <c r="L106" s="872"/>
      <c r="M106" s="872"/>
    </row>
    <row r="107" spans="1:13" s="964" customFormat="1" ht="18" hidden="1" thickTop="1" thickBot="1">
      <c r="A107" s="884"/>
      <c r="B107" s="985"/>
      <c r="C107" s="2204"/>
      <c r="D107" s="2205"/>
      <c r="E107" s="968"/>
      <c r="F107" s="968"/>
      <c r="G107" s="907"/>
      <c r="H107" s="907"/>
      <c r="I107" s="907"/>
      <c r="J107" s="871"/>
      <c r="K107" s="872"/>
      <c r="L107" s="872"/>
      <c r="M107" s="872"/>
    </row>
    <row r="108" spans="1:13" s="964" customFormat="1" ht="18" hidden="1" thickTop="1" thickBot="1">
      <c r="A108" s="884"/>
      <c r="B108" s="985"/>
      <c r="C108" s="2204"/>
      <c r="D108" s="2205"/>
      <c r="E108" s="968"/>
      <c r="F108" s="968"/>
      <c r="G108" s="907"/>
      <c r="H108" s="907"/>
      <c r="I108" s="907"/>
      <c r="J108" s="871"/>
      <c r="K108" s="872"/>
      <c r="L108" s="872"/>
      <c r="M108" s="872"/>
    </row>
    <row r="109" spans="1:13" ht="18" hidden="1" thickTop="1" thickBot="1">
      <c r="B109" s="966"/>
      <c r="C109" s="2204"/>
      <c r="D109" s="2205"/>
    </row>
    <row r="110" spans="1:13" ht="18" hidden="1" thickTop="1" thickBot="1">
      <c r="B110" s="966"/>
      <c r="C110" s="2204"/>
      <c r="D110" s="2205"/>
    </row>
    <row r="111" spans="1:13" ht="18" hidden="1" thickTop="1" thickBot="1">
      <c r="B111" s="966"/>
      <c r="C111" s="2204"/>
      <c r="D111" s="2205"/>
    </row>
    <row r="112" spans="1:13" s="964" customFormat="1" ht="18" hidden="1" thickTop="1" thickBot="1">
      <c r="A112" s="884"/>
      <c r="B112" s="966"/>
      <c r="C112" s="2204"/>
      <c r="D112" s="2205"/>
      <c r="E112" s="968"/>
      <c r="F112" s="968"/>
      <c r="G112" s="907"/>
      <c r="H112" s="907"/>
      <c r="I112" s="907"/>
      <c r="J112" s="871"/>
      <c r="K112" s="872"/>
      <c r="L112" s="872"/>
      <c r="M112" s="872"/>
    </row>
    <row r="113" spans="1:13" s="964" customFormat="1" ht="18" hidden="1" thickTop="1" thickBot="1">
      <c r="A113" s="884"/>
      <c r="B113" s="966"/>
      <c r="C113" s="2204"/>
      <c r="D113" s="2205"/>
      <c r="E113" s="968"/>
      <c r="F113" s="968"/>
      <c r="G113" s="907"/>
      <c r="H113" s="907"/>
      <c r="I113" s="907"/>
      <c r="J113" s="871"/>
      <c r="K113" s="872"/>
      <c r="L113" s="872"/>
      <c r="M113" s="872"/>
    </row>
    <row r="114" spans="1:13" s="964" customFormat="1" ht="18" hidden="1" thickTop="1" thickBot="1">
      <c r="A114" s="884"/>
      <c r="B114" s="966"/>
      <c r="C114" s="2204"/>
      <c r="D114" s="2205"/>
      <c r="E114" s="968"/>
      <c r="F114" s="968"/>
      <c r="G114" s="907"/>
      <c r="H114" s="907"/>
      <c r="I114" s="907"/>
      <c r="J114" s="871"/>
      <c r="K114" s="872"/>
      <c r="L114" s="872"/>
      <c r="M114" s="872"/>
    </row>
    <row r="115" spans="1:13" s="964" customFormat="1" ht="18" hidden="1" thickTop="1" thickBot="1">
      <c r="A115" s="884"/>
      <c r="B115" s="966"/>
      <c r="C115" s="2204"/>
      <c r="D115" s="2205"/>
      <c r="E115" s="968"/>
      <c r="F115" s="968"/>
      <c r="G115" s="907"/>
      <c r="H115" s="907"/>
      <c r="I115" s="907"/>
      <c r="J115" s="871"/>
      <c r="K115" s="872"/>
      <c r="L115" s="872"/>
      <c r="M115" s="872"/>
    </row>
    <row r="116" spans="1:13" s="964" customFormat="1" ht="18" hidden="1" thickTop="1" thickBot="1">
      <c r="A116" s="884"/>
      <c r="B116" s="966"/>
      <c r="C116" s="2204"/>
      <c r="D116" s="2205"/>
      <c r="E116" s="968"/>
      <c r="F116" s="968"/>
      <c r="G116" s="907"/>
      <c r="H116" s="907"/>
      <c r="I116" s="907"/>
      <c r="J116" s="871"/>
      <c r="K116" s="872"/>
      <c r="L116" s="872"/>
      <c r="M116" s="872"/>
    </row>
    <row r="117" spans="1:13" ht="18" hidden="1" thickTop="1" thickBot="1">
      <c r="B117" s="966"/>
      <c r="C117" s="2204"/>
      <c r="D117" s="2205"/>
    </row>
    <row r="118" spans="1:13" ht="18" hidden="1" thickTop="1" thickBot="1">
      <c r="B118" s="966"/>
      <c r="C118" s="2204"/>
      <c r="D118" s="2205"/>
    </row>
    <row r="119" spans="1:13" ht="18" hidden="1" thickTop="1" thickBot="1">
      <c r="B119" s="967"/>
      <c r="C119" s="2211"/>
      <c r="D119" s="2212"/>
    </row>
    <row r="120" spans="1:13" ht="18" hidden="1" thickTop="1" thickBot="1">
      <c r="B120" s="967"/>
      <c r="C120" s="2211"/>
      <c r="D120" s="2212"/>
    </row>
    <row r="121" spans="1:13" ht="18" hidden="1" thickTop="1" thickBot="1">
      <c r="B121" s="967"/>
      <c r="C121" s="2213"/>
      <c r="D121" s="2214"/>
    </row>
    <row r="122" spans="1:13" ht="18" hidden="1" thickTop="1" thickBot="1">
      <c r="B122" s="967"/>
      <c r="C122" s="2213"/>
      <c r="D122" s="2214"/>
    </row>
    <row r="123" spans="1:13">
      <c r="C123" s="2210"/>
      <c r="D123" s="2210"/>
    </row>
    <row r="124" spans="1:13">
      <c r="B124" s="1122" t="s">
        <v>1137</v>
      </c>
      <c r="C124" s="1123" t="s">
        <v>1136</v>
      </c>
      <c r="D124" s="1124"/>
    </row>
    <row r="125" spans="1:13" s="964" customFormat="1" ht="18" hidden="1" thickTop="1" thickBot="1">
      <c r="A125" s="884"/>
      <c r="B125" s="966"/>
      <c r="C125" s="2204"/>
      <c r="D125" s="2205"/>
      <c r="E125" s="968"/>
      <c r="F125" s="968"/>
      <c r="G125" s="907"/>
      <c r="H125" s="907"/>
      <c r="I125" s="907"/>
      <c r="J125" s="871"/>
      <c r="K125" s="872"/>
      <c r="L125" s="872"/>
      <c r="M125" s="872"/>
    </row>
    <row r="126" spans="1:13" s="964" customFormat="1" ht="18" hidden="1" thickTop="1" thickBot="1">
      <c r="A126" s="884"/>
      <c r="B126" s="966"/>
      <c r="C126" s="2204"/>
      <c r="D126" s="2205"/>
      <c r="E126" s="968"/>
      <c r="F126" s="968"/>
      <c r="G126" s="907"/>
      <c r="H126" s="907"/>
      <c r="I126" s="907"/>
      <c r="J126" s="871"/>
      <c r="K126" s="872"/>
      <c r="L126" s="872"/>
      <c r="M126" s="872"/>
    </row>
    <row r="127" spans="1:13" s="964" customFormat="1" ht="18" hidden="1" thickTop="1" thickBot="1">
      <c r="A127" s="884"/>
      <c r="B127" s="966"/>
      <c r="C127" s="2204"/>
      <c r="D127" s="2205"/>
      <c r="E127" s="968"/>
      <c r="F127" s="968"/>
      <c r="G127" s="907"/>
      <c r="H127" s="907"/>
      <c r="I127" s="907"/>
      <c r="J127" s="871"/>
      <c r="K127" s="872"/>
      <c r="L127" s="872"/>
      <c r="M127" s="872"/>
    </row>
    <row r="128" spans="1:13" s="964" customFormat="1" ht="18" hidden="1" thickTop="1" thickBot="1">
      <c r="A128" s="884"/>
      <c r="B128" s="966"/>
      <c r="C128" s="2204"/>
      <c r="D128" s="2205"/>
      <c r="E128" s="968"/>
      <c r="F128" s="968"/>
      <c r="G128" s="907"/>
      <c r="H128" s="907"/>
      <c r="I128" s="907"/>
      <c r="J128" s="871"/>
      <c r="K128" s="872"/>
      <c r="L128" s="872"/>
      <c r="M128" s="872"/>
    </row>
    <row r="129" spans="1:13" s="964" customFormat="1" ht="18" hidden="1" thickTop="1" thickBot="1">
      <c r="A129" s="884"/>
      <c r="B129" s="966"/>
      <c r="C129" s="2204"/>
      <c r="D129" s="2205"/>
      <c r="E129" s="968"/>
      <c r="F129" s="968"/>
      <c r="G129" s="907"/>
      <c r="H129" s="907"/>
      <c r="I129" s="907"/>
      <c r="J129" s="871"/>
      <c r="K129" s="872"/>
      <c r="L129" s="872"/>
      <c r="M129" s="872"/>
    </row>
    <row r="130" spans="1:13" ht="18" hidden="1" thickTop="1" thickBot="1">
      <c r="B130" s="966"/>
      <c r="C130" s="2204"/>
      <c r="D130" s="2205"/>
    </row>
    <row r="131" spans="1:13" s="964" customFormat="1" ht="18" hidden="1" thickTop="1" thickBot="1">
      <c r="A131" s="884"/>
      <c r="B131" s="966"/>
      <c r="C131" s="2204"/>
      <c r="D131" s="2205"/>
      <c r="E131" s="968"/>
      <c r="F131" s="968"/>
      <c r="G131" s="907"/>
      <c r="H131" s="907"/>
      <c r="I131" s="907"/>
      <c r="J131" s="871"/>
      <c r="K131" s="872"/>
      <c r="L131" s="872"/>
      <c r="M131" s="872"/>
    </row>
    <row r="132" spans="1:13" s="964" customFormat="1" ht="18" hidden="1" thickTop="1" thickBot="1">
      <c r="A132" s="884"/>
      <c r="B132" s="966"/>
      <c r="C132" s="2204"/>
      <c r="D132" s="2205"/>
      <c r="E132" s="968"/>
      <c r="F132" s="968"/>
      <c r="G132" s="907"/>
      <c r="H132" s="907"/>
      <c r="I132" s="907"/>
      <c r="J132" s="871"/>
      <c r="K132" s="872"/>
      <c r="L132" s="872"/>
      <c r="M132" s="872"/>
    </row>
    <row r="133" spans="1:13" s="964" customFormat="1" ht="18" hidden="1" thickTop="1" thickBot="1">
      <c r="A133" s="884"/>
      <c r="B133" s="966"/>
      <c r="C133" s="2204"/>
      <c r="D133" s="2205"/>
      <c r="E133" s="968"/>
      <c r="F133" s="968"/>
      <c r="G133" s="907"/>
      <c r="H133" s="907"/>
      <c r="I133" s="907"/>
      <c r="J133" s="871"/>
      <c r="K133" s="872"/>
      <c r="L133" s="872"/>
      <c r="M133" s="872"/>
    </row>
    <row r="134" spans="1:13" s="964" customFormat="1" ht="18" hidden="1" thickTop="1" thickBot="1">
      <c r="A134" s="884"/>
      <c r="B134" s="966"/>
      <c r="C134" s="2204"/>
      <c r="D134" s="2205"/>
      <c r="E134" s="968"/>
      <c r="F134" s="968"/>
      <c r="G134" s="907"/>
      <c r="H134" s="907"/>
      <c r="I134" s="907"/>
      <c r="J134" s="871"/>
      <c r="K134" s="872"/>
      <c r="L134" s="872"/>
      <c r="M134" s="872"/>
    </row>
    <row r="135" spans="1:13" s="964" customFormat="1" ht="18" hidden="1" thickTop="1" thickBot="1">
      <c r="A135" s="884"/>
      <c r="B135" s="966"/>
      <c r="C135" s="2204"/>
      <c r="D135" s="2205"/>
      <c r="E135" s="968"/>
      <c r="F135" s="968"/>
      <c r="G135" s="907"/>
      <c r="H135" s="907"/>
      <c r="I135" s="907"/>
      <c r="J135" s="871"/>
      <c r="K135" s="872"/>
      <c r="L135" s="872"/>
      <c r="M135" s="872"/>
    </row>
    <row r="136" spans="1:13" ht="18" hidden="1" thickTop="1" thickBot="1">
      <c r="B136" s="966"/>
      <c r="C136" s="2202"/>
      <c r="D136" s="2203"/>
    </row>
    <row r="137" spans="1:13" ht="18" hidden="1" thickTop="1" thickBot="1">
      <c r="B137" s="966"/>
      <c r="C137" s="2202"/>
      <c r="D137" s="2203"/>
    </row>
    <row r="138" spans="1:13" ht="18" hidden="1" thickTop="1" thickBot="1">
      <c r="B138" s="966"/>
      <c r="C138" s="2202"/>
      <c r="D138" s="2203"/>
    </row>
    <row r="139" spans="1:13" ht="18" hidden="1" thickTop="1" thickBot="1">
      <c r="B139" s="966"/>
      <c r="C139" s="2202"/>
      <c r="D139" s="2203"/>
    </row>
    <row r="140" spans="1:13" ht="18" hidden="1" thickTop="1" thickBot="1">
      <c r="B140" s="966"/>
      <c r="C140" s="2202"/>
      <c r="D140" s="2203"/>
    </row>
    <row r="141" spans="1:13" ht="18" hidden="1" thickTop="1" thickBot="1">
      <c r="B141" s="967"/>
      <c r="C141" s="2208"/>
      <c r="D141" s="2209"/>
    </row>
    <row r="142" spans="1:13" ht="18" hidden="1" thickTop="1" thickBot="1">
      <c r="B142" s="967"/>
      <c r="C142" s="2208"/>
      <c r="D142" s="2209"/>
    </row>
    <row r="143" spans="1:13" ht="18" hidden="1" thickTop="1" thickBot="1">
      <c r="B143" s="967"/>
      <c r="C143" s="2206"/>
      <c r="D143" s="2207"/>
    </row>
    <row r="144" spans="1:13" ht="18" hidden="1" thickTop="1" thickBot="1">
      <c r="B144" s="969"/>
      <c r="C144" s="2206"/>
      <c r="D144" s="2207"/>
    </row>
  </sheetData>
  <sheetProtection sheet="1" objects="1" scenarios="1" selectLockedCells="1"/>
  <mergeCells count="45">
    <mergeCell ref="C46:D46"/>
    <mergeCell ref="C91:D91"/>
    <mergeCell ref="C99:D99"/>
    <mergeCell ref="C100:D100"/>
    <mergeCell ref="C103:D103"/>
    <mergeCell ref="C109:D109"/>
    <mergeCell ref="C110:D110"/>
    <mergeCell ref="C111:D111"/>
    <mergeCell ref="C117:D117"/>
    <mergeCell ref="C104:D104"/>
    <mergeCell ref="C105:D105"/>
    <mergeCell ref="C106:D106"/>
    <mergeCell ref="C107:D107"/>
    <mergeCell ref="C108:D108"/>
    <mergeCell ref="C112:D112"/>
    <mergeCell ref="C113:D113"/>
    <mergeCell ref="C114:D114"/>
    <mergeCell ref="C115:D115"/>
    <mergeCell ref="C116:D116"/>
    <mergeCell ref="C123:D123"/>
    <mergeCell ref="C118:D118"/>
    <mergeCell ref="C119:D119"/>
    <mergeCell ref="C120:D120"/>
    <mergeCell ref="C121:D121"/>
    <mergeCell ref="C122:D122"/>
    <mergeCell ref="C143:D143"/>
    <mergeCell ref="C144:D144"/>
    <mergeCell ref="C138:D138"/>
    <mergeCell ref="C139:D139"/>
    <mergeCell ref="C140:D140"/>
    <mergeCell ref="C141:D141"/>
    <mergeCell ref="C142:D142"/>
    <mergeCell ref="C127:D127"/>
    <mergeCell ref="C126:D126"/>
    <mergeCell ref="C125:D125"/>
    <mergeCell ref="C135:D135"/>
    <mergeCell ref="C134:D134"/>
    <mergeCell ref="C133:D133"/>
    <mergeCell ref="C132:D132"/>
    <mergeCell ref="C131:D131"/>
    <mergeCell ref="C137:D137"/>
    <mergeCell ref="C136:D136"/>
    <mergeCell ref="C130:D130"/>
    <mergeCell ref="C129:D129"/>
    <mergeCell ref="C128:D128"/>
  </mergeCells>
  <conditionalFormatting sqref="C3:M45">
    <cfRule type="colorScale" priority="10">
      <colorScale>
        <cfvo type="min"/>
        <cfvo type="percentile" val="50"/>
        <cfvo type="max"/>
        <color rgb="FFF8696B"/>
        <color rgb="FFFFEB84"/>
        <color rgb="FF63BE7B"/>
      </colorScale>
    </cfRule>
  </conditionalFormatting>
  <conditionalFormatting sqref="C46:D46">
    <cfRule type="colorScale" priority="9">
      <colorScale>
        <cfvo type="num" val="0"/>
        <cfvo type="num" val="0.5"/>
        <cfvo type="num" val="1"/>
        <color rgb="FFF8696B"/>
        <color rgb="FFFFEB84"/>
        <color rgb="FF63BE7B"/>
      </colorScale>
    </cfRule>
  </conditionalFormatting>
  <conditionalFormatting sqref="C48:M88">
    <cfRule type="colorScale" priority="5">
      <colorScale>
        <cfvo type="num" val="0"/>
        <cfvo type="num" val="5"/>
        <cfvo type="num" val="10"/>
        <color rgb="FF63BE7B"/>
        <color rgb="FFFFEB84"/>
        <color rgb="FFF8696B"/>
      </colorScale>
    </cfRule>
  </conditionalFormatting>
  <conditionalFormatting sqref="C91:D93 D94">
    <cfRule type="colorScale" priority="3">
      <colorScale>
        <cfvo type="num" val="0"/>
        <cfvo type="num" val="0.5"/>
        <cfvo type="num" val="1"/>
        <color rgb="FF63BE7B"/>
        <color rgb="FFFFEB84"/>
        <color rgb="FFF8696B"/>
      </colorScale>
    </cfRule>
  </conditionalFormatting>
  <conditionalFormatting sqref="C99:D99">
    <cfRule type="colorScale" priority="2">
      <colorScale>
        <cfvo type="num" val="0"/>
        <cfvo type="num" val="0.5"/>
        <cfvo type="num" val="1"/>
        <color rgb="FFF8696B"/>
        <color rgb="FFFFEB84"/>
        <color rgb="FF63BE7B"/>
      </colorScale>
    </cfRule>
  </conditionalFormatting>
  <conditionalFormatting sqref="C100:D100">
    <cfRule type="colorScale" priority="1">
      <colorScale>
        <cfvo type="num" val="0"/>
        <cfvo type="num" val="0.5"/>
        <cfvo type="num" val="1"/>
        <color rgb="FF63BE7B"/>
        <color rgb="FFFFEB84"/>
        <color rgb="FFF8696B"/>
      </colorScale>
    </cfRule>
  </conditionalFormatting>
  <dataValidations count="2">
    <dataValidation type="whole" allowBlank="1" showInputMessage="1" showErrorMessage="1" sqref="C95" xr:uid="{00000000-0002-0000-0D00-000000000000}">
      <formula1>3</formula1>
      <formula2>20</formula2>
    </dataValidation>
    <dataValidation type="whole" allowBlank="1" showInputMessage="1" showErrorMessage="1" sqref="C94" xr:uid="{00000000-0002-0000-0D00-000001000000}">
      <formula1>0</formula1>
      <formula2>10</formula2>
    </dataValidation>
  </dataValidations>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9156" r:id="rId4" name="Compteur 4">
              <controlPr defaultSize="0" autoPict="0">
                <anchor moveWithCells="1">
                  <from>
                    <xdr:col>3</xdr:col>
                    <xdr:colOff>28575</xdr:colOff>
                    <xdr:row>94</xdr:row>
                    <xdr:rowOff>28575</xdr:rowOff>
                  </from>
                  <to>
                    <xdr:col>3</xdr:col>
                    <xdr:colOff>161925</xdr:colOff>
                    <xdr:row>94</xdr:row>
                    <xdr:rowOff>219075</xdr:rowOff>
                  </to>
                </anchor>
              </controlPr>
            </control>
          </mc:Choice>
        </mc:AlternateContent>
        <mc:AlternateContent xmlns:mc="http://schemas.openxmlformats.org/markup-compatibility/2006">
          <mc:Choice Requires="x14">
            <control shapeId="49157" r:id="rId5" name="Spinner 5">
              <controlPr defaultSize="0" autoPict="0">
                <anchor moveWithCells="1">
                  <from>
                    <xdr:col>3</xdr:col>
                    <xdr:colOff>28575</xdr:colOff>
                    <xdr:row>93</xdr:row>
                    <xdr:rowOff>28575</xdr:rowOff>
                  </from>
                  <to>
                    <xdr:col>3</xdr:col>
                    <xdr:colOff>161925</xdr:colOff>
                    <xdr:row>93</xdr:row>
                    <xdr:rowOff>200025</xdr:rowOff>
                  </to>
                </anchor>
              </controlPr>
            </control>
          </mc:Choice>
        </mc:AlternateContent>
        <mc:AlternateContent xmlns:mc="http://schemas.openxmlformats.org/markup-compatibility/2006">
          <mc:Choice Requires="x14">
            <control shapeId="49158" r:id="rId6" name="Button 6">
              <controlPr defaultSize="0" print="0" autoFill="0" autoPict="0" macro="[0]!FreinsMotivations.cmdGenererSynthèseFreinsMotiv_Click">
                <anchor moveWithCells="1" sizeWithCells="1">
                  <from>
                    <xdr:col>1</xdr:col>
                    <xdr:colOff>266700</xdr:colOff>
                    <xdr:row>93</xdr:row>
                    <xdr:rowOff>38100</xdr:rowOff>
                  </from>
                  <to>
                    <xdr:col>1</xdr:col>
                    <xdr:colOff>1638300</xdr:colOff>
                    <xdr:row>94</xdr:row>
                    <xdr:rowOff>152400</xdr:rowOff>
                  </to>
                </anchor>
              </controlPr>
            </control>
          </mc:Choice>
        </mc:AlternateContent>
        <mc:AlternateContent xmlns:mc="http://schemas.openxmlformats.org/markup-compatibility/2006">
          <mc:Choice Requires="x14">
            <control shapeId="49159" r:id="rId7" name="Button 7">
              <controlPr defaultSize="0" print="0" autoFill="0" autoPict="0" macro="[0]!FreinsMotivations.cmdResetScores_Click">
                <anchor moveWithCells="1" sizeWithCells="1">
                  <from>
                    <xdr:col>5</xdr:col>
                    <xdr:colOff>66675</xdr:colOff>
                    <xdr:row>0</xdr:row>
                    <xdr:rowOff>38100</xdr:rowOff>
                  </from>
                  <to>
                    <xdr:col>12</xdr:col>
                    <xdr:colOff>200025</xdr:colOff>
                    <xdr:row>0</xdr:row>
                    <xdr:rowOff>266700</xdr:rowOff>
                  </to>
                </anchor>
              </controlPr>
            </control>
          </mc:Choice>
        </mc:AlternateContent>
        <mc:AlternateContent xmlns:mc="http://schemas.openxmlformats.org/markup-compatibility/2006">
          <mc:Choice Requires="x14">
            <control shapeId="49160" r:id="rId8" name="Drop Down 8">
              <controlPr defaultSize="0" autoLine="0" autoPict="0" macro="[0]!FreinsMotivations.GotoSection">
                <anchor moveWithCells="1">
                  <from>
                    <xdr:col>1</xdr:col>
                    <xdr:colOff>3619500</xdr:colOff>
                    <xdr:row>0</xdr:row>
                    <xdr:rowOff>38100</xdr:rowOff>
                  </from>
                  <to>
                    <xdr:col>4</xdr:col>
                    <xdr:colOff>114300</xdr:colOff>
                    <xdr:row>0</xdr:row>
                    <xdr:rowOff>257175</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Impression">
    <tabColor theme="6"/>
  </sheetPr>
  <dimension ref="A1:F13"/>
  <sheetViews>
    <sheetView showGridLines="0" workbookViewId="0">
      <selection activeCell="C5" sqref="C5"/>
    </sheetView>
  </sheetViews>
  <sheetFormatPr baseColWidth="10" defaultRowHeight="14.25"/>
  <cols>
    <col min="1" max="1" width="5.85546875" customWidth="1"/>
    <col min="2" max="2" width="2" style="1078" customWidth="1"/>
    <col min="3" max="3" width="4.140625" customWidth="1"/>
    <col min="4" max="4" width="47.42578125" bestFit="1" customWidth="1"/>
    <col min="5" max="5" width="9.7109375" style="944" hidden="1" customWidth="1"/>
    <col min="6" max="6" width="2" style="944" bestFit="1" customWidth="1"/>
  </cols>
  <sheetData>
    <row r="1" spans="1:6" ht="24.75" thickBot="1">
      <c r="C1" s="941" t="s">
        <v>1096</v>
      </c>
      <c r="D1" s="941"/>
      <c r="E1" s="1651"/>
    </row>
    <row r="2" spans="1:6" ht="15" thickTop="1"/>
    <row r="3" spans="1:6">
      <c r="B3" s="643"/>
      <c r="C3" s="1088" t="s">
        <v>1162</v>
      </c>
      <c r="D3" s="643"/>
      <c r="E3" s="895" t="s">
        <v>1131</v>
      </c>
    </row>
    <row r="4" spans="1:6" s="453" customFormat="1" ht="6.75">
      <c r="B4" s="654"/>
      <c r="C4" s="654"/>
      <c r="D4" s="654"/>
    </row>
    <row r="5" spans="1:6">
      <c r="A5" s="89"/>
      <c r="B5" s="643"/>
      <c r="C5" s="1089" t="s">
        <v>1103</v>
      </c>
      <c r="D5" s="1650" t="s">
        <v>1097</v>
      </c>
      <c r="E5" s="944" t="s">
        <v>1132</v>
      </c>
    </row>
    <row r="6" spans="1:6">
      <c r="B6" s="643"/>
      <c r="C6" s="1090" t="s">
        <v>1103</v>
      </c>
      <c r="D6" s="1650" t="s">
        <v>1161</v>
      </c>
      <c r="E6" s="944" t="s">
        <v>1133</v>
      </c>
    </row>
    <row r="7" spans="1:6">
      <c r="A7" s="89"/>
      <c r="B7" s="643"/>
      <c r="C7" s="1089" t="s">
        <v>1103</v>
      </c>
      <c r="D7" s="1650" t="s">
        <v>1098</v>
      </c>
      <c r="E7" s="944" t="s">
        <v>1105</v>
      </c>
    </row>
    <row r="8" spans="1:6">
      <c r="A8" s="93"/>
      <c r="B8" s="643"/>
      <c r="C8" s="1089" t="s">
        <v>1103</v>
      </c>
      <c r="D8" s="1650" t="s">
        <v>1143</v>
      </c>
      <c r="E8" t="s">
        <v>1062</v>
      </c>
    </row>
    <row r="9" spans="1:6">
      <c r="A9" s="93"/>
      <c r="B9" s="643"/>
      <c r="C9" s="1089" t="s">
        <v>1103</v>
      </c>
      <c r="D9" s="1650" t="s">
        <v>1102</v>
      </c>
      <c r="E9" s="942" t="s">
        <v>10</v>
      </c>
    </row>
    <row r="10" spans="1:6">
      <c r="A10" s="93"/>
      <c r="B10" s="643"/>
      <c r="C10" s="1089" t="s">
        <v>1103</v>
      </c>
      <c r="D10" s="1650" t="s">
        <v>1099</v>
      </c>
      <c r="E10" s="944" t="s">
        <v>1066</v>
      </c>
    </row>
    <row r="11" spans="1:6">
      <c r="A11" s="93"/>
      <c r="B11" s="643"/>
      <c r="C11" s="1089" t="s">
        <v>1103</v>
      </c>
      <c r="D11" s="1650" t="s">
        <v>1100</v>
      </c>
      <c r="E11" s="944" t="s">
        <v>1067</v>
      </c>
    </row>
    <row r="12" spans="1:6" s="54" customFormat="1" ht="6.75">
      <c r="B12" s="684"/>
      <c r="C12" s="1849"/>
      <c r="D12" s="1849"/>
    </row>
    <row r="13" spans="1:6">
      <c r="C13" s="942"/>
      <c r="F13"/>
    </row>
  </sheetData>
  <sheetProtection sheet="1" objects="1" scenarios="1" selectLockedCells="1"/>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62467" r:id="rId4" name="Button 3">
              <controlPr defaultSize="0" autoFill="0" autoPict="0" macro="[0]!ImprimerRapports">
                <anchor moveWithCells="1">
                  <from>
                    <xdr:col>1</xdr:col>
                    <xdr:colOff>9525</xdr:colOff>
                    <xdr:row>13</xdr:row>
                    <xdr:rowOff>47625</xdr:rowOff>
                  </from>
                  <to>
                    <xdr:col>3</xdr:col>
                    <xdr:colOff>914400</xdr:colOff>
                    <xdr:row>15</xdr:row>
                    <xdr:rowOff>0</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ermes"/>
  <dimension ref="A1:C5"/>
  <sheetViews>
    <sheetView workbookViewId="0"/>
  </sheetViews>
  <sheetFormatPr baseColWidth="10" defaultRowHeight="14.25"/>
  <sheetData>
    <row r="1" spans="1:3">
      <c r="A1" t="s">
        <v>602</v>
      </c>
      <c r="B1" t="s">
        <v>1166</v>
      </c>
      <c r="C1" t="s">
        <v>1167</v>
      </c>
    </row>
    <row r="2" spans="1:3">
      <c r="B2" t="s">
        <v>176</v>
      </c>
    </row>
    <row r="3" spans="1:3">
      <c r="B3" t="s">
        <v>255</v>
      </c>
    </row>
    <row r="4" spans="1:3">
      <c r="B4" t="s">
        <v>1168</v>
      </c>
    </row>
    <row r="5" spans="1:3">
      <c r="B5" t="s">
        <v>177</v>
      </c>
    </row>
  </sheetData>
  <sheetProtection sheet="1" objects="1" scenarios="1"/>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aidesContext"/>
  <dimension ref="A1:B42"/>
  <sheetViews>
    <sheetView topLeftCell="A35" workbookViewId="0">
      <selection activeCell="B38" sqref="B38"/>
    </sheetView>
  </sheetViews>
  <sheetFormatPr baseColWidth="10" defaultRowHeight="14.25"/>
  <cols>
    <col min="1" max="1" width="29.42578125" style="306" customWidth="1"/>
    <col min="2" max="2" width="85.5703125" style="306" customWidth="1"/>
  </cols>
  <sheetData>
    <row r="1" spans="1:2" s="305" customFormat="1">
      <c r="A1" s="1104" t="str">
        <f>HYPERLINK("[.\]aidecontextuelle!"&amp;ADDRESS(MATCH(B1,A6:A49,0)+5,3),"Atteindre une rubrique:")</f>
        <v>Atteindre une rubrique:</v>
      </c>
      <c r="B1" s="305" t="s">
        <v>1258</v>
      </c>
    </row>
    <row r="2" spans="1:2" s="305" customFormat="1"/>
    <row r="3" spans="1:2" s="305" customFormat="1">
      <c r="A3" s="305" t="s">
        <v>1020</v>
      </c>
      <c r="B3" s="305" t="s">
        <v>1023</v>
      </c>
    </row>
    <row r="4" spans="1:2" s="533" customFormat="1">
      <c r="A4" s="306"/>
      <c r="B4" s="306"/>
    </row>
    <row r="5" spans="1:2" s="533" customFormat="1">
      <c r="A5" s="1105" t="s">
        <v>1021</v>
      </c>
      <c r="B5" s="306"/>
    </row>
    <row r="6" spans="1:2" ht="42.75">
      <c r="A6" s="306" t="s">
        <v>403</v>
      </c>
      <c r="B6" s="858" t="s">
        <v>1296</v>
      </c>
    </row>
    <row r="7" spans="1:2">
      <c r="A7" s="306" t="s">
        <v>267</v>
      </c>
      <c r="B7" s="858" t="s">
        <v>1187</v>
      </c>
    </row>
    <row r="8" spans="1:2">
      <c r="A8" s="306" t="s">
        <v>391</v>
      </c>
      <c r="B8" s="858" t="s">
        <v>1188</v>
      </c>
    </row>
    <row r="9" spans="1:2" ht="57">
      <c r="A9" s="306" t="s">
        <v>606</v>
      </c>
      <c r="B9" s="858" t="s">
        <v>1197</v>
      </c>
    </row>
    <row r="10" spans="1:2" ht="57">
      <c r="A10" s="306" t="s">
        <v>383</v>
      </c>
      <c r="B10" s="858" t="s">
        <v>1191</v>
      </c>
    </row>
    <row r="11" spans="1:2" ht="28.5">
      <c r="A11" s="306" t="s">
        <v>379</v>
      </c>
      <c r="B11" s="858" t="s">
        <v>1189</v>
      </c>
    </row>
    <row r="12" spans="1:2" ht="28.5">
      <c r="A12" s="306" t="s">
        <v>378</v>
      </c>
      <c r="B12" s="858" t="s">
        <v>1190</v>
      </c>
    </row>
    <row r="13" spans="1:2" ht="28.5">
      <c r="A13" s="306" t="s">
        <v>377</v>
      </c>
      <c r="B13" s="858" t="s">
        <v>1192</v>
      </c>
    </row>
    <row r="14" spans="1:2" ht="28.5">
      <c r="A14" s="306" t="s">
        <v>376</v>
      </c>
      <c r="B14" s="858" t="s">
        <v>1193</v>
      </c>
    </row>
    <row r="15" spans="1:2" ht="28.5">
      <c r="A15" s="306" t="s">
        <v>374</v>
      </c>
      <c r="B15" s="858" t="s">
        <v>1194</v>
      </c>
    </row>
    <row r="16" spans="1:2" ht="42.75">
      <c r="A16" s="306" t="s">
        <v>1397</v>
      </c>
      <c r="B16" s="858" t="s">
        <v>1195</v>
      </c>
    </row>
    <row r="17" spans="1:2" ht="28.5">
      <c r="A17" s="306" t="s">
        <v>368</v>
      </c>
      <c r="B17" s="858" t="s">
        <v>1297</v>
      </c>
    </row>
    <row r="18" spans="1:2" ht="28.5">
      <c r="A18" s="306" t="s">
        <v>367</v>
      </c>
      <c r="B18" s="858" t="s">
        <v>1298</v>
      </c>
    </row>
    <row r="19" spans="1:2">
      <c r="A19" s="306" t="s">
        <v>277</v>
      </c>
      <c r="B19" s="1121" t="s">
        <v>1196</v>
      </c>
    </row>
    <row r="20" spans="1:2" s="533" customFormat="1">
      <c r="A20" s="306"/>
      <c r="B20" s="306"/>
    </row>
    <row r="21" spans="1:2">
      <c r="A21" s="1105" t="s">
        <v>1022</v>
      </c>
    </row>
    <row r="22" spans="1:2" ht="99.75">
      <c r="A22" s="306" t="s">
        <v>15</v>
      </c>
      <c r="B22" s="858" t="s">
        <v>1284</v>
      </c>
    </row>
    <row r="23" spans="1:2">
      <c r="A23" s="306" t="s">
        <v>8</v>
      </c>
      <c r="B23" s="858" t="s">
        <v>1283</v>
      </c>
    </row>
    <row r="24" spans="1:2" ht="99.75">
      <c r="A24" s="306" t="s">
        <v>318</v>
      </c>
      <c r="B24" s="858" t="s">
        <v>1282</v>
      </c>
    </row>
    <row r="25" spans="1:2" ht="28.5">
      <c r="A25" s="306" t="s">
        <v>860</v>
      </c>
      <c r="B25" s="858" t="s">
        <v>1276</v>
      </c>
    </row>
    <row r="26" spans="1:2" ht="28.5">
      <c r="A26" s="306" t="s">
        <v>257</v>
      </c>
      <c r="B26" s="858" t="s">
        <v>1277</v>
      </c>
    </row>
    <row r="27" spans="1:2" ht="42.75">
      <c r="A27" s="306" t="s">
        <v>287</v>
      </c>
      <c r="B27" s="858" t="s">
        <v>1278</v>
      </c>
    </row>
    <row r="28" spans="1:2" ht="57">
      <c r="A28" s="306" t="s">
        <v>282</v>
      </c>
      <c r="B28" s="858" t="s">
        <v>1279</v>
      </c>
    </row>
    <row r="29" spans="1:2" ht="42.75">
      <c r="A29" s="306" t="s">
        <v>281</v>
      </c>
      <c r="B29" s="858" t="s">
        <v>1280</v>
      </c>
    </row>
    <row r="30" spans="1:2" ht="242.25">
      <c r="A30" s="306" t="s">
        <v>1398</v>
      </c>
      <c r="B30" s="858" t="s">
        <v>1480</v>
      </c>
    </row>
    <row r="31" spans="1:2" ht="28.5">
      <c r="A31" s="306" t="s">
        <v>261</v>
      </c>
      <c r="B31" s="858" t="s">
        <v>1281</v>
      </c>
    </row>
    <row r="33" spans="1:2" ht="285">
      <c r="A33" s="306" t="s">
        <v>1200</v>
      </c>
      <c r="B33" s="858" t="s">
        <v>1199</v>
      </c>
    </row>
    <row r="34" spans="1:2" ht="156.75">
      <c r="A34" s="306" t="s">
        <v>1424</v>
      </c>
      <c r="B34" s="1125" t="s">
        <v>1425</v>
      </c>
    </row>
    <row r="35" spans="1:2" ht="213.75">
      <c r="A35" s="306" t="s">
        <v>1427</v>
      </c>
      <c r="B35" s="1125" t="s">
        <v>1426</v>
      </c>
    </row>
    <row r="36" spans="1:2" ht="28.5">
      <c r="A36" s="53" t="s">
        <v>1003</v>
      </c>
      <c r="B36" s="1125" t="s">
        <v>1202</v>
      </c>
    </row>
    <row r="37" spans="1:2">
      <c r="A37" s="53"/>
      <c r="B37" s="858"/>
    </row>
    <row r="38" spans="1:2" ht="185.25">
      <c r="A38" s="53" t="s">
        <v>605</v>
      </c>
      <c r="B38" s="1125" t="s">
        <v>1259</v>
      </c>
    </row>
    <row r="39" spans="1:2" ht="142.5">
      <c r="A39" s="53" t="s">
        <v>1258</v>
      </c>
      <c r="B39" s="1125" t="s">
        <v>1452</v>
      </c>
    </row>
    <row r="40" spans="1:2" ht="114">
      <c r="A40" s="53" t="s">
        <v>1290</v>
      </c>
      <c r="B40" s="1125" t="s">
        <v>1295</v>
      </c>
    </row>
    <row r="41" spans="1:2" ht="42.75">
      <c r="A41" s="53" t="s">
        <v>1428</v>
      </c>
      <c r="B41" s="1125" t="s">
        <v>1443</v>
      </c>
    </row>
    <row r="42" spans="1:2" ht="185.25">
      <c r="A42" s="53" t="s">
        <v>1484</v>
      </c>
      <c r="B42" s="1125" t="s">
        <v>1486</v>
      </c>
    </row>
  </sheetData>
  <sheetProtection sheet="1" objects="1" scenarios="1"/>
  <dataValidations count="1">
    <dataValidation type="list" allowBlank="1" showInputMessage="1" showErrorMessage="1" sqref="B1" xr:uid="{00000000-0002-0000-1000-000000000000}">
      <formula1>$A$5:$A$48</formula1>
    </dataValidation>
  </dataValidations>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ccueil">
    <tabColor theme="6"/>
  </sheetPr>
  <dimension ref="A1:J85"/>
  <sheetViews>
    <sheetView showGridLines="0" tabSelected="1" workbookViewId="0">
      <selection activeCell="G3" sqref="G3"/>
    </sheetView>
  </sheetViews>
  <sheetFormatPr baseColWidth="10" defaultRowHeight="14.25"/>
  <cols>
    <col min="1" max="1" width="4.42578125" customWidth="1"/>
    <col min="2" max="2" width="18.5703125" customWidth="1"/>
    <col min="3" max="3" width="15.42578125" customWidth="1"/>
    <col min="4" max="6" width="9.42578125" customWidth="1"/>
    <col min="7" max="7" width="11.42578125" customWidth="1"/>
    <col min="8" max="9" width="5.42578125" customWidth="1"/>
  </cols>
  <sheetData>
    <row r="1" spans="1:9">
      <c r="A1" s="55"/>
    </row>
    <row r="2" spans="1:9">
      <c r="F2" s="924" t="s">
        <v>1038</v>
      </c>
      <c r="G2" s="1852">
        <v>1.32</v>
      </c>
    </row>
    <row r="3" spans="1:9">
      <c r="F3" s="924" t="s">
        <v>1050</v>
      </c>
      <c r="G3" s="2112">
        <v>44110</v>
      </c>
    </row>
    <row r="5" spans="1:9">
      <c r="F5" s="41" t="s">
        <v>1051</v>
      </c>
      <c r="G5" s="2078" t="s">
        <v>1501</v>
      </c>
    </row>
    <row r="7" spans="1:9" ht="20.25">
      <c r="B7" s="954" t="s">
        <v>1036</v>
      </c>
    </row>
    <row r="8" spans="1:9">
      <c r="B8" s="895" t="s">
        <v>1037</v>
      </c>
    </row>
    <row r="9" spans="1:9" s="533" customFormat="1">
      <c r="B9" s="895"/>
    </row>
    <row r="10" spans="1:9" s="533" customFormat="1">
      <c r="A10" s="923"/>
    </row>
    <row r="11" spans="1:9" ht="17.25" thickBot="1">
      <c r="A11" s="306"/>
      <c r="B11" s="930" t="s">
        <v>1056</v>
      </c>
      <c r="C11" s="931"/>
      <c r="D11" s="931"/>
      <c r="E11" s="931"/>
      <c r="F11" s="931"/>
      <c r="G11" s="931"/>
      <c r="H11" s="931"/>
      <c r="I11" s="931"/>
    </row>
    <row r="12" spans="1:9" s="453" customFormat="1" ht="6.75">
      <c r="A12" s="825"/>
      <c r="B12" s="798"/>
      <c r="C12" s="451"/>
      <c r="D12" s="451"/>
      <c r="E12" s="451"/>
      <c r="F12" s="451"/>
      <c r="G12" s="451"/>
      <c r="H12" s="451"/>
      <c r="I12" s="451"/>
    </row>
    <row r="13" spans="1:9" ht="142.5">
      <c r="A13" s="306" t="s">
        <v>1160</v>
      </c>
      <c r="B13" s="2114" t="s">
        <v>1107</v>
      </c>
      <c r="C13" s="2114"/>
      <c r="D13" s="2114"/>
      <c r="E13" s="2114"/>
      <c r="F13" s="2114"/>
      <c r="G13" s="2114"/>
      <c r="H13" s="2114"/>
      <c r="I13" s="2114"/>
    </row>
    <row r="14" spans="1:9" s="533" customFormat="1">
      <c r="A14" s="306"/>
      <c r="B14" s="932"/>
      <c r="C14" s="932"/>
      <c r="D14" s="932"/>
      <c r="E14" s="932"/>
      <c r="F14" s="932"/>
      <c r="G14" s="932"/>
      <c r="H14" s="932"/>
      <c r="I14" s="932"/>
    </row>
    <row r="16" spans="1:9" ht="17.25" thickBot="1">
      <c r="A16" s="306"/>
      <c r="B16" s="930" t="s">
        <v>1057</v>
      </c>
      <c r="C16" s="931"/>
      <c r="D16" s="931"/>
      <c r="E16" s="931"/>
      <c r="F16" s="931"/>
      <c r="G16" s="931"/>
      <c r="H16" s="931"/>
      <c r="I16" s="931"/>
    </row>
    <row r="17" spans="1:9" s="453" customFormat="1" ht="6.75">
      <c r="A17" s="825"/>
      <c r="B17" s="798"/>
      <c r="C17" s="451"/>
      <c r="D17" s="451"/>
      <c r="E17" s="451"/>
      <c r="F17" s="451"/>
      <c r="G17" s="451"/>
      <c r="H17" s="451"/>
      <c r="I17" s="451"/>
    </row>
    <row r="18" spans="1:9" s="533" customFormat="1">
      <c r="A18" s="788"/>
      <c r="B18" s="788" t="s">
        <v>1046</v>
      </c>
      <c r="C18" s="788"/>
      <c r="D18" s="788"/>
      <c r="E18" s="788"/>
      <c r="F18" s="714"/>
      <c r="G18" s="788"/>
      <c r="H18" s="788"/>
    </row>
    <row r="19" spans="1:9" s="533" customFormat="1">
      <c r="A19" s="788"/>
      <c r="B19" s="788"/>
      <c r="C19" s="788"/>
      <c r="E19" s="788"/>
      <c r="F19" s="714"/>
      <c r="G19" s="928" t="s">
        <v>1040</v>
      </c>
      <c r="H19" s="788"/>
    </row>
    <row r="20" spans="1:9" s="533" customFormat="1">
      <c r="A20" s="788"/>
      <c r="B20" s="788"/>
      <c r="C20" s="788"/>
      <c r="E20" s="788"/>
      <c r="F20" s="714"/>
      <c r="G20" t="s">
        <v>1041</v>
      </c>
      <c r="H20" s="788"/>
    </row>
    <row r="21" spans="1:9" s="533" customFormat="1">
      <c r="A21" s="788"/>
      <c r="B21" s="788"/>
      <c r="C21" s="788"/>
      <c r="E21" s="788"/>
      <c r="F21" s="714"/>
      <c r="G21" t="s">
        <v>1044</v>
      </c>
      <c r="H21" s="788"/>
    </row>
    <row r="22" spans="1:9" s="533" customFormat="1">
      <c r="A22" s="788"/>
      <c r="B22" s="788"/>
      <c r="C22" s="788"/>
      <c r="E22" s="788"/>
      <c r="F22" s="714"/>
      <c r="G22" t="s">
        <v>1043</v>
      </c>
      <c r="H22" s="788"/>
    </row>
    <row r="23" spans="1:9" s="533" customFormat="1" ht="15.75">
      <c r="A23" s="788"/>
      <c r="B23" s="788"/>
      <c r="C23" s="788"/>
      <c r="E23" s="925"/>
      <c r="F23" s="926"/>
      <c r="G23" t="s">
        <v>1045</v>
      </c>
      <c r="H23" s="925"/>
    </row>
    <row r="24" spans="1:9" s="533" customFormat="1" ht="15.75">
      <c r="A24" s="788"/>
      <c r="C24" s="925"/>
      <c r="E24" s="788"/>
      <c r="F24" s="926"/>
      <c r="G24" t="s">
        <v>1042</v>
      </c>
      <c r="H24" s="925"/>
    </row>
    <row r="25" spans="1:9" s="533" customFormat="1">
      <c r="A25" s="788"/>
      <c r="B25" s="788"/>
      <c r="C25" s="788"/>
      <c r="E25" s="788"/>
      <c r="F25" s="714"/>
      <c r="G25" t="s">
        <v>1500</v>
      </c>
      <c r="H25" s="788"/>
    </row>
    <row r="26" spans="1:9" s="533" customFormat="1">
      <c r="A26" s="788"/>
      <c r="B26" s="788"/>
      <c r="C26" s="788"/>
      <c r="E26" s="788"/>
      <c r="F26" s="714"/>
      <c r="H26" s="788"/>
    </row>
    <row r="27" spans="1:9" s="533" customFormat="1" ht="15.75">
      <c r="A27" s="788"/>
      <c r="B27" s="788" t="s">
        <v>1039</v>
      </c>
      <c r="C27" s="925"/>
      <c r="D27" s="788"/>
      <c r="E27" s="788"/>
      <c r="F27" s="714"/>
      <c r="G27" s="788"/>
      <c r="H27" s="788"/>
    </row>
    <row r="28" spans="1:9" s="533" customFormat="1" ht="15.75">
      <c r="A28" s="788"/>
      <c r="B28" s="788"/>
      <c r="C28" s="925"/>
      <c r="D28" s="788"/>
      <c r="E28" s="788"/>
      <c r="F28" s="714"/>
      <c r="G28" s="788"/>
      <c r="H28" s="788"/>
    </row>
    <row r="29" spans="1:9" s="533" customFormat="1">
      <c r="A29" s="788"/>
      <c r="B29" s="788"/>
      <c r="C29" s="788"/>
      <c r="D29" s="788"/>
      <c r="E29" s="788"/>
      <c r="F29" s="714"/>
      <c r="G29" s="788"/>
      <c r="H29" s="788"/>
    </row>
    <row r="30" spans="1:9" s="533" customFormat="1">
      <c r="A30" s="788"/>
      <c r="B30" s="788"/>
      <c r="C30" s="788"/>
      <c r="D30" s="788"/>
      <c r="E30" s="788"/>
      <c r="F30" s="714"/>
      <c r="G30" s="788"/>
      <c r="H30" s="788"/>
    </row>
    <row r="31" spans="1:9" s="533" customFormat="1">
      <c r="A31" s="788"/>
      <c r="B31" s="788"/>
      <c r="C31" s="788"/>
      <c r="D31" s="788"/>
      <c r="E31" s="788"/>
      <c r="F31" s="714"/>
      <c r="G31" s="788"/>
      <c r="H31" s="788"/>
    </row>
    <row r="32" spans="1:9" s="533" customFormat="1">
      <c r="A32" s="788"/>
      <c r="B32" s="788"/>
      <c r="C32" s="788"/>
      <c r="D32" s="788"/>
      <c r="E32" s="788"/>
      <c r="F32" s="714"/>
      <c r="G32" s="788"/>
      <c r="H32" s="788"/>
    </row>
    <row r="33" spans="1:9" s="533" customFormat="1">
      <c r="A33" s="788"/>
      <c r="B33" s="788"/>
      <c r="C33" s="788"/>
      <c r="D33" s="788"/>
      <c r="E33" s="788"/>
      <c r="F33" s="714"/>
      <c r="G33" s="788"/>
      <c r="H33" s="788"/>
    </row>
    <row r="34" spans="1:9" s="533" customFormat="1">
      <c r="A34" s="788"/>
      <c r="B34"/>
      <c r="C34"/>
      <c r="D34"/>
      <c r="E34"/>
      <c r="F34"/>
      <c r="G34"/>
      <c r="H34"/>
    </row>
    <row r="35" spans="1:9" s="533" customFormat="1">
      <c r="A35" s="788"/>
      <c r="B35"/>
      <c r="C35"/>
      <c r="D35"/>
      <c r="E35"/>
      <c r="F35"/>
      <c r="G35"/>
      <c r="H35"/>
    </row>
    <row r="37" spans="1:9" ht="17.25" thickBot="1">
      <c r="B37" s="930" t="s">
        <v>1156</v>
      </c>
      <c r="C37" s="931"/>
      <c r="D37" s="931"/>
      <c r="E37" s="931"/>
      <c r="F37" s="931"/>
      <c r="G37" s="931"/>
      <c r="H37" s="931"/>
      <c r="I37" s="931"/>
    </row>
    <row r="38" spans="1:9" ht="14.25" customHeight="1">
      <c r="B38" s="2114" t="s">
        <v>1155</v>
      </c>
      <c r="C38" s="2114"/>
      <c r="D38" s="2114"/>
      <c r="E38" s="2114"/>
      <c r="F38" s="2114"/>
      <c r="G38" s="2114"/>
      <c r="H38" s="2114"/>
      <c r="I38" s="2114"/>
    </row>
    <row r="39" spans="1:9">
      <c r="B39" s="2114"/>
      <c r="C39" s="2114"/>
      <c r="D39" s="2114"/>
      <c r="E39" s="2114"/>
      <c r="F39" s="2114"/>
      <c r="G39" s="2114"/>
      <c r="H39" s="2114"/>
      <c r="I39" s="2114"/>
    </row>
    <row r="40" spans="1:9">
      <c r="B40" s="2114"/>
      <c r="C40" s="2114"/>
      <c r="D40" s="2114"/>
      <c r="E40" s="2114"/>
      <c r="F40" s="2114"/>
      <c r="G40" s="2114"/>
      <c r="H40" s="2114"/>
      <c r="I40" s="2114"/>
    </row>
    <row r="41" spans="1:9">
      <c r="B41" s="2114"/>
      <c r="C41" s="2114"/>
      <c r="D41" s="2114"/>
      <c r="E41" s="2114"/>
      <c r="F41" s="2114"/>
      <c r="G41" s="2114"/>
      <c r="H41" s="2114"/>
      <c r="I41" s="2114"/>
    </row>
    <row r="42" spans="1:9">
      <c r="B42" s="2114"/>
      <c r="C42" s="2114"/>
      <c r="D42" s="2114"/>
      <c r="E42" s="2114"/>
      <c r="F42" s="2114"/>
      <c r="G42" s="2114"/>
      <c r="H42" s="2114"/>
      <c r="I42" s="2114"/>
    </row>
    <row r="43" spans="1:9">
      <c r="B43" s="2114"/>
      <c r="C43" s="2114"/>
      <c r="D43" s="2114"/>
      <c r="E43" s="2114"/>
      <c r="F43" s="2114"/>
      <c r="G43" s="2114"/>
      <c r="H43" s="2114"/>
      <c r="I43" s="2114"/>
    </row>
    <row r="44" spans="1:9">
      <c r="B44" s="2114"/>
      <c r="C44" s="2114"/>
      <c r="D44" s="2114"/>
      <c r="E44" s="2114"/>
      <c r="F44" s="2114"/>
      <c r="G44" s="2114"/>
      <c r="H44" s="2114"/>
      <c r="I44" s="2114"/>
    </row>
    <row r="45" spans="1:9">
      <c r="B45" s="306"/>
      <c r="C45" s="306"/>
      <c r="D45" s="306"/>
      <c r="E45" s="306"/>
      <c r="F45" s="306"/>
      <c r="G45" s="306"/>
      <c r="H45" s="306"/>
      <c r="I45" s="306"/>
    </row>
    <row r="46" spans="1:9" ht="14.25" customHeight="1">
      <c r="B46" s="2114" t="s">
        <v>1158</v>
      </c>
      <c r="C46" s="2114"/>
      <c r="D46" s="2114"/>
      <c r="E46" s="2114"/>
      <c r="F46" s="2114"/>
      <c r="G46" s="2114"/>
      <c r="H46" s="2114"/>
      <c r="I46" s="2114"/>
    </row>
    <row r="47" spans="1:9">
      <c r="B47" s="2114"/>
      <c r="C47" s="2114"/>
      <c r="D47" s="2114"/>
      <c r="E47" s="2114"/>
      <c r="F47" s="2114"/>
      <c r="G47" s="2114"/>
      <c r="H47" s="2114"/>
      <c r="I47" s="2114"/>
    </row>
    <row r="48" spans="1:9">
      <c r="B48" s="2114"/>
      <c r="C48" s="2114"/>
      <c r="D48" s="2114"/>
      <c r="E48" s="2114"/>
      <c r="F48" s="2114"/>
      <c r="G48" s="2114"/>
      <c r="H48" s="2114"/>
      <c r="I48" s="2114"/>
    </row>
    <row r="49" spans="1:10">
      <c r="A49" s="306"/>
      <c r="B49" s="2114"/>
      <c r="C49" s="2114"/>
      <c r="D49" s="2114"/>
      <c r="E49" s="2114"/>
      <c r="F49" s="2114"/>
      <c r="G49" s="2114"/>
      <c r="H49" s="2114"/>
      <c r="I49" s="2114"/>
    </row>
    <row r="50" spans="1:10">
      <c r="B50" s="2114"/>
      <c r="C50" s="2114"/>
      <c r="D50" s="2114"/>
      <c r="E50" s="2114"/>
      <c r="F50" s="2114"/>
      <c r="G50" s="2114"/>
      <c r="H50" s="2114"/>
      <c r="I50" s="2114"/>
    </row>
    <row r="51" spans="1:10" s="1078" customFormat="1">
      <c r="B51" s="1079"/>
      <c r="C51" s="1079"/>
      <c r="D51" s="1079"/>
      <c r="E51" s="1079"/>
      <c r="F51" s="1079"/>
      <c r="G51" s="1079"/>
      <c r="H51" s="1079"/>
      <c r="I51" s="1079"/>
    </row>
    <row r="52" spans="1:10" s="1078" customFormat="1">
      <c r="B52" s="2114" t="s">
        <v>1159</v>
      </c>
      <c r="C52" s="2114"/>
      <c r="D52" s="2114"/>
      <c r="E52" s="2114"/>
      <c r="F52" s="2114"/>
      <c r="G52" s="2114"/>
      <c r="H52" s="2114"/>
      <c r="I52" s="2114"/>
    </row>
    <row r="53" spans="1:10" s="1078" customFormat="1">
      <c r="B53" s="2114"/>
      <c r="C53" s="2114"/>
      <c r="D53" s="2114"/>
      <c r="E53" s="2114"/>
      <c r="F53" s="2114"/>
      <c r="G53" s="2114"/>
      <c r="H53" s="2114"/>
      <c r="I53" s="2114"/>
    </row>
    <row r="54" spans="1:10">
      <c r="B54" s="2114"/>
      <c r="C54" s="2114"/>
      <c r="D54" s="2114"/>
      <c r="E54" s="2114"/>
      <c r="F54" s="2114"/>
      <c r="G54" s="2114"/>
      <c r="H54" s="2114"/>
      <c r="I54" s="2114"/>
    </row>
    <row r="56" spans="1:10" s="1078" customFormat="1">
      <c r="A56" s="306"/>
      <c r="B56" s="1080"/>
      <c r="C56" s="1080"/>
      <c r="D56" s="1080"/>
      <c r="E56" s="1080"/>
      <c r="F56" s="1080"/>
      <c r="G56" s="1080"/>
      <c r="H56" s="1080"/>
      <c r="I56" s="1080"/>
      <c r="J56" s="959"/>
    </row>
    <row r="57" spans="1:10" s="1078" customFormat="1" ht="17.25" thickBot="1">
      <c r="A57" s="306"/>
      <c r="B57" s="930" t="s">
        <v>1157</v>
      </c>
      <c r="C57" s="931"/>
      <c r="D57" s="931"/>
      <c r="E57" s="931"/>
      <c r="F57" s="931"/>
      <c r="G57" s="931"/>
      <c r="H57" s="931"/>
      <c r="I57" s="931"/>
      <c r="J57" s="959"/>
    </row>
    <row r="58" spans="1:10" ht="85.5">
      <c r="A58" s="306" t="s">
        <v>733</v>
      </c>
      <c r="B58" s="2116" t="s">
        <v>1052</v>
      </c>
      <c r="C58" s="2116"/>
      <c r="D58" s="2116"/>
      <c r="E58" s="2116"/>
      <c r="F58" s="2116"/>
      <c r="G58" s="2116"/>
      <c r="H58" s="2116"/>
      <c r="I58" s="2116"/>
    </row>
    <row r="59" spans="1:10" ht="57">
      <c r="A59" s="306" t="s">
        <v>1055</v>
      </c>
      <c r="B59" s="2115" t="s">
        <v>1053</v>
      </c>
      <c r="C59" s="2115"/>
      <c r="D59" s="2115"/>
      <c r="E59" s="2115"/>
      <c r="F59" s="2115"/>
      <c r="G59" s="2115"/>
      <c r="H59" s="2115"/>
      <c r="I59" s="2115"/>
    </row>
    <row r="60" spans="1:10" ht="85.5">
      <c r="A60" s="306" t="s">
        <v>733</v>
      </c>
      <c r="B60" s="2115" t="s">
        <v>1390</v>
      </c>
      <c r="C60" s="2115"/>
      <c r="D60" s="2115"/>
      <c r="E60" s="2115"/>
      <c r="F60" s="2115"/>
      <c r="G60" s="2115"/>
      <c r="H60" s="2115"/>
      <c r="I60" s="2115"/>
    </row>
    <row r="61" spans="1:10" s="533" customFormat="1">
      <c r="A61" s="306"/>
      <c r="B61" s="929"/>
      <c r="C61" s="929"/>
      <c r="D61" s="929"/>
      <c r="E61" s="929"/>
      <c r="F61" s="929"/>
      <c r="G61" s="929"/>
      <c r="H61" s="929"/>
      <c r="I61" s="929"/>
    </row>
    <row r="63" spans="1:10" ht="17.25" thickBot="1">
      <c r="A63" s="306"/>
      <c r="B63" s="930" t="s">
        <v>1059</v>
      </c>
      <c r="C63" s="931"/>
      <c r="D63" s="931"/>
      <c r="E63" s="931"/>
      <c r="F63" s="931"/>
      <c r="G63" s="931"/>
      <c r="H63" s="931"/>
      <c r="I63" s="931"/>
    </row>
    <row r="64" spans="1:10" ht="15" thickBot="1">
      <c r="A64" s="533"/>
      <c r="B64" s="251"/>
      <c r="C64" s="252"/>
      <c r="D64" s="533"/>
      <c r="E64" s="533"/>
      <c r="F64" s="533"/>
      <c r="G64" s="533"/>
      <c r="H64" s="533"/>
      <c r="I64" s="533"/>
    </row>
    <row r="65" spans="1:9" ht="15.75" thickTop="1" thickBot="1">
      <c r="B65" s="2079" t="s">
        <v>1061</v>
      </c>
      <c r="C65" s="933" t="s">
        <v>1075</v>
      </c>
    </row>
    <row r="66" spans="1:9" ht="15.75" thickTop="1" thickBot="1">
      <c r="B66" s="2080" t="s">
        <v>1062</v>
      </c>
      <c r="C66" s="933" t="s">
        <v>1068</v>
      </c>
    </row>
    <row r="67" spans="1:9" ht="15.75" thickTop="1" thickBot="1">
      <c r="B67" s="2081" t="s">
        <v>297</v>
      </c>
      <c r="C67" s="933" t="s">
        <v>1069</v>
      </c>
    </row>
    <row r="68" spans="1:9" ht="15.75" thickTop="1" thickBot="1">
      <c r="B68" s="2081" t="s">
        <v>1063</v>
      </c>
      <c r="C68" s="933" t="s">
        <v>1070</v>
      </c>
    </row>
    <row r="69" spans="1:9" ht="15.75" thickTop="1" thickBot="1">
      <c r="B69" s="2082" t="s">
        <v>1064</v>
      </c>
      <c r="C69" s="933" t="s">
        <v>1071</v>
      </c>
    </row>
    <row r="70" spans="1:9" ht="15.75" thickTop="1" thickBot="1">
      <c r="B70" s="2082" t="s">
        <v>1065</v>
      </c>
      <c r="C70" s="933" t="s">
        <v>1072</v>
      </c>
    </row>
    <row r="71" spans="1:9" ht="15.75" thickTop="1" thickBot="1">
      <c r="B71" s="2082" t="s">
        <v>10</v>
      </c>
      <c r="C71" s="933" t="s">
        <v>1073</v>
      </c>
    </row>
    <row r="72" spans="1:9" ht="15.75" thickTop="1" thickBot="1">
      <c r="B72" s="2083" t="s">
        <v>1066</v>
      </c>
      <c r="C72" s="933" t="s">
        <v>1074</v>
      </c>
    </row>
    <row r="73" spans="1:9" ht="15.75" thickTop="1" thickBot="1">
      <c r="B73" s="2083" t="s">
        <v>1067</v>
      </c>
      <c r="C73" s="933" t="s">
        <v>1104</v>
      </c>
    </row>
    <row r="74" spans="1:9" ht="15.75" thickTop="1" thickBot="1">
      <c r="B74" s="2083" t="s">
        <v>1105</v>
      </c>
      <c r="C74" s="933" t="s">
        <v>1106</v>
      </c>
    </row>
    <row r="75" spans="1:9" ht="15.75" thickTop="1" thickBot="1">
      <c r="B75" s="2079" t="s">
        <v>1108</v>
      </c>
      <c r="C75" s="933" t="s">
        <v>1109</v>
      </c>
    </row>
    <row r="76" spans="1:9" ht="15" thickTop="1"/>
    <row r="77" spans="1:9" ht="17.25" thickBot="1">
      <c r="A77" s="306"/>
      <c r="B77" s="930" t="s">
        <v>1058</v>
      </c>
      <c r="C77" s="931"/>
      <c r="D77" s="931"/>
      <c r="E77" s="931"/>
      <c r="F77" s="931"/>
      <c r="G77" s="931"/>
      <c r="H77" s="931"/>
      <c r="I77" s="931"/>
    </row>
    <row r="78" spans="1:9">
      <c r="B78" s="251"/>
      <c r="C78" s="252"/>
    </row>
    <row r="79" spans="1:9">
      <c r="B79" s="922"/>
      <c r="C79" s="254" t="s">
        <v>1033</v>
      </c>
    </row>
    <row r="80" spans="1:9" s="453" customFormat="1" ht="6.75">
      <c r="C80" s="927"/>
    </row>
    <row r="81" spans="2:3">
      <c r="B81" s="532" t="s">
        <v>217</v>
      </c>
      <c r="C81" s="254" t="s">
        <v>1047</v>
      </c>
    </row>
    <row r="82" spans="2:3" s="453" customFormat="1" ht="6.75">
      <c r="C82" s="927"/>
    </row>
    <row r="83" spans="2:3">
      <c r="B83" s="247" t="s">
        <v>1034</v>
      </c>
      <c r="C83" s="254" t="s">
        <v>1048</v>
      </c>
    </row>
    <row r="84" spans="2:3" s="453" customFormat="1" ht="6.75">
      <c r="C84" s="927"/>
    </row>
    <row r="85" spans="2:3">
      <c r="B85" s="19" t="s">
        <v>1035</v>
      </c>
      <c r="C85" s="254" t="s">
        <v>1049</v>
      </c>
    </row>
  </sheetData>
  <sheetProtection sheet="1" objects="1" scenarios="1"/>
  <mergeCells count="7">
    <mergeCell ref="B13:I13"/>
    <mergeCell ref="B60:I60"/>
    <mergeCell ref="B58:I58"/>
    <mergeCell ref="B59:I59"/>
    <mergeCell ref="B38:I44"/>
    <mergeCell ref="B46:I50"/>
    <mergeCell ref="B52:I54"/>
  </mergeCells>
  <conditionalFormatting sqref="B79 B83">
    <cfRule type="expression" dxfId="159" priority="1">
      <formula>_xlfn.ISFORMULA(B79)</formula>
    </cfRule>
  </conditionalFormatting>
  <hyperlinks>
    <hyperlink ref="B65" location="'Config'!A1" tooltip="Cliquer pour ouvrir la feuille" display="Config" xr:uid="{00000000-0004-0000-0100-000001000000}"/>
    <hyperlink ref="B66" location="'Synthèse'!A1" tooltip="Cliquer pour ouvrir la feuille" display="Synthèse" xr:uid="{00000000-0004-0000-0100-000002000000}"/>
    <hyperlink ref="B67" location="'Lait'!A1" tooltip="Cliquer pour ouvrir la feuille" display="Lait" xr:uid="{00000000-0004-0000-0100-000003000000}"/>
    <hyperlink ref="B68" location="'RéfLait'!A1" tooltip="Cliquer pour ouvrir la feuille" display="RéfLait" xr:uid="{00000000-0004-0000-0100-000004000000}"/>
    <hyperlink ref="B69" location="'Champs'!A1" tooltip="Cliquer pour ouvrir la feuille" display="Champs" xr:uid="{00000000-0004-0000-0100-000005000000}"/>
    <hyperlink ref="B70" location="'RéfChamps'!A1" tooltip="Cliquer pour ouvrir la feuille" display="RéfChamps" xr:uid="{00000000-0004-0000-0100-000006000000}"/>
    <hyperlink ref="B71" location="'Investissements'!A1" tooltip="Cliquer pour ouvrir la feuille" display="Investissements" xr:uid="{00000000-0004-0000-0100-000007000000}"/>
    <hyperlink ref="B72" location="'Normes'!A1" tooltip="Cliquer pour ouvrir la feuille" display="Normes" xr:uid="{00000000-0004-0000-0100-000008000000}"/>
    <hyperlink ref="B73" location="'Motivations &amp; Freins'!A1" tooltip="Cliquer pour ouvrir la feuille" display="Motivations &amp; Freins" xr:uid="{00000000-0004-0000-0100-000009000000}"/>
    <hyperlink ref="B74" location="'Description'!A1" tooltip="Cliquer pour ouvrir la feuille" display="Description" xr:uid="{00000000-0004-0000-0100-00000A000000}"/>
    <hyperlink ref="B75" location="'Impression'!A1" tooltip="Cliquer pour ouvrir la feuille" display="Impression" xr:uid="{00000000-0004-0000-0100-00000B000000}"/>
    <hyperlink ref="G5" r:id="rId1" tooltip="Visitez la page de Transition Bio Express sur le site du CETAB+ pour des mises à jour." xr:uid="{53E32AC5-523D-4207-888F-B693565377FA}"/>
  </hyperlinks>
  <pageMargins left="1" right="1" top="1" bottom="1" header="0.5" footer="0.5"/>
  <pageSetup orientation="portrait" r:id="rId2"/>
  <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config">
    <tabColor theme="6"/>
  </sheetPr>
  <dimension ref="A1:R37"/>
  <sheetViews>
    <sheetView showGridLines="0" workbookViewId="0">
      <selection activeCell="E5" sqref="E5"/>
    </sheetView>
  </sheetViews>
  <sheetFormatPr baseColWidth="10" defaultColWidth="9.140625" defaultRowHeight="14.25"/>
  <cols>
    <col min="1" max="1" width="4.42578125" style="30" customWidth="1"/>
    <col min="2" max="3" width="21.5703125" style="15" customWidth="1"/>
    <col min="4" max="4" width="6" style="15" customWidth="1"/>
    <col min="5" max="5" width="22.5703125" style="15" customWidth="1"/>
    <col min="6" max="6" width="4.85546875" style="15" customWidth="1"/>
    <col min="7" max="7" width="6.42578125" style="15" customWidth="1"/>
    <col min="8" max="8" width="16.42578125" style="15" customWidth="1"/>
    <col min="9" max="9" width="11.85546875" style="15" customWidth="1"/>
    <col min="10" max="10" width="4.42578125" style="97" customWidth="1"/>
    <col min="11" max="11" width="1.85546875" style="15" customWidth="1"/>
    <col min="12" max="13" width="9.42578125" style="15" customWidth="1"/>
    <col min="14" max="14" width="3.85546875" style="15" hidden="1" customWidth="1"/>
    <col min="15" max="15" width="7.28515625" style="15" hidden="1" customWidth="1"/>
    <col min="16" max="16" width="13.7109375" style="15" hidden="1" customWidth="1"/>
    <col min="17" max="19" width="9.42578125" style="15" customWidth="1"/>
    <col min="20" max="16384" width="9.140625" style="15"/>
  </cols>
  <sheetData>
    <row r="1" spans="1:18" s="1498" customFormat="1" ht="27" thickBot="1">
      <c r="A1" s="1495"/>
      <c r="B1" s="1496" t="s">
        <v>936</v>
      </c>
      <c r="C1" s="1497"/>
      <c r="D1" s="1496"/>
      <c r="E1" s="1496"/>
      <c r="F1" s="1496"/>
      <c r="G1" s="1496"/>
      <c r="H1" s="1496"/>
      <c r="I1" s="1496"/>
      <c r="J1" s="1496"/>
      <c r="K1" s="1554" t="b">
        <v>0</v>
      </c>
    </row>
    <row r="2" spans="1:18" ht="15" thickTop="1">
      <c r="B2"/>
      <c r="N2" s="1333" t="s">
        <v>604</v>
      </c>
      <c r="O2" s="1332"/>
      <c r="P2" s="1332"/>
      <c r="Q2" s="1332"/>
    </row>
    <row r="3" spans="1:18">
      <c r="K3"/>
      <c r="N3" s="50" t="s">
        <v>289</v>
      </c>
      <c r="O3" s="2125"/>
      <c r="P3" s="2126"/>
      <c r="R3"/>
    </row>
    <row r="4" spans="1:18" ht="15" thickBot="1">
      <c r="B4" s="1040" t="s">
        <v>603</v>
      </c>
      <c r="C4" s="1040" t="s">
        <v>602</v>
      </c>
      <c r="E4" s="1041" t="s">
        <v>1387</v>
      </c>
      <c r="F4" s="253"/>
      <c r="G4"/>
      <c r="H4" s="1042" t="s">
        <v>605</v>
      </c>
      <c r="K4"/>
      <c r="N4" s="50" t="s">
        <v>290</v>
      </c>
      <c r="O4" s="2125"/>
      <c r="P4" s="2126"/>
      <c r="Q4"/>
      <c r="R4"/>
    </row>
    <row r="5" spans="1:18">
      <c r="B5" s="1649" t="b">
        <v>1</v>
      </c>
      <c r="C5" s="1897"/>
      <c r="D5" s="1329"/>
      <c r="E5" s="1912">
        <v>1</v>
      </c>
      <c r="F5" s="1493"/>
      <c r="H5" s="1044"/>
      <c r="I5" s="1045"/>
      <c r="J5" s="1045"/>
      <c r="K5" s="1046"/>
      <c r="N5" s="50" t="s">
        <v>291</v>
      </c>
      <c r="O5" s="2125"/>
      <c r="P5" s="2126"/>
      <c r="Q5"/>
      <c r="R5"/>
    </row>
    <row r="6" spans="1:18">
      <c r="B6" s="1649" t="b">
        <v>1</v>
      </c>
      <c r="C6" s="1898" t="s">
        <v>1497</v>
      </c>
      <c r="D6" s="1330"/>
      <c r="E6" s="1888" t="b">
        <f>TypeDeFerme=1</f>
        <v>1</v>
      </c>
      <c r="F6" s="1896"/>
      <c r="H6" s="1047"/>
      <c r="I6" s="32"/>
      <c r="J6" s="32"/>
      <c r="K6" s="1048"/>
      <c r="N6" s="50" t="s">
        <v>292</v>
      </c>
      <c r="O6" s="2125"/>
      <c r="P6" s="2126"/>
      <c r="Q6"/>
      <c r="R6"/>
    </row>
    <row r="7" spans="1:18">
      <c r="B7" s="1649" t="b">
        <v>1</v>
      </c>
      <c r="C7" s="1898" t="s">
        <v>1498</v>
      </c>
      <c r="D7" s="1330"/>
      <c r="E7" s="1490"/>
      <c r="F7" s="1491"/>
      <c r="H7" s="1049"/>
      <c r="I7" s="28"/>
      <c r="J7" s="32"/>
      <c r="K7" s="1048"/>
      <c r="N7" s="50" t="s">
        <v>293</v>
      </c>
      <c r="O7" s="2125"/>
      <c r="P7" s="2126"/>
      <c r="Q7"/>
      <c r="R7"/>
    </row>
    <row r="8" spans="1:18">
      <c r="B8" s="1649" t="b">
        <v>1</v>
      </c>
      <c r="C8" s="1898" t="s">
        <v>1499</v>
      </c>
      <c r="D8" s="1330"/>
      <c r="E8" s="1486"/>
      <c r="F8" s="1487"/>
      <c r="H8" s="1050" t="s">
        <v>1201</v>
      </c>
      <c r="I8" s="1492">
        <v>43269</v>
      </c>
      <c r="J8" s="32"/>
      <c r="K8" s="1048"/>
      <c r="N8"/>
      <c r="O8"/>
      <c r="P8"/>
      <c r="Q8"/>
      <c r="R8"/>
    </row>
    <row r="9" spans="1:18" ht="15" thickBot="1">
      <c r="B9" s="1649" t="b">
        <v>1</v>
      </c>
      <c r="C9" s="1898" t="s">
        <v>12</v>
      </c>
      <c r="D9" s="1330"/>
      <c r="E9" s="1488"/>
      <c r="F9" s="1489"/>
      <c r="G9"/>
      <c r="H9" s="1047"/>
      <c r="I9" s="263" t="str">
        <f ca="1">IFERROR("(il y a "&amp;TODAY()-I8&amp;" jours)","")</f>
        <v>(il y a 841 jours)</v>
      </c>
      <c r="J9" s="28"/>
      <c r="K9" s="1051"/>
      <c r="N9"/>
      <c r="O9"/>
      <c r="P9"/>
      <c r="Q9"/>
      <c r="R9"/>
    </row>
    <row r="10" spans="1:18">
      <c r="B10" s="259"/>
      <c r="C10" s="257"/>
      <c r="G10"/>
      <c r="H10" s="1049"/>
      <c r="I10" s="28"/>
      <c r="J10" s="258"/>
      <c r="K10" s="1048"/>
      <c r="N10"/>
      <c r="O10"/>
      <c r="P10"/>
      <c r="Q10"/>
      <c r="R10"/>
    </row>
    <row r="11" spans="1:18" ht="15" thickBot="1">
      <c r="B11" s="260"/>
      <c r="C11" s="261"/>
      <c r="H11" s="1049"/>
      <c r="I11" s="28"/>
      <c r="J11" s="1494" t="b">
        <v>0</v>
      </c>
      <c r="K11" s="1048"/>
      <c r="N11"/>
      <c r="O11"/>
      <c r="P11"/>
      <c r="Q11"/>
      <c r="R11"/>
    </row>
    <row r="12" spans="1:18">
      <c r="E12"/>
      <c r="F12"/>
      <c r="H12" s="1052" t="s">
        <v>1388</v>
      </c>
      <c r="I12" s="262"/>
      <c r="J12" s="1053">
        <v>1</v>
      </c>
      <c r="K12" s="1054"/>
      <c r="N12"/>
      <c r="O12"/>
      <c r="P12"/>
      <c r="Q12"/>
      <c r="R12" s="9"/>
    </row>
    <row r="13" spans="1:18" s="48" customFormat="1" ht="15" thickBot="1">
      <c r="A13" s="30"/>
      <c r="B13" s="1573" t="s">
        <v>304</v>
      </c>
      <c r="C13" s="1290"/>
      <c r="E13" s="1043" t="s">
        <v>601</v>
      </c>
      <c r="F13"/>
      <c r="H13" s="1055"/>
      <c r="I13" s="1056"/>
      <c r="J13" s="1056"/>
      <c r="K13" s="1057"/>
      <c r="N13" s="9"/>
      <c r="O13" s="9"/>
      <c r="P13" s="9"/>
      <c r="Q13" s="9"/>
      <c r="R13" s="49"/>
    </row>
    <row r="14" spans="1:18">
      <c r="A14" s="1331" t="s">
        <v>305</v>
      </c>
      <c r="B14" s="250" t="s">
        <v>1267</v>
      </c>
      <c r="C14" s="250" t="s">
        <v>1266</v>
      </c>
      <c r="E14" s="21" t="s">
        <v>270</v>
      </c>
      <c r="N14" s="49"/>
      <c r="O14" s="49"/>
      <c r="P14" s="49"/>
      <c r="Q14" s="49"/>
      <c r="R14"/>
    </row>
    <row r="15" spans="1:18" s="8" customFormat="1" ht="15" thickBot="1">
      <c r="B15" s="1850"/>
      <c r="C15" s="1572"/>
      <c r="E15" s="21" t="s">
        <v>271</v>
      </c>
      <c r="H15" s="1042" t="s">
        <v>1147</v>
      </c>
      <c r="I15" s="97"/>
      <c r="J15" s="97"/>
      <c r="K15" s="984"/>
      <c r="N15"/>
      <c r="O15"/>
      <c r="P15"/>
      <c r="Q15"/>
    </row>
    <row r="16" spans="1:18" s="8" customFormat="1">
      <c r="A16" s="1571" t="s">
        <v>2</v>
      </c>
      <c r="B16" s="1568" t="s">
        <v>2</v>
      </c>
      <c r="C16" s="1568" t="s">
        <v>2</v>
      </c>
      <c r="D16" s="480" t="s">
        <v>1306</v>
      </c>
      <c r="E16" s="21" t="s">
        <v>272</v>
      </c>
      <c r="F16" s="25"/>
      <c r="H16" s="1044"/>
      <c r="I16" s="1045"/>
      <c r="J16" s="1045"/>
      <c r="K16" s="1046"/>
    </row>
    <row r="17" spans="1:11" s="8" customFormat="1">
      <c r="A17" s="1331" t="s">
        <v>142</v>
      </c>
      <c r="B17" s="1569" t="s">
        <v>142</v>
      </c>
      <c r="C17" s="1569" t="s">
        <v>142</v>
      </c>
      <c r="D17" s="480" t="s">
        <v>1400</v>
      </c>
      <c r="E17" s="480" t="s">
        <v>1458</v>
      </c>
      <c r="H17" s="1047"/>
      <c r="I17" s="32"/>
      <c r="J17" s="32"/>
      <c r="K17" s="1048"/>
    </row>
    <row r="18" spans="1:11" s="8" customFormat="1" ht="15" thickBot="1">
      <c r="A18" s="1331" t="s">
        <v>11</v>
      </c>
      <c r="B18" s="1569" t="s">
        <v>0</v>
      </c>
      <c r="C18" s="1569" t="s">
        <v>0</v>
      </c>
      <c r="D18" s="480" t="s">
        <v>1401</v>
      </c>
      <c r="E18" s="1577" t="s">
        <v>1459</v>
      </c>
      <c r="H18" s="1058"/>
      <c r="I18" s="1059"/>
      <c r="J18" s="1059"/>
      <c r="K18" s="1060"/>
    </row>
    <row r="19" spans="1:11" s="8" customFormat="1" ht="14.25" customHeight="1">
      <c r="A19" s="1331" t="s">
        <v>0</v>
      </c>
      <c r="B19" s="1569" t="s">
        <v>140</v>
      </c>
      <c r="C19" s="1569" t="s">
        <v>140</v>
      </c>
      <c r="D19" s="480" t="s">
        <v>1402</v>
      </c>
      <c r="E19" s="480" t="s">
        <v>1460</v>
      </c>
    </row>
    <row r="20" spans="1:11" s="8" customFormat="1">
      <c r="A20" s="1331" t="s">
        <v>140</v>
      </c>
      <c r="B20" s="1569" t="s">
        <v>1</v>
      </c>
      <c r="C20" s="1569"/>
      <c r="D20" s="480" t="s">
        <v>1403</v>
      </c>
      <c r="E20" s="480" t="s">
        <v>1461</v>
      </c>
      <c r="H20" s="2123" t="s">
        <v>1484</v>
      </c>
      <c r="I20" s="2123"/>
      <c r="J20" s="2123"/>
      <c r="K20" s="1519"/>
    </row>
    <row r="21" spans="1:11" s="8" customFormat="1" ht="15" thickBot="1">
      <c r="A21" s="1331" t="s">
        <v>1</v>
      </c>
      <c r="B21" s="1569" t="s">
        <v>3</v>
      </c>
      <c r="C21" s="1569"/>
      <c r="D21" s="480" t="s">
        <v>1404</v>
      </c>
      <c r="E21" s="480" t="s">
        <v>1462</v>
      </c>
      <c r="G21" s="25"/>
      <c r="H21" s="2124"/>
      <c r="I21" s="2124"/>
      <c r="J21" s="2124"/>
    </row>
    <row r="22" spans="1:11" s="8" customFormat="1">
      <c r="A22" s="1331" t="s">
        <v>3</v>
      </c>
      <c r="B22" s="1569" t="s">
        <v>6</v>
      </c>
      <c r="C22" s="1569"/>
      <c r="D22" s="480" t="s">
        <v>1405</v>
      </c>
      <c r="E22" s="480" t="s">
        <v>1463</v>
      </c>
      <c r="H22" s="1044"/>
      <c r="I22" s="1045"/>
      <c r="J22" s="1045"/>
      <c r="K22" s="1046"/>
    </row>
    <row r="23" spans="1:11" s="8" customFormat="1">
      <c r="A23" s="1331" t="s">
        <v>4</v>
      </c>
      <c r="B23" s="1569" t="s">
        <v>26</v>
      </c>
      <c r="C23" s="1569"/>
      <c r="D23" s="480" t="s">
        <v>1406</v>
      </c>
      <c r="E23" s="480" t="s">
        <v>1464</v>
      </c>
      <c r="H23" s="1047"/>
      <c r="I23" s="32"/>
      <c r="J23" s="32"/>
      <c r="K23" s="1048"/>
    </row>
    <row r="24" spans="1:11" s="8" customFormat="1">
      <c r="A24" s="1331" t="s">
        <v>5</v>
      </c>
      <c r="B24" s="1569"/>
      <c r="C24" s="1569"/>
      <c r="D24" s="480" t="s">
        <v>1407</v>
      </c>
      <c r="E24" s="480" t="s">
        <v>1465</v>
      </c>
      <c r="H24" s="1847"/>
      <c r="I24" s="240"/>
      <c r="J24" s="240"/>
      <c r="K24" s="1848"/>
    </row>
    <row r="25" spans="1:11" s="8" customFormat="1" ht="14.25" customHeight="1">
      <c r="A25" s="1331" t="s">
        <v>6</v>
      </c>
      <c r="B25" s="1569"/>
      <c r="C25" s="1569"/>
      <c r="D25" s="480" t="s">
        <v>1408</v>
      </c>
      <c r="E25" s="480" t="s">
        <v>1466</v>
      </c>
      <c r="H25" s="1847"/>
      <c r="I25" s="240"/>
      <c r="J25" s="240"/>
      <c r="K25" s="1848"/>
    </row>
    <row r="26" spans="1:11" s="8" customFormat="1" ht="14.25" customHeight="1">
      <c r="A26" s="1331" t="s">
        <v>7</v>
      </c>
      <c r="B26" s="1569"/>
      <c r="C26" s="1569"/>
      <c r="D26" s="480" t="s">
        <v>1409</v>
      </c>
      <c r="E26" s="480" t="s">
        <v>1481</v>
      </c>
      <c r="H26" s="1868" t="s">
        <v>1487</v>
      </c>
      <c r="I26" s="1869"/>
      <c r="J26" s="1869"/>
      <c r="K26" s="1870"/>
    </row>
    <row r="27" spans="1:11" s="8" customFormat="1">
      <c r="A27" s="1331" t="s">
        <v>1291</v>
      </c>
      <c r="B27" s="1569"/>
      <c r="C27" s="1569"/>
      <c r="D27" s="480" t="s">
        <v>1410</v>
      </c>
      <c r="E27" s="480" t="s">
        <v>1467</v>
      </c>
      <c r="H27" s="2117" t="s">
        <v>1488</v>
      </c>
      <c r="I27" s="2118"/>
      <c r="J27" s="2118"/>
      <c r="K27" s="2119"/>
    </row>
    <row r="28" spans="1:11" s="8" customFormat="1">
      <c r="A28" s="1331" t="s">
        <v>1294</v>
      </c>
      <c r="B28" s="1569"/>
      <c r="C28" s="1569"/>
      <c r="D28" s="480" t="s">
        <v>1411</v>
      </c>
      <c r="E28" s="480" t="s">
        <v>1468</v>
      </c>
      <c r="H28" s="2120"/>
      <c r="I28" s="2121"/>
      <c r="J28" s="2121"/>
      <c r="K28" s="2122"/>
    </row>
    <row r="29" spans="1:11" s="8" customFormat="1">
      <c r="A29" s="1331" t="s">
        <v>218</v>
      </c>
      <c r="B29" s="1569"/>
      <c r="C29" s="1569"/>
      <c r="D29" s="480" t="s">
        <v>1412</v>
      </c>
      <c r="E29" s="480" t="s">
        <v>1469</v>
      </c>
      <c r="H29" s="1873"/>
      <c r="I29" s="1871"/>
      <c r="J29" s="1871"/>
      <c r="K29" s="1872"/>
    </row>
    <row r="30" spans="1:11" s="8" customFormat="1" ht="15" customHeight="1" thickBot="1">
      <c r="A30" s="1331" t="s">
        <v>1261</v>
      </c>
      <c r="B30" s="1569"/>
      <c r="C30" s="1569"/>
      <c r="D30" s="480" t="s">
        <v>1413</v>
      </c>
      <c r="E30" s="480" t="s">
        <v>1470</v>
      </c>
      <c r="G30" s="37"/>
      <c r="H30" s="1864" t="str">
        <f>"Classeur courant: version " &amp;version</f>
        <v>Classeur courant: version 1,32</v>
      </c>
      <c r="I30" s="1865"/>
      <c r="J30" s="1866"/>
      <c r="K30" s="1867"/>
    </row>
    <row r="31" spans="1:11" s="8" customFormat="1">
      <c r="A31" s="1331" t="s">
        <v>219</v>
      </c>
      <c r="B31" s="1569"/>
      <c r="C31" s="1569"/>
      <c r="D31" s="480" t="s">
        <v>1414</v>
      </c>
      <c r="E31" s="480" t="s">
        <v>1471</v>
      </c>
    </row>
    <row r="32" spans="1:11" s="8" customFormat="1">
      <c r="A32" s="1331" t="s">
        <v>1262</v>
      </c>
      <c r="B32" s="1569"/>
      <c r="C32" s="1569"/>
      <c r="D32" s="480" t="s">
        <v>1415</v>
      </c>
      <c r="E32" s="480" t="s">
        <v>1472</v>
      </c>
    </row>
    <row r="33" spans="1:5" s="8" customFormat="1">
      <c r="A33" s="1331" t="str">
        <f>nAutre1</f>
        <v>Autre #1</v>
      </c>
      <c r="B33" s="1569"/>
      <c r="C33" s="1569"/>
      <c r="D33" s="480" t="s">
        <v>1416</v>
      </c>
      <c r="E33" s="480" t="s">
        <v>1473</v>
      </c>
    </row>
    <row r="34" spans="1:5">
      <c r="A34" s="1331" t="str">
        <f>nAutre2</f>
        <v>Autre #2</v>
      </c>
      <c r="B34" s="1569"/>
      <c r="C34" s="1569"/>
      <c r="D34" s="480" t="s">
        <v>1417</v>
      </c>
      <c r="E34" s="480" t="s">
        <v>1474</v>
      </c>
    </row>
    <row r="35" spans="1:5">
      <c r="A35" s="1331" t="str">
        <f>nAutre3</f>
        <v>Autre #3</v>
      </c>
      <c r="B35" s="1569"/>
      <c r="C35" s="1569"/>
      <c r="D35" s="480" t="s">
        <v>1420</v>
      </c>
      <c r="E35" s="480" t="s">
        <v>1477</v>
      </c>
    </row>
    <row r="36" spans="1:5" ht="15" thickBot="1">
      <c r="A36" s="1331" t="s">
        <v>26</v>
      </c>
      <c r="B36" s="1570"/>
      <c r="C36" s="1570"/>
      <c r="D36" s="480" t="s">
        <v>1418</v>
      </c>
      <c r="E36" s="480" t="s">
        <v>1475</v>
      </c>
    </row>
    <row r="37" spans="1:5">
      <c r="B37" s="93"/>
      <c r="C37" s="93"/>
      <c r="D37" s="480" t="s">
        <v>1419</v>
      </c>
      <c r="E37" s="480" t="s">
        <v>1476</v>
      </c>
    </row>
  </sheetData>
  <sheetProtection sheet="1" objects="1" scenarios="1" selectLockedCells="1"/>
  <mergeCells count="7">
    <mergeCell ref="H27:K28"/>
    <mergeCell ref="H20:J21"/>
    <mergeCell ref="O7:P7"/>
    <mergeCell ref="O3:P3"/>
    <mergeCell ref="O4:P4"/>
    <mergeCell ref="O5:P5"/>
    <mergeCell ref="O6:P6"/>
  </mergeCells>
  <conditionalFormatting sqref="C5:C9">
    <cfRule type="expression" dxfId="158" priority="6">
      <formula>NOT(B5)</formula>
    </cfRule>
  </conditionalFormatting>
  <conditionalFormatting sqref="H12:J12">
    <cfRule type="expression" dxfId="157" priority="5">
      <formula>NOT(backupAutomatique)</formula>
    </cfRule>
  </conditionalFormatting>
  <conditionalFormatting sqref="H27:K28">
    <cfRule type="notContainsText" dxfId="156" priority="1" operator="notContains" text="Ouvrez un classeur avant de lancer l'importation">
      <formula>ISERROR(SEARCH("Ouvrez un classeur avant de lancer l'importation",H27))</formula>
    </cfRule>
  </conditionalFormatting>
  <dataValidations count="2">
    <dataValidation type="decimal" operator="greaterThan" allowBlank="1" showInputMessage="1" showErrorMessage="1" sqref="J12" xr:uid="{00000000-0002-0000-0200-000000000000}">
      <formula1>0</formula1>
    </dataValidation>
    <dataValidation type="whole" showErrorMessage="1" sqref="E5" xr:uid="{00000000-0002-0000-0200-000001000000}">
      <formula1>1</formula1>
      <formula2>2</formula2>
    </dataValidation>
  </dataValidations>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8248" r:id="rId4" name="chkboxScenario1">
              <controlPr defaultSize="0" print="0" autoFill="0" autoLine="0" autoPict="0" macro="[0]!config.toggleScenario1">
                <anchor moveWithCells="1">
                  <from>
                    <xdr:col>1</xdr:col>
                    <xdr:colOff>9525</xdr:colOff>
                    <xdr:row>4</xdr:row>
                    <xdr:rowOff>9525</xdr:rowOff>
                  </from>
                  <to>
                    <xdr:col>1</xdr:col>
                    <xdr:colOff>1428750</xdr:colOff>
                    <xdr:row>4</xdr:row>
                    <xdr:rowOff>171450</xdr:rowOff>
                  </to>
                </anchor>
              </controlPr>
            </control>
          </mc:Choice>
        </mc:AlternateContent>
        <mc:AlternateContent xmlns:mc="http://schemas.openxmlformats.org/markup-compatibility/2006">
          <mc:Choice Requires="x14">
            <control shapeId="8249" r:id="rId5" name="chkboxScenario2">
              <controlPr defaultSize="0" print="0" autoFill="0" autoLine="0" autoPict="0" macro="[0]!config.toggleScenario2">
                <anchor moveWithCells="1">
                  <from>
                    <xdr:col>1</xdr:col>
                    <xdr:colOff>9525</xdr:colOff>
                    <xdr:row>5</xdr:row>
                    <xdr:rowOff>9525</xdr:rowOff>
                  </from>
                  <to>
                    <xdr:col>1</xdr:col>
                    <xdr:colOff>1428750</xdr:colOff>
                    <xdr:row>5</xdr:row>
                    <xdr:rowOff>171450</xdr:rowOff>
                  </to>
                </anchor>
              </controlPr>
            </control>
          </mc:Choice>
        </mc:AlternateContent>
        <mc:AlternateContent xmlns:mc="http://schemas.openxmlformats.org/markup-compatibility/2006">
          <mc:Choice Requires="x14">
            <control shapeId="8250" r:id="rId6" name="chkboxScenario3">
              <controlPr defaultSize="0" print="0" autoFill="0" autoLine="0" autoPict="0" macro="[0]!config.toggleScenario3">
                <anchor moveWithCells="1">
                  <from>
                    <xdr:col>1</xdr:col>
                    <xdr:colOff>9525</xdr:colOff>
                    <xdr:row>6</xdr:row>
                    <xdr:rowOff>9525</xdr:rowOff>
                  </from>
                  <to>
                    <xdr:col>1</xdr:col>
                    <xdr:colOff>1428750</xdr:colOff>
                    <xdr:row>6</xdr:row>
                    <xdr:rowOff>171450</xdr:rowOff>
                  </to>
                </anchor>
              </controlPr>
            </control>
          </mc:Choice>
        </mc:AlternateContent>
        <mc:AlternateContent xmlns:mc="http://schemas.openxmlformats.org/markup-compatibility/2006">
          <mc:Choice Requires="x14">
            <control shapeId="8251" r:id="rId7" name="chkboxScenario4">
              <controlPr defaultSize="0" print="0" autoFill="0" autoLine="0" autoPict="0" macro="[0]!config.toggleScenario4">
                <anchor moveWithCells="1">
                  <from>
                    <xdr:col>1</xdr:col>
                    <xdr:colOff>9525</xdr:colOff>
                    <xdr:row>7</xdr:row>
                    <xdr:rowOff>9525</xdr:rowOff>
                  </from>
                  <to>
                    <xdr:col>1</xdr:col>
                    <xdr:colOff>1428750</xdr:colOff>
                    <xdr:row>7</xdr:row>
                    <xdr:rowOff>171450</xdr:rowOff>
                  </to>
                </anchor>
              </controlPr>
            </control>
          </mc:Choice>
        </mc:AlternateContent>
        <mc:AlternateContent xmlns:mc="http://schemas.openxmlformats.org/markup-compatibility/2006">
          <mc:Choice Requires="x14">
            <control shapeId="8252" r:id="rId8" name="chkboxScenario5">
              <controlPr defaultSize="0" print="0" autoFill="0" autoLine="0" autoPict="0" macro="[0]!config.toggleScenario5">
                <anchor moveWithCells="1">
                  <from>
                    <xdr:col>1</xdr:col>
                    <xdr:colOff>9525</xdr:colOff>
                    <xdr:row>8</xdr:row>
                    <xdr:rowOff>9525</xdr:rowOff>
                  </from>
                  <to>
                    <xdr:col>1</xdr:col>
                    <xdr:colOff>1428750</xdr:colOff>
                    <xdr:row>8</xdr:row>
                    <xdr:rowOff>180975</xdr:rowOff>
                  </to>
                </anchor>
              </controlPr>
            </control>
          </mc:Choice>
        </mc:AlternateContent>
        <mc:AlternateContent xmlns:mc="http://schemas.openxmlformats.org/markup-compatibility/2006">
          <mc:Choice Requires="x14">
            <control shapeId="8255" r:id="rId9" name="radioFermelaitiere">
              <controlPr defaultSize="0" print="0" autoFill="0" autoLine="0" autoPict="0" macro="[0]!SwitchTypeDeFerme">
                <anchor moveWithCells="1">
                  <from>
                    <xdr:col>4</xdr:col>
                    <xdr:colOff>9525</xdr:colOff>
                    <xdr:row>4</xdr:row>
                    <xdr:rowOff>28575</xdr:rowOff>
                  </from>
                  <to>
                    <xdr:col>5</xdr:col>
                    <xdr:colOff>9525</xdr:colOff>
                    <xdr:row>5</xdr:row>
                    <xdr:rowOff>47625</xdr:rowOff>
                  </to>
                </anchor>
              </controlPr>
            </control>
          </mc:Choice>
        </mc:AlternateContent>
        <mc:AlternateContent xmlns:mc="http://schemas.openxmlformats.org/markup-compatibility/2006">
          <mc:Choice Requires="x14">
            <control shapeId="8256" r:id="rId10" name="radioFermedegrandescultures">
              <controlPr defaultSize="0" print="0" autoFill="0" autoLine="0" autoPict="0" macro="[0]!SwitchTypeDeFerme">
                <anchor moveWithCells="1">
                  <from>
                    <xdr:col>4</xdr:col>
                    <xdr:colOff>0</xdr:colOff>
                    <xdr:row>5</xdr:row>
                    <xdr:rowOff>28575</xdr:rowOff>
                  </from>
                  <to>
                    <xdr:col>5</xdr:col>
                    <xdr:colOff>0</xdr:colOff>
                    <xdr:row>6</xdr:row>
                    <xdr:rowOff>66675</xdr:rowOff>
                  </to>
                </anchor>
              </controlPr>
            </control>
          </mc:Choice>
        </mc:AlternateContent>
        <mc:AlternateContent xmlns:mc="http://schemas.openxmlformats.org/markup-compatibility/2006">
          <mc:Choice Requires="x14">
            <control shapeId="8258" r:id="rId11" name="listboxCulturesChamps">
              <controlPr defaultSize="0" print="0" autoLine="0" autoPict="0">
                <anchor moveWithCells="1">
                  <from>
                    <xdr:col>1</xdr:col>
                    <xdr:colOff>9525</xdr:colOff>
                    <xdr:row>15</xdr:row>
                    <xdr:rowOff>9525</xdr:rowOff>
                  </from>
                  <to>
                    <xdr:col>1</xdr:col>
                    <xdr:colOff>1428750</xdr:colOff>
                    <xdr:row>35</xdr:row>
                    <xdr:rowOff>180975</xdr:rowOff>
                  </to>
                </anchor>
              </controlPr>
            </control>
          </mc:Choice>
        </mc:AlternateContent>
        <mc:AlternateContent xmlns:mc="http://schemas.openxmlformats.org/markup-compatibility/2006">
          <mc:Choice Requires="x14">
            <control shapeId="8261" r:id="rId12" name="listboxCulturesLait">
              <controlPr defaultSize="0" print="0" autoPict="0">
                <anchor moveWithCells="1">
                  <from>
                    <xdr:col>2</xdr:col>
                    <xdr:colOff>9525</xdr:colOff>
                    <xdr:row>15</xdr:row>
                    <xdr:rowOff>9525</xdr:rowOff>
                  </from>
                  <to>
                    <xdr:col>2</xdr:col>
                    <xdr:colOff>1428750</xdr:colOff>
                    <xdr:row>35</xdr:row>
                    <xdr:rowOff>180975</xdr:rowOff>
                  </to>
                </anchor>
              </controlPr>
            </control>
          </mc:Choice>
        </mc:AlternateContent>
        <mc:AlternateContent xmlns:mc="http://schemas.openxmlformats.org/markup-compatibility/2006">
          <mc:Choice Requires="x14">
            <control shapeId="8262" r:id="rId13" name="Button 70">
              <controlPr defaultSize="0" print="0" autoFill="0" autoPict="0" macro="[0]!config.cmdBackup_Click">
                <anchor moveWithCells="1">
                  <from>
                    <xdr:col>7</xdr:col>
                    <xdr:colOff>381000</xdr:colOff>
                    <xdr:row>4</xdr:row>
                    <xdr:rowOff>104775</xdr:rowOff>
                  </from>
                  <to>
                    <xdr:col>9</xdr:col>
                    <xdr:colOff>257175</xdr:colOff>
                    <xdr:row>6</xdr:row>
                    <xdr:rowOff>0</xdr:rowOff>
                  </to>
                </anchor>
              </controlPr>
            </control>
          </mc:Choice>
        </mc:AlternateContent>
        <mc:AlternateContent xmlns:mc="http://schemas.openxmlformats.org/markup-compatibility/2006">
          <mc:Choice Requires="x14">
            <control shapeId="8263" r:id="rId14" name="chkAutoBackup">
              <controlPr defaultSize="0" print="0" autoFill="0" autoLine="0" autoPict="0">
                <anchor moveWithCells="1">
                  <from>
                    <xdr:col>7</xdr:col>
                    <xdr:colOff>123825</xdr:colOff>
                    <xdr:row>9</xdr:row>
                    <xdr:rowOff>85725</xdr:rowOff>
                  </from>
                  <to>
                    <xdr:col>9</xdr:col>
                    <xdr:colOff>142875</xdr:colOff>
                    <xdr:row>10</xdr:row>
                    <xdr:rowOff>142875</xdr:rowOff>
                  </to>
                </anchor>
              </controlPr>
            </control>
          </mc:Choice>
        </mc:AlternateContent>
        <mc:AlternateContent xmlns:mc="http://schemas.openxmlformats.org/markup-compatibility/2006">
          <mc:Choice Requires="x14">
            <control shapeId="8265" r:id="rId15" name="Button 73">
              <controlPr defaultSize="0" print="0" autoFill="0" autoPict="0" macro="[0]!ResetWorkbook">
                <anchor moveWithCells="1">
                  <from>
                    <xdr:col>7</xdr:col>
                    <xdr:colOff>381000</xdr:colOff>
                    <xdr:row>15</xdr:row>
                    <xdr:rowOff>142875</xdr:rowOff>
                  </from>
                  <to>
                    <xdr:col>9</xdr:col>
                    <xdr:colOff>238125</xdr:colOff>
                    <xdr:row>17</xdr:row>
                    <xdr:rowOff>38100</xdr:rowOff>
                  </to>
                </anchor>
              </controlPr>
            </control>
          </mc:Choice>
        </mc:AlternateContent>
        <mc:AlternateContent xmlns:mc="http://schemas.openxmlformats.org/markup-compatibility/2006">
          <mc:Choice Requires="x14">
            <control shapeId="8266" r:id="rId16" name="AppliquerCulturesChamps">
              <controlPr defaultSize="0" print="0" autoFill="0" autoPict="0" macro="[0]!AppliquerListeCulturesChamps">
                <anchor moveWithCells="1" sizeWithCells="1">
                  <from>
                    <xdr:col>1</xdr:col>
                    <xdr:colOff>9525</xdr:colOff>
                    <xdr:row>14</xdr:row>
                    <xdr:rowOff>9525</xdr:rowOff>
                  </from>
                  <to>
                    <xdr:col>1</xdr:col>
                    <xdr:colOff>1438275</xdr:colOff>
                    <xdr:row>14</xdr:row>
                    <xdr:rowOff>180975</xdr:rowOff>
                  </to>
                </anchor>
              </controlPr>
            </control>
          </mc:Choice>
        </mc:AlternateContent>
        <mc:AlternateContent xmlns:mc="http://schemas.openxmlformats.org/markup-compatibility/2006">
          <mc:Choice Requires="x14">
            <control shapeId="8267" r:id="rId17" name="AppliquerCulturesLait">
              <controlPr defaultSize="0" print="0" autoFill="0" autoPict="0" macro="[0]!appliquerListeCulturesLait">
                <anchor moveWithCells="1" sizeWithCells="1">
                  <from>
                    <xdr:col>2</xdr:col>
                    <xdr:colOff>9525</xdr:colOff>
                    <xdr:row>14</xdr:row>
                    <xdr:rowOff>9525</xdr:rowOff>
                  </from>
                  <to>
                    <xdr:col>2</xdr:col>
                    <xdr:colOff>1438275</xdr:colOff>
                    <xdr:row>14</xdr:row>
                    <xdr:rowOff>180975</xdr:rowOff>
                  </to>
                </anchor>
              </controlPr>
            </control>
          </mc:Choice>
        </mc:AlternateContent>
        <mc:AlternateContent xmlns:mc="http://schemas.openxmlformats.org/markup-compatibility/2006">
          <mc:Choice Requires="x14">
            <control shapeId="8268" r:id="rId18" name="ModifierCulturesChamps">
              <controlPr locked="0" defaultSize="0" print="0" autoFill="0" autoPict="0" macro="[0]!ModifierListeCulturesChamps">
                <anchor moveWithCells="1">
                  <from>
                    <xdr:col>1</xdr:col>
                    <xdr:colOff>9525</xdr:colOff>
                    <xdr:row>14</xdr:row>
                    <xdr:rowOff>9525</xdr:rowOff>
                  </from>
                  <to>
                    <xdr:col>1</xdr:col>
                    <xdr:colOff>1438275</xdr:colOff>
                    <xdr:row>14</xdr:row>
                    <xdr:rowOff>180975</xdr:rowOff>
                  </to>
                </anchor>
              </controlPr>
            </control>
          </mc:Choice>
        </mc:AlternateContent>
        <mc:AlternateContent xmlns:mc="http://schemas.openxmlformats.org/markup-compatibility/2006">
          <mc:Choice Requires="x14">
            <control shapeId="8269" r:id="rId19" name="ModifierCulturesLait">
              <controlPr locked="0" defaultSize="0" print="0" autoFill="0" autoPict="0" macro="[0]!ModifierListeCulturesLait">
                <anchor moveWithCells="1">
                  <from>
                    <xdr:col>2</xdr:col>
                    <xdr:colOff>9525</xdr:colOff>
                    <xdr:row>14</xdr:row>
                    <xdr:rowOff>9525</xdr:rowOff>
                  </from>
                  <to>
                    <xdr:col>2</xdr:col>
                    <xdr:colOff>1438275</xdr:colOff>
                    <xdr:row>14</xdr:row>
                    <xdr:rowOff>180975</xdr:rowOff>
                  </to>
                </anchor>
              </controlPr>
            </control>
          </mc:Choice>
        </mc:AlternateContent>
        <mc:AlternateContent xmlns:mc="http://schemas.openxmlformats.org/markup-compatibility/2006">
          <mc:Choice Requires="x14">
            <control shapeId="8270" r:id="rId20" name="Button 78">
              <controlPr defaultSize="0" print="0" autoFill="0" autoPict="0" macro="[0]!config.OuvrirDescriptionDesScenarios_Click">
                <anchor moveWithCells="1" sizeWithCells="1">
                  <from>
                    <xdr:col>1</xdr:col>
                    <xdr:colOff>657225</xdr:colOff>
                    <xdr:row>9</xdr:row>
                    <xdr:rowOff>66675</xdr:rowOff>
                  </from>
                  <to>
                    <xdr:col>2</xdr:col>
                    <xdr:colOff>733425</xdr:colOff>
                    <xdr:row>10</xdr:row>
                    <xdr:rowOff>152400</xdr:rowOff>
                  </to>
                </anchor>
              </controlPr>
            </control>
          </mc:Choice>
        </mc:AlternateContent>
        <mc:AlternateContent xmlns:mc="http://schemas.openxmlformats.org/markup-compatibility/2006">
          <mc:Choice Requires="x14">
            <control shapeId="8271" r:id="rId21" name="AppliquerSelectionsCultures">
              <controlPr defaultSize="0" print="0" disabled="1" autoFill="0" autoPict="0" macro="[0]!config.AppliquerSelectionsCultures">
                <anchor moveWithCells="1" sizeWithCells="1">
                  <from>
                    <xdr:col>4</xdr:col>
                    <xdr:colOff>9525</xdr:colOff>
                    <xdr:row>17</xdr:row>
                    <xdr:rowOff>57150</xdr:rowOff>
                  </from>
                  <to>
                    <xdr:col>5</xdr:col>
                    <xdr:colOff>9525</xdr:colOff>
                    <xdr:row>19</xdr:row>
                    <xdr:rowOff>95250</xdr:rowOff>
                  </to>
                </anchor>
              </controlPr>
            </control>
          </mc:Choice>
        </mc:AlternateContent>
        <mc:AlternateContent xmlns:mc="http://schemas.openxmlformats.org/markup-compatibility/2006">
          <mc:Choice Requires="x14">
            <control shapeId="8272" r:id="rId22" name="ImportOuvrir">
              <controlPr defaultSize="0" print="0" autoFill="0" autoPict="0" macro="[0]!OuvrirClasseurPourImport">
                <anchor moveWithCells="1">
                  <from>
                    <xdr:col>7</xdr:col>
                    <xdr:colOff>381000</xdr:colOff>
                    <xdr:row>21</xdr:row>
                    <xdr:rowOff>104775</xdr:rowOff>
                  </from>
                  <to>
                    <xdr:col>9</xdr:col>
                    <xdr:colOff>238125</xdr:colOff>
                    <xdr:row>23</xdr:row>
                    <xdr:rowOff>0</xdr:rowOff>
                  </to>
                </anchor>
              </controlPr>
            </control>
          </mc:Choice>
        </mc:AlternateContent>
        <mc:AlternateContent xmlns:mc="http://schemas.openxmlformats.org/markup-compatibility/2006">
          <mc:Choice Requires="x14">
            <control shapeId="8273" r:id="rId23" name="Importer">
              <controlPr defaultSize="0" print="0" disabled="1" autoFill="0" autoPict="0" macro="[0]!ImportDataButton">
                <anchor moveWithCells="1">
                  <from>
                    <xdr:col>7</xdr:col>
                    <xdr:colOff>381000</xdr:colOff>
                    <xdr:row>23</xdr:row>
                    <xdr:rowOff>66675</xdr:rowOff>
                  </from>
                  <to>
                    <xdr:col>9</xdr:col>
                    <xdr:colOff>247650</xdr:colOff>
                    <xdr:row>24</xdr:row>
                    <xdr:rowOff>133350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Qualitatif">
    <tabColor theme="4"/>
  </sheetPr>
  <dimension ref="A1:I146"/>
  <sheetViews>
    <sheetView showGridLines="0" zoomScaleNormal="100" workbookViewId="0">
      <pane ySplit="1" topLeftCell="A2" activePane="bottomLeft" state="frozen"/>
      <selection activeCell="M20" sqref="M20:P27"/>
      <selection pane="bottomLeft" activeCell="A3" sqref="A3"/>
    </sheetView>
  </sheetViews>
  <sheetFormatPr baseColWidth="10" defaultRowHeight="14.25"/>
  <cols>
    <col min="1" max="1" width="4" style="533" bestFit="1" customWidth="1"/>
    <col min="2" max="2" width="43.140625" style="1518" customWidth="1"/>
    <col min="3" max="3" width="2" style="1519" customWidth="1"/>
    <col min="4" max="4" width="43.140625" style="1519" customWidth="1"/>
    <col min="6" max="6" width="15.42578125" hidden="1" customWidth="1"/>
  </cols>
  <sheetData>
    <row r="1" spans="1:9" s="533" customFormat="1" ht="24.75" thickBot="1">
      <c r="B1" s="1516" t="s">
        <v>1101</v>
      </c>
      <c r="C1" s="1516"/>
      <c r="D1" s="1516"/>
      <c r="F1" s="533" t="s">
        <v>175</v>
      </c>
    </row>
    <row r="2" spans="1:9" ht="15" thickTop="1">
      <c r="A2"/>
      <c r="B2" s="1519"/>
      <c r="F2" t="s">
        <v>822</v>
      </c>
    </row>
    <row r="3" spans="1:9" ht="24.75" thickBot="1">
      <c r="A3" s="1652" t="s">
        <v>1085</v>
      </c>
      <c r="B3" s="1550" t="s">
        <v>822</v>
      </c>
      <c r="C3" s="1550"/>
      <c r="D3" s="1550"/>
      <c r="F3" t="s">
        <v>1422</v>
      </c>
    </row>
    <row r="4" spans="1:9" s="533" customFormat="1" ht="57.75" hidden="1" thickTop="1">
      <c r="A4" s="306" t="s">
        <v>1055</v>
      </c>
      <c r="B4" s="2127" t="s">
        <v>1083</v>
      </c>
      <c r="C4" s="2127"/>
      <c r="D4" s="2127"/>
      <c r="F4" s="533" t="s">
        <v>1423</v>
      </c>
    </row>
    <row r="5" spans="1:9" s="533" customFormat="1" ht="15" thickTop="1">
      <c r="B5" s="305"/>
      <c r="C5" s="305"/>
      <c r="D5" s="305"/>
      <c r="F5" s="533" t="s">
        <v>1077</v>
      </c>
    </row>
    <row r="6" spans="1:9" s="533" customFormat="1">
      <c r="A6" s="306"/>
      <c r="B6" s="305"/>
      <c r="C6" s="305"/>
      <c r="D6" s="305"/>
      <c r="F6" s="939" t="s">
        <v>1078</v>
      </c>
    </row>
    <row r="7" spans="1:9" s="533" customFormat="1">
      <c r="A7" s="306"/>
      <c r="B7" s="1519"/>
      <c r="C7" s="1519"/>
      <c r="D7" s="1519"/>
      <c r="F7" s="533" t="s">
        <v>1079</v>
      </c>
    </row>
    <row r="8" spans="1:9" s="939" customFormat="1">
      <c r="B8" s="1518"/>
      <c r="C8" s="1518"/>
      <c r="D8" s="1518"/>
      <c r="F8" s="939" t="s">
        <v>1421</v>
      </c>
    </row>
    <row r="9" spans="1:9" s="939" customFormat="1">
      <c r="B9" s="1518"/>
      <c r="C9" s="1518"/>
      <c r="D9" s="1518"/>
      <c r="F9" s="939" t="s">
        <v>1080</v>
      </c>
    </row>
    <row r="10" spans="1:9" s="939" customFormat="1">
      <c r="B10" s="1518"/>
      <c r="C10" s="1518"/>
      <c r="D10" s="1518"/>
      <c r="F10" s="939" t="s">
        <v>1094</v>
      </c>
    </row>
    <row r="11" spans="1:9" s="939" customFormat="1">
      <c r="A11" s="306"/>
      <c r="B11" s="1519"/>
      <c r="C11" s="1519"/>
      <c r="D11" s="1519"/>
      <c r="F11" s="939" t="s">
        <v>1081</v>
      </c>
    </row>
    <row r="12" spans="1:9" s="939" customFormat="1">
      <c r="A12" s="306"/>
      <c r="B12" s="1519"/>
      <c r="C12" s="1519"/>
      <c r="D12" s="1519"/>
    </row>
    <row r="13" spans="1:9" s="939" customFormat="1">
      <c r="A13" s="306"/>
      <c r="B13" s="1519"/>
      <c r="C13" s="1519"/>
      <c r="D13" s="1519"/>
      <c r="I13"/>
    </row>
    <row r="14" spans="1:9" s="533" customFormat="1">
      <c r="A14" s="306"/>
      <c r="B14" s="1519"/>
      <c r="C14" s="1519"/>
      <c r="D14" s="1519"/>
      <c r="I14"/>
    </row>
    <row r="15" spans="1:9" s="533" customFormat="1">
      <c r="A15" s="306"/>
      <c r="B15" s="1519"/>
      <c r="C15" s="1519"/>
      <c r="D15" s="1519"/>
      <c r="I15"/>
    </row>
    <row r="16" spans="1:9" s="533" customFormat="1">
      <c r="B16" s="305"/>
      <c r="C16" s="305"/>
      <c r="D16" s="305"/>
      <c r="I16"/>
    </row>
    <row r="17" spans="1:9" ht="24.75" thickBot="1">
      <c r="A17" s="1652" t="s">
        <v>1085</v>
      </c>
      <c r="B17" s="1550" t="s">
        <v>1422</v>
      </c>
      <c r="C17" s="1550"/>
      <c r="D17" s="1550"/>
    </row>
    <row r="18" spans="1:9" s="533" customFormat="1" ht="72" hidden="1" thickTop="1">
      <c r="A18" s="306" t="s">
        <v>1054</v>
      </c>
      <c r="B18" s="2127" t="s">
        <v>1084</v>
      </c>
      <c r="C18" s="2127"/>
      <c r="D18" s="2127"/>
      <c r="I18"/>
    </row>
    <row r="19" spans="1:9" s="533" customFormat="1" ht="15" thickTop="1">
      <c r="B19" s="305"/>
      <c r="C19" s="305"/>
      <c r="D19" s="305"/>
      <c r="I19"/>
    </row>
    <row r="20" spans="1:9" s="939" customFormat="1">
      <c r="B20" s="1518"/>
      <c r="C20" s="1518"/>
      <c r="D20" s="1518"/>
      <c r="I20"/>
    </row>
    <row r="21" spans="1:9" s="939" customFormat="1">
      <c r="B21" s="1518"/>
      <c r="C21" s="1518"/>
      <c r="D21" s="1518"/>
      <c r="I21"/>
    </row>
    <row r="22" spans="1:9" s="939" customFormat="1">
      <c r="B22" s="1518"/>
      <c r="C22" s="1518"/>
      <c r="D22" s="1518"/>
      <c r="I22"/>
    </row>
    <row r="23" spans="1:9" s="939" customFormat="1">
      <c r="B23" s="1518"/>
      <c r="C23" s="1518"/>
      <c r="D23" s="1518"/>
      <c r="I23"/>
    </row>
    <row r="24" spans="1:9" s="939" customFormat="1">
      <c r="B24" s="1518"/>
      <c r="C24" s="1518"/>
      <c r="D24" s="1518"/>
      <c r="I24"/>
    </row>
    <row r="25" spans="1:9" s="939" customFormat="1">
      <c r="B25" s="1518"/>
      <c r="C25" s="1518"/>
      <c r="D25" s="1518"/>
      <c r="I25"/>
    </row>
    <row r="26" spans="1:9" s="939" customFormat="1">
      <c r="B26" s="1518"/>
      <c r="C26" s="1518"/>
      <c r="D26" s="1518"/>
      <c r="I26"/>
    </row>
    <row r="27" spans="1:9" s="939" customFormat="1">
      <c r="B27" s="1518"/>
      <c r="C27" s="1518"/>
      <c r="D27" s="1518"/>
      <c r="I27"/>
    </row>
    <row r="28" spans="1:9" s="939" customFormat="1">
      <c r="B28" s="1518"/>
      <c r="C28" s="1518"/>
      <c r="D28" s="1518"/>
      <c r="I28"/>
    </row>
    <row r="29" spans="1:9" s="533" customFormat="1">
      <c r="A29" s="306"/>
      <c r="B29" s="305"/>
      <c r="C29" s="305"/>
      <c r="D29" s="305"/>
      <c r="I29"/>
    </row>
    <row r="30" spans="1:9" s="533" customFormat="1">
      <c r="B30" s="305"/>
      <c r="C30" s="305"/>
      <c r="D30" s="305"/>
      <c r="I30"/>
    </row>
    <row r="31" spans="1:9" ht="24.75" thickBot="1">
      <c r="A31" s="1652" t="s">
        <v>1085</v>
      </c>
      <c r="B31" s="1551" t="s">
        <v>1423</v>
      </c>
      <c r="C31" s="1551"/>
      <c r="D31" s="1551"/>
    </row>
    <row r="32" spans="1:9" s="533" customFormat="1" ht="100.5" hidden="1" thickTop="1">
      <c r="A32" s="306" t="s">
        <v>1086</v>
      </c>
      <c r="B32" s="2127" t="s">
        <v>1087</v>
      </c>
      <c r="C32" s="2127"/>
      <c r="D32" s="2127"/>
      <c r="I32"/>
    </row>
    <row r="33" spans="1:9" s="533" customFormat="1" ht="15" thickTop="1">
      <c r="B33" s="305"/>
      <c r="C33" s="305"/>
      <c r="D33" s="305"/>
      <c r="I33"/>
    </row>
    <row r="34" spans="1:9" s="533" customFormat="1">
      <c r="B34" s="1518"/>
      <c r="C34" s="1518"/>
      <c r="D34" s="1518"/>
      <c r="I34"/>
    </row>
    <row r="35" spans="1:9" s="939" customFormat="1">
      <c r="B35" s="1518"/>
      <c r="C35" s="1518"/>
      <c r="D35" s="1518"/>
      <c r="I35"/>
    </row>
    <row r="36" spans="1:9" s="939" customFormat="1">
      <c r="B36" s="1518"/>
      <c r="C36" s="1518"/>
      <c r="D36" s="1518"/>
      <c r="I36"/>
    </row>
    <row r="37" spans="1:9" s="939" customFormat="1">
      <c r="B37" s="1518"/>
      <c r="C37" s="1518"/>
      <c r="D37" s="1518"/>
      <c r="I37"/>
    </row>
    <row r="38" spans="1:9" s="939" customFormat="1">
      <c r="B38" s="1518"/>
      <c r="C38" s="1518"/>
      <c r="D38" s="1518"/>
      <c r="I38"/>
    </row>
    <row r="39" spans="1:9" s="939" customFormat="1">
      <c r="B39" s="1518"/>
      <c r="C39" s="1518"/>
      <c r="D39" s="1518"/>
      <c r="I39"/>
    </row>
    <row r="40" spans="1:9" s="939" customFormat="1">
      <c r="B40" s="1518"/>
      <c r="C40" s="1518"/>
      <c r="D40" s="1518"/>
      <c r="I40"/>
    </row>
    <row r="41" spans="1:9" s="939" customFormat="1">
      <c r="B41" s="1518"/>
      <c r="C41" s="1518"/>
      <c r="D41" s="1518"/>
      <c r="I41"/>
    </row>
    <row r="42" spans="1:9" s="533" customFormat="1">
      <c r="A42" s="306"/>
      <c r="B42" s="305"/>
      <c r="C42" s="305"/>
      <c r="D42" s="305"/>
      <c r="I42"/>
    </row>
    <row r="43" spans="1:9" s="533" customFormat="1">
      <c r="B43" s="305"/>
      <c r="C43" s="305"/>
      <c r="D43" s="305"/>
      <c r="I43"/>
    </row>
    <row r="44" spans="1:9" ht="24.75" thickBot="1">
      <c r="A44" s="1652" t="s">
        <v>1085</v>
      </c>
      <c r="B44" s="1551" t="s">
        <v>1077</v>
      </c>
      <c r="C44" s="1551"/>
      <c r="D44" s="1551"/>
    </row>
    <row r="45" spans="1:9" s="533" customFormat="1" ht="129" hidden="1" thickTop="1">
      <c r="A45" s="306" t="s">
        <v>1090</v>
      </c>
      <c r="B45" s="2127" t="s">
        <v>1093</v>
      </c>
      <c r="C45" s="2127"/>
      <c r="D45" s="2127"/>
      <c r="I45"/>
    </row>
    <row r="46" spans="1:9" s="533" customFormat="1" ht="15" thickTop="1">
      <c r="B46" s="305"/>
      <c r="C46" s="305"/>
      <c r="D46" s="305"/>
      <c r="I46"/>
    </row>
    <row r="47" spans="1:9" s="939" customFormat="1">
      <c r="B47" s="1518"/>
      <c r="C47" s="1518"/>
      <c r="D47" s="1518"/>
      <c r="I47"/>
    </row>
    <row r="48" spans="1:9" s="939" customFormat="1">
      <c r="B48" s="1518"/>
      <c r="C48" s="1518"/>
      <c r="D48" s="1518"/>
      <c r="I48"/>
    </row>
    <row r="49" spans="1:9" s="939" customFormat="1">
      <c r="B49" s="1518"/>
      <c r="C49" s="1518"/>
      <c r="D49" s="1518"/>
      <c r="I49"/>
    </row>
    <row r="50" spans="1:9" s="939" customFormat="1">
      <c r="B50" s="1518"/>
      <c r="C50" s="1518"/>
      <c r="D50" s="1518"/>
      <c r="I50"/>
    </row>
    <row r="51" spans="1:9" s="939" customFormat="1">
      <c r="B51" s="1518"/>
      <c r="C51" s="1518"/>
      <c r="D51" s="1518"/>
      <c r="I51"/>
    </row>
    <row r="52" spans="1:9" s="939" customFormat="1">
      <c r="B52" s="1518"/>
      <c r="C52" s="1518"/>
      <c r="D52" s="1518"/>
      <c r="I52"/>
    </row>
    <row r="53" spans="1:9" s="939" customFormat="1">
      <c r="B53" s="1518"/>
      <c r="C53" s="1518"/>
      <c r="D53" s="1518"/>
      <c r="I53"/>
    </row>
    <row r="54" spans="1:9" s="939" customFormat="1">
      <c r="B54" s="1518"/>
      <c r="C54" s="1518"/>
      <c r="D54" s="1518"/>
      <c r="I54"/>
    </row>
    <row r="55" spans="1:9" s="939" customFormat="1">
      <c r="B55" s="1518"/>
      <c r="C55" s="1518"/>
      <c r="D55" s="1518"/>
      <c r="I55"/>
    </row>
    <row r="56" spans="1:9" s="533" customFormat="1">
      <c r="A56" s="306"/>
      <c r="B56" s="305"/>
      <c r="C56" s="305"/>
      <c r="D56" s="305"/>
      <c r="I56"/>
    </row>
    <row r="57" spans="1:9" s="533" customFormat="1">
      <c r="B57" s="305"/>
      <c r="C57" s="305"/>
      <c r="D57" s="305"/>
      <c r="I57"/>
    </row>
    <row r="58" spans="1:9" ht="24.75" thickBot="1">
      <c r="A58" s="1652" t="s">
        <v>1085</v>
      </c>
      <c r="B58" s="1516" t="s">
        <v>1078</v>
      </c>
      <c r="C58" s="1516"/>
      <c r="D58" s="1516"/>
    </row>
    <row r="59" spans="1:9" s="533" customFormat="1" ht="72" hidden="1" thickTop="1">
      <c r="A59" s="306" t="s">
        <v>1054</v>
      </c>
      <c r="B59" s="2127" t="s">
        <v>1088</v>
      </c>
      <c r="C59" s="2127"/>
      <c r="D59" s="2127"/>
      <c r="I59"/>
    </row>
    <row r="60" spans="1:9" s="533" customFormat="1" ht="15" thickTop="1">
      <c r="B60" s="1518"/>
      <c r="C60" s="1519"/>
      <c r="D60" s="1519"/>
      <c r="I60"/>
    </row>
    <row r="61" spans="1:9" s="533" customFormat="1" ht="17.25" thickBot="1">
      <c r="B61" s="937" t="s">
        <v>1060</v>
      </c>
      <c r="C61" s="1519"/>
      <c r="D61" s="937" t="s">
        <v>1082</v>
      </c>
      <c r="I61"/>
    </row>
    <row r="62" spans="1:9" s="533" customFormat="1">
      <c r="B62" s="938"/>
      <c r="C62" s="1519"/>
      <c r="D62" s="1519"/>
      <c r="I62"/>
    </row>
    <row r="63" spans="1:9" s="939" customFormat="1">
      <c r="B63" s="938"/>
      <c r="C63" s="1519"/>
      <c r="D63" s="1519"/>
      <c r="I63"/>
    </row>
    <row r="64" spans="1:9" s="939" customFormat="1">
      <c r="B64" s="938"/>
      <c r="C64" s="1519"/>
      <c r="D64" s="1519"/>
      <c r="I64"/>
    </row>
    <row r="65" spans="1:9" s="939" customFormat="1">
      <c r="B65" s="938"/>
      <c r="C65" s="1519"/>
      <c r="D65" s="1519"/>
      <c r="I65"/>
    </row>
    <row r="66" spans="1:9" s="939" customFormat="1">
      <c r="B66" s="938"/>
      <c r="C66" s="1519"/>
      <c r="D66" s="1519"/>
      <c r="I66"/>
    </row>
    <row r="67" spans="1:9" s="939" customFormat="1">
      <c r="B67" s="938"/>
      <c r="C67" s="1519"/>
      <c r="D67" s="1519"/>
      <c r="I67"/>
    </row>
    <row r="68" spans="1:9" s="939" customFormat="1">
      <c r="B68" s="938"/>
      <c r="C68" s="1519"/>
      <c r="D68" s="1519"/>
      <c r="I68"/>
    </row>
    <row r="69" spans="1:9" s="939" customFormat="1">
      <c r="B69" s="938"/>
      <c r="C69" s="1519"/>
      <c r="D69" s="1519"/>
      <c r="I69"/>
    </row>
    <row r="70" spans="1:9" s="939" customFormat="1">
      <c r="B70" s="938"/>
      <c r="C70" s="1519"/>
      <c r="D70" s="1519"/>
      <c r="I70"/>
    </row>
    <row r="71" spans="1:9" s="939" customFormat="1">
      <c r="B71" s="938"/>
      <c r="C71" s="1519"/>
      <c r="D71" s="1519"/>
      <c r="I71"/>
    </row>
    <row r="72" spans="1:9" s="533" customFormat="1">
      <c r="A72" s="306"/>
      <c r="B72" s="1519"/>
      <c r="C72" s="1519"/>
      <c r="D72" s="1519"/>
      <c r="I72"/>
    </row>
    <row r="73" spans="1:9" s="533" customFormat="1">
      <c r="B73" s="938"/>
      <c r="C73" s="1519"/>
      <c r="D73" s="1519"/>
      <c r="I73"/>
    </row>
    <row r="74" spans="1:9" ht="24.75" thickBot="1">
      <c r="A74" s="1652" t="s">
        <v>1085</v>
      </c>
      <c r="B74" s="1517" t="s">
        <v>1079</v>
      </c>
      <c r="C74" s="1517"/>
      <c r="D74" s="1517"/>
    </row>
    <row r="75" spans="1:9" s="533" customFormat="1" ht="129" hidden="1" thickTop="1">
      <c r="A75" s="306" t="s">
        <v>1090</v>
      </c>
      <c r="B75" s="2127" t="s">
        <v>1089</v>
      </c>
      <c r="C75" s="2127"/>
      <c r="D75" s="2127"/>
      <c r="I75"/>
    </row>
    <row r="76" spans="1:9" s="533" customFormat="1" ht="15" thickTop="1">
      <c r="B76" s="1518"/>
      <c r="C76" s="1519"/>
      <c r="D76" s="1519"/>
      <c r="I76"/>
    </row>
    <row r="77" spans="1:9" s="533" customFormat="1" ht="17.25" thickBot="1">
      <c r="A77" s="449"/>
      <c r="B77" s="937" t="s">
        <v>1060</v>
      </c>
      <c r="C77" s="1519"/>
      <c r="D77" s="937" t="s">
        <v>1082</v>
      </c>
      <c r="I77"/>
    </row>
    <row r="78" spans="1:9" s="533" customFormat="1">
      <c r="B78" s="938"/>
      <c r="C78" s="1519"/>
      <c r="D78" s="1519"/>
      <c r="I78"/>
    </row>
    <row r="79" spans="1:9" s="939" customFormat="1">
      <c r="B79" s="938"/>
      <c r="C79" s="1519"/>
      <c r="D79" s="1519"/>
      <c r="I79"/>
    </row>
    <row r="80" spans="1:9" s="939" customFormat="1">
      <c r="B80" s="938"/>
      <c r="C80" s="1519"/>
      <c r="D80" s="1519"/>
      <c r="I80"/>
    </row>
    <row r="81" spans="1:9" s="939" customFormat="1">
      <c r="B81" s="938"/>
      <c r="C81" s="1519"/>
      <c r="D81" s="1519"/>
      <c r="I81"/>
    </row>
    <row r="82" spans="1:9" s="939" customFormat="1">
      <c r="B82" s="938"/>
      <c r="C82" s="1519"/>
      <c r="D82" s="1519"/>
      <c r="I82"/>
    </row>
    <row r="83" spans="1:9" s="939" customFormat="1">
      <c r="B83" s="938"/>
      <c r="C83" s="1519"/>
      <c r="D83" s="1519"/>
      <c r="I83"/>
    </row>
    <row r="84" spans="1:9" s="939" customFormat="1">
      <c r="B84" s="938"/>
      <c r="C84" s="1519"/>
      <c r="D84" s="1519"/>
      <c r="I84"/>
    </row>
    <row r="85" spans="1:9" s="939" customFormat="1">
      <c r="B85" s="938"/>
      <c r="C85" s="1519"/>
      <c r="D85" s="1519"/>
      <c r="I85"/>
    </row>
    <row r="86" spans="1:9" s="939" customFormat="1">
      <c r="B86" s="938"/>
      <c r="C86" s="1519"/>
      <c r="D86" s="1519"/>
      <c r="I86"/>
    </row>
    <row r="87" spans="1:9" s="939" customFormat="1">
      <c r="B87" s="938"/>
      <c r="C87" s="1519"/>
      <c r="D87" s="1519"/>
      <c r="I87"/>
    </row>
    <row r="88" spans="1:9" s="533" customFormat="1">
      <c r="A88" s="306"/>
      <c r="B88" s="1519"/>
      <c r="C88" s="1519"/>
      <c r="D88" s="1519"/>
      <c r="I88"/>
    </row>
    <row r="89" spans="1:9" s="533" customFormat="1">
      <c r="B89" s="1519"/>
      <c r="C89" s="1519"/>
      <c r="D89" s="1519"/>
      <c r="I89"/>
    </row>
    <row r="90" spans="1:9" s="1519" customFormat="1" ht="24.75" thickBot="1">
      <c r="B90" s="1550" t="s">
        <v>1421</v>
      </c>
      <c r="C90" s="1550"/>
      <c r="D90" s="1550"/>
      <c r="I90"/>
    </row>
    <row r="91" spans="1:9" s="1519" customFormat="1" ht="15" thickTop="1">
      <c r="I91"/>
    </row>
    <row r="92" spans="1:9" s="1519" customFormat="1" ht="17.25" thickBot="1">
      <c r="B92" s="937" t="s">
        <v>1060</v>
      </c>
      <c r="D92" s="937" t="s">
        <v>1082</v>
      </c>
      <c r="I92"/>
    </row>
    <row r="93" spans="1:9" s="1519" customFormat="1">
      <c r="I93"/>
    </row>
    <row r="94" spans="1:9" s="1519" customFormat="1">
      <c r="I94"/>
    </row>
    <row r="95" spans="1:9" s="1519" customFormat="1">
      <c r="I95"/>
    </row>
    <row r="96" spans="1:9" s="1519" customFormat="1">
      <c r="I96"/>
    </row>
    <row r="97" spans="1:9" s="1519" customFormat="1">
      <c r="I97"/>
    </row>
    <row r="98" spans="1:9" s="1519" customFormat="1">
      <c r="I98"/>
    </row>
    <row r="99" spans="1:9" s="1519" customFormat="1">
      <c r="I99"/>
    </row>
    <row r="100" spans="1:9" s="1519" customFormat="1">
      <c r="I100"/>
    </row>
    <row r="101" spans="1:9" s="1519" customFormat="1">
      <c r="I101"/>
    </row>
    <row r="102" spans="1:9" s="1519" customFormat="1">
      <c r="I102"/>
    </row>
    <row r="103" spans="1:9" s="1519" customFormat="1">
      <c r="I103"/>
    </row>
    <row r="104" spans="1:9" ht="24.75" thickBot="1">
      <c r="A104" s="940"/>
      <c r="B104" s="1517" t="s">
        <v>1080</v>
      </c>
      <c r="C104" s="1517"/>
      <c r="D104" s="1517"/>
    </row>
    <row r="105" spans="1:9" s="533" customFormat="1" ht="15" thickTop="1">
      <c r="B105" s="1518"/>
      <c r="C105" s="1519"/>
      <c r="D105" s="1519"/>
      <c r="I105"/>
    </row>
    <row r="106" spans="1:9" s="533" customFormat="1" ht="17.25" thickBot="1">
      <c r="B106" s="937" t="s">
        <v>1060</v>
      </c>
      <c r="C106" s="1519"/>
      <c r="D106" s="937" t="s">
        <v>1082</v>
      </c>
      <c r="I106"/>
    </row>
    <row r="107" spans="1:9" s="533" customFormat="1">
      <c r="B107" s="938"/>
      <c r="C107" s="1519"/>
      <c r="D107" s="1519"/>
      <c r="I107"/>
    </row>
    <row r="108" spans="1:9" s="939" customFormat="1">
      <c r="B108" s="938"/>
      <c r="C108" s="1519"/>
      <c r="D108" s="1519"/>
      <c r="I108"/>
    </row>
    <row r="109" spans="1:9" s="939" customFormat="1">
      <c r="B109" s="938"/>
      <c r="C109" s="1519"/>
      <c r="D109" s="1519"/>
      <c r="I109"/>
    </row>
    <row r="110" spans="1:9" s="939" customFormat="1">
      <c r="B110" s="938"/>
      <c r="C110" s="1519"/>
      <c r="D110" s="1519"/>
      <c r="I110"/>
    </row>
    <row r="111" spans="1:9" s="939" customFormat="1">
      <c r="B111" s="938"/>
      <c r="C111" s="1519"/>
      <c r="D111" s="1519"/>
      <c r="I111"/>
    </row>
    <row r="112" spans="1:9" s="939" customFormat="1">
      <c r="B112" s="938"/>
      <c r="C112" s="1519"/>
      <c r="D112" s="1519"/>
      <c r="I112"/>
    </row>
    <row r="113" spans="1:9" s="939" customFormat="1">
      <c r="B113" s="938"/>
      <c r="C113" s="1519"/>
      <c r="D113" s="1519"/>
      <c r="I113"/>
    </row>
    <row r="114" spans="1:9" s="939" customFormat="1">
      <c r="B114" s="938"/>
      <c r="C114" s="1519"/>
      <c r="D114" s="1519"/>
      <c r="I114"/>
    </row>
    <row r="115" spans="1:9" s="939" customFormat="1">
      <c r="B115" s="938"/>
      <c r="C115" s="1519"/>
      <c r="D115" s="1519"/>
      <c r="I115"/>
    </row>
    <row r="116" spans="1:9" s="533" customFormat="1">
      <c r="A116" s="306"/>
      <c r="B116" s="1519"/>
      <c r="C116" s="1519"/>
      <c r="D116" s="1519"/>
      <c r="I116"/>
    </row>
    <row r="117" spans="1:9" s="533" customFormat="1">
      <c r="B117" s="938"/>
      <c r="C117" s="1519"/>
      <c r="D117" s="1519"/>
      <c r="I117"/>
    </row>
    <row r="118" spans="1:9" ht="24.75" thickBot="1">
      <c r="A118" s="1652" t="s">
        <v>1085</v>
      </c>
      <c r="B118" s="1517" t="s">
        <v>1094</v>
      </c>
      <c r="C118" s="1517"/>
      <c r="D118" s="1517"/>
    </row>
    <row r="119" spans="1:9" s="533" customFormat="1" ht="228.75" hidden="1" thickTop="1">
      <c r="A119" s="306" t="s">
        <v>1024</v>
      </c>
      <c r="B119" s="2128" t="s">
        <v>1091</v>
      </c>
      <c r="C119" s="2128"/>
      <c r="D119" s="2128"/>
      <c r="I119"/>
    </row>
    <row r="120" spans="1:9" s="533" customFormat="1" ht="15" thickTop="1">
      <c r="B120" s="1518"/>
      <c r="C120" s="1519"/>
      <c r="D120" s="1519"/>
      <c r="I120"/>
    </row>
    <row r="121" spans="1:9" s="533" customFormat="1" ht="17.25" thickBot="1">
      <c r="B121" s="937" t="s">
        <v>1060</v>
      </c>
      <c r="C121" s="1519"/>
      <c r="D121" s="937" t="s">
        <v>1082</v>
      </c>
      <c r="I121"/>
    </row>
    <row r="122" spans="1:9" s="533" customFormat="1">
      <c r="B122" s="938"/>
      <c r="C122" s="1519"/>
      <c r="D122" s="1519"/>
      <c r="I122"/>
    </row>
    <row r="123" spans="1:9" s="939" customFormat="1">
      <c r="B123" s="938"/>
      <c r="C123" s="1519"/>
      <c r="D123" s="1519"/>
      <c r="I123"/>
    </row>
    <row r="124" spans="1:9" s="939" customFormat="1">
      <c r="B124" s="938"/>
      <c r="C124" s="1519"/>
      <c r="D124" s="1519"/>
      <c r="I124"/>
    </row>
    <row r="125" spans="1:9" s="939" customFormat="1">
      <c r="B125" s="938"/>
      <c r="C125" s="1519"/>
      <c r="D125" s="1519"/>
      <c r="I125"/>
    </row>
    <row r="126" spans="1:9" s="939" customFormat="1">
      <c r="B126" s="938"/>
      <c r="C126" s="1519"/>
      <c r="D126" s="1519"/>
      <c r="I126"/>
    </row>
    <row r="127" spans="1:9" s="939" customFormat="1">
      <c r="B127" s="938"/>
      <c r="C127" s="1519"/>
      <c r="D127" s="1519"/>
      <c r="I127"/>
    </row>
    <row r="128" spans="1:9" s="939" customFormat="1">
      <c r="B128" s="938"/>
      <c r="C128" s="1519"/>
      <c r="D128" s="1519"/>
      <c r="I128"/>
    </row>
    <row r="129" spans="1:9" s="939" customFormat="1">
      <c r="B129" s="938"/>
      <c r="C129" s="1519"/>
      <c r="D129" s="1519"/>
      <c r="I129"/>
    </row>
    <row r="130" spans="1:9" s="939" customFormat="1">
      <c r="B130" s="938"/>
      <c r="C130" s="1519"/>
      <c r="D130" s="1519"/>
      <c r="I130"/>
    </row>
    <row r="131" spans="1:9" s="533" customFormat="1">
      <c r="A131" s="306"/>
      <c r="B131" s="1519"/>
      <c r="C131" s="1519"/>
      <c r="D131" s="1519"/>
      <c r="I131"/>
    </row>
    <row r="132" spans="1:9" s="533" customFormat="1">
      <c r="B132" s="938"/>
      <c r="C132" s="1519"/>
      <c r="D132" s="1519"/>
      <c r="I132"/>
    </row>
    <row r="133" spans="1:9" ht="24.75" thickBot="1">
      <c r="A133" s="1652" t="s">
        <v>1085</v>
      </c>
      <c r="B133" s="1517" t="s">
        <v>1081</v>
      </c>
      <c r="C133" s="1517"/>
      <c r="D133" s="1517"/>
    </row>
    <row r="134" spans="1:9" s="533" customFormat="1" ht="371.25" hidden="1" thickTop="1">
      <c r="A134" s="306" t="s">
        <v>1095</v>
      </c>
      <c r="B134" s="2127" t="s">
        <v>1092</v>
      </c>
      <c r="C134" s="2127"/>
      <c r="D134" s="2127"/>
      <c r="I134"/>
    </row>
    <row r="135" spans="1:9" ht="15" thickTop="1"/>
    <row r="136" spans="1:9" s="533" customFormat="1" ht="17.25" thickBot="1">
      <c r="B136" s="937" t="s">
        <v>1060</v>
      </c>
      <c r="C136" s="1519"/>
      <c r="D136" s="937" t="s">
        <v>1082</v>
      </c>
      <c r="I136"/>
    </row>
    <row r="137" spans="1:9" s="533" customFormat="1">
      <c r="B137" s="938"/>
      <c r="C137" s="1519"/>
      <c r="D137" s="1519"/>
      <c r="I137"/>
    </row>
    <row r="138" spans="1:9" s="939" customFormat="1">
      <c r="B138" s="938"/>
      <c r="C138" s="1519"/>
      <c r="D138" s="1519"/>
      <c r="I138"/>
    </row>
    <row r="139" spans="1:9" s="939" customFormat="1">
      <c r="B139" s="938"/>
      <c r="C139" s="1519"/>
      <c r="D139" s="1519"/>
      <c r="I139"/>
    </row>
    <row r="140" spans="1:9" s="939" customFormat="1">
      <c r="B140" s="938"/>
      <c r="C140" s="1519"/>
      <c r="D140" s="1519"/>
      <c r="I140"/>
    </row>
    <row r="141" spans="1:9" s="939" customFormat="1">
      <c r="B141" s="938"/>
      <c r="C141" s="1519"/>
      <c r="D141" s="1519"/>
      <c r="I141"/>
    </row>
    <row r="142" spans="1:9" s="939" customFormat="1">
      <c r="B142" s="938"/>
      <c r="C142" s="1519"/>
      <c r="D142" s="1519"/>
      <c r="I142"/>
    </row>
    <row r="143" spans="1:9" s="939" customFormat="1">
      <c r="B143" s="938"/>
      <c r="C143" s="1519"/>
      <c r="D143" s="1519"/>
      <c r="I143"/>
    </row>
    <row r="144" spans="1:9" s="939" customFormat="1">
      <c r="B144" s="938"/>
      <c r="C144" s="1519"/>
      <c r="D144" s="1519"/>
      <c r="I144"/>
    </row>
    <row r="145" spans="1:9" s="939" customFormat="1">
      <c r="B145" s="938"/>
      <c r="C145" s="1519"/>
      <c r="D145" s="1519"/>
      <c r="I145"/>
    </row>
    <row r="146" spans="1:9" s="533" customFormat="1">
      <c r="A146" s="306"/>
      <c r="B146" s="1519"/>
      <c r="C146" s="1519"/>
      <c r="D146" s="1519"/>
      <c r="I146"/>
    </row>
  </sheetData>
  <sheetProtection sheet="1" objects="1" scenarios="1" selectLockedCells="1"/>
  <mergeCells count="8">
    <mergeCell ref="B4:D4"/>
    <mergeCell ref="B18:D18"/>
    <mergeCell ref="B134:D134"/>
    <mergeCell ref="B119:D119"/>
    <mergeCell ref="B75:D75"/>
    <mergeCell ref="B59:D59"/>
    <mergeCell ref="B45:D45"/>
    <mergeCell ref="B32:D32"/>
  </mergeCells>
  <hyperlinks>
    <hyperlink ref="A3" location="$B$4" tooltip="Afficher / cacher l'aide" display="[+]" xr:uid="{00000000-0004-0000-0300-000000000000}"/>
    <hyperlink ref="A17" location="$B$18" tooltip="Afficher / cacher l'aide" display="[+]" xr:uid="{00000000-0004-0000-0300-000001000000}"/>
    <hyperlink ref="A31" location="$B$32" tooltip="Afficher / cacher l'aide" display="[+]" xr:uid="{00000000-0004-0000-0300-000002000000}"/>
    <hyperlink ref="A58" location="$B$59" tooltip="Afficher / cacher l'aide" display="[-]" xr:uid="{00000000-0004-0000-0300-000003000000}"/>
    <hyperlink ref="A74" location="$B$75" tooltip="Afficher / cacher l'aide" display="[+]" xr:uid="{00000000-0004-0000-0300-000004000000}"/>
    <hyperlink ref="A118" location="$B$119" tooltip="Afficher / cacher l'aide" display="[+]" xr:uid="{00000000-0004-0000-0300-000005000000}"/>
    <hyperlink ref="A133" location="$B$134" tooltip="Afficher / cacher l'aide" display="[-]" xr:uid="{00000000-0004-0000-0300-000006000000}"/>
    <hyperlink ref="A44" location="$B$45" tooltip="Afficher / cacher l'aide" display="[-]" xr:uid="{00000000-0004-0000-0300-000007000000}"/>
  </hyperlinks>
  <pageMargins left="0.7" right="0.7" top="0.75" bottom="0.75" header="0.3" footer="0.3"/>
  <pageSetup orientation="portrait" r:id="rId1"/>
  <rowBreaks count="2" manualBreakCount="2">
    <brk id="43" max="16383" man="1"/>
    <brk id="117"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61444" r:id="rId4" name="EffacerTextes">
              <controlPr defaultSize="0" print="0" autoFill="0" autoPict="0" macro="[0]!Qualitatif.cmdEffacerTextes_Click">
                <anchor moveWithCells="1">
                  <from>
                    <xdr:col>4</xdr:col>
                    <xdr:colOff>38100</xdr:colOff>
                    <xdr:row>0</xdr:row>
                    <xdr:rowOff>38100</xdr:rowOff>
                  </from>
                  <to>
                    <xdr:col>6</xdr:col>
                    <xdr:colOff>647700</xdr:colOff>
                    <xdr:row>0</xdr:row>
                    <xdr:rowOff>295275</xdr:rowOff>
                  </to>
                </anchor>
              </controlPr>
            </control>
          </mc:Choice>
        </mc:AlternateContent>
        <mc:AlternateContent xmlns:mc="http://schemas.openxmlformats.org/markup-compatibility/2006">
          <mc:Choice Requires="x14">
            <control shapeId="61445" r:id="rId5" name="AfficherTousLesGuides">
              <controlPr defaultSize="0" print="0" autoFill="0" autoLine="0" autoPict="0" macro="[0]!Qualitatif.tglAfficherTousLesGuides_Click">
                <anchor moveWithCells="1">
                  <from>
                    <xdr:col>3</xdr:col>
                    <xdr:colOff>1590675</xdr:colOff>
                    <xdr:row>0</xdr:row>
                    <xdr:rowOff>66675</xdr:rowOff>
                  </from>
                  <to>
                    <xdr:col>4</xdr:col>
                    <xdr:colOff>66675</xdr:colOff>
                    <xdr:row>0</xdr:row>
                    <xdr:rowOff>295275</xdr:rowOff>
                  </to>
                </anchor>
              </controlPr>
            </control>
          </mc:Choice>
        </mc:AlternateContent>
        <mc:AlternateContent xmlns:mc="http://schemas.openxmlformats.org/markup-compatibility/2006">
          <mc:Choice Requires="x14">
            <control shapeId="61446" r:id="rId6" name="Drop Down 6">
              <controlPr defaultSize="0" print="0" autoLine="0" autoPict="0" macro="[0]!Qualitatif.GotoCulture">
                <anchor moveWithCells="1">
                  <from>
                    <xdr:col>3</xdr:col>
                    <xdr:colOff>123825</xdr:colOff>
                    <xdr:row>0</xdr:row>
                    <xdr:rowOff>66675</xdr:rowOff>
                  </from>
                  <to>
                    <xdr:col>3</xdr:col>
                    <xdr:colOff>1476375</xdr:colOff>
                    <xdr:row>0</xdr:row>
                    <xdr:rowOff>238125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ynthese">
    <tabColor rgb="FFFFFF99"/>
  </sheetPr>
  <dimension ref="A1:N319"/>
  <sheetViews>
    <sheetView showGridLines="0" topLeftCell="B1" zoomScaleNormal="100" workbookViewId="0">
      <selection activeCell="M20" sqref="M20:P27"/>
    </sheetView>
  </sheetViews>
  <sheetFormatPr baseColWidth="10" defaultRowHeight="14.25"/>
  <cols>
    <col min="1" max="1" width="7.42578125" style="743" hidden="1" customWidth="1"/>
    <col min="2" max="2" width="2" style="480" customWidth="1"/>
    <col min="3" max="3" width="36" customWidth="1"/>
    <col min="4" max="4" width="4.140625" style="49" customWidth="1"/>
    <col min="5" max="5" width="3.42578125" customWidth="1"/>
    <col min="6" max="6" width="9.42578125" style="41" customWidth="1"/>
    <col min="7" max="7" width="3.42578125" style="1519" customWidth="1"/>
    <col min="8" max="8" width="9.42578125" style="305" customWidth="1"/>
    <col min="9" max="9" width="3.42578125" customWidth="1"/>
    <col min="10" max="10" width="9.42578125" style="305" customWidth="1"/>
    <col min="11" max="11" width="3.42578125" customWidth="1"/>
    <col min="12" max="12" width="9.42578125" style="305" customWidth="1"/>
    <col min="13" max="13" width="3.42578125" customWidth="1"/>
    <col min="14" max="14" width="9.42578125" style="305" customWidth="1"/>
  </cols>
  <sheetData>
    <row r="1" spans="1:14" ht="84.75" customHeight="1" thickBot="1">
      <c r="B1" s="2140" t="s">
        <v>1376</v>
      </c>
      <c r="C1" s="2140"/>
      <c r="D1" s="1479" t="s">
        <v>1144</v>
      </c>
      <c r="E1" s="2141">
        <f>scenario1</f>
        <v>0</v>
      </c>
      <c r="F1" s="2141"/>
      <c r="G1" s="2139" t="str">
        <f>scenario2</f>
        <v>Transition 1</v>
      </c>
      <c r="H1" s="2139"/>
      <c r="I1" s="2139" t="str">
        <f>scenario3</f>
        <v>Transition 2</v>
      </c>
      <c r="J1" s="2139"/>
      <c r="K1" s="2139" t="str">
        <f>scenario4</f>
        <v>Pré-certification</v>
      </c>
      <c r="L1" s="2139"/>
      <c r="M1" s="2139" t="str">
        <f>scenario5</f>
        <v>Certification</v>
      </c>
      <c r="N1" s="2139"/>
    </row>
    <row r="2" spans="1:14" ht="15" thickTop="1">
      <c r="B2" s="1574"/>
      <c r="C2" s="54"/>
      <c r="D2" s="54"/>
      <c r="E2" s="54"/>
      <c r="F2" s="435"/>
      <c r="G2" s="54"/>
      <c r="H2" s="403"/>
      <c r="I2" s="54"/>
      <c r="J2" s="403"/>
      <c r="K2" s="54"/>
      <c r="L2" s="403"/>
      <c r="M2" s="54"/>
      <c r="N2" s="403"/>
    </row>
    <row r="3" spans="1:14">
      <c r="B3" s="1574"/>
      <c r="C3" s="1482" t="s">
        <v>1379</v>
      </c>
      <c r="D3" s="1483"/>
      <c r="E3" s="1483"/>
      <c r="F3" s="1484"/>
      <c r="G3" s="1483"/>
      <c r="H3" s="1485"/>
      <c r="I3" s="1483"/>
      <c r="J3" s="1485"/>
      <c r="K3" s="1483"/>
      <c r="L3" s="1485"/>
      <c r="M3" s="1483"/>
      <c r="N3" s="1485"/>
    </row>
    <row r="4" spans="1:14">
      <c r="A4" s="743" t="s">
        <v>297</v>
      </c>
      <c r="C4" s="1474" t="s">
        <v>1378</v>
      </c>
      <c r="D4" s="1474" t="s">
        <v>260</v>
      </c>
      <c r="E4" s="1474"/>
      <c r="F4" s="2029">
        <f>IF(fermeLaitière,Lait!I$295,0)</f>
        <v>450689.71141267585</v>
      </c>
      <c r="G4" s="2029"/>
      <c r="H4" s="2029">
        <f>IF(fermeLaitière,Lait!K$295,0)</f>
        <v>450689.71141267585</v>
      </c>
      <c r="I4" s="2029"/>
      <c r="J4" s="2029">
        <f>IF(fermeLaitière,Lait!M$295,0)</f>
        <v>450689.71141267585</v>
      </c>
      <c r="K4" s="2029"/>
      <c r="L4" s="2029">
        <f>IF(fermeLaitière,Lait!O$295,0)</f>
        <v>450689.71141267585</v>
      </c>
      <c r="M4" s="2029"/>
      <c r="N4" s="2029">
        <f>IF(fermeLaitière,Lait!Q$295,0)</f>
        <v>450689.71141267585</v>
      </c>
    </row>
    <row r="5" spans="1:14">
      <c r="C5" s="1474" t="s">
        <v>1377</v>
      </c>
      <c r="D5" s="1477" t="s">
        <v>260</v>
      </c>
      <c r="E5" s="1477"/>
      <c r="F5" s="2029">
        <f ca="1">Champs!I$411</f>
        <v>0</v>
      </c>
      <c r="G5" s="2029"/>
      <c r="H5" s="2029">
        <f ca="1">Champs!K$411</f>
        <v>0</v>
      </c>
      <c r="I5" s="2029"/>
      <c r="J5" s="2029">
        <f ca="1">Champs!M$411</f>
        <v>0</v>
      </c>
      <c r="K5" s="2029"/>
      <c r="L5" s="2029">
        <f ca="1">Champs!O$411</f>
        <v>0</v>
      </c>
      <c r="M5" s="2029"/>
      <c r="N5" s="2029">
        <f ca="1">Champs!Q$411</f>
        <v>0</v>
      </c>
    </row>
    <row r="6" spans="1:14">
      <c r="C6" s="1480" t="s">
        <v>258</v>
      </c>
      <c r="D6" s="1480" t="s">
        <v>260</v>
      </c>
      <c r="E6" s="1480"/>
      <c r="F6" s="2030">
        <f ca="1">SUM(F4:F5)</f>
        <v>450689.71141267585</v>
      </c>
      <c r="G6" s="2030"/>
      <c r="H6" s="2030">
        <f ca="1">SUM(H4:H5)</f>
        <v>450689.71141267585</v>
      </c>
      <c r="I6" s="2030"/>
      <c r="J6" s="2030">
        <f ca="1">SUM(J4:J5)</f>
        <v>450689.71141267585</v>
      </c>
      <c r="K6" s="2030"/>
      <c r="L6" s="2030">
        <f ca="1">SUM(L4:L5)</f>
        <v>450689.71141267585</v>
      </c>
      <c r="M6" s="2030"/>
      <c r="N6" s="2030">
        <f ca="1">SUM(N4:N5)</f>
        <v>450689.71141267585</v>
      </c>
    </row>
    <row r="7" spans="1:14">
      <c r="C7" s="1474"/>
      <c r="D7" s="1474"/>
      <c r="E7" s="1474"/>
      <c r="F7" s="2029"/>
      <c r="G7" s="2029"/>
      <c r="H7" s="2029"/>
      <c r="I7" s="2029"/>
      <c r="J7" s="2029"/>
      <c r="K7" s="2029"/>
      <c r="L7" s="2029"/>
      <c r="M7" s="2029"/>
      <c r="N7" s="2029"/>
    </row>
    <row r="8" spans="1:14">
      <c r="C8" s="1481" t="s">
        <v>1380</v>
      </c>
      <c r="D8" s="1481"/>
      <c r="E8" s="1481"/>
      <c r="F8" s="2031"/>
      <c r="G8" s="2031"/>
      <c r="H8" s="2031"/>
      <c r="I8" s="2031"/>
      <c r="J8" s="2031"/>
      <c r="K8" s="2031"/>
      <c r="L8" s="2031"/>
      <c r="M8" s="2031"/>
      <c r="N8" s="2031"/>
    </row>
    <row r="9" spans="1:14">
      <c r="A9" s="743" t="s">
        <v>297</v>
      </c>
      <c r="C9" s="1474" t="s">
        <v>1381</v>
      </c>
      <c r="D9" s="1474" t="s">
        <v>260</v>
      </c>
      <c r="E9" s="1474"/>
      <c r="F9" s="2029">
        <f ca="1">IF(fermeLaitière,Lait!I$302-Lait!I312-Lait!I313,0)</f>
        <v>176820.80992597865</v>
      </c>
      <c r="G9" s="2029"/>
      <c r="H9" s="2029">
        <f ca="1">IF(fermeLaitière,Lait!K$302-Lait!K312-Lait!K313,0)</f>
        <v>168641.16983513715</v>
      </c>
      <c r="I9" s="2029"/>
      <c r="J9" s="2029">
        <f ca="1">IF(fermeLaitière,Lait!M$302-Lait!M312-Lait!M313,0)</f>
        <v>168641.16983513715</v>
      </c>
      <c r="K9" s="2029"/>
      <c r="L9" s="2029">
        <f ca="1">IF(fermeLaitière,Lait!O$302-Lait!O312-Lait!O313,0)</f>
        <v>168641.16983513715</v>
      </c>
      <c r="M9" s="2029"/>
      <c r="N9" s="2029">
        <f ca="1">IF(fermeLaitière,Lait!Q$302-Lait!Q312-Lait!Q313,0)</f>
        <v>168641.16983513715</v>
      </c>
    </row>
    <row r="10" spans="1:14">
      <c r="C10" s="1474" t="s">
        <v>1382</v>
      </c>
      <c r="D10" s="1474" t="s">
        <v>260</v>
      </c>
      <c r="E10" s="1474"/>
      <c r="F10" s="2029">
        <f ca="1">Champs!I$317</f>
        <v>0</v>
      </c>
      <c r="G10" s="2029"/>
      <c r="H10" s="2029">
        <f ca="1">Champs!K$317</f>
        <v>0</v>
      </c>
      <c r="I10" s="2029"/>
      <c r="J10" s="2029">
        <f ca="1">Champs!M$317</f>
        <v>0</v>
      </c>
      <c r="K10" s="2029"/>
      <c r="L10" s="2029">
        <f ca="1">Champs!O$317</f>
        <v>0</v>
      </c>
      <c r="M10" s="2029"/>
      <c r="N10" s="2029">
        <f ca="1">Champs!Q$317</f>
        <v>0</v>
      </c>
    </row>
    <row r="11" spans="1:14">
      <c r="C11" s="1474" t="s">
        <v>1386</v>
      </c>
      <c r="D11" s="1477" t="s">
        <v>260</v>
      </c>
      <c r="E11" s="1477"/>
      <c r="F11" s="2029">
        <f>Champs!I373+IF(fermeLaitière,Lait!I313,0)</f>
        <v>88255.900789212494</v>
      </c>
      <c r="G11" s="2029"/>
      <c r="H11" s="2029">
        <f>Champs!K373+IF(fermeLaitière,Lait!K313,0)</f>
        <v>88255.900789212494</v>
      </c>
      <c r="I11" s="2029"/>
      <c r="J11" s="2029">
        <f>Champs!M373+IF(fermeLaitière,Lait!M313,0)</f>
        <v>88255.900789212494</v>
      </c>
      <c r="K11" s="2029"/>
      <c r="L11" s="2029">
        <f>Champs!O373+IF(fermeLaitière,Lait!O313,0)</f>
        <v>88255.900789212494</v>
      </c>
      <c r="M11" s="2029"/>
      <c r="N11" s="2029">
        <f>Champs!Q373+IF(fermeLaitière,Lait!Q313,0)</f>
        <v>88255.900789212494</v>
      </c>
    </row>
    <row r="12" spans="1:14">
      <c r="C12" s="1474" t="s">
        <v>1384</v>
      </c>
      <c r="D12" s="1477" t="s">
        <v>260</v>
      </c>
      <c r="E12" s="1477"/>
      <c r="F12" s="2029">
        <f>Champs!I375+IF(fermeLaitière,Lait!I312,0)</f>
        <v>21593.372624999996</v>
      </c>
      <c r="G12" s="2029"/>
      <c r="H12" s="2029">
        <f>Champs!K375+IF(fermeLaitière,Lait!K312,0)</f>
        <v>21593.372624999996</v>
      </c>
      <c r="I12" s="2029"/>
      <c r="J12" s="2029">
        <f>Champs!M375+IF(fermeLaitière,Lait!M312,0)</f>
        <v>21593.372624999996</v>
      </c>
      <c r="K12" s="2029"/>
      <c r="L12" s="2029">
        <f>Champs!O375+IF(fermeLaitière,Lait!O312,0)</f>
        <v>21593.372624999996</v>
      </c>
      <c r="M12" s="2029"/>
      <c r="N12" s="2029">
        <f>Champs!Q375+IF(fermeLaitière,Lait!Q312,0)</f>
        <v>21593.372624999996</v>
      </c>
    </row>
    <row r="13" spans="1:14">
      <c r="C13" s="1474" t="s">
        <v>1385</v>
      </c>
      <c r="D13" s="1477" t="s">
        <v>260</v>
      </c>
      <c r="E13" s="1477"/>
      <c r="F13" s="2029">
        <f>IF(fermeLaitière,Lait!I319,0)+Champs!I377</f>
        <v>36100</v>
      </c>
      <c r="G13" s="2029"/>
      <c r="H13" s="2029">
        <f>IF(fermeLaitière,Lait!K319,0)+Champs!K377</f>
        <v>36100</v>
      </c>
      <c r="I13" s="2029"/>
      <c r="J13" s="2029">
        <f>IF(fermeLaitière,Lait!M319,0)+Champs!M377</f>
        <v>36100</v>
      </c>
      <c r="K13" s="2029"/>
      <c r="L13" s="2029">
        <f>IF(fermeLaitière,Lait!O319,0)+Champs!O377</f>
        <v>36100</v>
      </c>
      <c r="M13" s="2029"/>
      <c r="N13" s="2029">
        <f>IF(fermeLaitière,Lait!Q319,0)+Champs!Q377</f>
        <v>36100</v>
      </c>
    </row>
    <row r="14" spans="1:14">
      <c r="C14" s="1480" t="s">
        <v>1383</v>
      </c>
      <c r="D14" s="1480" t="s">
        <v>260</v>
      </c>
      <c r="E14" s="1480"/>
      <c r="F14" s="2030">
        <f ca="1">SUM(F9:F13)</f>
        <v>322770.08334019117</v>
      </c>
      <c r="G14" s="2030"/>
      <c r="H14" s="2030">
        <f t="shared" ref="H14:N14" ca="1" si="0">SUM(H9:H13)</f>
        <v>314590.44324934966</v>
      </c>
      <c r="I14" s="2030"/>
      <c r="J14" s="2030">
        <f t="shared" ca="1" si="0"/>
        <v>314590.44324934966</v>
      </c>
      <c r="K14" s="2030"/>
      <c r="L14" s="2030">
        <f t="shared" ca="1" si="0"/>
        <v>314590.44324934966</v>
      </c>
      <c r="M14" s="2030"/>
      <c r="N14" s="2030">
        <f t="shared" ca="1" si="0"/>
        <v>314590.44324934966</v>
      </c>
    </row>
    <row r="15" spans="1:14">
      <c r="C15" s="1478"/>
      <c r="D15" s="1478"/>
      <c r="E15" s="1478"/>
      <c r="F15" s="2032"/>
      <c r="G15" s="2032"/>
      <c r="H15" s="2032"/>
      <c r="I15" s="2032"/>
      <c r="J15" s="2032"/>
      <c r="K15" s="2032"/>
      <c r="L15" s="2032"/>
      <c r="M15" s="2032"/>
      <c r="N15" s="2032"/>
    </row>
    <row r="16" spans="1:14">
      <c r="C16" s="1480" t="s">
        <v>273</v>
      </c>
      <c r="D16" s="1480" t="s">
        <v>260</v>
      </c>
      <c r="E16" s="1480"/>
      <c r="F16" s="2030">
        <f ca="1">F6-F14</f>
        <v>127919.62807248469</v>
      </c>
      <c r="G16" s="2030"/>
      <c r="H16" s="2030">
        <f t="shared" ref="H16:N16" ca="1" si="1">H6-H14</f>
        <v>136099.2681633262</v>
      </c>
      <c r="I16" s="2030"/>
      <c r="J16" s="2030">
        <f t="shared" ca="1" si="1"/>
        <v>136099.2681633262</v>
      </c>
      <c r="K16" s="2030"/>
      <c r="L16" s="2030">
        <f t="shared" ca="1" si="1"/>
        <v>136099.2681633262</v>
      </c>
      <c r="M16" s="2030"/>
      <c r="N16" s="2030">
        <f t="shared" ca="1" si="1"/>
        <v>136099.2681633262</v>
      </c>
    </row>
    <row r="17" spans="1:14">
      <c r="C17" s="1474"/>
      <c r="D17" s="1474"/>
      <c r="E17" s="1474"/>
      <c r="F17" s="935"/>
      <c r="G17" s="935"/>
      <c r="H17" s="935"/>
      <c r="I17" s="935"/>
      <c r="J17" s="935"/>
      <c r="K17" s="935"/>
      <c r="L17" s="935"/>
      <c r="M17" s="935"/>
      <c r="N17" s="935"/>
    </row>
    <row r="18" spans="1:14" ht="84.75" customHeight="1" thickBot="1">
      <c r="A18" s="743" t="s">
        <v>1445</v>
      </c>
      <c r="B18" s="2137" t="s">
        <v>1145</v>
      </c>
      <c r="C18" s="2137"/>
      <c r="D18" s="989" t="s">
        <v>1144</v>
      </c>
      <c r="E18" s="2136">
        <f>scenario1</f>
        <v>0</v>
      </c>
      <c r="F18" s="2136"/>
      <c r="G18" s="2135" t="str">
        <f>scenario2</f>
        <v>Transition 1</v>
      </c>
      <c r="H18" s="2135"/>
      <c r="I18" s="2135" t="str">
        <f>scenario3</f>
        <v>Transition 2</v>
      </c>
      <c r="J18" s="2135"/>
      <c r="K18" s="2135" t="str">
        <f>scenario4</f>
        <v>Pré-certification</v>
      </c>
      <c r="L18" s="2135"/>
      <c r="M18" s="2135" t="str">
        <f>scenario5</f>
        <v>Certification</v>
      </c>
      <c r="N18" s="2135"/>
    </row>
    <row r="19" spans="1:14" ht="15" thickTop="1">
      <c r="A19" s="743" t="s">
        <v>297</v>
      </c>
      <c r="B19" s="1574"/>
      <c r="C19" s="54"/>
      <c r="D19" s="54"/>
      <c r="E19" s="54"/>
      <c r="F19" s="435"/>
      <c r="G19" s="54"/>
      <c r="H19" s="403"/>
      <c r="I19" s="54"/>
      <c r="J19" s="403"/>
      <c r="K19" s="54"/>
      <c r="L19" s="403"/>
      <c r="M19" s="54"/>
      <c r="N19" s="403"/>
    </row>
    <row r="20" spans="1:14">
      <c r="A20" s="743" t="s">
        <v>297</v>
      </c>
      <c r="C20" s="533" t="s">
        <v>976</v>
      </c>
      <c r="D20" s="533" t="s">
        <v>494</v>
      </c>
      <c r="F20" s="2061">
        <f>Lait!I43</f>
        <v>60</v>
      </c>
      <c r="G20" s="2061"/>
      <c r="H20" s="2061">
        <f>Lait!K43</f>
        <v>60</v>
      </c>
      <c r="I20" s="2061"/>
      <c r="J20" s="2061">
        <f>Lait!M43</f>
        <v>60</v>
      </c>
      <c r="K20" s="2061"/>
      <c r="L20" s="2061">
        <f>Lait!O43</f>
        <v>60</v>
      </c>
      <c r="M20" s="2061"/>
      <c r="N20" s="2061">
        <f>Lait!Q43</f>
        <v>60</v>
      </c>
    </row>
    <row r="21" spans="1:14">
      <c r="A21" s="743" t="s">
        <v>297</v>
      </c>
      <c r="C21" s="49" t="s">
        <v>996</v>
      </c>
      <c r="D21" s="1477" t="s">
        <v>997</v>
      </c>
      <c r="E21" s="1477"/>
      <c r="F21" s="2027">
        <f>Lait!I29</f>
        <v>60</v>
      </c>
      <c r="G21" s="2027"/>
      <c r="H21" s="2027">
        <f>Lait!K29</f>
        <v>60</v>
      </c>
      <c r="I21" s="2027"/>
      <c r="J21" s="2027">
        <f>Lait!M29</f>
        <v>60</v>
      </c>
      <c r="K21" s="2027"/>
      <c r="L21" s="2027">
        <f>Lait!O29</f>
        <v>60</v>
      </c>
      <c r="M21" s="2027"/>
      <c r="N21" s="2027">
        <f>Lait!Q29</f>
        <v>60</v>
      </c>
    </row>
    <row r="22" spans="1:14">
      <c r="A22" s="743" t="s">
        <v>297</v>
      </c>
      <c r="C22" s="49" t="s">
        <v>998</v>
      </c>
      <c r="D22" t="s">
        <v>999</v>
      </c>
      <c r="E22" s="533"/>
      <c r="F22" s="2061">
        <f>Lait!I276/100</f>
        <v>5515.6685010906831</v>
      </c>
      <c r="G22" s="2061"/>
      <c r="H22" s="2061">
        <f>Lait!K276/100</f>
        <v>5515.6685010906831</v>
      </c>
      <c r="I22" s="2061"/>
      <c r="J22" s="2061">
        <f>Lait!M276/100</f>
        <v>5515.6685010906831</v>
      </c>
      <c r="K22" s="2061"/>
      <c r="L22" s="2061">
        <f>Lait!O276/100</f>
        <v>5515.6685010906831</v>
      </c>
      <c r="M22" s="2061"/>
      <c r="N22" s="2061">
        <f>Lait!Q276/100</f>
        <v>5515.6685010906831</v>
      </c>
    </row>
    <row r="23" spans="1:14">
      <c r="A23" s="743" t="s">
        <v>297</v>
      </c>
      <c r="C23" s="533" t="s">
        <v>994</v>
      </c>
      <c r="D23" s="533" t="s">
        <v>224</v>
      </c>
      <c r="E23" s="533"/>
      <c r="F23" s="2062">
        <f>Champs!SuperficieTotaleS1</f>
        <v>0</v>
      </c>
      <c r="G23" s="2062"/>
      <c r="H23" s="2062">
        <f>Champs!SuperficieTotaleS2</f>
        <v>0</v>
      </c>
      <c r="I23" s="2062"/>
      <c r="J23" s="2062">
        <f>Champs!SuperficieTotaleS3</f>
        <v>0</v>
      </c>
      <c r="K23" s="2062"/>
      <c r="L23" s="2062">
        <f>Champs!SuperficieTotaleS4</f>
        <v>0</v>
      </c>
      <c r="M23" s="2062"/>
      <c r="N23" s="2062">
        <f>Champs!SuperficieTotaleS5</f>
        <v>0</v>
      </c>
    </row>
    <row r="24" spans="1:14">
      <c r="A24" s="743" t="s">
        <v>297</v>
      </c>
      <c r="C24" s="533" t="s">
        <v>995</v>
      </c>
      <c r="D24" s="533" t="s">
        <v>224</v>
      </c>
      <c r="E24" s="533"/>
      <c r="F24" s="2061">
        <f>Champs!I31+Champs!I51+Champs!I38</f>
        <v>0</v>
      </c>
      <c r="G24" s="2061"/>
      <c r="H24" s="2061">
        <f>Champs!K31+Champs!K51+Champs!K38</f>
        <v>0</v>
      </c>
      <c r="I24" s="2061"/>
      <c r="J24" s="2061">
        <f>Champs!M31+Champs!M51+Champs!M38</f>
        <v>0</v>
      </c>
      <c r="K24" s="2061"/>
      <c r="L24" s="2061">
        <f>Champs!O31+Champs!O51+Champs!O38</f>
        <v>0</v>
      </c>
      <c r="M24" s="2061"/>
      <c r="N24" s="2061">
        <f>Champs!Q31+Champs!Q51+Champs!Q38</f>
        <v>0</v>
      </c>
    </row>
    <row r="25" spans="1:14" ht="6.6" customHeight="1">
      <c r="A25" s="743" t="s">
        <v>297</v>
      </c>
      <c r="C25" s="533"/>
      <c r="D25" s="533"/>
      <c r="E25" s="533"/>
      <c r="F25" s="2028"/>
      <c r="G25" s="2028"/>
      <c r="H25" s="2028"/>
      <c r="I25" s="2028"/>
      <c r="J25" s="2028"/>
      <c r="K25" s="2028"/>
      <c r="L25" s="2028"/>
      <c r="M25" s="2028"/>
      <c r="N25" s="2028"/>
    </row>
    <row r="26" spans="1:14" ht="15">
      <c r="A26" s="743" t="s">
        <v>297</v>
      </c>
      <c r="B26" s="1575"/>
      <c r="C26" s="442" t="s">
        <v>1001</v>
      </c>
      <c r="D26" s="442"/>
      <c r="E26" s="442"/>
      <c r="F26" s="2033">
        <f>SUM(F28:F30)</f>
        <v>450689.71141267585</v>
      </c>
      <c r="G26" s="2033"/>
      <c r="H26" s="2033">
        <f t="shared" ref="H26:N26" si="2">SUM(H28:H30)</f>
        <v>450689.71141267585</v>
      </c>
      <c r="I26" s="2033"/>
      <c r="J26" s="2033">
        <f t="shared" si="2"/>
        <v>450689.71141267585</v>
      </c>
      <c r="K26" s="2033"/>
      <c r="L26" s="2033">
        <f t="shared" si="2"/>
        <v>450689.71141267585</v>
      </c>
      <c r="M26" s="2033"/>
      <c r="N26" s="2033">
        <f t="shared" si="2"/>
        <v>450689.71141267585</v>
      </c>
    </row>
    <row r="27" spans="1:14">
      <c r="A27" s="1576" t="s">
        <v>297</v>
      </c>
      <c r="B27" s="476"/>
      <c r="C27" s="726"/>
      <c r="D27" s="726"/>
      <c r="E27" s="726"/>
      <c r="F27" s="2034"/>
      <c r="G27" s="2034"/>
      <c r="H27" s="2034"/>
      <c r="I27" s="2034"/>
      <c r="J27" s="2034"/>
      <c r="K27" s="2034"/>
      <c r="L27" s="2034"/>
      <c r="M27" s="2034"/>
      <c r="N27" s="2034"/>
    </row>
    <row r="28" spans="1:14">
      <c r="A28" s="743" t="s">
        <v>297</v>
      </c>
      <c r="C28" s="240" t="s">
        <v>977</v>
      </c>
      <c r="D28" s="752"/>
      <c r="E28" s="752"/>
      <c r="F28" s="2035">
        <f>SUM(Lait!I296:I298)</f>
        <v>428325.77941267582</v>
      </c>
      <c r="G28" s="2035"/>
      <c r="H28" s="2035">
        <f>SUM(Lait!K296:K298)</f>
        <v>428325.77941267582</v>
      </c>
      <c r="I28" s="2035"/>
      <c r="J28" s="2035">
        <f>SUM(Lait!M296:M298)</f>
        <v>428325.77941267582</v>
      </c>
      <c r="K28" s="2035"/>
      <c r="L28" s="2035">
        <f>SUM(Lait!O296:O298)</f>
        <v>428325.77941267582</v>
      </c>
      <c r="M28" s="2035"/>
      <c r="N28" s="2035">
        <f>SUM(Lait!Q296:Q298)</f>
        <v>428325.77941267582</v>
      </c>
    </row>
    <row r="29" spans="1:14">
      <c r="A29" s="743" t="s">
        <v>297</v>
      </c>
      <c r="C29" s="105" t="s">
        <v>1032</v>
      </c>
      <c r="D29" s="752"/>
      <c r="E29" s="752"/>
      <c r="F29" s="2035">
        <f>Lait!I299</f>
        <v>22363.932000000004</v>
      </c>
      <c r="G29" s="2035"/>
      <c r="H29" s="2035">
        <f>Lait!K299</f>
        <v>22363.932000000004</v>
      </c>
      <c r="I29" s="2035"/>
      <c r="J29" s="2035">
        <f>Lait!M299</f>
        <v>22363.932000000004</v>
      </c>
      <c r="K29" s="2035"/>
      <c r="L29" s="2035">
        <f>Lait!O299</f>
        <v>22363.932000000004</v>
      </c>
      <c r="M29" s="2035"/>
      <c r="N29" s="2035">
        <f>Lait!Q299</f>
        <v>22363.932000000004</v>
      </c>
    </row>
    <row r="30" spans="1:14">
      <c r="A30" s="743" t="s">
        <v>297</v>
      </c>
      <c r="C30" s="105" t="s">
        <v>978</v>
      </c>
      <c r="D30" s="752"/>
      <c r="E30" s="752"/>
      <c r="F30" s="2035">
        <f>Lait!I300</f>
        <v>0</v>
      </c>
      <c r="G30" s="2035"/>
      <c r="H30" s="2035">
        <f>Lait!K300</f>
        <v>0</v>
      </c>
      <c r="I30" s="2035"/>
      <c r="J30" s="2035">
        <f>Lait!M300</f>
        <v>0</v>
      </c>
      <c r="K30" s="2035"/>
      <c r="L30" s="2035">
        <f>Lait!O300</f>
        <v>0</v>
      </c>
      <c r="M30" s="2035"/>
      <c r="N30" s="2035">
        <f>Lait!Q300</f>
        <v>0</v>
      </c>
    </row>
    <row r="31" spans="1:14" ht="6" customHeight="1">
      <c r="A31" s="480" t="s">
        <v>297</v>
      </c>
      <c r="C31" s="1114"/>
      <c r="D31" s="1114"/>
      <c r="E31" s="1114"/>
      <c r="F31" s="2036"/>
      <c r="G31" s="2036"/>
      <c r="H31" s="2036"/>
      <c r="I31" s="2036"/>
      <c r="J31" s="2036"/>
      <c r="K31" s="2036"/>
      <c r="L31" s="2036"/>
      <c r="M31" s="2036"/>
      <c r="N31" s="2036"/>
    </row>
    <row r="32" spans="1:14" ht="15">
      <c r="A32" s="743" t="s">
        <v>297</v>
      </c>
      <c r="B32" s="1575"/>
      <c r="C32" s="442" t="s">
        <v>985</v>
      </c>
      <c r="D32" s="442"/>
      <c r="E32" s="442"/>
      <c r="F32" s="2033">
        <f t="shared" ref="F32:N32" ca="1" si="3">SUM(F34:F40)</f>
        <v>230933.10261519116</v>
      </c>
      <c r="G32" s="2033"/>
      <c r="H32" s="2033">
        <f t="shared" ca="1" si="3"/>
        <v>222753.46252434963</v>
      </c>
      <c r="I32" s="2033"/>
      <c r="J32" s="2033">
        <f t="shared" ca="1" si="3"/>
        <v>222753.46252434963</v>
      </c>
      <c r="K32" s="2033"/>
      <c r="L32" s="2033">
        <f t="shared" ca="1" si="3"/>
        <v>222753.46252434963</v>
      </c>
      <c r="M32" s="2033"/>
      <c r="N32" s="2033">
        <f t="shared" ca="1" si="3"/>
        <v>222753.46252434963</v>
      </c>
    </row>
    <row r="33" spans="1:14" ht="4.3499999999999996" customHeight="1">
      <c r="A33" s="743" t="s">
        <v>297</v>
      </c>
      <c r="B33" s="476"/>
      <c r="C33" s="453"/>
      <c r="D33" s="453"/>
      <c r="E33" s="453"/>
      <c r="F33" s="2037"/>
      <c r="G33" s="2037"/>
      <c r="H33" s="2037"/>
      <c r="I33" s="2037"/>
      <c r="J33" s="2037"/>
      <c r="K33" s="2037"/>
      <c r="L33" s="2037"/>
      <c r="M33" s="2037"/>
      <c r="N33" s="2037"/>
    </row>
    <row r="34" spans="1:14">
      <c r="A34" s="743" t="s">
        <v>297</v>
      </c>
      <c r="C34" s="240" t="s">
        <v>979</v>
      </c>
      <c r="F34" s="2038">
        <f>Lait!I303</f>
        <v>25395.308571588666</v>
      </c>
      <c r="G34" s="2038"/>
      <c r="H34" s="2038">
        <f>Lait!K303</f>
        <v>25395.308571588666</v>
      </c>
      <c r="I34" s="2038"/>
      <c r="J34" s="2038">
        <f>Lait!M303</f>
        <v>25395.308571588666</v>
      </c>
      <c r="K34" s="2038"/>
      <c r="L34" s="2038">
        <f>Lait!O303</f>
        <v>25395.308571588666</v>
      </c>
      <c r="M34" s="2038"/>
      <c r="N34" s="2038">
        <f>Lait!Q303</f>
        <v>25395.308571588666</v>
      </c>
    </row>
    <row r="35" spans="1:14">
      <c r="A35" s="743" t="s">
        <v>297</v>
      </c>
      <c r="C35" s="533" t="s">
        <v>364</v>
      </c>
      <c r="F35" s="2038">
        <f>Lait!I304</f>
        <v>79286.183279802135</v>
      </c>
      <c r="G35" s="2038"/>
      <c r="H35" s="2038">
        <f>Lait!K304</f>
        <v>79286.183279802135</v>
      </c>
      <c r="I35" s="2038"/>
      <c r="J35" s="2038">
        <f>Lait!M304</f>
        <v>79286.183279802135</v>
      </c>
      <c r="K35" s="2038"/>
      <c r="L35" s="2038">
        <f>Lait!O304</f>
        <v>79286.183279802135</v>
      </c>
      <c r="M35" s="2038"/>
      <c r="N35" s="2038">
        <f>Lait!Q304</f>
        <v>79286.183279802135</v>
      </c>
    </row>
    <row r="36" spans="1:14">
      <c r="C36" s="447" t="s">
        <v>1447</v>
      </c>
      <c r="D36" s="1519"/>
      <c r="E36" s="1519"/>
      <c r="F36" s="2038">
        <f ca="1">Lait!I305</f>
        <v>0</v>
      </c>
      <c r="G36" s="2038"/>
      <c r="H36" s="2038">
        <f ca="1">Lait!K305</f>
        <v>0</v>
      </c>
      <c r="I36" s="2038"/>
      <c r="J36" s="2038">
        <f ca="1">Lait!M305</f>
        <v>0</v>
      </c>
      <c r="K36" s="2038"/>
      <c r="L36" s="2038">
        <f ca="1">Lait!O305</f>
        <v>0</v>
      </c>
      <c r="M36" s="2038"/>
      <c r="N36" s="2038">
        <f ca="1">Lait!Q305</f>
        <v>0</v>
      </c>
    </row>
    <row r="37" spans="1:14">
      <c r="A37" s="743" t="s">
        <v>297</v>
      </c>
      <c r="C37" s="533" t="s">
        <v>983</v>
      </c>
      <c r="F37" s="2038">
        <f ca="1">Lait!I306+Lait!I309</f>
        <v>12048.771666666666</v>
      </c>
      <c r="G37" s="2038"/>
      <c r="H37" s="2038">
        <f ca="1">Lait!K306+Lait!K309</f>
        <v>12048.771666666666</v>
      </c>
      <c r="I37" s="2038"/>
      <c r="J37" s="2038">
        <f ca="1">Lait!M306+Lait!M309</f>
        <v>12048.771666666666</v>
      </c>
      <c r="K37" s="2038"/>
      <c r="L37" s="2038">
        <f ca="1">Lait!O306+Lait!O309</f>
        <v>12048.771666666666</v>
      </c>
      <c r="M37" s="2038"/>
      <c r="N37" s="2038">
        <f ca="1">Lait!Q306+Lait!Q309</f>
        <v>12048.771666666666</v>
      </c>
    </row>
    <row r="38" spans="1:14">
      <c r="C38" s="447" t="s">
        <v>1450</v>
      </c>
      <c r="D38" s="1519"/>
      <c r="E38" s="1519"/>
      <c r="F38" s="2038">
        <f ca="1">Lait!I307</f>
        <v>18590.541872280461</v>
      </c>
      <c r="G38" s="2038"/>
      <c r="H38" s="2038">
        <f ca="1">Lait!K307</f>
        <v>10410.901781438944</v>
      </c>
      <c r="I38" s="2038"/>
      <c r="J38" s="2038">
        <f ca="1">Lait!M307</f>
        <v>10410.901781438944</v>
      </c>
      <c r="K38" s="2038"/>
      <c r="L38" s="2038">
        <f ca="1">Lait!O307</f>
        <v>10410.901781438944</v>
      </c>
      <c r="M38" s="2038"/>
      <c r="N38" s="2038">
        <f ca="1">Lait!Q307</f>
        <v>10410.901781438944</v>
      </c>
    </row>
    <row r="39" spans="1:14">
      <c r="A39" s="743" t="s">
        <v>297</v>
      </c>
      <c r="C39" s="533" t="s">
        <v>982</v>
      </c>
      <c r="F39" s="2038">
        <f>Lait!I308+Lait!I311</f>
        <v>41500.004535640743</v>
      </c>
      <c r="G39" s="2038"/>
      <c r="H39" s="2038">
        <f>Lait!K308+Lait!K311</f>
        <v>41500.004535640743</v>
      </c>
      <c r="I39" s="2038"/>
      <c r="J39" s="2038">
        <f>Lait!M308+Lait!M311</f>
        <v>41500.004535640743</v>
      </c>
      <c r="K39" s="2038"/>
      <c r="L39" s="2038">
        <f>Lait!O308+Lait!O311</f>
        <v>41500.004535640743</v>
      </c>
      <c r="M39" s="2038"/>
      <c r="N39" s="2038">
        <f>Lait!Q308+Lait!Q311</f>
        <v>41500.004535640743</v>
      </c>
    </row>
    <row r="40" spans="1:14">
      <c r="A40" s="743" t="s">
        <v>297</v>
      </c>
      <c r="C40" s="533" t="s">
        <v>984</v>
      </c>
      <c r="D40" s="533"/>
      <c r="E40" s="533"/>
      <c r="F40" s="2038">
        <f>Lait!I313</f>
        <v>54112.292689212489</v>
      </c>
      <c r="G40" s="2038"/>
      <c r="H40" s="2038">
        <f>Lait!K313</f>
        <v>54112.292689212489</v>
      </c>
      <c r="I40" s="2038"/>
      <c r="J40" s="2038">
        <f>Lait!M313</f>
        <v>54112.292689212489</v>
      </c>
      <c r="K40" s="2038"/>
      <c r="L40" s="2038">
        <f>Lait!O313</f>
        <v>54112.292689212489</v>
      </c>
      <c r="M40" s="2038"/>
      <c r="N40" s="2038">
        <f>Lait!Q313</f>
        <v>54112.292689212489</v>
      </c>
    </row>
    <row r="41" spans="1:14" ht="10.7" customHeight="1">
      <c r="A41" s="480" t="s">
        <v>297</v>
      </c>
      <c r="C41" s="1114"/>
      <c r="D41" s="1114"/>
      <c r="E41" s="1114"/>
      <c r="F41" s="2036"/>
      <c r="G41" s="2036"/>
      <c r="H41" s="2036"/>
      <c r="I41" s="2036"/>
      <c r="J41" s="2036"/>
      <c r="K41" s="2036"/>
      <c r="L41" s="2036"/>
      <c r="M41" s="2036"/>
      <c r="N41" s="2036"/>
    </row>
    <row r="42" spans="1:14" ht="15">
      <c r="A42" s="743" t="s">
        <v>297</v>
      </c>
      <c r="B42" s="1575"/>
      <c r="C42" s="442" t="s">
        <v>1029</v>
      </c>
      <c r="D42" s="442"/>
      <c r="E42" s="442"/>
      <c r="F42" s="2033">
        <f>SUM(F43:F44)</f>
        <v>57693.372624999996</v>
      </c>
      <c r="G42" s="2033"/>
      <c r="H42" s="2033">
        <f t="shared" ref="H42:N42" si="4">SUM(H43:H44)</f>
        <v>57693.372624999996</v>
      </c>
      <c r="I42" s="2033"/>
      <c r="J42" s="2033">
        <f t="shared" si="4"/>
        <v>57693.372624999996</v>
      </c>
      <c r="K42" s="2033"/>
      <c r="L42" s="2033">
        <f t="shared" si="4"/>
        <v>57693.372624999996</v>
      </c>
      <c r="M42" s="2033"/>
      <c r="N42" s="2033">
        <f t="shared" si="4"/>
        <v>57693.372624999996</v>
      </c>
    </row>
    <row r="43" spans="1:14">
      <c r="A43" s="743" t="s">
        <v>297</v>
      </c>
      <c r="B43" s="1577" t="s">
        <v>1000</v>
      </c>
      <c r="C43" s="533" t="s">
        <v>980</v>
      </c>
      <c r="F43" s="2038">
        <f>Lait!I312</f>
        <v>21593.372624999996</v>
      </c>
      <c r="G43" s="2038"/>
      <c r="H43" s="2038">
        <f>Lait!K312</f>
        <v>21593.372624999996</v>
      </c>
      <c r="I43" s="2038"/>
      <c r="J43" s="2038">
        <f>Lait!M312</f>
        <v>21593.372624999996</v>
      </c>
      <c r="K43" s="2038"/>
      <c r="L43" s="2038">
        <f>Lait!O312</f>
        <v>21593.372624999996</v>
      </c>
      <c r="M43" s="2038"/>
      <c r="N43" s="2038">
        <f>Lait!Q312</f>
        <v>21593.372624999996</v>
      </c>
    </row>
    <row r="44" spans="1:14">
      <c r="A44" s="743" t="s">
        <v>297</v>
      </c>
      <c r="B44" s="1577" t="s">
        <v>1000</v>
      </c>
      <c r="C44" s="533" t="s">
        <v>981</v>
      </c>
      <c r="F44" s="2038">
        <f>Lait!I319</f>
        <v>36100</v>
      </c>
      <c r="G44" s="2038"/>
      <c r="H44" s="2038">
        <f>Lait!K319</f>
        <v>36100</v>
      </c>
      <c r="I44" s="2038"/>
      <c r="J44" s="2038">
        <f>Lait!M319</f>
        <v>36100</v>
      </c>
      <c r="K44" s="2038"/>
      <c r="L44" s="2038">
        <f>Lait!O319</f>
        <v>36100</v>
      </c>
      <c r="M44" s="2038"/>
      <c r="N44" s="2038">
        <f>Lait!Q319</f>
        <v>36100</v>
      </c>
    </row>
    <row r="45" spans="1:14" ht="9.6" customHeight="1">
      <c r="A45" s="743" t="s">
        <v>297</v>
      </c>
      <c r="F45" s="2039"/>
      <c r="G45" s="2039"/>
      <c r="H45" s="2039"/>
      <c r="I45" s="2039"/>
      <c r="J45" s="2039"/>
      <c r="K45" s="2039"/>
      <c r="L45" s="2039"/>
      <c r="M45" s="2039"/>
      <c r="N45" s="2039"/>
    </row>
    <row r="46" spans="1:14" ht="33" customHeight="1">
      <c r="A46" s="743" t="s">
        <v>297</v>
      </c>
      <c r="C46" s="753" t="s">
        <v>989</v>
      </c>
      <c r="D46" s="753"/>
      <c r="E46" s="753"/>
      <c r="F46" s="2040">
        <f t="shared" ref="F46:N46" ca="1" si="5">F26-F32-F42</f>
        <v>162063.2361724847</v>
      </c>
      <c r="G46" s="2040"/>
      <c r="H46" s="2040">
        <f t="shared" ca="1" si="5"/>
        <v>170242.87626332624</v>
      </c>
      <c r="I46" s="2040"/>
      <c r="J46" s="2040">
        <f t="shared" ca="1" si="5"/>
        <v>170242.87626332624</v>
      </c>
      <c r="K46" s="2040"/>
      <c r="L46" s="2040">
        <f t="shared" ca="1" si="5"/>
        <v>170242.87626332624</v>
      </c>
      <c r="M46" s="2040"/>
      <c r="N46" s="2040">
        <f t="shared" ca="1" si="5"/>
        <v>170242.87626332624</v>
      </c>
    </row>
    <row r="47" spans="1:14" ht="10.7" customHeight="1">
      <c r="A47" s="743" t="s">
        <v>297</v>
      </c>
      <c r="C47" s="533"/>
      <c r="D47" s="533"/>
      <c r="E47" s="533"/>
      <c r="F47" s="2039"/>
      <c r="G47" s="2039"/>
      <c r="H47" s="2039"/>
      <c r="I47" s="2039"/>
      <c r="J47" s="2039"/>
      <c r="K47" s="2039"/>
      <c r="L47" s="2039"/>
      <c r="M47" s="2039"/>
      <c r="N47" s="2039"/>
    </row>
    <row r="48" spans="1:14">
      <c r="A48" s="743" t="s">
        <v>297</v>
      </c>
      <c r="C48" s="442" t="s">
        <v>986</v>
      </c>
      <c r="D48" s="442"/>
      <c r="E48" s="442"/>
      <c r="F48" s="2033">
        <f>F50+F51</f>
        <v>54514.03331479941</v>
      </c>
      <c r="G48" s="2033"/>
      <c r="H48" s="2033">
        <f t="shared" ref="H48:N48" si="6">H50+H51</f>
        <v>56960.068211042264</v>
      </c>
      <c r="I48" s="2033"/>
      <c r="J48" s="2033">
        <f t="shared" si="6"/>
        <v>56960.068211042264</v>
      </c>
      <c r="K48" s="2033"/>
      <c r="L48" s="2033">
        <f t="shared" si="6"/>
        <v>56960.068211042264</v>
      </c>
      <c r="M48" s="2033"/>
      <c r="N48" s="2033">
        <f t="shared" si="6"/>
        <v>56960.068211042264</v>
      </c>
    </row>
    <row r="49" spans="1:14">
      <c r="A49" s="1576" t="s">
        <v>297</v>
      </c>
      <c r="B49" s="1574"/>
      <c r="C49" s="1115"/>
      <c r="D49" s="1115"/>
      <c r="E49" s="1115"/>
      <c r="F49" s="2041"/>
      <c r="G49" s="2041"/>
      <c r="H49" s="2041"/>
      <c r="I49" s="2041"/>
      <c r="J49" s="2041"/>
      <c r="K49" s="2041"/>
      <c r="L49" s="2041"/>
      <c r="M49" s="2041"/>
      <c r="N49" s="2041"/>
    </row>
    <row r="50" spans="1:14">
      <c r="A50" s="743" t="s">
        <v>297</v>
      </c>
      <c r="B50" s="1577" t="s">
        <v>1000</v>
      </c>
      <c r="C50" s="533" t="s">
        <v>987</v>
      </c>
      <c r="D50" s="533"/>
      <c r="E50" s="533"/>
      <c r="F50" s="2038">
        <f>Lait!I322+Lait!I323</f>
        <v>16776.255543358096</v>
      </c>
      <c r="G50" s="2038"/>
      <c r="H50" s="2038">
        <f>Lait!K322+Lait!K323</f>
        <v>16746.755543358096</v>
      </c>
      <c r="I50" s="2038"/>
      <c r="J50" s="2038">
        <f>Lait!M322+Lait!M323</f>
        <v>16746.755543358096</v>
      </c>
      <c r="K50" s="2038"/>
      <c r="L50" s="2038">
        <f>Lait!O322+Lait!O323</f>
        <v>16746.755543358096</v>
      </c>
      <c r="M50" s="2038"/>
      <c r="N50" s="2038">
        <f>Lait!Q322+Lait!Q323</f>
        <v>16746.755543358096</v>
      </c>
    </row>
    <row r="51" spans="1:14">
      <c r="A51" s="743" t="s">
        <v>297</v>
      </c>
      <c r="B51" s="1577" t="s">
        <v>1000</v>
      </c>
      <c r="C51" s="533" t="s">
        <v>988</v>
      </c>
      <c r="D51" s="533"/>
      <c r="E51" s="533"/>
      <c r="F51" s="2038">
        <f>Lait!I324+Lait!I325</f>
        <v>37737.77777144131</v>
      </c>
      <c r="G51" s="2038"/>
      <c r="H51" s="2038">
        <f>Lait!K324+Lait!K325</f>
        <v>40213.312667684164</v>
      </c>
      <c r="I51" s="2038"/>
      <c r="J51" s="2038">
        <f>Lait!M324+Lait!M325</f>
        <v>40213.312667684164</v>
      </c>
      <c r="K51" s="2038"/>
      <c r="L51" s="2038">
        <f>Lait!O324+Lait!O325</f>
        <v>40213.312667684164</v>
      </c>
      <c r="M51" s="2038"/>
      <c r="N51" s="2038">
        <f>Lait!Q324+Lait!Q325</f>
        <v>40213.312667684164</v>
      </c>
    </row>
    <row r="52" spans="1:14" ht="9" customHeight="1">
      <c r="A52" s="743" t="s">
        <v>297</v>
      </c>
      <c r="C52" s="95"/>
      <c r="D52" s="95"/>
      <c r="E52" s="533"/>
      <c r="F52" s="2042"/>
      <c r="G52" s="2042"/>
      <c r="H52" s="2042"/>
      <c r="I52" s="2042"/>
      <c r="J52" s="2042"/>
      <c r="K52" s="2042"/>
      <c r="L52" s="2042"/>
      <c r="M52" s="2042"/>
      <c r="N52" s="2042"/>
    </row>
    <row r="53" spans="1:14" ht="17.100000000000001" customHeight="1">
      <c r="A53" s="743" t="s">
        <v>297</v>
      </c>
      <c r="C53" s="442" t="s">
        <v>990</v>
      </c>
      <c r="D53" s="442"/>
      <c r="E53" s="442"/>
      <c r="F53" s="2033">
        <f t="shared" ref="F53:N53" ca="1" si="7">F46-F48</f>
        <v>107549.20285768529</v>
      </c>
      <c r="G53" s="2033"/>
      <c r="H53" s="2033">
        <f t="shared" ca="1" si="7"/>
        <v>113282.80805228397</v>
      </c>
      <c r="I53" s="2033"/>
      <c r="J53" s="2033">
        <f t="shared" ca="1" si="7"/>
        <v>113282.80805228397</v>
      </c>
      <c r="K53" s="2033"/>
      <c r="L53" s="2033">
        <f t="shared" ca="1" si="7"/>
        <v>113282.80805228397</v>
      </c>
      <c r="M53" s="2033"/>
      <c r="N53" s="2033">
        <f t="shared" ca="1" si="7"/>
        <v>113282.80805228397</v>
      </c>
    </row>
    <row r="54" spans="1:14" ht="8.4499999999999993" customHeight="1">
      <c r="A54" s="743" t="s">
        <v>297</v>
      </c>
      <c r="C54" s="95"/>
      <c r="D54" s="95"/>
      <c r="E54" s="533"/>
      <c r="F54" s="2042"/>
      <c r="G54" s="2042"/>
      <c r="H54" s="2042"/>
      <c r="I54" s="2042"/>
      <c r="J54" s="2042"/>
      <c r="K54" s="2042"/>
      <c r="L54" s="2042"/>
      <c r="M54" s="2042"/>
      <c r="N54" s="2042"/>
    </row>
    <row r="55" spans="1:14">
      <c r="A55" s="743" t="s">
        <v>297</v>
      </c>
      <c r="C55" s="754" t="s">
        <v>991</v>
      </c>
      <c r="D55" s="754"/>
      <c r="E55" s="754"/>
      <c r="F55" s="2040">
        <f>F57+F58</f>
        <v>90</v>
      </c>
      <c r="G55" s="2040"/>
      <c r="H55" s="2040">
        <f t="shared" ref="H55:N55" si="8">H57+H58</f>
        <v>0</v>
      </c>
      <c r="I55" s="2040"/>
      <c r="J55" s="2040">
        <f t="shared" si="8"/>
        <v>0</v>
      </c>
      <c r="K55" s="2040"/>
      <c r="L55" s="2040">
        <f t="shared" si="8"/>
        <v>0</v>
      </c>
      <c r="M55" s="2040"/>
      <c r="N55" s="2040">
        <f t="shared" si="8"/>
        <v>0</v>
      </c>
    </row>
    <row r="56" spans="1:14" ht="6" customHeight="1">
      <c r="A56" s="743" t="s">
        <v>297</v>
      </c>
      <c r="C56" s="95"/>
      <c r="D56" s="95"/>
      <c r="E56" s="533"/>
      <c r="F56" s="2042"/>
      <c r="G56" s="2042"/>
      <c r="H56" s="2042"/>
      <c r="I56" s="2042"/>
      <c r="J56" s="2042"/>
      <c r="K56" s="2042"/>
      <c r="L56" s="2042"/>
      <c r="M56" s="2042"/>
      <c r="N56" s="2042"/>
    </row>
    <row r="57" spans="1:14" ht="14.1" customHeight="1">
      <c r="A57" s="743" t="s">
        <v>297</v>
      </c>
      <c r="B57" s="1577" t="s">
        <v>1000</v>
      </c>
      <c r="C57" s="533" t="s">
        <v>992</v>
      </c>
      <c r="D57" s="533"/>
      <c r="E57" s="533"/>
      <c r="F57" s="2038">
        <f>Lait!I333+Lait!I334-Synthèse!F58</f>
        <v>-16686.255543358096</v>
      </c>
      <c r="G57" s="2038"/>
      <c r="H57" s="2038">
        <f>Lait!K333+Lait!K334-Synthèse!H58</f>
        <v>-16746.755543358096</v>
      </c>
      <c r="I57" s="2038"/>
      <c r="J57" s="2038">
        <f>Lait!M333+Lait!M334-Synthèse!J58</f>
        <v>-16746.755543358096</v>
      </c>
      <c r="K57" s="2038"/>
      <c r="L57" s="2038">
        <f>Lait!O333+Lait!O334-Synthèse!L58</f>
        <v>-16746.755543358096</v>
      </c>
      <c r="M57" s="2038"/>
      <c r="N57" s="2038">
        <f>Lait!Q333+Lait!Q334-Synthèse!N58</f>
        <v>-16746.755543358096</v>
      </c>
    </row>
    <row r="58" spans="1:14" ht="14.1" customHeight="1">
      <c r="A58" s="743" t="s">
        <v>297</v>
      </c>
      <c r="B58" s="1577" t="s">
        <v>1000</v>
      </c>
      <c r="C58" s="533" t="s">
        <v>987</v>
      </c>
      <c r="D58" s="533"/>
      <c r="E58" s="533"/>
      <c r="F58" s="2038">
        <f>Lait!I322+Lait!I323</f>
        <v>16776.255543358096</v>
      </c>
      <c r="G58" s="2038"/>
      <c r="H58" s="2038">
        <f>Lait!K322+Lait!K323</f>
        <v>16746.755543358096</v>
      </c>
      <c r="I58" s="2038"/>
      <c r="J58" s="2038">
        <f>Lait!M322+Lait!M323</f>
        <v>16746.755543358096</v>
      </c>
      <c r="K58" s="2038"/>
      <c r="L58" s="2038">
        <f>Lait!O322+Lait!O323</f>
        <v>16746.755543358096</v>
      </c>
      <c r="M58" s="2038"/>
      <c r="N58" s="2038">
        <f>Lait!Q322+Lait!Q323</f>
        <v>16746.755543358096</v>
      </c>
    </row>
    <row r="59" spans="1:14" ht="6" customHeight="1">
      <c r="A59" s="743" t="s">
        <v>297</v>
      </c>
      <c r="C59" s="95"/>
      <c r="D59" s="95"/>
      <c r="E59" s="533"/>
      <c r="F59" s="2042"/>
      <c r="G59" s="2042"/>
      <c r="H59" s="2042"/>
      <c r="I59" s="2042"/>
      <c r="J59" s="2042"/>
      <c r="K59" s="2042"/>
      <c r="L59" s="2042"/>
      <c r="M59" s="2042"/>
      <c r="N59" s="2042"/>
    </row>
    <row r="60" spans="1:14" ht="23.45" customHeight="1">
      <c r="A60" s="743" t="s">
        <v>297</v>
      </c>
      <c r="C60" s="754" t="s">
        <v>993</v>
      </c>
      <c r="D60" s="754"/>
      <c r="E60" s="754"/>
      <c r="F60" s="2040">
        <f t="shared" ref="F60:N60" ca="1" si="9">F46-F55</f>
        <v>161973.2361724847</v>
      </c>
      <c r="G60" s="2040"/>
      <c r="H60" s="2040">
        <f t="shared" ca="1" si="9"/>
        <v>170242.87626332624</v>
      </c>
      <c r="I60" s="2040"/>
      <c r="J60" s="2040">
        <f t="shared" ca="1" si="9"/>
        <v>170242.87626332624</v>
      </c>
      <c r="K60" s="2040"/>
      <c r="L60" s="2040">
        <f t="shared" ca="1" si="9"/>
        <v>170242.87626332624</v>
      </c>
      <c r="M60" s="2040"/>
      <c r="N60" s="2040">
        <f t="shared" ca="1" si="9"/>
        <v>170242.87626332624</v>
      </c>
    </row>
    <row r="61" spans="1:14" ht="90" thickBot="1">
      <c r="A61" s="1903" t="s">
        <v>1054</v>
      </c>
      <c r="B61" s="2138" t="s">
        <v>1146</v>
      </c>
      <c r="C61" s="2138"/>
      <c r="D61" s="1904" t="s">
        <v>1144</v>
      </c>
      <c r="E61" s="806"/>
      <c r="F61" s="988">
        <f>scenario1</f>
        <v>0</v>
      </c>
      <c r="G61" s="988"/>
      <c r="H61" s="988" t="str">
        <f>scenario2</f>
        <v>Transition 1</v>
      </c>
      <c r="I61" s="988"/>
      <c r="J61" s="988" t="str">
        <f>scenario3</f>
        <v>Transition 2</v>
      </c>
      <c r="K61" s="988"/>
      <c r="L61" s="988" t="str">
        <f>scenario4</f>
        <v>Pré-certification</v>
      </c>
      <c r="M61" s="988"/>
      <c r="N61" s="988" t="str">
        <f>scenario5</f>
        <v>Certification</v>
      </c>
    </row>
    <row r="62" spans="1:14" ht="15" thickTop="1">
      <c r="C62" s="56"/>
      <c r="D62" s="94"/>
      <c r="F62" s="936"/>
      <c r="H62" s="934"/>
    </row>
    <row r="63" spans="1:14">
      <c r="C63" s="32" t="str">
        <f>Champs!D27</f>
        <v>Superficie totale</v>
      </c>
      <c r="D63" s="24" t="str">
        <f>Champs!E27</f>
        <v>ha</v>
      </c>
      <c r="E63" s="2023"/>
      <c r="F63" s="2056">
        <f>Champs!I27</f>
        <v>0</v>
      </c>
      <c r="G63" s="2055"/>
      <c r="H63" s="2055">
        <f>Champs!K27</f>
        <v>0</v>
      </c>
      <c r="I63" s="2055"/>
      <c r="J63" s="2055">
        <f>Champs!M27</f>
        <v>0</v>
      </c>
      <c r="K63" s="2055"/>
      <c r="L63" s="2055">
        <f>Champs!O27</f>
        <v>0</v>
      </c>
      <c r="M63" s="2055"/>
      <c r="N63" s="2055">
        <f>Champs!Q27</f>
        <v>0</v>
      </c>
    </row>
    <row r="64" spans="1:14">
      <c r="C64" s="45" t="str">
        <f>Champs!D30</f>
        <v>Superficie cultures annuelles et prairies</v>
      </c>
      <c r="D64" s="24" t="str">
        <f>Champs!E30</f>
        <v>ha</v>
      </c>
      <c r="E64" s="2023"/>
      <c r="F64" s="2056">
        <f>Champs!I30</f>
        <v>0</v>
      </c>
      <c r="G64" s="2055"/>
      <c r="H64" s="2055">
        <f>Champs!K30</f>
        <v>0</v>
      </c>
      <c r="I64" s="2055"/>
      <c r="J64" s="2055">
        <f>Champs!M30</f>
        <v>0</v>
      </c>
      <c r="K64" s="2055"/>
      <c r="L64" s="2055">
        <f>Champs!O30</f>
        <v>0</v>
      </c>
      <c r="M64" s="2055"/>
      <c r="N64" s="2055">
        <f>Champs!Q30</f>
        <v>0</v>
      </c>
    </row>
    <row r="65" spans="1:14">
      <c r="A65" s="743" t="s">
        <v>297</v>
      </c>
      <c r="C65" s="24" t="str">
        <f>Champs!D28</f>
        <v>Superficie assignée aux pâturages</v>
      </c>
      <c r="D65" s="24" t="str">
        <f>Champs!E28</f>
        <v>ha</v>
      </c>
      <c r="E65" s="2023"/>
      <c r="F65" s="2056">
        <f>Champs!I28</f>
        <v>0</v>
      </c>
      <c r="G65" s="2055"/>
      <c r="H65" s="2055">
        <f>Champs!K28</f>
        <v>0</v>
      </c>
      <c r="I65" s="2055"/>
      <c r="J65" s="2055">
        <f>Champs!M28</f>
        <v>0</v>
      </c>
      <c r="K65" s="2055"/>
      <c r="L65" s="2055">
        <f>Champs!O28</f>
        <v>0</v>
      </c>
      <c r="M65" s="2055"/>
      <c r="N65" s="2055">
        <f>Champs!Q28</f>
        <v>0</v>
      </c>
    </row>
    <row r="66" spans="1:14">
      <c r="C66" s="57" t="str">
        <f>Champs!D32</f>
        <v>Superficie en cultures annuelles</v>
      </c>
      <c r="D66" s="57" t="str">
        <f>Champs!E32</f>
        <v>ha</v>
      </c>
      <c r="E66" s="2023"/>
      <c r="F66" s="2055">
        <f>Champs!I32</f>
        <v>0</v>
      </c>
      <c r="G66" s="2055"/>
      <c r="H66" s="2055">
        <f>Champs!K32</f>
        <v>0</v>
      </c>
      <c r="I66" s="2055"/>
      <c r="J66" s="2055">
        <f>Champs!M32</f>
        <v>0</v>
      </c>
      <c r="K66" s="2055"/>
      <c r="L66" s="2055">
        <f>Champs!O32</f>
        <v>0</v>
      </c>
      <c r="M66" s="2055"/>
      <c r="N66" s="2055">
        <f>Champs!Q32</f>
        <v>0</v>
      </c>
    </row>
    <row r="67" spans="1:14">
      <c r="C67" s="248"/>
      <c r="D67" s="438"/>
      <c r="E67" s="2023"/>
      <c r="F67" s="2057"/>
      <c r="G67" s="2023"/>
      <c r="H67" s="2057"/>
      <c r="I67" s="2023"/>
      <c r="J67" s="2057"/>
      <c r="K67" s="2023"/>
      <c r="L67" s="2057"/>
      <c r="M67" s="2023"/>
      <c r="N67" s="2057"/>
    </row>
    <row r="68" spans="1:14">
      <c r="C68" s="32" t="s">
        <v>282</v>
      </c>
      <c r="D68" s="24" t="s">
        <v>260</v>
      </c>
      <c r="E68" s="2023"/>
      <c r="F68" s="2039">
        <f ca="1">Champs!I315</f>
        <v>0</v>
      </c>
      <c r="G68" s="2039"/>
      <c r="H68" s="2039">
        <f ca="1">Champs!K315</f>
        <v>0</v>
      </c>
      <c r="I68" s="2039"/>
      <c r="J68" s="2039">
        <f ca="1">Champs!M315</f>
        <v>0</v>
      </c>
      <c r="K68" s="2039"/>
      <c r="L68" s="2039">
        <f ca="1">Champs!O315</f>
        <v>0</v>
      </c>
      <c r="M68" s="2039"/>
      <c r="N68" s="2039">
        <f ca="1">Champs!Q315</f>
        <v>0</v>
      </c>
    </row>
    <row r="69" spans="1:14">
      <c r="C69" s="32" t="s">
        <v>281</v>
      </c>
      <c r="D69" s="24" t="s">
        <v>260</v>
      </c>
      <c r="E69" s="2023"/>
      <c r="F69" s="2039">
        <f ca="1">Champs!I317</f>
        <v>0</v>
      </c>
      <c r="G69" s="2039"/>
      <c r="H69" s="2039">
        <f ca="1">Champs!K317</f>
        <v>0</v>
      </c>
      <c r="I69" s="2039"/>
      <c r="J69" s="2039">
        <f ca="1">Champs!M317</f>
        <v>0</v>
      </c>
      <c r="K69" s="2039"/>
      <c r="L69" s="2039">
        <f ca="1">Champs!O317</f>
        <v>0</v>
      </c>
      <c r="M69" s="2039"/>
      <c r="N69" s="2039">
        <f ca="1">Champs!Q317</f>
        <v>0</v>
      </c>
    </row>
    <row r="70" spans="1:14">
      <c r="C70" s="52" t="s">
        <v>283</v>
      </c>
      <c r="D70" s="45" t="s">
        <v>260</v>
      </c>
      <c r="E70" s="2023"/>
      <c r="F70" s="2039">
        <f ca="1">Champs!I318</f>
        <v>0</v>
      </c>
      <c r="G70" s="2039"/>
      <c r="H70" s="2039">
        <f ca="1">Champs!K318</f>
        <v>0</v>
      </c>
      <c r="I70" s="2039"/>
      <c r="J70" s="2039">
        <f ca="1">Champs!M318</f>
        <v>0</v>
      </c>
      <c r="K70" s="2039"/>
      <c r="L70" s="2039">
        <f ca="1">Champs!O318</f>
        <v>0</v>
      </c>
      <c r="M70" s="2039"/>
      <c r="N70" s="2039">
        <f ca="1">Champs!Q318</f>
        <v>0</v>
      </c>
    </row>
    <row r="71" spans="1:14">
      <c r="C71" s="32" t="s">
        <v>259</v>
      </c>
      <c r="D71" s="24" t="s">
        <v>254</v>
      </c>
      <c r="E71" s="2023"/>
      <c r="F71" s="2039" t="e">
        <f ca="1">F70/F63</f>
        <v>#DIV/0!</v>
      </c>
      <c r="G71" s="2039"/>
      <c r="H71" s="2039" t="e">
        <f ca="1">H70/H63</f>
        <v>#DIV/0!</v>
      </c>
      <c r="I71" s="2039"/>
      <c r="J71" s="2039" t="e">
        <f ca="1">J70/J63</f>
        <v>#DIV/0!</v>
      </c>
      <c r="K71" s="2039"/>
      <c r="L71" s="2039" t="e">
        <f ca="1">L70/L63</f>
        <v>#DIV/0!</v>
      </c>
      <c r="M71" s="2039"/>
      <c r="N71" s="2039" t="e">
        <f ca="1">N70/N63</f>
        <v>#DIV/0!</v>
      </c>
    </row>
    <row r="72" spans="1:14">
      <c r="B72" s="1578"/>
      <c r="C72" s="58"/>
      <c r="D72" s="45"/>
      <c r="E72" s="2023"/>
      <c r="F72" s="2023"/>
      <c r="G72" s="2023"/>
      <c r="H72" s="2023"/>
      <c r="I72" s="2023"/>
      <c r="J72" s="2023"/>
      <c r="K72" s="2023"/>
      <c r="L72" s="2023"/>
      <c r="M72" s="2023"/>
      <c r="N72" s="2023"/>
    </row>
    <row r="73" spans="1:14">
      <c r="B73" s="1578"/>
      <c r="C73" s="52" t="s">
        <v>308</v>
      </c>
      <c r="D73" s="45" t="s">
        <v>244</v>
      </c>
      <c r="E73" s="2023"/>
      <c r="F73" s="2058">
        <f ca="1">Champs!I311</f>
        <v>0</v>
      </c>
      <c r="G73" s="2023"/>
      <c r="H73" s="2058">
        <f ca="1">Champs!K311</f>
        <v>0</v>
      </c>
      <c r="I73" s="2023"/>
      <c r="J73" s="2055">
        <f ca="1">Champs!M311</f>
        <v>0</v>
      </c>
      <c r="K73" s="2023"/>
      <c r="L73" s="2055">
        <f ca="1">Champs!O311</f>
        <v>0</v>
      </c>
      <c r="M73" s="2023"/>
      <c r="N73" s="2055">
        <f ca="1">Champs!Q311</f>
        <v>0</v>
      </c>
    </row>
    <row r="74" spans="1:14">
      <c r="B74" s="1578"/>
      <c r="C74" s="105" t="s">
        <v>308</v>
      </c>
      <c r="D74" s="45" t="s">
        <v>260</v>
      </c>
      <c r="E74" s="2023"/>
      <c r="F74" s="2043">
        <f ca="1">Champs!I310</f>
        <v>0</v>
      </c>
      <c r="G74" s="2023"/>
      <c r="H74" s="2043">
        <f ca="1">Champs!K310</f>
        <v>0</v>
      </c>
      <c r="I74" s="2023"/>
      <c r="J74" s="2043">
        <f ca="1">Champs!M310</f>
        <v>0</v>
      </c>
      <c r="K74" s="2023"/>
      <c r="L74" s="2043">
        <f ca="1">Champs!O310</f>
        <v>0</v>
      </c>
      <c r="M74" s="2023"/>
      <c r="N74" s="2043">
        <f ca="1">Champs!Q310</f>
        <v>0</v>
      </c>
    </row>
    <row r="75" spans="1:14">
      <c r="A75" s="743" t="s">
        <v>297</v>
      </c>
      <c r="B75" s="1578"/>
      <c r="C75" s="105" t="s">
        <v>1451</v>
      </c>
      <c r="D75" s="45" t="s">
        <v>244</v>
      </c>
      <c r="E75" s="2023"/>
      <c r="F75" s="2059">
        <f ca="1">Champs!G313</f>
        <v>0</v>
      </c>
      <c r="G75" s="2025"/>
      <c r="H75" s="2059">
        <f ca="1">Champs!I313</f>
        <v>0</v>
      </c>
      <c r="I75" s="2025"/>
      <c r="J75" s="2059">
        <f ca="1">Champs!K313</f>
        <v>0</v>
      </c>
      <c r="K75" s="2025"/>
      <c r="L75" s="2059">
        <f ca="1">Champs!M313</f>
        <v>0</v>
      </c>
      <c r="M75" s="2025"/>
      <c r="N75" s="2059">
        <f ca="1">Champs!O313</f>
        <v>0</v>
      </c>
    </row>
    <row r="76" spans="1:14">
      <c r="A76" s="743" t="s">
        <v>297</v>
      </c>
      <c r="B76" s="1578"/>
      <c r="C76" s="105" t="s">
        <v>1451</v>
      </c>
      <c r="D76" s="45" t="s">
        <v>260</v>
      </c>
      <c r="E76" s="2023"/>
      <c r="F76" s="2044">
        <f ca="1">Champs!G312</f>
        <v>0</v>
      </c>
      <c r="G76" s="2025"/>
      <c r="H76" s="2044">
        <f ca="1">Champs!I312</f>
        <v>0</v>
      </c>
      <c r="I76" s="2025"/>
      <c r="J76" s="2044">
        <f ca="1">Champs!K312</f>
        <v>0</v>
      </c>
      <c r="K76" s="2025"/>
      <c r="L76" s="2044">
        <f ca="1">Champs!M312</f>
        <v>0</v>
      </c>
      <c r="M76" s="2025"/>
      <c r="N76" s="2044">
        <f ca="1">Champs!O312</f>
        <v>0</v>
      </c>
    </row>
    <row r="77" spans="1:14">
      <c r="A77" s="743" t="s">
        <v>297</v>
      </c>
      <c r="B77" s="1578"/>
      <c r="C77" s="105" t="s">
        <v>307</v>
      </c>
      <c r="D77" s="45" t="s">
        <v>244</v>
      </c>
      <c r="E77" s="2023"/>
      <c r="F77" s="2060">
        <f ca="1">SUM(Lait!I171:I172,Lait!I174:I188)-SUM(Champs!H258,Champs!H261,Champs!H264,Champs!H267,Champs!H273,Champs!H276,Champs!H279,Champs!H288,Champs!H291,Champs!H294,Champs!H300)</f>
        <v>0</v>
      </c>
      <c r="G77" s="2023"/>
      <c r="H77" s="2060">
        <f ca="1">SUM(Lait!K171:K172,Lait!K174:K188)-SUM(Champs!J258,Champs!J261,Champs!J264,Champs!J267,Champs!J273,Champs!J276,Champs!J279,Champs!J288,Champs!J291,Champs!J294,Champs!J300)</f>
        <v>0</v>
      </c>
      <c r="I77" s="2023"/>
      <c r="J77" s="2060">
        <f ca="1">SUM(Lait!M171:M172,Lait!M174:M188)-SUM(Champs!L258,Champs!L261,Champs!L264,Champs!L267,Champs!L273,Champs!L276,Champs!L279,Champs!L288,Champs!L291,Champs!L294,Champs!L300)</f>
        <v>0</v>
      </c>
      <c r="K77" s="2023"/>
      <c r="L77" s="2060">
        <f ca="1">SUM(Lait!O171:O172,Lait!O174:O188)-SUM(Champs!N258,Champs!N261,Champs!N264,Champs!N267,Champs!N273,Champs!N276,Champs!N279,Champs!N288,Champs!N291,Champs!N294,Champs!N300)</f>
        <v>0</v>
      </c>
      <c r="M77" s="2023"/>
      <c r="N77" s="2060">
        <f ca="1">SUM(Lait!Q171:Q172,Lait!Q174:Q188)-SUM(Champs!P258,Champs!P261,Champs!P264,Champs!P267,Champs!P273,Champs!P276,Champs!P279,Champs!P288,Champs!P291,Champs!P294,Champs!P300)</f>
        <v>0</v>
      </c>
    </row>
    <row r="78" spans="1:14">
      <c r="A78" s="743" t="s">
        <v>297</v>
      </c>
      <c r="B78" s="1578"/>
      <c r="C78" s="105" t="s">
        <v>307</v>
      </c>
      <c r="D78" s="24" t="s">
        <v>260</v>
      </c>
      <c r="E78" s="2023"/>
      <c r="F78" s="2039">
        <f ca="1">(Lait!I171-Champs!H258)*Lait!I219
+(Lait!I172-Champs!H261)*Lait!I220
+(Lait!I174-Champs!H264)*Lait!I222
+(Lait!I174 - Champs!H264) * Lait!I223
+(Lait!I175 - Champs!H267) * Lait!I224
+(Lait!I176 - Champs!H270) * Lait!I225
+(Lait!I177 - Champs!H273) * Lait!I226
+(Lait!I178 - Champs!H276) * Lait!I227
+(Lait!I179 - Champs!H279) * Lait!I228
+(Lait!I180 - Champs!H282) * Lait!I230
+(Lait!I182 - Champs!H288) * Lait!I231
+(Lait!I183 - Champs!H291) * Lait!I232
+(Lait!I184 - Champs!H294) * Lait!I234
+(Lait!I186 - Champs!H300) * Lait!I235
+(Lait!I187 - Champs!H303) * Lait!I236
+(Lait!I188 - Champs!H306) * Lait!I237</f>
        <v>0</v>
      </c>
      <c r="G78" s="2023"/>
      <c r="H78" s="2039">
        <f ca="1">(Lait!K171-Champs!J258)*Lait!K219
+(Lait!K172-Champs!J261)*Lait!K220
+(Lait!K174-Champs!J264)*Lait!K222
+(Lait!K174 - Champs!J264) * Lait!K223
+(Lait!K175 - Champs!J267) * Lait!K224
+(Lait!K176 - Champs!J270) * Lait!K225
+(Lait!K177 - Champs!J273) * Lait!K226
+(Lait!K178 - Champs!J276) * Lait!K227
+(Lait!K179 - Champs!J279) * Lait!K228
+(Lait!K180 - Champs!J282) * Lait!K230
+(Lait!K182 - Champs!J288) * Lait!K231
+(Lait!K183 - Champs!J291) * Lait!K232
+(Lait!K184 - Champs!J294) * Lait!K234
+(Lait!K186 - Champs!J300) * Lait!K235
+(Lait!K187 - Champs!J303) * Lait!K236
+(Lait!K188 - Champs!J306) * Lait!K237</f>
        <v>0</v>
      </c>
      <c r="I78" s="2023"/>
      <c r="J78" s="2039">
        <f ca="1">(Lait!M171-Champs!L258)*Lait!M219
+(Lait!M172-Champs!L261)*Lait!M220
+(Lait!M174-Champs!L264)*Lait!M222
+(Lait!M174 - Champs!L264) * Lait!M223
+(Lait!M175 - Champs!L267) * Lait!M224
+(Lait!M176 - Champs!L270) * Lait!M225
+(Lait!M177 - Champs!L273) * Lait!M226
+(Lait!M178 - Champs!L276) * Lait!M227
+(Lait!M179 - Champs!L279) * Lait!M228
+(Lait!M180 - Champs!L282) * Lait!M230
+(Lait!M182 - Champs!L288) * Lait!M231
+(Lait!M183 - Champs!L291) * Lait!M232
+(Lait!M184 - Champs!L294) * Lait!M234
+(Lait!M186 - Champs!L300) * Lait!M235
+(Lait!M187 - Champs!L303) * Lait!M236
+(Lait!M188 - Champs!L306) * Lait!M237</f>
        <v>0</v>
      </c>
      <c r="K78" s="2023"/>
      <c r="L78" s="2039">
        <f ca="1">(Lait!O171-Champs!N258)*Lait!O219
+(Lait!O172-Champs!N261)*Lait!O220
+(Lait!O174-Champs!N264)*Lait!O222
+(Lait!O174 - Champs!N264) * Lait!O223
+(Lait!O175 - Champs!N267) * Lait!O224
+(Lait!O176 - Champs!N270) * Lait!O225
+(Lait!O177 - Champs!N273) * Lait!O226
+(Lait!O178 - Champs!N276) * Lait!O227
+(Lait!O179 - Champs!N279) * Lait!O228
+(Lait!O180 - Champs!N282) * Lait!O230
+(Lait!O182 - Champs!N288) * Lait!O231
+(Lait!O183 - Champs!N291) * Lait!O232
+(Lait!O184 - Champs!N294) * Lait!O234
+(Lait!O186 - Champs!N300) * Lait!O235
+(Lait!O187 - Champs!N303) * Lait!O236
+(Lait!O188 - Champs!N306) * Lait!O237</f>
        <v>0</v>
      </c>
      <c r="M78" s="2023"/>
      <c r="N78" s="2039">
        <f ca="1">(Lait!Q171-Champs!P258)*Lait!Q219
+(Lait!Q172-Champs!P261)*Lait!Q220
+(Lait!Q174-Champs!P264)*Lait!Q222
+(Lait!Q174 - Champs!P264) * Lait!Q223
+(Lait!Q175 - Champs!P267) * Lait!Q224
+(Lait!Q176 - Champs!P270) * Lait!Q225
+(Lait!Q177 - Champs!P273) * Lait!Q226
+(Lait!Q178 - Champs!P276) * Lait!Q227
+(Lait!Q179 - Champs!P279) * Lait!Q228
+(Lait!Q180 - Champs!P282) * Lait!Q230
+(Lait!Q182 - Champs!P288) * Lait!Q231
+(Lait!Q183 - Champs!P291) * Lait!Q232
+(Lait!Q184 - Champs!P294) * Lait!Q234
+(Lait!Q186 - Champs!P300) * Lait!Q235
+(Lait!Q187 - Champs!P303) * Lait!Q236
+(Lait!Q188 - Champs!P306) * Lait!Q237</f>
        <v>0</v>
      </c>
    </row>
    <row r="79" spans="1:14">
      <c r="B79" s="1578"/>
      <c r="C79" s="58"/>
      <c r="D79" s="45"/>
      <c r="E79" s="2023"/>
      <c r="F79" s="2026"/>
      <c r="G79" s="2023"/>
      <c r="H79" s="2023"/>
      <c r="I79" s="2023"/>
      <c r="J79" s="2023"/>
      <c r="K79" s="2023"/>
      <c r="L79" s="2023"/>
      <c r="M79" s="2023"/>
      <c r="N79" s="2023"/>
    </row>
    <row r="80" spans="1:14">
      <c r="B80" s="1578"/>
      <c r="E80" s="2023"/>
      <c r="F80" s="2026"/>
      <c r="G80" s="2023"/>
      <c r="H80" s="2023"/>
      <c r="I80" s="2023"/>
      <c r="J80" s="2023"/>
      <c r="K80" s="2023"/>
      <c r="L80" s="2023"/>
      <c r="M80" s="2023"/>
      <c r="N80" s="2023"/>
    </row>
    <row r="81" spans="1:14">
      <c r="B81" s="1578"/>
      <c r="C81" s="1901" t="s">
        <v>10</v>
      </c>
      <c r="D81" s="1902" t="s">
        <v>260</v>
      </c>
      <c r="E81" s="2131">
        <f>SUM(E82:F84)</f>
        <v>0</v>
      </c>
      <c r="F81" s="2132"/>
      <c r="G81" s="2131">
        <f>SUM(G82:H84)</f>
        <v>0</v>
      </c>
      <c r="H81" s="2132"/>
      <c r="I81" s="2131">
        <f>SUM(I82:J84)</f>
        <v>0</v>
      </c>
      <c r="J81" s="2132"/>
      <c r="K81" s="2131">
        <f>SUM(K82:L84)</f>
        <v>0</v>
      </c>
      <c r="L81" s="2132"/>
      <c r="M81" s="2131">
        <f>SUM(M82:N84)</f>
        <v>0</v>
      </c>
      <c r="N81" s="2132"/>
    </row>
    <row r="82" spans="1:14">
      <c r="B82" s="1578"/>
      <c r="C82" s="3" t="s">
        <v>700</v>
      </c>
      <c r="D82" s="45" t="s">
        <v>260</v>
      </c>
      <c r="E82" s="2129">
        <f>Champs!I388</f>
        <v>0</v>
      </c>
      <c r="F82" s="2130"/>
      <c r="G82" s="2133">
        <f>Champs!K388</f>
        <v>0</v>
      </c>
      <c r="H82" s="2134"/>
      <c r="I82" s="2129">
        <f>Champs!M388</f>
        <v>0</v>
      </c>
      <c r="J82" s="2130"/>
      <c r="K82" s="2129">
        <f>Champs!O388</f>
        <v>0</v>
      </c>
      <c r="L82" s="2130"/>
      <c r="M82" s="2129">
        <f>Champs!Q388</f>
        <v>0</v>
      </c>
      <c r="N82" s="2130"/>
    </row>
    <row r="83" spans="1:14">
      <c r="B83" s="1578"/>
      <c r="C83" s="3" t="s">
        <v>310</v>
      </c>
      <c r="D83" s="45" t="s">
        <v>260</v>
      </c>
      <c r="E83" s="2129">
        <f>Champs!I389</f>
        <v>0</v>
      </c>
      <c r="F83" s="2130"/>
      <c r="G83" s="2129">
        <f>Champs!K389</f>
        <v>0</v>
      </c>
      <c r="H83" s="2130"/>
      <c r="I83" s="2129">
        <f>Champs!M389</f>
        <v>0</v>
      </c>
      <c r="J83" s="2130"/>
      <c r="K83" s="2129">
        <f>Champs!O389</f>
        <v>0</v>
      </c>
      <c r="L83" s="2130"/>
      <c r="M83" s="2129">
        <f>Champs!Q389</f>
        <v>0</v>
      </c>
      <c r="N83" s="2130"/>
    </row>
    <row r="84" spans="1:14">
      <c r="B84" s="1578"/>
      <c r="C84" s="3" t="s">
        <v>808</v>
      </c>
      <c r="D84" s="45" t="s">
        <v>260</v>
      </c>
      <c r="E84" s="2129">
        <f>Champs!I390</f>
        <v>0</v>
      </c>
      <c r="F84" s="2130"/>
      <c r="G84" s="2129">
        <f>Champs!K390</f>
        <v>0</v>
      </c>
      <c r="H84" s="2130"/>
      <c r="I84" s="2129">
        <f>Champs!M390</f>
        <v>0</v>
      </c>
      <c r="J84" s="2130"/>
      <c r="K84" s="2129">
        <f>Champs!O390</f>
        <v>0</v>
      </c>
      <c r="L84" s="2130"/>
      <c r="M84" s="2129">
        <f>Champs!Q390</f>
        <v>0</v>
      </c>
      <c r="N84" s="2130"/>
    </row>
    <row r="85" spans="1:14">
      <c r="B85" s="1578"/>
      <c r="D85"/>
    </row>
    <row r="86" spans="1:14" ht="90" thickBot="1">
      <c r="B86" s="1683" t="s">
        <v>865</v>
      </c>
      <c r="C86" s="919"/>
      <c r="D86" s="916"/>
      <c r="E86" s="916"/>
      <c r="F86" s="1684">
        <f>scenario1</f>
        <v>0</v>
      </c>
      <c r="G86" s="1684"/>
      <c r="H86" s="1684" t="str">
        <f>scenario2</f>
        <v>Transition 1</v>
      </c>
      <c r="I86" s="1684"/>
      <c r="J86" s="1684" t="str">
        <f>scenario3</f>
        <v>Transition 2</v>
      </c>
      <c r="K86" s="1684"/>
      <c r="L86" s="1684" t="str">
        <f>scenario4</f>
        <v>Pré-certification</v>
      </c>
      <c r="M86" s="1684"/>
      <c r="N86" s="1684" t="str">
        <f>scenario5</f>
        <v>Certification</v>
      </c>
    </row>
    <row r="87" spans="1:14">
      <c r="B87" s="476"/>
      <c r="C87" s="451"/>
      <c r="D87" s="454"/>
      <c r="E87" s="451"/>
      <c r="F87" s="452"/>
      <c r="G87" s="451"/>
      <c r="H87" s="451"/>
      <c r="I87" s="451"/>
      <c r="J87" s="451"/>
      <c r="K87" s="451"/>
      <c r="L87" s="451"/>
      <c r="M87" s="451"/>
      <c r="N87" s="451"/>
    </row>
    <row r="88" spans="1:14">
      <c r="A88" s="743" t="s">
        <v>2</v>
      </c>
      <c r="B88" s="476" t="s">
        <v>142</v>
      </c>
      <c r="C88" s="58" t="str">
        <f>Champs!D418</f>
        <v>Pâturage</v>
      </c>
      <c r="D88" s="118" t="str">
        <f>Champs!E418</f>
        <v>$/ha</v>
      </c>
      <c r="F88" s="2045">
        <f>Champs!G418</f>
        <v>0</v>
      </c>
      <c r="G88" s="2023"/>
      <c r="H88" s="2046">
        <f>Champs!I418</f>
        <v>0</v>
      </c>
      <c r="I88" s="2023"/>
      <c r="J88" s="2046">
        <f>Champs!K418</f>
        <v>0</v>
      </c>
      <c r="K88" s="2023"/>
      <c r="L88" s="2046">
        <f>Champs!M418</f>
        <v>0</v>
      </c>
      <c r="M88" s="2023"/>
      <c r="N88" s="2046">
        <f>Champs!O418</f>
        <v>0</v>
      </c>
    </row>
    <row r="89" spans="1:14">
      <c r="A89" s="743" t="s">
        <v>142</v>
      </c>
      <c r="B89" s="476" t="s">
        <v>11</v>
      </c>
      <c r="C89" s="58" t="str">
        <f>Champs!D419</f>
        <v>Prairies</v>
      </c>
      <c r="D89" s="436" t="str">
        <f>Champs!E419</f>
        <v>$/ha</v>
      </c>
      <c r="F89" s="2045">
        <f>Champs!G419</f>
        <v>0</v>
      </c>
      <c r="G89" s="2023"/>
      <c r="H89" s="2046">
        <f>Champs!I419</f>
        <v>0</v>
      </c>
      <c r="I89" s="2023"/>
      <c r="J89" s="2046">
        <f>Champs!K419</f>
        <v>0</v>
      </c>
      <c r="K89" s="2023"/>
      <c r="L89" s="2046">
        <f>Champs!M419</f>
        <v>0</v>
      </c>
      <c r="M89" s="2023"/>
      <c r="N89" s="2046">
        <f>Champs!O419</f>
        <v>0</v>
      </c>
    </row>
    <row r="90" spans="1:14" hidden="1">
      <c r="A90" s="743" t="s">
        <v>11</v>
      </c>
      <c r="B90" s="476" t="s">
        <v>0</v>
      </c>
      <c r="C90" s="58" t="str">
        <f>Champs!D420</f>
        <v>Grains mélangés</v>
      </c>
      <c r="D90" s="436" t="str">
        <f>Champs!E420</f>
        <v>$/ha</v>
      </c>
      <c r="F90" s="2046">
        <f>Champs!I420</f>
        <v>0</v>
      </c>
      <c r="G90" s="2023"/>
      <c r="H90" s="2046">
        <f>Champs!K420</f>
        <v>0</v>
      </c>
      <c r="I90" s="2023"/>
      <c r="J90" s="2046">
        <f>Champs!M420</f>
        <v>0</v>
      </c>
      <c r="K90" s="2023"/>
      <c r="L90" s="2046">
        <f>Champs!O420</f>
        <v>0</v>
      </c>
      <c r="M90" s="2023"/>
      <c r="N90" s="2046">
        <f>Champs!Q420</f>
        <v>0</v>
      </c>
    </row>
    <row r="91" spans="1:14">
      <c r="A91" s="743" t="s">
        <v>0</v>
      </c>
      <c r="B91" s="476" t="s">
        <v>140</v>
      </c>
      <c r="C91" s="58" t="str">
        <f>Champs!D421</f>
        <v>Maïs-grain</v>
      </c>
      <c r="D91" s="436" t="str">
        <f>Champs!E421</f>
        <v>$/ha</v>
      </c>
      <c r="F91" s="2046">
        <f>Champs!I421</f>
        <v>0</v>
      </c>
      <c r="G91" s="2023"/>
      <c r="H91" s="2046">
        <f>Champs!K421</f>
        <v>0</v>
      </c>
      <c r="I91" s="2023"/>
      <c r="J91" s="2046">
        <f>Champs!M421</f>
        <v>0</v>
      </c>
      <c r="K91" s="2023"/>
      <c r="L91" s="2046">
        <f>Champs!O421</f>
        <v>0</v>
      </c>
      <c r="M91" s="2023"/>
      <c r="N91" s="2046">
        <f>Champs!Q421</f>
        <v>0</v>
      </c>
    </row>
    <row r="92" spans="1:14">
      <c r="A92" s="743" t="s">
        <v>140</v>
      </c>
      <c r="B92" s="476" t="s">
        <v>1</v>
      </c>
      <c r="C92" s="58" t="str">
        <f>Champs!D422</f>
        <v>Maïs ensilage</v>
      </c>
      <c r="D92" s="436" t="str">
        <f>Champs!E422</f>
        <v>$/ha</v>
      </c>
      <c r="F92" s="2046">
        <f>Champs!I422</f>
        <v>0</v>
      </c>
      <c r="G92" s="2023"/>
      <c r="H92" s="2046">
        <f>Champs!K422</f>
        <v>0</v>
      </c>
      <c r="I92" s="2023"/>
      <c r="J92" s="2046">
        <f>Champs!M422</f>
        <v>0</v>
      </c>
      <c r="K92" s="2023"/>
      <c r="L92" s="2046">
        <f>Champs!O422</f>
        <v>0</v>
      </c>
      <c r="M92" s="2023"/>
      <c r="N92" s="2046">
        <f>Champs!Q422</f>
        <v>0</v>
      </c>
    </row>
    <row r="93" spans="1:14">
      <c r="A93" s="743" t="s">
        <v>1</v>
      </c>
      <c r="B93" s="476" t="s">
        <v>3</v>
      </c>
      <c r="C93" s="58" t="str">
        <f>Champs!D423</f>
        <v>Soya</v>
      </c>
      <c r="D93" s="436" t="str">
        <f>Champs!E423</f>
        <v>$/ha</v>
      </c>
      <c r="F93" s="2046">
        <f>Champs!I423</f>
        <v>0</v>
      </c>
      <c r="G93" s="2023"/>
      <c r="H93" s="2046">
        <f>Champs!K423</f>
        <v>0</v>
      </c>
      <c r="I93" s="2023"/>
      <c r="J93" s="2046">
        <f>Champs!M423</f>
        <v>0</v>
      </c>
      <c r="K93" s="2023"/>
      <c r="L93" s="2046">
        <f>Champs!O423</f>
        <v>0</v>
      </c>
      <c r="M93" s="2023"/>
      <c r="N93" s="2046">
        <f>Champs!Q423</f>
        <v>0</v>
      </c>
    </row>
    <row r="94" spans="1:14">
      <c r="A94" s="743" t="s">
        <v>3</v>
      </c>
      <c r="B94" s="476" t="s">
        <v>4</v>
      </c>
      <c r="C94" s="58" t="str">
        <f>Champs!D424</f>
        <v>Blé de printemps</v>
      </c>
      <c r="D94" s="436" t="str">
        <f>Champs!E424</f>
        <v>$/ha</v>
      </c>
      <c r="F94" s="2046">
        <f>Champs!I424</f>
        <v>0</v>
      </c>
      <c r="G94" s="2023"/>
      <c r="H94" s="2046">
        <f>Champs!K424</f>
        <v>0</v>
      </c>
      <c r="I94" s="2023"/>
      <c r="J94" s="2046">
        <f>Champs!M424</f>
        <v>0</v>
      </c>
      <c r="K94" s="2023"/>
      <c r="L94" s="2046">
        <f>Champs!O424</f>
        <v>0</v>
      </c>
      <c r="M94" s="2023"/>
      <c r="N94" s="2046">
        <f>Champs!Q424</f>
        <v>0</v>
      </c>
    </row>
    <row r="95" spans="1:14" hidden="1">
      <c r="A95" s="743" t="s">
        <v>4</v>
      </c>
      <c r="B95" s="476" t="s">
        <v>5</v>
      </c>
      <c r="C95" s="58" t="str">
        <f>Champs!D425</f>
        <v>Orge</v>
      </c>
      <c r="D95" s="436" t="str">
        <f>Champs!E425</f>
        <v>$/ha</v>
      </c>
      <c r="F95" s="2046">
        <f>Champs!I425</f>
        <v>0</v>
      </c>
      <c r="G95" s="2023"/>
      <c r="H95" s="2046">
        <f>Champs!K425</f>
        <v>0</v>
      </c>
      <c r="I95" s="2023"/>
      <c r="J95" s="2046">
        <f>Champs!M425</f>
        <v>0</v>
      </c>
      <c r="K95" s="2023"/>
      <c r="L95" s="2046">
        <f>Champs!O425</f>
        <v>0</v>
      </c>
      <c r="M95" s="2023"/>
      <c r="N95" s="2046">
        <f>Champs!Q425</f>
        <v>0</v>
      </c>
    </row>
    <row r="96" spans="1:14" hidden="1">
      <c r="A96" s="743" t="s">
        <v>5</v>
      </c>
      <c r="B96" s="476" t="s">
        <v>6</v>
      </c>
      <c r="C96" s="440" t="str">
        <f>Champs!D426</f>
        <v>Avoine</v>
      </c>
      <c r="D96" s="436" t="str">
        <f>Champs!E426</f>
        <v>$/ha</v>
      </c>
      <c r="F96" s="2047">
        <f>Champs!I426</f>
        <v>0</v>
      </c>
      <c r="G96" s="2023"/>
      <c r="H96" s="2047">
        <f>Champs!K426</f>
        <v>0</v>
      </c>
      <c r="I96" s="2023"/>
      <c r="J96" s="2047">
        <f>Champs!M426</f>
        <v>0</v>
      </c>
      <c r="K96" s="2023"/>
      <c r="L96" s="2047">
        <f>Champs!O426</f>
        <v>0</v>
      </c>
      <c r="M96" s="2023"/>
      <c r="N96" s="2047">
        <f>Champs!Q426</f>
        <v>0</v>
      </c>
    </row>
    <row r="97" spans="1:14">
      <c r="A97" s="743" t="s">
        <v>6</v>
      </c>
      <c r="B97" s="476" t="s">
        <v>7</v>
      </c>
      <c r="C97" s="440" t="str">
        <f>Champs!D427</f>
        <v>Blé d'automne</v>
      </c>
      <c r="D97" s="436" t="str">
        <f>Champs!E427</f>
        <v>$/ha</v>
      </c>
      <c r="F97" s="2047">
        <f>Champs!I427</f>
        <v>0</v>
      </c>
      <c r="G97" s="2023"/>
      <c r="H97" s="2047">
        <f>Champs!K427</f>
        <v>0</v>
      </c>
      <c r="I97" s="2023"/>
      <c r="J97" s="2047">
        <f>Champs!M427</f>
        <v>0</v>
      </c>
      <c r="K97" s="2023"/>
      <c r="L97" s="2047">
        <f>Champs!O427</f>
        <v>0</v>
      </c>
      <c r="M97" s="2023"/>
      <c r="N97" s="2047">
        <f>Champs!Q427</f>
        <v>0</v>
      </c>
    </row>
    <row r="98" spans="1:14" hidden="1">
      <c r="A98" s="743" t="s">
        <v>7</v>
      </c>
      <c r="B98" s="476" t="s">
        <v>1291</v>
      </c>
      <c r="C98" s="440" t="str">
        <f>Champs!D428</f>
        <v>Seigle d'automne</v>
      </c>
      <c r="D98" s="436" t="str">
        <f>Champs!E428</f>
        <v>$/ha</v>
      </c>
      <c r="F98" s="2047">
        <f>Champs!I428</f>
        <v>0</v>
      </c>
      <c r="G98" s="2023"/>
      <c r="H98" s="2047">
        <f>Champs!K428</f>
        <v>0</v>
      </c>
      <c r="I98" s="2023"/>
      <c r="J98" s="2047">
        <f>Champs!M428</f>
        <v>0</v>
      </c>
      <c r="K98" s="2023"/>
      <c r="L98" s="2047">
        <f>Champs!O428</f>
        <v>0</v>
      </c>
      <c r="M98" s="2023"/>
      <c r="N98" s="2047">
        <f>Champs!Q428</f>
        <v>0</v>
      </c>
    </row>
    <row r="99" spans="1:14" hidden="1">
      <c r="A99" s="743" t="s">
        <v>1291</v>
      </c>
      <c r="B99" s="476" t="s">
        <v>218</v>
      </c>
      <c r="C99" s="440" t="str">
        <f>Champs!D429</f>
        <v>Épeautre d'automne</v>
      </c>
      <c r="D99" s="436" t="str">
        <f>Champs!E429</f>
        <v>$/ha</v>
      </c>
      <c r="F99" s="2047">
        <f>Champs!I429</f>
        <v>0</v>
      </c>
      <c r="G99" s="2023"/>
      <c r="H99" s="2047">
        <f>Champs!K429</f>
        <v>0</v>
      </c>
      <c r="I99" s="2023"/>
      <c r="J99" s="2047">
        <f>Champs!M429</f>
        <v>0</v>
      </c>
      <c r="K99" s="2023"/>
      <c r="L99" s="2047">
        <f>Champs!O429</f>
        <v>0</v>
      </c>
      <c r="M99" s="2023"/>
      <c r="N99" s="2047">
        <f>Champs!Q429</f>
        <v>0</v>
      </c>
    </row>
    <row r="100" spans="1:14" hidden="1">
      <c r="A100" s="743" t="s">
        <v>218</v>
      </c>
      <c r="B100" s="476" t="s">
        <v>1261</v>
      </c>
      <c r="C100" s="440" t="str">
        <f>Champs!D431</f>
        <v>Canola</v>
      </c>
      <c r="D100" s="436" t="str">
        <f>Champs!E431</f>
        <v>$/ha</v>
      </c>
      <c r="F100" s="2047">
        <f>Champs!I431</f>
        <v>0</v>
      </c>
      <c r="G100" s="2023"/>
      <c r="H100" s="2047">
        <f>Champs!K431</f>
        <v>0</v>
      </c>
      <c r="I100" s="2023"/>
      <c r="J100" s="2047">
        <f>Champs!M431</f>
        <v>0</v>
      </c>
      <c r="K100" s="2023"/>
      <c r="L100" s="2047">
        <f>Champs!O431</f>
        <v>0</v>
      </c>
      <c r="M100" s="2023"/>
      <c r="N100" s="2047">
        <f>Champs!Q431</f>
        <v>0</v>
      </c>
    </row>
    <row r="101" spans="1:14" hidden="1">
      <c r="A101" s="743" t="s">
        <v>1261</v>
      </c>
      <c r="B101" s="476" t="s">
        <v>219</v>
      </c>
      <c r="C101" s="440" t="str">
        <f>Champs!D432</f>
        <v>Sarrasin</v>
      </c>
      <c r="D101" s="436" t="str">
        <f>Champs!E432</f>
        <v>$/ha</v>
      </c>
      <c r="F101" s="2047">
        <f>Champs!I432</f>
        <v>0</v>
      </c>
      <c r="G101" s="2023"/>
      <c r="H101" s="2047">
        <f>Champs!K432</f>
        <v>0</v>
      </c>
      <c r="I101" s="2023"/>
      <c r="J101" s="2047">
        <f>Champs!M432</f>
        <v>0</v>
      </c>
      <c r="K101" s="2023"/>
      <c r="L101" s="2047">
        <f>Champs!O432</f>
        <v>0</v>
      </c>
      <c r="M101" s="2023"/>
      <c r="N101" s="2047">
        <f>Champs!Q432</f>
        <v>0</v>
      </c>
    </row>
    <row r="102" spans="1:14" hidden="1">
      <c r="A102" s="743" t="s">
        <v>219</v>
      </c>
      <c r="B102" s="476" t="s">
        <v>270</v>
      </c>
      <c r="C102" s="440" t="str">
        <f>Champs!D433</f>
        <v>Chanvre</v>
      </c>
      <c r="D102" s="436" t="str">
        <f>Champs!E433</f>
        <v>$/ha</v>
      </c>
      <c r="F102" s="2047">
        <f>Champs!I433</f>
        <v>0</v>
      </c>
      <c r="G102" s="2023"/>
      <c r="H102" s="2047">
        <f>Champs!K433</f>
        <v>0</v>
      </c>
      <c r="I102" s="2023"/>
      <c r="J102" s="2047">
        <f>Champs!M433</f>
        <v>0</v>
      </c>
      <c r="K102" s="2023"/>
      <c r="L102" s="2047">
        <f>Champs!O433</f>
        <v>0</v>
      </c>
      <c r="M102" s="2023"/>
      <c r="N102" s="2047">
        <f>Champs!Q433</f>
        <v>0</v>
      </c>
    </row>
    <row r="103" spans="1:14" hidden="1">
      <c r="A103" s="743" t="s">
        <v>270</v>
      </c>
      <c r="B103" s="476" t="s">
        <v>271</v>
      </c>
      <c r="C103" s="440" t="str">
        <f>Champs!D435</f>
        <v>Autre #1</v>
      </c>
      <c r="D103" s="436" t="str">
        <f>Champs!E435</f>
        <v>$/ha</v>
      </c>
      <c r="F103" s="2047">
        <f>Champs!I435</f>
        <v>0</v>
      </c>
      <c r="G103" s="2023"/>
      <c r="H103" s="2047">
        <f>Champs!K435</f>
        <v>0</v>
      </c>
      <c r="I103" s="2023"/>
      <c r="J103" s="2047">
        <f>Champs!M435</f>
        <v>0</v>
      </c>
      <c r="K103" s="2023"/>
      <c r="L103" s="2047">
        <f>Champs!O435</f>
        <v>0</v>
      </c>
      <c r="M103" s="2023"/>
      <c r="N103" s="2047">
        <f>Champs!Q435</f>
        <v>0</v>
      </c>
    </row>
    <row r="104" spans="1:14" hidden="1">
      <c r="A104" s="743" t="s">
        <v>271</v>
      </c>
      <c r="B104" s="476" t="s">
        <v>272</v>
      </c>
      <c r="C104" s="440" t="str">
        <f>Champs!D436</f>
        <v>Autre #2</v>
      </c>
      <c r="D104" s="436" t="str">
        <f>Champs!E436</f>
        <v>$/ha</v>
      </c>
      <c r="F104" s="2047">
        <f>Champs!I436</f>
        <v>0</v>
      </c>
      <c r="G104" s="2023"/>
      <c r="H104" s="2047">
        <f>Champs!K436</f>
        <v>0</v>
      </c>
      <c r="I104" s="2023"/>
      <c r="J104" s="2047">
        <f>Champs!M436</f>
        <v>0</v>
      </c>
      <c r="K104" s="2023"/>
      <c r="L104" s="2047">
        <f>Champs!O436</f>
        <v>0</v>
      </c>
      <c r="M104" s="2023"/>
      <c r="N104" s="2047">
        <f>Champs!Q436</f>
        <v>0</v>
      </c>
    </row>
    <row r="105" spans="1:14" hidden="1">
      <c r="A105" s="743" t="s">
        <v>272</v>
      </c>
      <c r="B105" s="476" t="s">
        <v>26</v>
      </c>
      <c r="C105" s="440" t="str">
        <f>Champs!D437</f>
        <v>Autre #3</v>
      </c>
      <c r="D105" s="436" t="str">
        <f>Champs!E437</f>
        <v>$/ha</v>
      </c>
      <c r="F105" s="2047">
        <f>Champs!I437</f>
        <v>0</v>
      </c>
      <c r="G105" s="2023"/>
      <c r="H105" s="2047">
        <f>Champs!K437</f>
        <v>0</v>
      </c>
      <c r="I105" s="2023"/>
      <c r="J105" s="2047">
        <f>Champs!M437</f>
        <v>0</v>
      </c>
      <c r="K105" s="2023"/>
      <c r="L105" s="2047">
        <f>Champs!O437</f>
        <v>0</v>
      </c>
      <c r="M105" s="2023"/>
      <c r="N105" s="2047">
        <f>Champs!Q437</f>
        <v>0</v>
      </c>
    </row>
    <row r="106" spans="1:14">
      <c r="A106" s="743" t="s">
        <v>26</v>
      </c>
      <c r="B106" s="1578"/>
      <c r="C106" s="440" t="str">
        <f>Champs!D438</f>
        <v>Engrais verts</v>
      </c>
      <c r="D106" s="437" t="str">
        <f>Champs!E438</f>
        <v>$/ha</v>
      </c>
      <c r="F106" s="2047">
        <f ca="1">Champs!I438</f>
        <v>0</v>
      </c>
      <c r="G106" s="2023"/>
      <c r="H106" s="2047">
        <f ca="1">Champs!K438</f>
        <v>0</v>
      </c>
      <c r="I106" s="2023"/>
      <c r="J106" s="2047">
        <f ca="1">Champs!M438</f>
        <v>0</v>
      </c>
      <c r="K106" s="2023"/>
      <c r="L106" s="2047">
        <f ca="1">Champs!O438</f>
        <v>0</v>
      </c>
      <c r="M106" s="2023"/>
      <c r="N106" s="2047">
        <f ca="1">Champs!Q438</f>
        <v>0</v>
      </c>
    </row>
    <row r="107" spans="1:14">
      <c r="B107" s="1578"/>
      <c r="C107" s="917" t="s">
        <v>868</v>
      </c>
      <c r="D107" s="918" t="str">
        <f>Champs!E439</f>
        <v>$/ha</v>
      </c>
      <c r="E107" s="918"/>
      <c r="F107" s="2048">
        <f ca="1">Champs!I439</f>
        <v>0</v>
      </c>
      <c r="G107" s="2024"/>
      <c r="H107" s="2048">
        <f ca="1">Champs!K439</f>
        <v>0</v>
      </c>
      <c r="I107" s="2024"/>
      <c r="J107" s="2048">
        <f ca="1">Champs!M439</f>
        <v>0</v>
      </c>
      <c r="K107" s="2024"/>
      <c r="L107" s="2048">
        <f ca="1">Champs!O439</f>
        <v>0</v>
      </c>
      <c r="M107" s="2024"/>
      <c r="N107" s="2048">
        <f ca="1">Champs!Q439</f>
        <v>0</v>
      </c>
    </row>
    <row r="108" spans="1:14">
      <c r="B108" s="1578"/>
      <c r="C108" s="755"/>
      <c r="D108" s="94"/>
      <c r="E108" s="94"/>
      <c r="F108" s="2049"/>
      <c r="G108" s="756"/>
      <c r="H108" s="2050"/>
      <c r="I108" s="756"/>
      <c r="J108" s="2050"/>
      <c r="K108" s="756"/>
      <c r="L108" s="2050"/>
      <c r="M108" s="756"/>
      <c r="N108" s="2050"/>
    </row>
    <row r="109" spans="1:14" ht="17.25" thickBot="1">
      <c r="B109" s="1683" t="s">
        <v>867</v>
      </c>
      <c r="C109" s="919"/>
      <c r="D109" s="916"/>
      <c r="E109" s="920"/>
      <c r="F109" s="916"/>
      <c r="G109" s="920"/>
      <c r="H109" s="916"/>
      <c r="I109" s="920"/>
      <c r="J109" s="916"/>
      <c r="K109" s="920"/>
      <c r="L109" s="916"/>
      <c r="M109" s="920"/>
      <c r="N109" s="916"/>
    </row>
    <row r="110" spans="1:14">
      <c r="B110" s="476"/>
      <c r="C110" s="453"/>
      <c r="D110" s="453"/>
      <c r="E110" s="453"/>
      <c r="F110" s="451"/>
      <c r="G110" s="453"/>
      <c r="H110" s="451"/>
      <c r="I110" s="453"/>
      <c r="J110" s="451"/>
      <c r="K110" s="453"/>
      <c r="L110" s="451"/>
      <c r="M110" s="453"/>
      <c r="N110" s="451"/>
    </row>
    <row r="111" spans="1:14">
      <c r="A111" s="743" t="s">
        <v>142</v>
      </c>
      <c r="B111" s="477" t="s">
        <v>142</v>
      </c>
      <c r="C111" s="921" t="s">
        <v>142</v>
      </c>
      <c r="D111" s="304"/>
      <c r="E111" s="304"/>
      <c r="F111" s="2051">
        <f>Champs!I443</f>
        <v>0</v>
      </c>
      <c r="G111" s="2052"/>
      <c r="H111" s="2051">
        <f>Champs!K443</f>
        <v>0</v>
      </c>
      <c r="I111" s="2052"/>
      <c r="J111" s="2051">
        <f>Champs!M443</f>
        <v>0</v>
      </c>
      <c r="K111" s="2052"/>
      <c r="L111" s="2051">
        <f>Champs!O443</f>
        <v>0</v>
      </c>
      <c r="M111" s="2052"/>
      <c r="N111" s="2051">
        <f>Champs!Q443</f>
        <v>0</v>
      </c>
    </row>
    <row r="112" spans="1:14" hidden="1">
      <c r="A112" s="743" t="s">
        <v>11</v>
      </c>
      <c r="B112" s="477" t="s">
        <v>11</v>
      </c>
      <c r="C112" s="921" t="s">
        <v>11</v>
      </c>
      <c r="D112" s="304"/>
      <c r="E112" s="304"/>
      <c r="F112" s="2051">
        <f>Champs!I444</f>
        <v>0</v>
      </c>
      <c r="G112" s="2052"/>
      <c r="H112" s="2051">
        <f>Champs!K444</f>
        <v>0</v>
      </c>
      <c r="I112" s="2052"/>
      <c r="J112" s="2051">
        <f>Champs!M444</f>
        <v>0</v>
      </c>
      <c r="K112" s="2052"/>
      <c r="L112" s="2051">
        <f>Champs!O444</f>
        <v>0</v>
      </c>
      <c r="M112" s="2052"/>
      <c r="N112" s="2051">
        <f>Champs!Q444</f>
        <v>0</v>
      </c>
    </row>
    <row r="113" spans="1:14">
      <c r="A113" s="743" t="s">
        <v>0</v>
      </c>
      <c r="B113" s="477" t="s">
        <v>0</v>
      </c>
      <c r="C113" s="921" t="s">
        <v>0</v>
      </c>
      <c r="D113" s="304"/>
      <c r="E113" s="304"/>
      <c r="F113" s="2051">
        <f>Champs!I445</f>
        <v>0</v>
      </c>
      <c r="G113" s="2052"/>
      <c r="H113" s="2051">
        <f>Champs!K445</f>
        <v>0</v>
      </c>
      <c r="I113" s="2052"/>
      <c r="J113" s="2051">
        <f>Champs!M445</f>
        <v>0</v>
      </c>
      <c r="K113" s="2052"/>
      <c r="L113" s="2051">
        <f>Champs!O445</f>
        <v>0</v>
      </c>
      <c r="M113" s="2052"/>
      <c r="N113" s="2051">
        <f>Champs!Q445</f>
        <v>0</v>
      </c>
    </row>
    <row r="114" spans="1:14">
      <c r="A114" s="743" t="s">
        <v>140</v>
      </c>
      <c r="B114" s="477" t="s">
        <v>140</v>
      </c>
      <c r="C114" s="921" t="s">
        <v>140</v>
      </c>
      <c r="D114" s="304"/>
      <c r="E114" s="304"/>
      <c r="F114" s="2051">
        <f>Champs!I446</f>
        <v>0</v>
      </c>
      <c r="G114" s="2052"/>
      <c r="H114" s="2051">
        <f>Champs!K446</f>
        <v>0</v>
      </c>
      <c r="I114" s="2052"/>
      <c r="J114" s="2051">
        <f>Champs!M446</f>
        <v>0</v>
      </c>
      <c r="K114" s="2052"/>
      <c r="L114" s="2051">
        <f>Champs!O446</f>
        <v>0</v>
      </c>
      <c r="M114" s="2052"/>
      <c r="N114" s="2051">
        <f>Champs!Q446</f>
        <v>0</v>
      </c>
    </row>
    <row r="115" spans="1:14">
      <c r="A115" s="743" t="s">
        <v>1</v>
      </c>
      <c r="B115" s="477" t="s">
        <v>1</v>
      </c>
      <c r="C115" s="921" t="s">
        <v>1</v>
      </c>
      <c r="D115" s="304"/>
      <c r="E115" s="304"/>
      <c r="F115" s="2051">
        <f>Champs!I447</f>
        <v>0</v>
      </c>
      <c r="G115" s="2052"/>
      <c r="H115" s="2051">
        <f>Champs!K447</f>
        <v>0</v>
      </c>
      <c r="I115" s="2052"/>
      <c r="J115" s="2051">
        <f>Champs!M447</f>
        <v>0</v>
      </c>
      <c r="K115" s="2052"/>
      <c r="L115" s="2051">
        <f>Champs!O447</f>
        <v>0</v>
      </c>
      <c r="M115" s="2052"/>
      <c r="N115" s="2051">
        <f>Champs!Q447</f>
        <v>0</v>
      </c>
    </row>
    <row r="116" spans="1:14">
      <c r="A116" s="743" t="s">
        <v>3</v>
      </c>
      <c r="B116" s="477" t="s">
        <v>3</v>
      </c>
      <c r="C116" s="921" t="s">
        <v>3</v>
      </c>
      <c r="D116" s="304"/>
      <c r="E116" s="304"/>
      <c r="F116" s="2051">
        <f>Champs!I448</f>
        <v>0</v>
      </c>
      <c r="G116" s="2052"/>
      <c r="H116" s="2051">
        <f>Champs!K448</f>
        <v>0</v>
      </c>
      <c r="I116" s="2052"/>
      <c r="J116" s="2051">
        <f>Champs!M448</f>
        <v>0</v>
      </c>
      <c r="K116" s="2052"/>
      <c r="L116" s="2051">
        <f>Champs!O448</f>
        <v>0</v>
      </c>
      <c r="M116" s="2052"/>
      <c r="N116" s="2051">
        <f>Champs!Q448</f>
        <v>0</v>
      </c>
    </row>
    <row r="117" spans="1:14" hidden="1">
      <c r="A117" s="743" t="s">
        <v>4</v>
      </c>
      <c r="B117" s="477" t="s">
        <v>4</v>
      </c>
      <c r="C117" s="921" t="s">
        <v>4</v>
      </c>
      <c r="D117" s="304"/>
      <c r="E117" s="304"/>
      <c r="F117" s="2051">
        <f>Champs!I449</f>
        <v>0</v>
      </c>
      <c r="G117" s="2052"/>
      <c r="H117" s="2051">
        <f>Champs!K449</f>
        <v>0</v>
      </c>
      <c r="I117" s="2052"/>
      <c r="J117" s="2051">
        <f>Champs!M449</f>
        <v>0</v>
      </c>
      <c r="K117" s="2052"/>
      <c r="L117" s="2051">
        <f>Champs!O449</f>
        <v>0</v>
      </c>
      <c r="M117" s="2052"/>
      <c r="N117" s="2051">
        <f>Champs!Q449</f>
        <v>0</v>
      </c>
    </row>
    <row r="118" spans="1:14" hidden="1">
      <c r="A118" s="743" t="s">
        <v>5</v>
      </c>
      <c r="B118" s="477" t="s">
        <v>5</v>
      </c>
      <c r="C118" s="921" t="s">
        <v>5</v>
      </c>
      <c r="D118" s="304"/>
      <c r="E118" s="304"/>
      <c r="F118" s="2051">
        <f>Champs!I450</f>
        <v>0</v>
      </c>
      <c r="G118" s="2052"/>
      <c r="H118" s="2051">
        <f>Champs!K450</f>
        <v>0</v>
      </c>
      <c r="I118" s="2052"/>
      <c r="J118" s="2051">
        <f>Champs!M450</f>
        <v>0</v>
      </c>
      <c r="K118" s="2052"/>
      <c r="L118" s="2051">
        <f>Champs!O450</f>
        <v>0</v>
      </c>
      <c r="M118" s="2052"/>
      <c r="N118" s="2051">
        <f>Champs!Q450</f>
        <v>0</v>
      </c>
    </row>
    <row r="119" spans="1:14">
      <c r="A119" s="743" t="s">
        <v>6</v>
      </c>
      <c r="B119" s="477" t="s">
        <v>6</v>
      </c>
      <c r="C119" s="921" t="s">
        <v>6</v>
      </c>
      <c r="D119" s="304"/>
      <c r="E119" s="304"/>
      <c r="F119" s="2051">
        <f>Champs!I451</f>
        <v>0</v>
      </c>
      <c r="G119" s="2052"/>
      <c r="H119" s="2051">
        <f>Champs!K451</f>
        <v>0</v>
      </c>
      <c r="I119" s="2052"/>
      <c r="J119" s="2051">
        <f>Champs!M451</f>
        <v>0</v>
      </c>
      <c r="K119" s="2052"/>
      <c r="L119" s="2051">
        <f>Champs!O451</f>
        <v>0</v>
      </c>
      <c r="M119" s="2052"/>
      <c r="N119" s="2051">
        <f>Champs!Q451</f>
        <v>0</v>
      </c>
    </row>
    <row r="120" spans="1:14" hidden="1">
      <c r="A120" s="743" t="s">
        <v>7</v>
      </c>
      <c r="B120" s="477" t="s">
        <v>7</v>
      </c>
      <c r="C120" s="921" t="s">
        <v>7</v>
      </c>
      <c r="D120" s="304"/>
      <c r="E120" s="304"/>
      <c r="F120" s="2051">
        <f>Champs!I452</f>
        <v>0</v>
      </c>
      <c r="G120" s="2052"/>
      <c r="H120" s="2051">
        <f>Champs!K452</f>
        <v>0</v>
      </c>
      <c r="I120" s="2052"/>
      <c r="J120" s="2051">
        <f>Champs!M452</f>
        <v>0</v>
      </c>
      <c r="K120" s="2052"/>
      <c r="L120" s="2051">
        <f>Champs!O452</f>
        <v>0</v>
      </c>
      <c r="M120" s="2052"/>
      <c r="N120" s="2051">
        <f>Champs!Q452</f>
        <v>0</v>
      </c>
    </row>
    <row r="121" spans="1:14" hidden="1">
      <c r="A121" s="743" t="s">
        <v>1291</v>
      </c>
      <c r="B121" s="477" t="s">
        <v>1291</v>
      </c>
      <c r="C121" s="921" t="s">
        <v>1291</v>
      </c>
      <c r="D121" s="304"/>
      <c r="E121" s="304"/>
      <c r="F121" s="2051">
        <f>Champs!I453</f>
        <v>0</v>
      </c>
      <c r="G121" s="2052"/>
      <c r="H121" s="2051">
        <f>Champs!K453</f>
        <v>0</v>
      </c>
      <c r="I121" s="2052"/>
      <c r="J121" s="2051">
        <f>Champs!M453</f>
        <v>0</v>
      </c>
      <c r="K121" s="2052"/>
      <c r="L121" s="2051">
        <f>Champs!O453</f>
        <v>0</v>
      </c>
      <c r="M121" s="2052"/>
      <c r="N121" s="2051">
        <f>Champs!Q453</f>
        <v>0</v>
      </c>
    </row>
    <row r="122" spans="1:14" hidden="1">
      <c r="A122" s="743" t="s">
        <v>218</v>
      </c>
      <c r="B122" s="477" t="s">
        <v>218</v>
      </c>
      <c r="C122" s="921" t="s">
        <v>218</v>
      </c>
      <c r="D122" s="304"/>
      <c r="E122" s="304"/>
      <c r="F122" s="2051">
        <f>Champs!I455</f>
        <v>0</v>
      </c>
      <c r="G122" s="2052"/>
      <c r="H122" s="2051">
        <f>Champs!K455</f>
        <v>0</v>
      </c>
      <c r="I122" s="2052"/>
      <c r="J122" s="2051">
        <f>Champs!M455</f>
        <v>0</v>
      </c>
      <c r="K122" s="2052"/>
      <c r="L122" s="2051">
        <f>Champs!O455</f>
        <v>0</v>
      </c>
      <c r="M122" s="2052"/>
      <c r="N122" s="2051">
        <f>Champs!Q455</f>
        <v>0</v>
      </c>
    </row>
    <row r="123" spans="1:14" hidden="1">
      <c r="A123" s="743" t="s">
        <v>1261</v>
      </c>
      <c r="B123" s="477" t="s">
        <v>1261</v>
      </c>
      <c r="C123" s="921" t="s">
        <v>1261</v>
      </c>
      <c r="D123" s="304"/>
      <c r="E123" s="304"/>
      <c r="F123" s="2051">
        <f>Champs!I456</f>
        <v>0</v>
      </c>
      <c r="G123" s="2052"/>
      <c r="H123" s="2051">
        <f>Champs!K456</f>
        <v>0</v>
      </c>
      <c r="I123" s="2052"/>
      <c r="J123" s="2051">
        <f>Champs!M456</f>
        <v>0</v>
      </c>
      <c r="K123" s="2052"/>
      <c r="L123" s="2051">
        <f>Champs!O456</f>
        <v>0</v>
      </c>
      <c r="M123" s="2052"/>
      <c r="N123" s="2051">
        <f>Champs!Q456</f>
        <v>0</v>
      </c>
    </row>
    <row r="124" spans="1:14" hidden="1">
      <c r="A124" s="743" t="s">
        <v>219</v>
      </c>
      <c r="B124" s="477" t="s">
        <v>219</v>
      </c>
      <c r="C124" s="921" t="s">
        <v>219</v>
      </c>
      <c r="D124" s="304"/>
      <c r="E124" s="304"/>
      <c r="F124" s="2051">
        <f>Champs!I457</f>
        <v>0</v>
      </c>
      <c r="G124" s="2052"/>
      <c r="H124" s="2051">
        <f>Champs!K457</f>
        <v>0</v>
      </c>
      <c r="I124" s="2052"/>
      <c r="J124" s="2051">
        <f>Champs!M457</f>
        <v>0</v>
      </c>
      <c r="K124" s="2052"/>
      <c r="L124" s="2051">
        <f>Champs!O457</f>
        <v>0</v>
      </c>
      <c r="M124" s="2052"/>
      <c r="N124" s="2051">
        <f>Champs!Q457</f>
        <v>0</v>
      </c>
    </row>
    <row r="125" spans="1:14" hidden="1">
      <c r="A125" s="743" t="s">
        <v>270</v>
      </c>
      <c r="B125" s="477" t="s">
        <v>270</v>
      </c>
      <c r="C125" s="921" t="s">
        <v>270</v>
      </c>
      <c r="D125" s="304"/>
      <c r="E125" s="304"/>
      <c r="F125" s="2051">
        <f>Champs!I459</f>
        <v>0</v>
      </c>
      <c r="G125" s="2052"/>
      <c r="H125" s="2051">
        <f>Champs!K459</f>
        <v>0</v>
      </c>
      <c r="I125" s="2052"/>
      <c r="J125" s="2051">
        <f>Champs!M459</f>
        <v>0</v>
      </c>
      <c r="K125" s="2052"/>
      <c r="L125" s="2051">
        <f>Champs!O459</f>
        <v>0</v>
      </c>
      <c r="M125" s="2052"/>
      <c r="N125" s="2051">
        <f>Champs!Q459</f>
        <v>0</v>
      </c>
    </row>
    <row r="126" spans="1:14" hidden="1">
      <c r="A126" s="743" t="s">
        <v>271</v>
      </c>
      <c r="B126" s="477" t="s">
        <v>271</v>
      </c>
      <c r="C126" s="921" t="s">
        <v>271</v>
      </c>
      <c r="D126" s="304"/>
      <c r="E126" s="304"/>
      <c r="F126" s="2051">
        <f>Champs!I460</f>
        <v>0</v>
      </c>
      <c r="G126" s="2052"/>
      <c r="H126" s="2051">
        <f>Champs!K460</f>
        <v>0</v>
      </c>
      <c r="I126" s="2052"/>
      <c r="J126" s="2051">
        <f>Champs!M460</f>
        <v>0</v>
      </c>
      <c r="K126" s="2052"/>
      <c r="L126" s="2051">
        <f>Champs!O460</f>
        <v>0</v>
      </c>
      <c r="M126" s="2052"/>
      <c r="N126" s="2051">
        <f>Champs!Q460</f>
        <v>0</v>
      </c>
    </row>
    <row r="127" spans="1:14" hidden="1">
      <c r="A127" s="743" t="s">
        <v>272</v>
      </c>
      <c r="B127" s="477" t="s">
        <v>272</v>
      </c>
      <c r="C127" s="921" t="s">
        <v>272</v>
      </c>
      <c r="D127" s="304"/>
      <c r="E127" s="304"/>
      <c r="F127" s="2051">
        <f>Champs!I461</f>
        <v>0</v>
      </c>
      <c r="G127" s="2052"/>
      <c r="H127" s="2051">
        <f>Champs!K461</f>
        <v>0</v>
      </c>
      <c r="I127" s="2052"/>
      <c r="J127" s="2051">
        <f>Champs!M461</f>
        <v>0</v>
      </c>
      <c r="K127" s="2052"/>
      <c r="L127" s="2051">
        <f>Champs!O461</f>
        <v>0</v>
      </c>
      <c r="M127" s="2052"/>
      <c r="N127" s="2051">
        <f>Champs!Q461</f>
        <v>0</v>
      </c>
    </row>
    <row r="128" spans="1:14">
      <c r="A128" s="743" t="s">
        <v>26</v>
      </c>
      <c r="B128" s="477" t="s">
        <v>26</v>
      </c>
      <c r="C128" s="921" t="s">
        <v>26</v>
      </c>
      <c r="D128" s="304"/>
      <c r="E128" s="304"/>
      <c r="F128" s="2051">
        <f ca="1">Champs!I462</f>
        <v>0</v>
      </c>
      <c r="G128" s="2052"/>
      <c r="H128" s="2051">
        <f ca="1">Champs!K462</f>
        <v>0</v>
      </c>
      <c r="I128" s="2052"/>
      <c r="J128" s="2051">
        <f ca="1">Champs!M462</f>
        <v>0</v>
      </c>
      <c r="K128" s="2052"/>
      <c r="L128" s="2051">
        <f ca="1">Champs!O462</f>
        <v>0</v>
      </c>
      <c r="M128" s="2052"/>
      <c r="N128" s="2051">
        <f ca="1">Champs!Q462</f>
        <v>0</v>
      </c>
    </row>
    <row r="129" spans="1:14">
      <c r="B129" s="1579"/>
      <c r="C129" s="917" t="s">
        <v>869</v>
      </c>
      <c r="D129" s="918"/>
      <c r="E129" s="918"/>
      <c r="F129" s="2053">
        <f ca="1">Champs!I463</f>
        <v>0</v>
      </c>
      <c r="G129" s="2054"/>
      <c r="H129" s="2053">
        <f ca="1">Champs!K463</f>
        <v>0</v>
      </c>
      <c r="I129" s="2054"/>
      <c r="J129" s="2053">
        <f ca="1">Champs!M463</f>
        <v>0</v>
      </c>
      <c r="K129" s="2054"/>
      <c r="L129" s="2053">
        <f ca="1">Champs!O463</f>
        <v>0</v>
      </c>
      <c r="M129" s="2054"/>
      <c r="N129" s="2053">
        <f ca="1">Champs!Q463</f>
        <v>0</v>
      </c>
    </row>
    <row r="130" spans="1:14">
      <c r="A130" s="480"/>
      <c r="D130"/>
      <c r="F130"/>
      <c r="H130" s="1519"/>
      <c r="J130"/>
      <c r="L130"/>
      <c r="N130"/>
    </row>
    <row r="131" spans="1:14">
      <c r="A131" s="480"/>
      <c r="D131"/>
      <c r="F131"/>
      <c r="H131" s="1519"/>
      <c r="J131"/>
      <c r="L131"/>
      <c r="N131"/>
    </row>
    <row r="132" spans="1:14">
      <c r="A132" s="480"/>
      <c r="D132"/>
      <c r="F132"/>
      <c r="H132" s="1519"/>
      <c r="J132"/>
      <c r="L132"/>
      <c r="N132"/>
    </row>
    <row r="133" spans="1:14">
      <c r="A133" s="480"/>
      <c r="D133"/>
      <c r="F133"/>
      <c r="H133" s="1519"/>
      <c r="J133"/>
      <c r="L133"/>
      <c r="N133"/>
    </row>
    <row r="134" spans="1:14">
      <c r="A134" s="480"/>
      <c r="D134"/>
      <c r="F134"/>
      <c r="H134" s="1519"/>
      <c r="J134"/>
      <c r="L134"/>
      <c r="N134"/>
    </row>
    <row r="135" spans="1:14">
      <c r="A135" s="480"/>
      <c r="D135"/>
      <c r="F135"/>
      <c r="H135" s="1519"/>
      <c r="J135"/>
      <c r="L135"/>
      <c r="N135"/>
    </row>
    <row r="136" spans="1:14">
      <c r="A136" s="480"/>
      <c r="D136"/>
      <c r="F136"/>
      <c r="H136" s="1519"/>
      <c r="J136"/>
      <c r="L136"/>
      <c r="N136"/>
    </row>
    <row r="137" spans="1:14">
      <c r="A137" s="480"/>
      <c r="D137"/>
      <c r="F137"/>
      <c r="H137" s="1519"/>
      <c r="J137"/>
      <c r="L137"/>
      <c r="N137"/>
    </row>
    <row r="138" spans="1:14">
      <c r="A138" s="480"/>
      <c r="D138"/>
      <c r="F138"/>
      <c r="H138" s="1519"/>
      <c r="J138"/>
      <c r="L138"/>
      <c r="N138"/>
    </row>
    <row r="139" spans="1:14">
      <c r="A139" s="480"/>
      <c r="D139"/>
      <c r="F139"/>
      <c r="H139" s="1519"/>
      <c r="J139"/>
      <c r="L139"/>
      <c r="N139"/>
    </row>
    <row r="140" spans="1:14">
      <c r="A140" s="480"/>
      <c r="D140"/>
      <c r="F140"/>
      <c r="H140" s="1519"/>
      <c r="J140"/>
      <c r="L140"/>
      <c r="N140"/>
    </row>
    <row r="141" spans="1:14">
      <c r="A141" s="480"/>
      <c r="D141"/>
      <c r="F141"/>
      <c r="H141" s="1519"/>
      <c r="J141"/>
      <c r="L141"/>
      <c r="N141"/>
    </row>
    <row r="142" spans="1:14">
      <c r="A142" s="480"/>
      <c r="D142"/>
      <c r="F142"/>
      <c r="H142" s="1519"/>
      <c r="J142"/>
      <c r="L142"/>
      <c r="N142"/>
    </row>
    <row r="143" spans="1:14">
      <c r="A143" s="480"/>
      <c r="D143"/>
      <c r="F143"/>
      <c r="H143" s="1519"/>
      <c r="J143"/>
      <c r="L143"/>
      <c r="N143"/>
    </row>
    <row r="144" spans="1:14">
      <c r="A144" s="480"/>
      <c r="D144"/>
      <c r="F144"/>
      <c r="H144" s="1519"/>
      <c r="J144"/>
      <c r="L144"/>
      <c r="N144"/>
    </row>
    <row r="145" spans="1:14">
      <c r="A145" s="480"/>
      <c r="D145"/>
      <c r="F145"/>
      <c r="H145" s="1519"/>
      <c r="J145"/>
      <c r="L145"/>
      <c r="N145"/>
    </row>
    <row r="146" spans="1:14">
      <c r="A146" s="480"/>
      <c r="D146"/>
      <c r="F146"/>
      <c r="H146" s="1519"/>
      <c r="J146"/>
      <c r="L146"/>
      <c r="N146"/>
    </row>
    <row r="147" spans="1:14">
      <c r="A147" s="480"/>
      <c r="D147"/>
      <c r="F147"/>
      <c r="H147" s="1519"/>
      <c r="J147"/>
      <c r="L147"/>
      <c r="N147"/>
    </row>
    <row r="148" spans="1:14">
      <c r="A148" s="480"/>
      <c r="D148"/>
      <c r="F148"/>
      <c r="H148" s="1519"/>
      <c r="J148"/>
      <c r="L148"/>
      <c r="N148"/>
    </row>
    <row r="149" spans="1:14">
      <c r="A149" s="480"/>
      <c r="D149"/>
      <c r="F149"/>
      <c r="H149" s="1519"/>
      <c r="J149"/>
      <c r="L149"/>
      <c r="N149"/>
    </row>
    <row r="150" spans="1:14">
      <c r="A150" s="480"/>
      <c r="D150"/>
      <c r="F150"/>
      <c r="H150" s="1519"/>
      <c r="J150"/>
      <c r="L150"/>
      <c r="N150"/>
    </row>
    <row r="151" spans="1:14">
      <c r="A151" s="480"/>
      <c r="D151"/>
      <c r="F151"/>
      <c r="H151" s="1519"/>
      <c r="J151"/>
      <c r="L151"/>
      <c r="N151"/>
    </row>
    <row r="152" spans="1:14">
      <c r="A152" s="480"/>
      <c r="D152"/>
      <c r="F152"/>
      <c r="H152" s="1519"/>
      <c r="J152"/>
      <c r="L152"/>
      <c r="N152"/>
    </row>
    <row r="153" spans="1:14">
      <c r="A153" s="480"/>
      <c r="D153"/>
      <c r="F153"/>
      <c r="H153" s="1519"/>
      <c r="J153"/>
      <c r="L153"/>
      <c r="N153"/>
    </row>
    <row r="154" spans="1:14">
      <c r="A154" s="480"/>
      <c r="D154"/>
      <c r="F154"/>
      <c r="H154" s="1519"/>
      <c r="J154"/>
      <c r="L154"/>
      <c r="N154"/>
    </row>
    <row r="155" spans="1:14">
      <c r="A155" s="480"/>
      <c r="D155"/>
      <c r="F155"/>
      <c r="H155" s="1519"/>
      <c r="J155"/>
      <c r="L155"/>
      <c r="N155"/>
    </row>
    <row r="156" spans="1:14">
      <c r="A156" s="480"/>
      <c r="D156"/>
      <c r="F156"/>
      <c r="H156" s="1519"/>
      <c r="J156"/>
      <c r="L156"/>
      <c r="N156"/>
    </row>
    <row r="157" spans="1:14">
      <c r="A157" s="480"/>
      <c r="D157"/>
      <c r="F157"/>
      <c r="H157" s="1519"/>
      <c r="J157"/>
      <c r="L157"/>
      <c r="N157"/>
    </row>
    <row r="158" spans="1:14">
      <c r="A158" s="480"/>
      <c r="D158"/>
      <c r="F158"/>
      <c r="H158" s="1519"/>
      <c r="J158"/>
      <c r="L158"/>
      <c r="N158"/>
    </row>
    <row r="159" spans="1:14">
      <c r="A159" s="480"/>
      <c r="D159"/>
      <c r="F159"/>
      <c r="H159" s="1519"/>
      <c r="J159"/>
      <c r="L159"/>
      <c r="N159"/>
    </row>
    <row r="160" spans="1:14">
      <c r="A160" s="480"/>
      <c r="D160"/>
      <c r="F160"/>
      <c r="H160" s="1519"/>
      <c r="J160"/>
      <c r="L160"/>
      <c r="N160"/>
    </row>
    <row r="161" spans="1:14">
      <c r="A161" s="480"/>
      <c r="D161"/>
      <c r="F161"/>
      <c r="H161" s="1519"/>
      <c r="J161"/>
      <c r="L161"/>
      <c r="N161"/>
    </row>
    <row r="162" spans="1:14">
      <c r="A162" s="480"/>
      <c r="D162"/>
      <c r="F162"/>
      <c r="H162" s="1519"/>
      <c r="J162"/>
      <c r="L162"/>
      <c r="N162"/>
    </row>
    <row r="163" spans="1:14">
      <c r="A163" s="480"/>
      <c r="D163"/>
      <c r="F163"/>
      <c r="H163" s="1519"/>
      <c r="J163"/>
      <c r="L163"/>
      <c r="N163"/>
    </row>
    <row r="164" spans="1:14">
      <c r="A164" s="480"/>
      <c r="D164"/>
      <c r="F164"/>
      <c r="H164" s="1519"/>
      <c r="J164"/>
      <c r="L164"/>
      <c r="N164"/>
    </row>
    <row r="165" spans="1:14">
      <c r="A165" s="480"/>
      <c r="D165"/>
      <c r="F165"/>
      <c r="H165" s="1519"/>
      <c r="J165"/>
      <c r="L165"/>
      <c r="N165"/>
    </row>
    <row r="166" spans="1:14">
      <c r="A166" s="480"/>
      <c r="D166"/>
      <c r="F166"/>
      <c r="H166" s="1519"/>
      <c r="J166"/>
      <c r="L166"/>
      <c r="N166"/>
    </row>
    <row r="167" spans="1:14">
      <c r="A167" s="480"/>
      <c r="D167"/>
      <c r="F167"/>
      <c r="H167" s="1519"/>
      <c r="J167"/>
      <c r="L167"/>
      <c r="N167"/>
    </row>
    <row r="168" spans="1:14">
      <c r="A168" s="480"/>
      <c r="D168"/>
      <c r="F168"/>
      <c r="H168" s="1519"/>
      <c r="J168"/>
      <c r="L168"/>
      <c r="N168"/>
    </row>
    <row r="169" spans="1:14">
      <c r="A169" s="480"/>
      <c r="D169"/>
      <c r="F169"/>
      <c r="H169" s="1519"/>
      <c r="J169"/>
      <c r="L169"/>
      <c r="N169"/>
    </row>
    <row r="170" spans="1:14">
      <c r="A170" s="480"/>
      <c r="D170"/>
      <c r="F170"/>
      <c r="H170" s="1519"/>
      <c r="J170"/>
      <c r="L170"/>
      <c r="N170"/>
    </row>
    <row r="171" spans="1:14">
      <c r="A171" s="480"/>
      <c r="D171"/>
      <c r="F171"/>
      <c r="H171" s="1519"/>
      <c r="J171"/>
      <c r="L171"/>
      <c r="N171"/>
    </row>
    <row r="172" spans="1:14">
      <c r="A172" s="480"/>
      <c r="D172"/>
      <c r="F172"/>
      <c r="H172" s="1519"/>
      <c r="J172"/>
      <c r="L172"/>
      <c r="N172"/>
    </row>
    <row r="173" spans="1:14">
      <c r="A173" s="480"/>
      <c r="D173"/>
      <c r="F173"/>
      <c r="H173" s="1519"/>
      <c r="J173"/>
      <c r="L173"/>
      <c r="N173"/>
    </row>
    <row r="174" spans="1:14">
      <c r="A174" s="480"/>
      <c r="D174"/>
      <c r="F174"/>
      <c r="H174" s="1519"/>
      <c r="J174"/>
      <c r="L174"/>
      <c r="N174"/>
    </row>
    <row r="175" spans="1:14">
      <c r="A175" s="480"/>
      <c r="D175"/>
      <c r="F175"/>
      <c r="H175" s="1519"/>
      <c r="J175"/>
      <c r="L175"/>
      <c r="N175"/>
    </row>
    <row r="176" spans="1:14">
      <c r="A176" s="480"/>
      <c r="D176"/>
      <c r="F176"/>
      <c r="H176" s="1519"/>
      <c r="J176"/>
      <c r="L176"/>
      <c r="N176"/>
    </row>
    <row r="177" spans="1:14">
      <c r="A177" s="480"/>
      <c r="D177"/>
      <c r="F177"/>
      <c r="H177" s="1519"/>
      <c r="J177"/>
      <c r="L177"/>
      <c r="N177"/>
    </row>
    <row r="178" spans="1:14">
      <c r="A178" s="480"/>
      <c r="D178"/>
      <c r="F178"/>
      <c r="H178" s="1519"/>
      <c r="J178"/>
      <c r="L178"/>
      <c r="N178"/>
    </row>
    <row r="179" spans="1:14">
      <c r="A179" s="480"/>
      <c r="D179"/>
      <c r="F179"/>
      <c r="H179" s="1519"/>
      <c r="J179"/>
      <c r="L179"/>
      <c r="N179"/>
    </row>
    <row r="180" spans="1:14">
      <c r="A180" s="480"/>
      <c r="D180"/>
      <c r="F180"/>
      <c r="H180" s="1519"/>
      <c r="J180"/>
      <c r="L180"/>
      <c r="N180"/>
    </row>
    <row r="181" spans="1:14">
      <c r="A181" s="480"/>
      <c r="D181"/>
      <c r="F181"/>
      <c r="H181" s="1519"/>
      <c r="J181"/>
      <c r="L181"/>
      <c r="N181"/>
    </row>
    <row r="182" spans="1:14">
      <c r="A182" s="480"/>
      <c r="D182"/>
      <c r="F182"/>
      <c r="H182" s="1519"/>
      <c r="J182"/>
      <c r="L182"/>
      <c r="N182"/>
    </row>
    <row r="183" spans="1:14">
      <c r="A183" s="480"/>
      <c r="D183"/>
      <c r="F183"/>
      <c r="H183" s="1519"/>
      <c r="J183"/>
      <c r="L183"/>
      <c r="N183"/>
    </row>
    <row r="184" spans="1:14">
      <c r="A184" s="480"/>
      <c r="D184"/>
      <c r="F184"/>
      <c r="H184" s="1519"/>
      <c r="J184"/>
      <c r="L184"/>
      <c r="N184"/>
    </row>
    <row r="185" spans="1:14">
      <c r="A185" s="480"/>
      <c r="D185"/>
      <c r="F185"/>
      <c r="H185" s="1519"/>
      <c r="J185"/>
      <c r="L185"/>
      <c r="N185"/>
    </row>
    <row r="186" spans="1:14">
      <c r="A186" s="480"/>
      <c r="D186"/>
      <c r="F186"/>
      <c r="H186" s="1519"/>
      <c r="J186"/>
      <c r="L186"/>
      <c r="N186"/>
    </row>
    <row r="187" spans="1:14">
      <c r="A187" s="480"/>
      <c r="D187"/>
      <c r="F187"/>
      <c r="H187" s="1519"/>
      <c r="J187"/>
      <c r="L187"/>
      <c r="N187"/>
    </row>
    <row r="188" spans="1:14">
      <c r="A188" s="480"/>
      <c r="D188"/>
      <c r="F188"/>
      <c r="H188" s="1519"/>
      <c r="J188"/>
      <c r="L188"/>
      <c r="N188"/>
    </row>
    <row r="189" spans="1:14">
      <c r="A189" s="480"/>
      <c r="D189"/>
      <c r="F189"/>
      <c r="H189" s="1519"/>
      <c r="J189"/>
      <c r="L189"/>
      <c r="N189"/>
    </row>
    <row r="190" spans="1:14">
      <c r="A190" s="480"/>
      <c r="D190"/>
      <c r="F190"/>
      <c r="H190" s="1519"/>
      <c r="J190"/>
      <c r="L190"/>
      <c r="N190"/>
    </row>
    <row r="191" spans="1:14">
      <c r="A191" s="480"/>
      <c r="D191"/>
      <c r="F191"/>
      <c r="H191" s="1519"/>
      <c r="J191"/>
      <c r="L191"/>
      <c r="N191"/>
    </row>
    <row r="192" spans="1:14">
      <c r="A192" s="480"/>
      <c r="D192"/>
      <c r="F192"/>
      <c r="H192" s="1519"/>
      <c r="J192"/>
      <c r="L192"/>
      <c r="N192"/>
    </row>
    <row r="193" spans="1:14">
      <c r="A193" s="480"/>
      <c r="D193"/>
      <c r="F193"/>
      <c r="H193" s="1519"/>
      <c r="J193"/>
      <c r="L193"/>
      <c r="N193"/>
    </row>
    <row r="194" spans="1:14">
      <c r="A194" s="480"/>
      <c r="D194"/>
      <c r="F194"/>
      <c r="H194" s="1519"/>
      <c r="J194"/>
      <c r="L194"/>
      <c r="N194"/>
    </row>
    <row r="195" spans="1:14">
      <c r="A195" s="480"/>
      <c r="D195"/>
      <c r="F195"/>
      <c r="H195" s="1519"/>
      <c r="J195"/>
      <c r="L195"/>
      <c r="N195"/>
    </row>
    <row r="196" spans="1:14">
      <c r="A196" s="480"/>
      <c r="D196"/>
      <c r="F196"/>
      <c r="H196" s="1519"/>
      <c r="J196"/>
      <c r="L196"/>
      <c r="N196"/>
    </row>
    <row r="197" spans="1:14">
      <c r="A197" s="480"/>
      <c r="D197"/>
      <c r="F197"/>
      <c r="H197" s="1519"/>
      <c r="J197"/>
      <c r="L197"/>
      <c r="N197"/>
    </row>
    <row r="198" spans="1:14">
      <c r="A198" s="480"/>
      <c r="D198"/>
      <c r="F198"/>
      <c r="H198" s="1519"/>
      <c r="J198"/>
      <c r="L198"/>
      <c r="N198"/>
    </row>
    <row r="199" spans="1:14">
      <c r="A199" s="480"/>
      <c r="D199"/>
      <c r="F199"/>
      <c r="H199" s="1519"/>
      <c r="J199"/>
      <c r="L199"/>
      <c r="N199"/>
    </row>
    <row r="200" spans="1:14">
      <c r="A200" s="480"/>
      <c r="D200"/>
      <c r="F200"/>
      <c r="H200" s="1519"/>
      <c r="J200"/>
      <c r="L200"/>
      <c r="N200"/>
    </row>
    <row r="201" spans="1:14">
      <c r="A201" s="480"/>
      <c r="D201"/>
      <c r="F201"/>
      <c r="H201" s="1519"/>
      <c r="J201"/>
      <c r="L201"/>
      <c r="N201"/>
    </row>
    <row r="202" spans="1:14">
      <c r="A202" s="480"/>
      <c r="D202"/>
      <c r="F202"/>
      <c r="H202" s="1519"/>
      <c r="J202"/>
      <c r="L202"/>
      <c r="N202"/>
    </row>
    <row r="203" spans="1:14">
      <c r="A203" s="480"/>
      <c r="D203"/>
      <c r="F203"/>
      <c r="H203" s="1519"/>
      <c r="J203"/>
      <c r="L203"/>
      <c r="N203"/>
    </row>
    <row r="204" spans="1:14">
      <c r="A204" s="480"/>
      <c r="D204"/>
      <c r="F204"/>
      <c r="H204" s="1519"/>
      <c r="J204"/>
      <c r="L204"/>
      <c r="N204"/>
    </row>
    <row r="205" spans="1:14">
      <c r="A205" s="480"/>
      <c r="D205"/>
      <c r="F205"/>
      <c r="H205" s="1519"/>
      <c r="J205"/>
      <c r="L205"/>
      <c r="N205"/>
    </row>
    <row r="206" spans="1:14">
      <c r="A206" s="480"/>
      <c r="D206"/>
      <c r="F206"/>
      <c r="H206" s="1519"/>
      <c r="J206"/>
      <c r="L206"/>
      <c r="N206"/>
    </row>
    <row r="207" spans="1:14">
      <c r="A207" s="480"/>
      <c r="D207"/>
      <c r="F207"/>
      <c r="H207" s="1519"/>
      <c r="J207"/>
      <c r="L207"/>
      <c r="N207"/>
    </row>
    <row r="208" spans="1:14">
      <c r="A208" s="480"/>
      <c r="D208"/>
      <c r="F208"/>
      <c r="H208" s="1519"/>
      <c r="J208"/>
      <c r="L208"/>
      <c r="N208"/>
    </row>
    <row r="209" spans="1:14">
      <c r="A209" s="480"/>
      <c r="D209"/>
      <c r="F209"/>
      <c r="H209" s="1519"/>
      <c r="J209"/>
      <c r="L209"/>
      <c r="N209"/>
    </row>
    <row r="210" spans="1:14">
      <c r="A210" s="480"/>
      <c r="D210"/>
      <c r="F210"/>
      <c r="H210" s="1519"/>
      <c r="J210"/>
      <c r="L210"/>
      <c r="N210"/>
    </row>
    <row r="211" spans="1:14">
      <c r="A211" s="480"/>
      <c r="D211"/>
      <c r="F211"/>
      <c r="H211" s="1519"/>
      <c r="J211"/>
      <c r="L211"/>
      <c r="N211"/>
    </row>
    <row r="212" spans="1:14">
      <c r="A212" s="480"/>
      <c r="D212"/>
      <c r="F212"/>
      <c r="H212" s="1519"/>
      <c r="J212"/>
      <c r="L212"/>
      <c r="N212"/>
    </row>
    <row r="213" spans="1:14">
      <c r="A213" s="480"/>
      <c r="D213"/>
      <c r="F213"/>
      <c r="H213" s="1519"/>
      <c r="J213"/>
      <c r="L213"/>
      <c r="N213"/>
    </row>
    <row r="214" spans="1:14">
      <c r="A214" s="480"/>
      <c r="D214"/>
      <c r="F214"/>
      <c r="H214" s="1519"/>
      <c r="J214"/>
      <c r="L214"/>
      <c r="N214"/>
    </row>
    <row r="215" spans="1:14">
      <c r="A215" s="480"/>
      <c r="D215"/>
      <c r="F215"/>
      <c r="H215" s="1519"/>
      <c r="J215"/>
      <c r="L215"/>
      <c r="N215"/>
    </row>
    <row r="216" spans="1:14">
      <c r="A216" s="480"/>
      <c r="D216"/>
      <c r="F216"/>
      <c r="H216" s="1519"/>
      <c r="J216"/>
      <c r="L216"/>
      <c r="N216"/>
    </row>
    <row r="217" spans="1:14">
      <c r="A217" s="480"/>
      <c r="D217"/>
      <c r="F217"/>
      <c r="H217" s="1519"/>
      <c r="J217"/>
      <c r="L217"/>
      <c r="N217"/>
    </row>
    <row r="218" spans="1:14">
      <c r="A218" s="480"/>
      <c r="D218"/>
      <c r="F218"/>
      <c r="H218" s="1519"/>
      <c r="J218"/>
      <c r="L218"/>
      <c r="N218"/>
    </row>
    <row r="219" spans="1:14">
      <c r="A219" s="480"/>
      <c r="D219"/>
      <c r="F219"/>
      <c r="H219" s="1519"/>
      <c r="J219"/>
      <c r="L219"/>
      <c r="N219"/>
    </row>
    <row r="220" spans="1:14">
      <c r="A220" s="480"/>
      <c r="D220"/>
      <c r="F220"/>
      <c r="H220" s="1519"/>
      <c r="J220"/>
      <c r="L220"/>
      <c r="N220"/>
    </row>
    <row r="221" spans="1:14">
      <c r="A221" s="480"/>
      <c r="D221"/>
      <c r="F221"/>
      <c r="H221" s="1519"/>
      <c r="J221"/>
      <c r="L221"/>
      <c r="N221"/>
    </row>
    <row r="222" spans="1:14">
      <c r="A222" s="480"/>
      <c r="D222"/>
      <c r="F222"/>
      <c r="H222" s="1519"/>
      <c r="J222"/>
      <c r="L222"/>
      <c r="N222"/>
    </row>
    <row r="223" spans="1:14">
      <c r="A223" s="480"/>
      <c r="D223"/>
      <c r="F223"/>
      <c r="H223" s="1519"/>
      <c r="J223"/>
      <c r="L223"/>
      <c r="N223"/>
    </row>
    <row r="224" spans="1:14">
      <c r="A224" s="480"/>
      <c r="D224"/>
      <c r="F224"/>
      <c r="H224" s="1519"/>
      <c r="J224"/>
      <c r="L224"/>
      <c r="N224"/>
    </row>
    <row r="225" spans="1:14">
      <c r="A225" s="480"/>
      <c r="D225"/>
      <c r="F225"/>
      <c r="H225" s="1519"/>
      <c r="J225"/>
      <c r="L225"/>
      <c r="N225"/>
    </row>
    <row r="226" spans="1:14">
      <c r="A226" s="480"/>
      <c r="D226"/>
      <c r="F226"/>
      <c r="H226" s="1519"/>
      <c r="J226"/>
      <c r="L226"/>
      <c r="N226"/>
    </row>
    <row r="227" spans="1:14">
      <c r="A227" s="480"/>
      <c r="D227"/>
      <c r="F227"/>
      <c r="H227" s="1519"/>
      <c r="J227"/>
      <c r="L227"/>
      <c r="N227"/>
    </row>
    <row r="228" spans="1:14">
      <c r="A228" s="480"/>
      <c r="D228"/>
      <c r="F228"/>
      <c r="H228" s="1519"/>
      <c r="J228"/>
      <c r="L228"/>
      <c r="N228"/>
    </row>
    <row r="229" spans="1:14">
      <c r="A229" s="480"/>
      <c r="D229"/>
      <c r="F229"/>
      <c r="H229" s="1519"/>
      <c r="J229"/>
      <c r="L229"/>
      <c r="N229"/>
    </row>
    <row r="230" spans="1:14">
      <c r="A230" s="480"/>
      <c r="D230"/>
      <c r="F230"/>
      <c r="H230" s="1519"/>
      <c r="J230"/>
      <c r="L230"/>
      <c r="N230"/>
    </row>
    <row r="231" spans="1:14">
      <c r="A231" s="480"/>
      <c r="D231"/>
      <c r="F231"/>
      <c r="H231" s="1519"/>
      <c r="J231"/>
      <c r="L231"/>
      <c r="N231"/>
    </row>
    <row r="232" spans="1:14">
      <c r="A232" s="480"/>
      <c r="D232"/>
      <c r="F232"/>
      <c r="H232" s="1519"/>
      <c r="J232"/>
      <c r="L232"/>
      <c r="N232"/>
    </row>
    <row r="233" spans="1:14">
      <c r="A233" s="480"/>
      <c r="D233"/>
      <c r="F233"/>
      <c r="H233" s="1519"/>
      <c r="J233"/>
      <c r="L233"/>
      <c r="N233"/>
    </row>
    <row r="234" spans="1:14">
      <c r="A234" s="480"/>
      <c r="D234"/>
      <c r="F234"/>
      <c r="H234" s="1519"/>
      <c r="J234"/>
      <c r="L234"/>
      <c r="N234"/>
    </row>
    <row r="235" spans="1:14">
      <c r="A235" s="480"/>
      <c r="D235"/>
      <c r="F235"/>
      <c r="H235" s="1519"/>
      <c r="J235"/>
      <c r="L235"/>
      <c r="N235"/>
    </row>
    <row r="236" spans="1:14">
      <c r="A236" s="480"/>
      <c r="D236"/>
      <c r="F236"/>
      <c r="H236" s="1519"/>
      <c r="J236"/>
      <c r="L236"/>
      <c r="N236"/>
    </row>
    <row r="237" spans="1:14">
      <c r="A237" s="480"/>
      <c r="D237"/>
      <c r="F237"/>
      <c r="H237" s="1519"/>
      <c r="J237"/>
      <c r="L237"/>
      <c r="N237"/>
    </row>
    <row r="238" spans="1:14">
      <c r="A238" s="480"/>
      <c r="D238"/>
      <c r="F238"/>
      <c r="H238" s="1519"/>
      <c r="J238"/>
      <c r="L238"/>
      <c r="N238"/>
    </row>
    <row r="239" spans="1:14">
      <c r="A239" s="480"/>
      <c r="D239"/>
      <c r="F239"/>
      <c r="H239" s="1519"/>
      <c r="J239"/>
      <c r="L239"/>
      <c r="N239"/>
    </row>
    <row r="240" spans="1:14">
      <c r="A240" s="480"/>
      <c r="D240"/>
      <c r="F240"/>
      <c r="H240" s="1519"/>
      <c r="J240"/>
      <c r="L240"/>
      <c r="N240"/>
    </row>
    <row r="241" spans="1:14">
      <c r="A241" s="480"/>
      <c r="D241"/>
      <c r="F241"/>
      <c r="H241" s="1519"/>
      <c r="J241"/>
      <c r="L241"/>
      <c r="N241"/>
    </row>
    <row r="242" spans="1:14">
      <c r="A242" s="480"/>
      <c r="D242"/>
      <c r="F242"/>
      <c r="H242" s="1519"/>
      <c r="J242"/>
      <c r="L242"/>
      <c r="N242"/>
    </row>
    <row r="243" spans="1:14">
      <c r="A243" s="480"/>
      <c r="D243"/>
      <c r="F243"/>
      <c r="H243" s="1519"/>
      <c r="J243"/>
      <c r="L243"/>
      <c r="N243"/>
    </row>
    <row r="244" spans="1:14">
      <c r="A244" s="480"/>
      <c r="D244"/>
      <c r="F244"/>
      <c r="H244" s="1519"/>
      <c r="J244"/>
      <c r="L244"/>
      <c r="N244"/>
    </row>
    <row r="245" spans="1:14">
      <c r="A245" s="480"/>
      <c r="D245"/>
      <c r="F245"/>
      <c r="H245" s="1519"/>
      <c r="J245"/>
      <c r="L245"/>
      <c r="N245"/>
    </row>
    <row r="246" spans="1:14">
      <c r="A246" s="480"/>
      <c r="D246"/>
      <c r="F246"/>
      <c r="H246" s="1519"/>
      <c r="J246"/>
      <c r="L246"/>
      <c r="N246"/>
    </row>
    <row r="247" spans="1:14">
      <c r="A247" s="480"/>
      <c r="D247"/>
      <c r="F247"/>
      <c r="H247" s="1519"/>
      <c r="J247"/>
      <c r="L247"/>
      <c r="N247"/>
    </row>
    <row r="248" spans="1:14">
      <c r="A248" s="480"/>
      <c r="D248"/>
      <c r="F248"/>
      <c r="H248" s="1519"/>
      <c r="J248"/>
      <c r="L248"/>
      <c r="N248"/>
    </row>
    <row r="249" spans="1:14">
      <c r="A249" s="480"/>
      <c r="D249"/>
      <c r="F249"/>
      <c r="H249" s="1519"/>
      <c r="J249"/>
      <c r="L249"/>
      <c r="N249"/>
    </row>
    <row r="250" spans="1:14">
      <c r="A250" s="480"/>
      <c r="D250"/>
      <c r="F250"/>
      <c r="H250" s="1519"/>
      <c r="J250"/>
      <c r="L250"/>
      <c r="N250"/>
    </row>
    <row r="251" spans="1:14">
      <c r="A251" s="480"/>
      <c r="D251"/>
      <c r="F251"/>
      <c r="H251" s="1519"/>
      <c r="J251"/>
      <c r="L251"/>
      <c r="N251"/>
    </row>
    <row r="252" spans="1:14">
      <c r="A252" s="480"/>
      <c r="D252"/>
      <c r="F252"/>
      <c r="H252" s="1519"/>
      <c r="J252"/>
      <c r="L252"/>
      <c r="N252"/>
    </row>
    <row r="253" spans="1:14">
      <c r="A253" s="480"/>
      <c r="D253"/>
      <c r="F253"/>
      <c r="H253" s="1519"/>
      <c r="J253"/>
      <c r="L253"/>
      <c r="N253"/>
    </row>
    <row r="254" spans="1:14">
      <c r="A254" s="480"/>
      <c r="D254"/>
      <c r="F254"/>
      <c r="H254" s="1519"/>
      <c r="J254"/>
      <c r="L254"/>
      <c r="N254"/>
    </row>
    <row r="255" spans="1:14">
      <c r="A255" s="480"/>
      <c r="D255"/>
      <c r="F255"/>
      <c r="H255" s="1519"/>
      <c r="J255"/>
      <c r="L255"/>
      <c r="N255"/>
    </row>
    <row r="256" spans="1:14">
      <c r="A256" s="480"/>
      <c r="D256"/>
      <c r="F256"/>
      <c r="H256" s="1519"/>
      <c r="J256"/>
      <c r="L256"/>
      <c r="N256"/>
    </row>
    <row r="257" spans="1:14">
      <c r="A257" s="480"/>
      <c r="D257"/>
      <c r="F257"/>
      <c r="H257" s="1519"/>
      <c r="J257"/>
      <c r="L257"/>
      <c r="N257"/>
    </row>
    <row r="258" spans="1:14">
      <c r="A258" s="480"/>
      <c r="D258"/>
      <c r="F258"/>
      <c r="H258" s="1519"/>
      <c r="J258"/>
      <c r="L258"/>
      <c r="N258"/>
    </row>
    <row r="259" spans="1:14">
      <c r="A259" s="480"/>
      <c r="D259"/>
      <c r="F259"/>
      <c r="H259" s="1519"/>
      <c r="J259"/>
      <c r="L259"/>
      <c r="N259"/>
    </row>
    <row r="260" spans="1:14">
      <c r="A260" s="480"/>
      <c r="D260"/>
      <c r="F260"/>
      <c r="H260" s="1519"/>
      <c r="J260"/>
      <c r="L260"/>
      <c r="N260"/>
    </row>
    <row r="261" spans="1:14">
      <c r="A261" s="480"/>
      <c r="D261"/>
      <c r="F261"/>
      <c r="H261" s="1519"/>
      <c r="J261"/>
      <c r="L261"/>
      <c r="N261"/>
    </row>
    <row r="262" spans="1:14">
      <c r="A262" s="480"/>
      <c r="D262"/>
      <c r="F262"/>
      <c r="H262" s="1519"/>
      <c r="J262"/>
      <c r="L262"/>
      <c r="N262"/>
    </row>
    <row r="263" spans="1:14">
      <c r="A263" s="480"/>
      <c r="D263"/>
      <c r="F263"/>
      <c r="H263" s="1519"/>
      <c r="J263"/>
      <c r="L263"/>
      <c r="N263"/>
    </row>
    <row r="264" spans="1:14">
      <c r="A264" s="480"/>
      <c r="D264"/>
      <c r="F264"/>
      <c r="H264" s="1519"/>
      <c r="J264"/>
      <c r="L264"/>
      <c r="N264"/>
    </row>
    <row r="265" spans="1:14">
      <c r="A265" s="480"/>
      <c r="D265"/>
      <c r="F265"/>
      <c r="H265" s="1519"/>
      <c r="J265"/>
      <c r="L265"/>
      <c r="N265"/>
    </row>
    <row r="266" spans="1:14">
      <c r="A266" s="480"/>
      <c r="D266"/>
      <c r="F266"/>
      <c r="H266" s="1519"/>
      <c r="J266"/>
      <c r="L266"/>
      <c r="N266"/>
    </row>
    <row r="267" spans="1:14">
      <c r="A267" s="480"/>
      <c r="D267"/>
      <c r="F267"/>
      <c r="H267" s="1519"/>
      <c r="J267"/>
      <c r="L267"/>
      <c r="N267"/>
    </row>
    <row r="268" spans="1:14">
      <c r="A268" s="480"/>
      <c r="D268"/>
      <c r="F268"/>
      <c r="H268" s="1519"/>
      <c r="J268"/>
      <c r="L268"/>
      <c r="N268"/>
    </row>
    <row r="269" spans="1:14">
      <c r="A269" s="480"/>
      <c r="D269"/>
      <c r="F269"/>
      <c r="H269" s="1519"/>
      <c r="J269"/>
      <c r="L269"/>
      <c r="N269"/>
    </row>
    <row r="270" spans="1:14">
      <c r="A270" s="480"/>
      <c r="D270"/>
      <c r="F270"/>
      <c r="H270" s="1519"/>
      <c r="J270"/>
      <c r="L270"/>
      <c r="N270"/>
    </row>
    <row r="271" spans="1:14">
      <c r="A271" s="480"/>
      <c r="D271"/>
      <c r="F271"/>
      <c r="H271" s="1519"/>
      <c r="J271"/>
      <c r="L271"/>
      <c r="N271"/>
    </row>
    <row r="272" spans="1:14">
      <c r="A272" s="480"/>
      <c r="D272"/>
      <c r="F272"/>
      <c r="H272" s="1519"/>
      <c r="J272"/>
      <c r="L272"/>
      <c r="N272"/>
    </row>
    <row r="273" spans="1:14">
      <c r="A273" s="480"/>
      <c r="D273"/>
      <c r="F273"/>
      <c r="H273" s="1519"/>
      <c r="J273"/>
      <c r="L273"/>
      <c r="N273"/>
    </row>
    <row r="274" spans="1:14">
      <c r="A274" s="480"/>
      <c r="D274"/>
      <c r="F274"/>
      <c r="H274" s="1519"/>
      <c r="J274"/>
      <c r="L274"/>
      <c r="N274"/>
    </row>
    <row r="275" spans="1:14">
      <c r="A275" s="480"/>
      <c r="D275"/>
      <c r="F275"/>
      <c r="H275" s="1519"/>
      <c r="J275"/>
      <c r="L275"/>
      <c r="N275"/>
    </row>
    <row r="276" spans="1:14">
      <c r="A276" s="480"/>
      <c r="D276"/>
      <c r="F276"/>
      <c r="H276" s="1519"/>
      <c r="J276"/>
      <c r="L276"/>
      <c r="N276"/>
    </row>
    <row r="277" spans="1:14">
      <c r="A277" s="480"/>
      <c r="D277"/>
      <c r="F277"/>
      <c r="H277" s="1519"/>
      <c r="J277"/>
      <c r="L277"/>
      <c r="N277"/>
    </row>
    <row r="278" spans="1:14">
      <c r="A278" s="480"/>
      <c r="D278"/>
      <c r="F278"/>
      <c r="H278" s="1519"/>
      <c r="J278"/>
      <c r="L278"/>
      <c r="N278"/>
    </row>
    <row r="279" spans="1:14">
      <c r="A279" s="480"/>
      <c r="D279"/>
      <c r="F279"/>
      <c r="H279" s="1519"/>
      <c r="J279"/>
      <c r="L279"/>
      <c r="N279"/>
    </row>
    <row r="280" spans="1:14">
      <c r="A280" s="480"/>
      <c r="D280"/>
      <c r="F280"/>
      <c r="H280" s="1519"/>
      <c r="J280"/>
      <c r="L280"/>
      <c r="N280"/>
    </row>
    <row r="281" spans="1:14">
      <c r="A281" s="480"/>
      <c r="D281"/>
      <c r="F281"/>
      <c r="H281" s="1519"/>
      <c r="J281"/>
      <c r="L281"/>
      <c r="N281"/>
    </row>
    <row r="282" spans="1:14">
      <c r="A282" s="480"/>
      <c r="D282"/>
      <c r="F282"/>
      <c r="H282" s="1519"/>
      <c r="J282"/>
      <c r="L282"/>
      <c r="N282"/>
    </row>
    <row r="283" spans="1:14">
      <c r="A283" s="480"/>
      <c r="D283"/>
      <c r="F283"/>
      <c r="H283" s="1519"/>
      <c r="J283"/>
      <c r="L283"/>
      <c r="N283"/>
    </row>
    <row r="284" spans="1:14">
      <c r="A284" s="480"/>
      <c r="D284"/>
      <c r="F284"/>
      <c r="H284" s="1519"/>
      <c r="J284"/>
      <c r="L284"/>
      <c r="N284"/>
    </row>
    <row r="285" spans="1:14">
      <c r="A285" s="480"/>
      <c r="D285"/>
      <c r="F285"/>
      <c r="H285" s="1519"/>
      <c r="J285"/>
      <c r="L285"/>
      <c r="N285"/>
    </row>
    <row r="286" spans="1:14">
      <c r="A286" s="480"/>
      <c r="D286"/>
      <c r="F286"/>
      <c r="H286" s="1519"/>
      <c r="J286"/>
      <c r="L286"/>
      <c r="N286"/>
    </row>
    <row r="287" spans="1:14">
      <c r="A287" s="480"/>
      <c r="D287"/>
      <c r="F287"/>
      <c r="H287" s="1519"/>
      <c r="J287"/>
      <c r="L287"/>
      <c r="N287"/>
    </row>
    <row r="288" spans="1:14">
      <c r="A288" s="480"/>
      <c r="D288"/>
      <c r="F288"/>
      <c r="H288" s="1519"/>
      <c r="J288"/>
      <c r="L288"/>
      <c r="N288"/>
    </row>
    <row r="289" spans="1:14">
      <c r="A289" s="480"/>
      <c r="D289"/>
      <c r="F289"/>
      <c r="H289" s="1519"/>
      <c r="J289"/>
      <c r="L289"/>
      <c r="N289"/>
    </row>
    <row r="290" spans="1:14">
      <c r="A290" s="480"/>
      <c r="D290"/>
      <c r="F290"/>
      <c r="H290" s="1519"/>
      <c r="J290"/>
      <c r="L290"/>
      <c r="N290"/>
    </row>
    <row r="291" spans="1:14">
      <c r="A291" s="480"/>
      <c r="D291"/>
      <c r="F291"/>
      <c r="H291" s="1519"/>
      <c r="J291"/>
      <c r="L291"/>
      <c r="N291"/>
    </row>
    <row r="292" spans="1:14">
      <c r="A292" s="480"/>
      <c r="D292"/>
      <c r="F292"/>
      <c r="H292" s="1519"/>
      <c r="J292"/>
      <c r="L292"/>
      <c r="N292"/>
    </row>
    <row r="293" spans="1:14">
      <c r="A293" s="480"/>
      <c r="D293"/>
      <c r="F293"/>
      <c r="H293" s="1519"/>
      <c r="J293"/>
      <c r="L293"/>
      <c r="N293"/>
    </row>
    <row r="294" spans="1:14">
      <c r="A294" s="480"/>
      <c r="D294"/>
      <c r="F294"/>
      <c r="H294" s="1519"/>
      <c r="J294"/>
      <c r="L294"/>
      <c r="N294"/>
    </row>
    <row r="295" spans="1:14">
      <c r="A295" s="480"/>
      <c r="D295"/>
      <c r="F295"/>
      <c r="H295" s="1519"/>
      <c r="J295"/>
      <c r="L295"/>
      <c r="N295"/>
    </row>
    <row r="296" spans="1:14">
      <c r="A296" s="480"/>
      <c r="D296"/>
      <c r="F296"/>
      <c r="H296" s="1519"/>
      <c r="J296"/>
      <c r="L296"/>
      <c r="N296"/>
    </row>
    <row r="297" spans="1:14">
      <c r="A297" s="480"/>
      <c r="D297"/>
      <c r="F297"/>
      <c r="H297" s="1519"/>
      <c r="J297"/>
      <c r="L297"/>
      <c r="N297"/>
    </row>
    <row r="298" spans="1:14">
      <c r="A298" s="480"/>
      <c r="D298"/>
      <c r="F298"/>
      <c r="H298" s="1519"/>
      <c r="J298"/>
      <c r="L298"/>
      <c r="N298"/>
    </row>
    <row r="299" spans="1:14">
      <c r="A299" s="480"/>
      <c r="D299"/>
      <c r="F299"/>
      <c r="H299" s="1519"/>
      <c r="J299"/>
      <c r="L299"/>
      <c r="N299"/>
    </row>
    <row r="300" spans="1:14">
      <c r="A300" s="480"/>
      <c r="D300"/>
      <c r="F300"/>
      <c r="H300" s="1519"/>
      <c r="J300"/>
      <c r="L300"/>
      <c r="N300"/>
    </row>
    <row r="301" spans="1:14">
      <c r="A301" s="480"/>
      <c r="D301"/>
      <c r="F301"/>
      <c r="H301" s="1519"/>
      <c r="J301"/>
      <c r="L301"/>
      <c r="N301"/>
    </row>
    <row r="302" spans="1:14">
      <c r="A302" s="480"/>
      <c r="D302"/>
      <c r="F302"/>
      <c r="H302" s="1519"/>
      <c r="J302"/>
      <c r="L302"/>
      <c r="N302"/>
    </row>
    <row r="303" spans="1:14">
      <c r="A303" s="480"/>
      <c r="D303"/>
      <c r="F303"/>
      <c r="H303" s="1519"/>
      <c r="J303"/>
      <c r="L303"/>
      <c r="N303"/>
    </row>
    <row r="304" spans="1:14">
      <c r="A304" s="480"/>
      <c r="D304"/>
      <c r="F304"/>
      <c r="H304" s="1519"/>
      <c r="J304"/>
      <c r="L304"/>
      <c r="N304"/>
    </row>
    <row r="305" spans="1:14">
      <c r="A305" s="480"/>
      <c r="D305"/>
      <c r="F305"/>
      <c r="H305" s="1519"/>
      <c r="J305"/>
      <c r="L305"/>
      <c r="N305"/>
    </row>
    <row r="306" spans="1:14">
      <c r="A306" s="480"/>
      <c r="D306"/>
      <c r="F306"/>
      <c r="H306" s="1519"/>
      <c r="J306"/>
      <c r="L306"/>
      <c r="N306"/>
    </row>
    <row r="307" spans="1:14">
      <c r="A307" s="480"/>
      <c r="D307"/>
      <c r="F307"/>
      <c r="H307" s="1519"/>
      <c r="J307"/>
      <c r="L307"/>
      <c r="N307"/>
    </row>
    <row r="308" spans="1:14">
      <c r="A308" s="480"/>
      <c r="D308"/>
      <c r="F308"/>
      <c r="H308" s="1519"/>
      <c r="J308"/>
      <c r="L308"/>
      <c r="N308"/>
    </row>
    <row r="309" spans="1:14">
      <c r="A309" s="480"/>
      <c r="D309"/>
      <c r="F309"/>
      <c r="H309" s="1519"/>
      <c r="J309"/>
      <c r="L309"/>
      <c r="N309"/>
    </row>
    <row r="310" spans="1:14">
      <c r="A310" s="480"/>
      <c r="D310"/>
      <c r="F310"/>
      <c r="H310" s="1519"/>
      <c r="J310"/>
      <c r="L310"/>
      <c r="N310"/>
    </row>
    <row r="311" spans="1:14">
      <c r="A311" s="480"/>
      <c r="D311"/>
      <c r="F311"/>
      <c r="H311" s="1519"/>
      <c r="J311"/>
      <c r="L311"/>
      <c r="N311"/>
    </row>
    <row r="312" spans="1:14">
      <c r="A312" s="480"/>
      <c r="D312"/>
      <c r="F312"/>
      <c r="H312" s="1519"/>
      <c r="J312"/>
      <c r="L312"/>
      <c r="N312"/>
    </row>
    <row r="313" spans="1:14">
      <c r="A313" s="480"/>
      <c r="D313"/>
      <c r="F313"/>
      <c r="H313" s="1519"/>
      <c r="J313"/>
      <c r="L313"/>
      <c r="N313"/>
    </row>
    <row r="314" spans="1:14">
      <c r="A314" s="480"/>
      <c r="D314"/>
      <c r="F314"/>
      <c r="H314" s="1519"/>
      <c r="J314"/>
      <c r="L314"/>
      <c r="N314"/>
    </row>
    <row r="315" spans="1:14">
      <c r="A315" s="480"/>
      <c r="D315"/>
      <c r="F315"/>
      <c r="H315" s="1519"/>
      <c r="J315"/>
      <c r="L315"/>
      <c r="N315"/>
    </row>
    <row r="316" spans="1:14">
      <c r="A316" s="480"/>
      <c r="D316"/>
      <c r="F316"/>
      <c r="H316" s="1519"/>
      <c r="J316"/>
      <c r="L316"/>
      <c r="N316"/>
    </row>
    <row r="317" spans="1:14">
      <c r="A317" s="480"/>
      <c r="D317"/>
      <c r="F317"/>
      <c r="H317" s="1519"/>
      <c r="J317"/>
      <c r="L317"/>
      <c r="N317"/>
    </row>
    <row r="318" spans="1:14">
      <c r="A318" s="480"/>
      <c r="D318"/>
      <c r="F318"/>
      <c r="H318" s="1519"/>
      <c r="J318"/>
      <c r="L318"/>
      <c r="N318"/>
    </row>
    <row r="319" spans="1:14">
      <c r="A319" s="480"/>
      <c r="D319"/>
      <c r="F319"/>
      <c r="H319" s="1519"/>
      <c r="J319"/>
      <c r="L319"/>
      <c r="N319"/>
    </row>
  </sheetData>
  <sheetProtection sheet="1" objects="1" scenarios="1"/>
  <mergeCells count="33">
    <mergeCell ref="M1:N1"/>
    <mergeCell ref="B1:C1"/>
    <mergeCell ref="E1:F1"/>
    <mergeCell ref="G1:H1"/>
    <mergeCell ref="I1:J1"/>
    <mergeCell ref="K1:L1"/>
    <mergeCell ref="E81:F81"/>
    <mergeCell ref="E82:F82"/>
    <mergeCell ref="E83:F83"/>
    <mergeCell ref="E84:F84"/>
    <mergeCell ref="B18:C18"/>
    <mergeCell ref="B61:C61"/>
    <mergeCell ref="M18:N18"/>
    <mergeCell ref="E18:F18"/>
    <mergeCell ref="G18:H18"/>
    <mergeCell ref="I18:J18"/>
    <mergeCell ref="K18:L18"/>
    <mergeCell ref="G84:H84"/>
    <mergeCell ref="I84:J84"/>
    <mergeCell ref="K84:L84"/>
    <mergeCell ref="M84:N84"/>
    <mergeCell ref="G81:H81"/>
    <mergeCell ref="I81:J81"/>
    <mergeCell ref="K81:L81"/>
    <mergeCell ref="M81:N81"/>
    <mergeCell ref="G82:H82"/>
    <mergeCell ref="I82:J82"/>
    <mergeCell ref="K82:L82"/>
    <mergeCell ref="M82:N82"/>
    <mergeCell ref="G83:H83"/>
    <mergeCell ref="I83:J83"/>
    <mergeCell ref="K83:L83"/>
    <mergeCell ref="M83:N83"/>
  </mergeCells>
  <pageMargins left="0.23622047244094491" right="0.23622047244094491" top="0.74803149606299213" bottom="0.74803149606299213" header="0" footer="0"/>
  <pageSetup orientation="portrait" r:id="rId1"/>
  <rowBreaks count="5" manualBreakCount="5">
    <brk id="17" max="16383" man="1"/>
    <brk id="60" max="16383" man="1"/>
    <brk id="85" max="16383" man="1"/>
    <brk id="156" max="16383" man="1"/>
    <brk id="184" max="16383" man="1"/>
  </rowBreak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Lait">
    <tabColor theme="0"/>
    <pageSetUpPr fitToPage="1"/>
  </sheetPr>
  <dimension ref="A1:AA372"/>
  <sheetViews>
    <sheetView showGridLines="0" zoomScale="85" zoomScaleNormal="85" workbookViewId="0">
      <pane xSplit="5" ySplit="2" topLeftCell="F3" activePane="bottomRight" state="frozen"/>
      <selection pane="topRight" activeCell="F1" sqref="F1"/>
      <selection pane="bottomLeft" activeCell="A3" sqref="A3"/>
      <selection pane="bottomRight" activeCell="A4" sqref="A4"/>
    </sheetView>
  </sheetViews>
  <sheetFormatPr baseColWidth="10" defaultColWidth="11.42578125" defaultRowHeight="14.25"/>
  <cols>
    <col min="1" max="1" width="4.5703125" style="97" customWidth="1"/>
    <col min="2" max="2" width="3.5703125" style="1500" customWidth="1"/>
    <col min="3" max="3" width="13.42578125" style="1500" customWidth="1"/>
    <col min="4" max="4" width="26.5703125" style="1500" customWidth="1"/>
    <col min="5" max="5" width="15.85546875" style="1349" customWidth="1"/>
    <col min="6" max="6" width="9.7109375" style="26" hidden="1" customWidth="1"/>
    <col min="7" max="7" width="0.5703125" style="536" hidden="1" customWidth="1"/>
    <col min="8" max="8" width="5.5703125" style="1500" customWidth="1"/>
    <col min="9" max="9" width="15.5703125" style="603" customWidth="1"/>
    <col min="10" max="10" width="5.5703125" style="1500" customWidth="1"/>
    <col min="11" max="11" width="15.5703125" style="1500" customWidth="1"/>
    <col min="12" max="12" width="5.5703125" style="1500" customWidth="1"/>
    <col min="13" max="13" width="15.5703125" style="1500" customWidth="1"/>
    <col min="14" max="14" width="5.5703125" style="1500" customWidth="1"/>
    <col min="15" max="15" width="15.5703125" style="1500" customWidth="1"/>
    <col min="16" max="16" width="5.85546875" style="1500" customWidth="1"/>
    <col min="17" max="17" width="15.140625" style="1500" customWidth="1"/>
    <col min="18" max="18" width="6.42578125" style="1500" customWidth="1"/>
    <col min="19" max="19" width="17.85546875" style="1500" customWidth="1"/>
    <col min="20" max="20" width="24.42578125" style="462" customWidth="1"/>
    <col min="21" max="22" width="10.5703125" style="1500" customWidth="1"/>
    <col min="23" max="23" width="11.42578125" style="1500" customWidth="1"/>
    <col min="24" max="16384" width="11.42578125" style="1500"/>
  </cols>
  <sheetData>
    <row r="1" spans="1:20" s="1527" customFormat="1" ht="24.75" thickBot="1">
      <c r="A1" s="1521"/>
      <c r="B1" s="1522"/>
      <c r="C1" s="1523" t="s">
        <v>1163</v>
      </c>
      <c r="D1" s="1523"/>
      <c r="E1" s="1524"/>
      <c r="F1" s="2017">
        <v>0</v>
      </c>
      <c r="G1" s="2017">
        <v>0</v>
      </c>
      <c r="H1" s="1525">
        <v>1</v>
      </c>
      <c r="I1" s="1525">
        <v>1</v>
      </c>
      <c r="J1" s="1525">
        <v>2</v>
      </c>
      <c r="K1" s="1525">
        <v>2</v>
      </c>
      <c r="L1" s="1525">
        <v>3</v>
      </c>
      <c r="M1" s="1525">
        <v>3</v>
      </c>
      <c r="N1" s="1525">
        <v>4</v>
      </c>
      <c r="O1" s="1525">
        <v>4</v>
      </c>
      <c r="P1" s="1525">
        <v>5</v>
      </c>
      <c r="Q1" s="1525">
        <v>5</v>
      </c>
      <c r="R1" s="1526"/>
      <c r="T1" s="1528"/>
    </row>
    <row r="2" spans="1:20" s="1531" customFormat="1" ht="29.25" thickTop="1">
      <c r="A2" s="1529" t="s">
        <v>294</v>
      </c>
      <c r="B2" s="1530" t="s">
        <v>1203</v>
      </c>
      <c r="E2" s="1532" t="s">
        <v>908</v>
      </c>
      <c r="F2" s="2146" t="s">
        <v>295</v>
      </c>
      <c r="G2" s="2147"/>
      <c r="H2" s="2148">
        <f>scenario1</f>
        <v>0</v>
      </c>
      <c r="I2" s="2149"/>
      <c r="J2" s="2150" t="str">
        <f>scenario2</f>
        <v>Transition 1</v>
      </c>
      <c r="K2" s="2151"/>
      <c r="L2" s="2148" t="str">
        <f>scenario3</f>
        <v>Transition 2</v>
      </c>
      <c r="M2" s="2149"/>
      <c r="N2" s="2150" t="str">
        <f>scenario4</f>
        <v>Pré-certification</v>
      </c>
      <c r="O2" s="2151"/>
      <c r="P2" s="2144" t="str">
        <f>scenario5</f>
        <v>Certification</v>
      </c>
      <c r="Q2" s="2145"/>
      <c r="R2" s="1552"/>
      <c r="S2" s="1533" t="s">
        <v>216</v>
      </c>
      <c r="T2" s="1534"/>
    </row>
    <row r="3" spans="1:20" s="97" customFormat="1">
      <c r="A3" s="1109"/>
      <c r="B3" s="1499"/>
      <c r="C3" s="1110"/>
      <c r="D3" s="478" t="s">
        <v>907</v>
      </c>
      <c r="E3" s="1520" t="s">
        <v>25</v>
      </c>
      <c r="F3" s="611"/>
      <c r="G3" s="611"/>
      <c r="H3" s="2153">
        <f>descrS1</f>
        <v>0</v>
      </c>
      <c r="I3" s="2154"/>
      <c r="J3" s="2155">
        <f>descrS2</f>
        <v>0</v>
      </c>
      <c r="K3" s="2156"/>
      <c r="L3" s="2153">
        <f>descrS3</f>
        <v>0</v>
      </c>
      <c r="M3" s="2154"/>
      <c r="N3" s="2155">
        <f>descrS4</f>
        <v>0</v>
      </c>
      <c r="O3" s="2156"/>
      <c r="P3" s="2153">
        <f>descrS5</f>
        <v>0</v>
      </c>
      <c r="Q3" s="2154"/>
      <c r="R3" s="33"/>
      <c r="S3" s="38"/>
      <c r="T3" s="696" t="s">
        <v>910</v>
      </c>
    </row>
    <row r="4" spans="1:20" ht="16.5">
      <c r="A4" s="1652" t="s">
        <v>276</v>
      </c>
      <c r="B4" s="272" t="s">
        <v>175</v>
      </c>
      <c r="C4" s="272"/>
      <c r="D4" s="2078" t="s">
        <v>367</v>
      </c>
      <c r="E4" s="1419" t="s">
        <v>909</v>
      </c>
      <c r="F4" s="614"/>
      <c r="G4" s="612"/>
      <c r="H4" s="2153"/>
      <c r="I4" s="2154"/>
      <c r="J4" s="2155"/>
      <c r="K4" s="2156"/>
      <c r="L4" s="2153"/>
      <c r="M4" s="2154"/>
      <c r="N4" s="2155"/>
      <c r="O4" s="2156"/>
      <c r="P4" s="2153"/>
      <c r="Q4" s="2154"/>
    </row>
    <row r="5" spans="1:20">
      <c r="A5" s="1091"/>
      <c r="B5" s="2142" t="s">
        <v>403</v>
      </c>
      <c r="C5" s="2143"/>
      <c r="D5" s="2143"/>
      <c r="E5" s="2143"/>
      <c r="F5" s="614"/>
      <c r="G5" s="612"/>
      <c r="H5" s="2153"/>
      <c r="I5" s="2154"/>
      <c r="J5" s="2155"/>
      <c r="K5" s="2156"/>
      <c r="L5" s="2153"/>
      <c r="M5" s="2154"/>
      <c r="N5" s="2155"/>
      <c r="O5" s="2156"/>
      <c r="P5" s="2153"/>
      <c r="Q5" s="2154"/>
    </row>
    <row r="6" spans="1:20">
      <c r="A6" s="1091"/>
      <c r="B6" s="2142" t="s">
        <v>267</v>
      </c>
      <c r="C6" s="2143"/>
      <c r="D6" s="2143"/>
      <c r="E6" s="2143"/>
      <c r="F6" s="614"/>
      <c r="G6" s="612"/>
      <c r="H6" s="2153"/>
      <c r="I6" s="2154"/>
      <c r="J6" s="2155"/>
      <c r="K6" s="2156"/>
      <c r="L6" s="2153"/>
      <c r="M6" s="2154"/>
      <c r="N6" s="2155"/>
      <c r="O6" s="2156"/>
      <c r="P6" s="2153"/>
      <c r="Q6" s="2154"/>
    </row>
    <row r="7" spans="1:20">
      <c r="A7" s="1091"/>
      <c r="B7" s="2142" t="s">
        <v>391</v>
      </c>
      <c r="C7" s="2143"/>
      <c r="D7" s="2143"/>
      <c r="E7" s="2143"/>
      <c r="F7" s="614"/>
      <c r="G7" s="612"/>
      <c r="H7" s="2153"/>
      <c r="I7" s="2154"/>
      <c r="J7" s="2155"/>
      <c r="K7" s="2156"/>
      <c r="L7" s="2153"/>
      <c r="M7" s="2154"/>
      <c r="N7" s="2155"/>
      <c r="O7" s="2156"/>
      <c r="P7" s="2153"/>
      <c r="Q7" s="2154"/>
    </row>
    <row r="8" spans="1:20">
      <c r="A8" s="1091"/>
      <c r="B8" s="2142" t="s">
        <v>606</v>
      </c>
      <c r="C8" s="2143"/>
      <c r="D8" s="2143"/>
      <c r="E8" s="2143"/>
      <c r="F8" s="614"/>
      <c r="G8" s="612"/>
      <c r="H8" s="2153"/>
      <c r="I8" s="2154"/>
      <c r="J8" s="2155"/>
      <c r="K8" s="2156"/>
      <c r="L8" s="2153"/>
      <c r="M8" s="2154"/>
      <c r="N8" s="2155"/>
      <c r="O8" s="2156"/>
      <c r="P8" s="2153"/>
      <c r="Q8" s="2154"/>
    </row>
    <row r="9" spans="1:20">
      <c r="A9" s="1091"/>
      <c r="B9" s="2142" t="s">
        <v>383</v>
      </c>
      <c r="C9" s="2143"/>
      <c r="D9" s="2143"/>
      <c r="E9" s="2143"/>
      <c r="F9" s="614"/>
      <c r="G9" s="612"/>
      <c r="H9" s="2153"/>
      <c r="I9" s="2154"/>
      <c r="J9" s="2155"/>
      <c r="K9" s="2156"/>
      <c r="L9" s="2153"/>
      <c r="M9" s="2154"/>
      <c r="N9" s="2155"/>
      <c r="O9" s="2156"/>
      <c r="P9" s="2153"/>
      <c r="Q9" s="2154"/>
    </row>
    <row r="10" spans="1:20">
      <c r="A10" s="1091"/>
      <c r="B10" s="2142" t="s">
        <v>379</v>
      </c>
      <c r="C10" s="2143"/>
      <c r="D10" s="2143"/>
      <c r="E10" s="2143"/>
      <c r="F10" s="614"/>
      <c r="G10" s="612"/>
      <c r="H10" s="2153"/>
      <c r="I10" s="2154"/>
      <c r="J10" s="2155"/>
      <c r="K10" s="2156"/>
      <c r="L10" s="2153"/>
      <c r="M10" s="2154"/>
      <c r="N10" s="2155"/>
      <c r="O10" s="2156"/>
      <c r="P10" s="2153"/>
      <c r="Q10" s="2154"/>
    </row>
    <row r="11" spans="1:20">
      <c r="A11" s="1091"/>
      <c r="B11" s="2142" t="s">
        <v>378</v>
      </c>
      <c r="C11" s="2143"/>
      <c r="D11" s="2143"/>
      <c r="E11" s="2143"/>
      <c r="F11" s="614"/>
      <c r="G11" s="612"/>
      <c r="H11" s="2153"/>
      <c r="I11" s="2154"/>
      <c r="J11" s="2155"/>
      <c r="K11" s="2156"/>
      <c r="L11" s="2153"/>
      <c r="M11" s="2154"/>
      <c r="N11" s="2155"/>
      <c r="O11" s="2156"/>
      <c r="P11" s="2153"/>
      <c r="Q11" s="2154"/>
    </row>
    <row r="12" spans="1:20">
      <c r="A12" s="1091"/>
      <c r="B12" s="2142" t="s">
        <v>377</v>
      </c>
      <c r="C12" s="2143"/>
      <c r="D12" s="2143"/>
      <c r="E12" s="2143"/>
      <c r="F12" s="614"/>
      <c r="G12" s="612"/>
      <c r="H12" s="2153"/>
      <c r="I12" s="2154"/>
      <c r="J12" s="2155"/>
      <c r="K12" s="2156"/>
      <c r="L12" s="2153"/>
      <c r="M12" s="2154"/>
      <c r="N12" s="2155"/>
      <c r="O12" s="2156"/>
      <c r="P12" s="2153"/>
      <c r="Q12" s="2154"/>
    </row>
    <row r="13" spans="1:20">
      <c r="A13" s="1091"/>
      <c r="B13" s="2142" t="s">
        <v>376</v>
      </c>
      <c r="C13" s="2143"/>
      <c r="D13" s="2143"/>
      <c r="E13" s="2143"/>
      <c r="F13" s="614"/>
      <c r="G13" s="612"/>
      <c r="H13" s="2153"/>
      <c r="I13" s="2154"/>
      <c r="J13" s="2155"/>
      <c r="K13" s="2156"/>
      <c r="L13" s="2153"/>
      <c r="M13" s="2154"/>
      <c r="N13" s="2155"/>
      <c r="O13" s="2156"/>
      <c r="P13" s="2153"/>
      <c r="Q13" s="2154"/>
    </row>
    <row r="14" spans="1:20">
      <c r="A14" s="1091"/>
      <c r="B14" s="2142" t="s">
        <v>374</v>
      </c>
      <c r="C14" s="2143"/>
      <c r="D14" s="2143"/>
      <c r="E14" s="2143"/>
      <c r="F14" s="614"/>
      <c r="G14" s="612"/>
      <c r="H14" s="2153"/>
      <c r="I14" s="2154"/>
      <c r="J14" s="2155"/>
      <c r="K14" s="2156"/>
      <c r="L14" s="2153"/>
      <c r="M14" s="2154"/>
      <c r="N14" s="2155"/>
      <c r="O14" s="2156"/>
      <c r="P14" s="2153"/>
      <c r="Q14" s="2154"/>
    </row>
    <row r="15" spans="1:20">
      <c r="A15" s="1091"/>
      <c r="B15" s="2142" t="s">
        <v>10</v>
      </c>
      <c r="C15" s="2143"/>
      <c r="D15" s="2143"/>
      <c r="E15" s="2143"/>
      <c r="F15" s="614"/>
      <c r="G15" s="612"/>
      <c r="H15" s="2153"/>
      <c r="I15" s="2154"/>
      <c r="J15" s="2155"/>
      <c r="K15" s="2156"/>
      <c r="L15" s="2153"/>
      <c r="M15" s="2154"/>
      <c r="N15" s="2155"/>
      <c r="O15" s="2156"/>
      <c r="P15" s="2153"/>
      <c r="Q15" s="2154"/>
    </row>
    <row r="16" spans="1:20">
      <c r="A16" s="1091"/>
      <c r="B16" s="2142" t="s">
        <v>368</v>
      </c>
      <c r="C16" s="2143"/>
      <c r="D16" s="2143"/>
      <c r="E16" s="2143"/>
      <c r="F16" s="614"/>
      <c r="G16" s="612"/>
      <c r="H16" s="2153"/>
      <c r="I16" s="2154"/>
      <c r="J16" s="2155"/>
      <c r="K16" s="2156"/>
      <c r="L16" s="2153"/>
      <c r="M16" s="2154"/>
      <c r="N16" s="2155"/>
      <c r="O16" s="2156"/>
      <c r="P16" s="2153"/>
      <c r="Q16" s="2154"/>
    </row>
    <row r="17" spans="1:20" ht="15" thickBot="1">
      <c r="A17" s="1091"/>
      <c r="B17" s="2142" t="s">
        <v>367</v>
      </c>
      <c r="C17" s="2143"/>
      <c r="D17" s="2143"/>
      <c r="E17" s="2143"/>
      <c r="F17" s="614"/>
      <c r="G17" s="612"/>
      <c r="H17" s="2153"/>
      <c r="I17" s="2154"/>
      <c r="J17" s="2155"/>
      <c r="K17" s="2156"/>
      <c r="L17" s="2153"/>
      <c r="M17" s="2154"/>
      <c r="N17" s="2155"/>
      <c r="O17" s="2156"/>
      <c r="P17" s="2153"/>
      <c r="Q17" s="2154"/>
    </row>
    <row r="18" spans="1:20" ht="15" thickBot="1">
      <c r="A18" s="1091"/>
      <c r="B18" s="2142" t="s">
        <v>277</v>
      </c>
      <c r="C18" s="2143"/>
      <c r="D18" s="2143"/>
      <c r="E18" s="2143"/>
      <c r="F18" s="614"/>
      <c r="G18" s="612"/>
      <c r="H18" s="1100"/>
      <c r="I18" s="1099"/>
      <c r="J18" s="1100"/>
      <c r="K18" s="1100"/>
      <c r="L18" s="1100"/>
      <c r="M18" s="1100"/>
      <c r="N18" s="1100"/>
      <c r="O18" s="1100"/>
      <c r="P18" s="1100"/>
      <c r="Q18" s="1100"/>
    </row>
    <row r="19" spans="1:20" s="1519" customFormat="1">
      <c r="A19" s="1091"/>
      <c r="B19" s="1582"/>
      <c r="C19" s="449"/>
      <c r="D19" s="264"/>
      <c r="E19" s="1420"/>
      <c r="F19" s="614"/>
      <c r="G19" s="612"/>
      <c r="H19" s="1580"/>
      <c r="I19" s="1581"/>
      <c r="J19" s="1580"/>
      <c r="K19" s="1580"/>
      <c r="L19" s="1580"/>
      <c r="M19" s="1580"/>
      <c r="N19" s="1580"/>
      <c r="O19" s="1580"/>
      <c r="P19" s="1580"/>
      <c r="Q19" s="1580"/>
      <c r="T19" s="462"/>
    </row>
    <row r="20" spans="1:20">
      <c r="A20" s="1091"/>
      <c r="B20" s="2157" t="s">
        <v>1495</v>
      </c>
      <c r="C20" s="2157"/>
      <c r="D20" s="2157"/>
      <c r="E20" s="1420"/>
      <c r="F20" s="614"/>
      <c r="G20" s="612"/>
      <c r="I20" s="602"/>
      <c r="K20" s="247"/>
      <c r="M20" s="247"/>
      <c r="O20" s="247"/>
      <c r="Q20" s="247"/>
    </row>
    <row r="21" spans="1:20">
      <c r="A21" s="1091"/>
      <c r="B21" s="305"/>
      <c r="E21" s="1420"/>
      <c r="F21" s="614"/>
      <c r="G21" s="612"/>
      <c r="I21" s="602"/>
      <c r="K21" s="247"/>
      <c r="M21" s="247"/>
      <c r="O21" s="247"/>
      <c r="Q21" s="247"/>
    </row>
    <row r="22" spans="1:20" ht="19.5" thickBot="1">
      <c r="A22" s="2076" t="s">
        <v>275</v>
      </c>
      <c r="B22" s="2" t="s">
        <v>403</v>
      </c>
      <c r="C22" s="2"/>
      <c r="D22" s="2"/>
      <c r="E22" s="1421"/>
      <c r="F22" s="613"/>
      <c r="G22" s="613"/>
      <c r="H22" s="2"/>
      <c r="I22" s="2"/>
      <c r="J22" s="2"/>
      <c r="K22" s="2"/>
      <c r="L22" s="2"/>
      <c r="M22" s="2"/>
      <c r="N22" s="2"/>
      <c r="O22" s="2"/>
      <c r="P22" s="2"/>
      <c r="Q22" s="2"/>
    </row>
    <row r="23" spans="1:20" ht="15" thickTop="1">
      <c r="A23" s="402"/>
      <c r="B23" s="305"/>
      <c r="E23" s="1420"/>
      <c r="F23" s="614"/>
      <c r="G23" s="614"/>
    </row>
    <row r="24" spans="1:20">
      <c r="A24" s="1091"/>
      <c r="B24" s="287"/>
      <c r="C24" s="265" t="s">
        <v>18</v>
      </c>
      <c r="D24" s="265"/>
      <c r="E24" s="1422"/>
      <c r="F24" s="614"/>
      <c r="G24" s="694" t="s">
        <v>402</v>
      </c>
      <c r="H24" s="449"/>
      <c r="I24" s="1750" t="str">
        <f t="shared" ref="I24:I29" si="0">G24</f>
        <v>Holstein</v>
      </c>
      <c r="J24" s="1751"/>
      <c r="K24" s="1752" t="str">
        <f t="shared" ref="K24:K29" si="1">I24</f>
        <v>Holstein</v>
      </c>
      <c r="L24" s="1751"/>
      <c r="M24" s="1752" t="str">
        <f t="shared" ref="M24:M29" si="2">K24</f>
        <v>Holstein</v>
      </c>
      <c r="N24" s="1751"/>
      <c r="O24" s="1752" t="str">
        <f t="shared" ref="O24:O29" si="3">M24</f>
        <v>Holstein</v>
      </c>
      <c r="P24" s="1751"/>
      <c r="Q24" s="1752" t="str">
        <f t="shared" ref="Q24:Q29" si="4">O24</f>
        <v>Holstein</v>
      </c>
    </row>
    <row r="25" spans="1:20">
      <c r="A25" s="1091"/>
      <c r="B25" s="287"/>
      <c r="C25" s="265" t="s">
        <v>15</v>
      </c>
      <c r="D25" s="265"/>
      <c r="E25" s="1422"/>
      <c r="F25" s="614"/>
      <c r="G25" s="694" t="s">
        <v>176</v>
      </c>
      <c r="I25" s="1752" t="str">
        <f t="shared" si="0"/>
        <v>Conventionnel</v>
      </c>
      <c r="J25" s="1751"/>
      <c r="K25" s="1752" t="str">
        <f t="shared" si="1"/>
        <v>Conventionnel</v>
      </c>
      <c r="L25" s="1751"/>
      <c r="M25" s="1752" t="str">
        <f t="shared" si="2"/>
        <v>Conventionnel</v>
      </c>
      <c r="N25" s="1751"/>
      <c r="O25" s="1752" t="str">
        <f t="shared" si="3"/>
        <v>Conventionnel</v>
      </c>
      <c r="P25" s="1751"/>
      <c r="Q25" s="1752" t="str">
        <f t="shared" si="4"/>
        <v>Conventionnel</v>
      </c>
    </row>
    <row r="26" spans="1:20">
      <c r="A26" s="1091"/>
      <c r="B26" s="287"/>
      <c r="C26" s="51" t="s">
        <v>401</v>
      </c>
      <c r="D26" s="51"/>
      <c r="E26" s="1422"/>
      <c r="F26" s="614"/>
      <c r="G26" s="694" t="s">
        <v>400</v>
      </c>
      <c r="I26" s="1752" t="str">
        <f t="shared" si="0"/>
        <v>moyenne</v>
      </c>
      <c r="J26" s="1751"/>
      <c r="K26" s="1752" t="str">
        <f t="shared" si="1"/>
        <v>moyenne</v>
      </c>
      <c r="L26" s="1751"/>
      <c r="M26" s="1752" t="str">
        <f t="shared" si="2"/>
        <v>moyenne</v>
      </c>
      <c r="N26" s="1751"/>
      <c r="O26" s="1752" t="str">
        <f t="shared" si="3"/>
        <v>moyenne</v>
      </c>
      <c r="P26" s="1751"/>
      <c r="Q26" s="1752" t="str">
        <f t="shared" si="4"/>
        <v>moyenne</v>
      </c>
    </row>
    <row r="27" spans="1:20" hidden="1">
      <c r="A27" s="1091"/>
      <c r="B27" s="287"/>
      <c r="C27" s="51" t="s">
        <v>399</v>
      </c>
      <c r="D27" s="51"/>
      <c r="E27" s="1422"/>
      <c r="F27" s="614"/>
      <c r="G27" s="695" t="s">
        <v>592</v>
      </c>
      <c r="I27" s="1899" t="str">
        <f t="shared" si="0"/>
        <v>ne s'applique pas</v>
      </c>
      <c r="J27" s="1900"/>
      <c r="K27" s="1899" t="str">
        <f t="shared" si="1"/>
        <v>ne s'applique pas</v>
      </c>
      <c r="L27" s="1900"/>
      <c r="M27" s="1899" t="str">
        <f t="shared" si="2"/>
        <v>ne s'applique pas</v>
      </c>
      <c r="N27" s="1900"/>
      <c r="O27" s="1899" t="str">
        <f t="shared" si="3"/>
        <v>ne s'applique pas</v>
      </c>
      <c r="P27" s="1900"/>
      <c r="Q27" s="1899" t="str">
        <f t="shared" si="4"/>
        <v>ne s'applique pas</v>
      </c>
    </row>
    <row r="28" spans="1:20" hidden="1">
      <c r="A28" s="1091"/>
      <c r="B28" s="287"/>
      <c r="C28" s="265" t="s">
        <v>17</v>
      </c>
      <c r="D28" s="265"/>
      <c r="E28" s="1422"/>
      <c r="F28" s="614"/>
      <c r="G28" s="694" t="s">
        <v>398</v>
      </c>
      <c r="I28" s="1752" t="str">
        <f t="shared" si="0"/>
        <v>lactoduc</v>
      </c>
      <c r="J28" s="1751"/>
      <c r="K28" s="1752" t="str">
        <f t="shared" si="1"/>
        <v>lactoduc</v>
      </c>
      <c r="L28" s="1751"/>
      <c r="M28" s="1752" t="str">
        <f t="shared" si="2"/>
        <v>lactoduc</v>
      </c>
      <c r="N28" s="1751"/>
      <c r="O28" s="1752" t="str">
        <f t="shared" si="3"/>
        <v>lactoduc</v>
      </c>
      <c r="P28" s="1751"/>
      <c r="Q28" s="1752" t="str">
        <f t="shared" si="4"/>
        <v>lactoduc</v>
      </c>
    </row>
    <row r="29" spans="1:20" ht="16.5">
      <c r="A29" s="1091"/>
      <c r="B29" s="287"/>
      <c r="C29" s="266" t="s">
        <v>397</v>
      </c>
      <c r="D29" s="267"/>
      <c r="E29" s="1422"/>
      <c r="F29" s="614"/>
      <c r="G29" s="617">
        <v>60</v>
      </c>
      <c r="H29" s="538"/>
      <c r="I29" s="1753">
        <f t="shared" si="0"/>
        <v>60</v>
      </c>
      <c r="J29" s="570"/>
      <c r="K29" s="1753">
        <f t="shared" si="1"/>
        <v>60</v>
      </c>
      <c r="L29" s="570"/>
      <c r="M29" s="1753">
        <f t="shared" si="2"/>
        <v>60</v>
      </c>
      <c r="N29" s="570"/>
      <c r="O29" s="1753">
        <f t="shared" si="3"/>
        <v>60</v>
      </c>
      <c r="P29" s="570"/>
      <c r="Q29" s="1753">
        <f t="shared" si="4"/>
        <v>60</v>
      </c>
    </row>
    <row r="30" spans="1:20" ht="16.5" hidden="1">
      <c r="A30" s="1091"/>
      <c r="B30" s="287"/>
      <c r="C30" s="268" t="s">
        <v>396</v>
      </c>
      <c r="D30" s="269"/>
      <c r="E30" s="1422"/>
      <c r="F30" s="614"/>
      <c r="G30" s="618">
        <f>IF(G27=RéfLait!$C$8,RéfLait!$E$38,RéfLait!$E$39)</f>
        <v>13</v>
      </c>
      <c r="H30" s="539"/>
      <c r="I30" s="1754">
        <f>IF(I27=RéfLait!$C$8,RéfLait!$E$38,RéfLait!$E$39)</f>
        <v>13</v>
      </c>
      <c r="J30" s="570"/>
      <c r="K30" s="1754">
        <f>IF(K27=RéfLait!$C$8,RéfLait!$E$38,RéfLait!$E$39)</f>
        <v>13</v>
      </c>
      <c r="L30" s="570"/>
      <c r="M30" s="1754">
        <f>IF(M27=RéfLait!$C$8,RéfLait!$E$38,RéfLait!$E$39)</f>
        <v>13</v>
      </c>
      <c r="N30" s="570"/>
      <c r="O30" s="1754">
        <f>IF(O27=RéfLait!$C$8,RéfLait!$E$38,RéfLait!$E$39)</f>
        <v>13</v>
      </c>
      <c r="P30" s="570"/>
      <c r="Q30" s="1754">
        <f>IF(Q27=RéfLait!$C$8,RéfLait!$E$38,RéfLait!$E$39)</f>
        <v>13</v>
      </c>
    </row>
    <row r="31" spans="1:20" ht="16.5">
      <c r="A31" s="1091"/>
      <c r="B31" s="287"/>
      <c r="C31" s="266" t="s">
        <v>395</v>
      </c>
      <c r="D31" s="267"/>
      <c r="E31" s="1422"/>
      <c r="F31" s="614"/>
      <c r="G31" s="618">
        <v>60</v>
      </c>
      <c r="H31" s="539"/>
      <c r="I31" s="1753">
        <f>G31</f>
        <v>60</v>
      </c>
      <c r="J31" s="570"/>
      <c r="K31" s="1753">
        <f>I31</f>
        <v>60</v>
      </c>
      <c r="L31" s="570"/>
      <c r="M31" s="1753">
        <f>K31</f>
        <v>60</v>
      </c>
      <c r="N31" s="570"/>
      <c r="O31" s="1753">
        <f>M31</f>
        <v>60</v>
      </c>
      <c r="P31" s="570"/>
      <c r="Q31" s="1753">
        <f>O31</f>
        <v>60</v>
      </c>
    </row>
    <row r="32" spans="1:20" ht="16.5" hidden="1">
      <c r="A32" s="1091"/>
      <c r="B32" s="287"/>
      <c r="C32" s="268" t="s">
        <v>16</v>
      </c>
      <c r="D32" s="269"/>
      <c r="E32" s="1422"/>
      <c r="F32" s="614"/>
      <c r="G32" s="615" t="s">
        <v>871</v>
      </c>
      <c r="I32" s="1755" t="str">
        <f>G32</f>
        <v>non</v>
      </c>
      <c r="J32" s="26"/>
      <c r="K32" s="1755" t="str">
        <f>I32</f>
        <v>non</v>
      </c>
      <c r="L32" s="26"/>
      <c r="M32" s="1755" t="str">
        <f>K32</f>
        <v>non</v>
      </c>
      <c r="N32" s="26"/>
      <c r="O32" s="1755" t="str">
        <f>M32</f>
        <v>non</v>
      </c>
      <c r="P32" s="26"/>
      <c r="Q32" s="1755" t="str">
        <f>O32</f>
        <v>non</v>
      </c>
    </row>
    <row r="33" spans="1:20" ht="16.5" hidden="1">
      <c r="A33" s="1091"/>
      <c r="B33" s="287"/>
      <c r="C33" s="268" t="s">
        <v>872</v>
      </c>
      <c r="D33" s="269"/>
      <c r="E33" s="1422"/>
      <c r="F33" s="614"/>
      <c r="G33" s="615" t="s">
        <v>25</v>
      </c>
      <c r="I33" s="1755" t="str">
        <f>G33</f>
        <v>oui</v>
      </c>
      <c r="J33" s="26"/>
      <c r="K33" s="1755" t="str">
        <f>I33</f>
        <v>oui</v>
      </c>
      <c r="L33" s="26"/>
      <c r="M33" s="1755" t="str">
        <f>K33</f>
        <v>oui</v>
      </c>
      <c r="N33" s="26"/>
      <c r="O33" s="1755" t="str">
        <f>M33</f>
        <v>oui</v>
      </c>
      <c r="P33" s="26"/>
      <c r="Q33" s="1755" t="str">
        <f>O33</f>
        <v>oui</v>
      </c>
    </row>
    <row r="34" spans="1:20" ht="16.5">
      <c r="A34" s="1091"/>
      <c r="B34" s="305"/>
      <c r="C34" s="106"/>
      <c r="D34" s="479" t="s">
        <v>873</v>
      </c>
      <c r="E34" s="1423"/>
      <c r="F34" s="614"/>
      <c r="G34" s="732">
        <f>G29*(365+G30)/(G38*1.03)</f>
        <v>550485.43689320388</v>
      </c>
      <c r="H34" s="534"/>
      <c r="I34" s="2073">
        <f>I29*(365+I30)/(I38*1.03)</f>
        <v>550485.43689320388</v>
      </c>
      <c r="J34" s="2074"/>
      <c r="K34" s="2073">
        <f>K29*(365+K30)/(K38*1.03)</f>
        <v>550485.43689320388</v>
      </c>
      <c r="L34" s="2074"/>
      <c r="M34" s="2073">
        <f>M29*(365+M30)/(M38*1.03)</f>
        <v>550485.43689320388</v>
      </c>
      <c r="N34" s="2074"/>
      <c r="O34" s="2073">
        <f>O29*(365+O30)/(O38*1.03)</f>
        <v>550485.43689320388</v>
      </c>
      <c r="P34" s="2074"/>
      <c r="Q34" s="2073">
        <f>Q29*(365+Q30)/(Q38*1.03)</f>
        <v>550485.43689320388</v>
      </c>
    </row>
    <row r="35" spans="1:20" ht="19.5" thickBot="1">
      <c r="A35" s="2076" t="s">
        <v>275</v>
      </c>
      <c r="B35" s="2" t="s">
        <v>267</v>
      </c>
      <c r="C35" s="2"/>
      <c r="D35" s="2"/>
      <c r="E35" s="1421"/>
      <c r="F35" s="613"/>
      <c r="G35" s="613"/>
      <c r="H35" s="2"/>
      <c r="I35" s="1756"/>
      <c r="J35" s="1756"/>
      <c r="K35" s="1756"/>
      <c r="L35" s="1756"/>
      <c r="M35" s="1756"/>
      <c r="N35" s="1756"/>
      <c r="O35" s="1756"/>
      <c r="P35" s="1756"/>
      <c r="Q35" s="1756"/>
    </row>
    <row r="36" spans="1:20" ht="15" thickTop="1">
      <c r="A36" s="402"/>
      <c r="B36" s="305"/>
      <c r="E36" s="1420"/>
      <c r="F36" s="614"/>
      <c r="G36" s="614"/>
      <c r="I36" s="26"/>
      <c r="J36" s="26"/>
      <c r="K36" s="26"/>
      <c r="L36" s="26"/>
      <c r="M36" s="26"/>
      <c r="N36" s="26"/>
      <c r="O36" s="26"/>
      <c r="P36" s="26"/>
      <c r="Q36" s="26"/>
    </row>
    <row r="37" spans="1:20">
      <c r="A37" s="1091"/>
      <c r="B37" s="287"/>
      <c r="C37" s="2161" t="s">
        <v>1318</v>
      </c>
      <c r="D37" s="2161"/>
      <c r="E37" s="2161"/>
      <c r="F37" s="614"/>
      <c r="G37" s="618">
        <f>IF(G$25=RéfLait!$A$6,IF(G$26=RéfLait!$O$104,HLOOKUP(G$26,perfo_bio,2,FALSE),HLOOKUP(G$26,perfo_bio,2,FALSE)),IF(G$24=RéfLait!$F$74,HLOOKUP(IF(G$26=RéfLait!$O$104,RéfLait!$F$74,G$26),perfo_race_convent,2,FALSE),HLOOKUP(G$24,perfo_race_convent,2,FALSE)))</f>
        <v>9542</v>
      </c>
      <c r="H37" s="539"/>
      <c r="I37" s="1757">
        <f>IF(I$25=RéfLait!$A$6,IF(I$26=RéfLait!$O$104,HLOOKUP(I$26,perfo_bio,2,FALSE),HLOOKUP(I$26,perfo_bio,2,FALSE)),IF(I$24=RéfLait!$F$74,HLOOKUP(IF(I$26=RéfLait!$O$104,RéfLait!$F$74,I$26),perfo_race_convent,2,FALSE),HLOOKUP(I$24,perfo_race_convent,2,FALSE)))</f>
        <v>9542</v>
      </c>
      <c r="J37" s="1758"/>
      <c r="K37" s="1757">
        <f>IF(K$25=RéfLait!$A$6,IF(K$26=RéfLait!$O$104,HLOOKUP(K$26,perfo_bio,2,FALSE),HLOOKUP(K$26,perfo_bio,2,FALSE)),IF(K$24=RéfLait!$F$74,HLOOKUP(IF(K$26=RéfLait!$O$104,RéfLait!$F$74,K$26),perfo_race_convent,2,FALSE),HLOOKUP(K$24,perfo_race_convent,2,FALSE)))</f>
        <v>9542</v>
      </c>
      <c r="L37" s="1758"/>
      <c r="M37" s="1757">
        <f>IF(M$25=RéfLait!$A$6,IF(M$26=RéfLait!$O$104,HLOOKUP(M$26,perfo_bio,2,FALSE),HLOOKUP(M$26,perfo_bio,2,FALSE)),IF(M$24=RéfLait!$F$74,HLOOKUP(IF(M$26=RéfLait!$O$104,RéfLait!$F$74,M$26),perfo_race_convent,2,FALSE),HLOOKUP(M$24,perfo_race_convent,2,FALSE)))</f>
        <v>9542</v>
      </c>
      <c r="N37" s="1758"/>
      <c r="O37" s="1757">
        <f>IF(O$25=RéfLait!$A$6,IF(O$26=RéfLait!$O$104,HLOOKUP(O$26,perfo_bio,2,FALSE),HLOOKUP(O$26,perfo_bio,2,FALSE)),IF(O$24=RéfLait!$F$74,HLOOKUP(IF(O$26=RéfLait!$O$104,RéfLait!$F$74,O$26),perfo_race_convent,2,FALSE),HLOOKUP(O$24,perfo_race_convent,2,FALSE)))</f>
        <v>9542</v>
      </c>
      <c r="P37" s="1758"/>
      <c r="Q37" s="1757">
        <f>IF(Q$25=RéfLait!$A$6,IF(Q$26=RéfLait!$O$104,HLOOKUP(Q$26,perfo_bio,2,FALSE),HLOOKUP(Q$26,perfo_bio,2,FALSE)),IF(Q$24=RéfLait!$F$74,HLOOKUP(IF(Q$26=RéfLait!$O$104,RéfLait!$F$74,Q$26),perfo_race_convent,2,FALSE),HLOOKUP(Q$24,perfo_race_convent,2,FALSE)))</f>
        <v>9542</v>
      </c>
    </row>
    <row r="38" spans="1:20">
      <c r="A38" s="1091"/>
      <c r="B38" s="287"/>
      <c r="C38" s="2162" t="s">
        <v>1319</v>
      </c>
      <c r="D38" s="2162"/>
      <c r="E38" s="2162"/>
      <c r="F38" s="614"/>
      <c r="G38" s="619">
        <f>IF(G$25=RéfLait!$A$6,IF(G$26=RéfLait!$O$104,HLOOKUP(G$26,perfo_bio,3,FALSE),HLOOKUP(G$26,perfo_bio,3,FALSE)),IF(G$24=RéfLait!$F$74,HLOOKUP(IF(G$26=RéfLait!$O$104,RéfLait!$F$74,G$26),perfo_race_convent,3,FALSE),HLOOKUP(G$24,perfo_race_convent,3,FALSE)))</f>
        <v>0.04</v>
      </c>
      <c r="H38" s="539"/>
      <c r="I38" s="1759">
        <f>IF(I$25=RéfLait!$A$6,IF(I$26=RéfLait!$O$104,HLOOKUP(I$26,perfo_bio,3,FALSE),HLOOKUP(I$26,perfo_bio,3,FALSE)),IF(I$24=RéfLait!$F$74,HLOOKUP(IF(I$26=RéfLait!$O$104,RéfLait!$F$74,I$26),perfo_race_convent,3,FALSE),HLOOKUP(I$24,perfo_race_convent,3,FALSE)))</f>
        <v>0.04</v>
      </c>
      <c r="J38" s="570"/>
      <c r="K38" s="1759">
        <f>IF(K$25=RéfLait!$A$6,IF(K$26=RéfLait!$O$104,HLOOKUP(K$26,perfo_bio,3,FALSE),HLOOKUP(K$26,perfo_bio,3,FALSE)),IF(K$24=RéfLait!$F$74,HLOOKUP(IF(K$26=RéfLait!$O$104,RéfLait!$F$74,K$26),perfo_race_convent,3,FALSE),HLOOKUP(K$24,perfo_race_convent,3,FALSE)))</f>
        <v>0.04</v>
      </c>
      <c r="L38" s="570"/>
      <c r="M38" s="1759">
        <f>IF(M$25=RéfLait!$A$6,IF(M$26=RéfLait!$O$104,HLOOKUP(M$26,perfo_bio,3,FALSE),HLOOKUP(M$26,perfo_bio,3,FALSE)),IF(M$24=RéfLait!$F$74,HLOOKUP(IF(M$26=RéfLait!$O$104,RéfLait!$F$74,M$26),perfo_race_convent,3,FALSE),HLOOKUP(M$24,perfo_race_convent,3,FALSE)))</f>
        <v>0.04</v>
      </c>
      <c r="N38" s="570"/>
      <c r="O38" s="1759">
        <f>IF(O$25=RéfLait!$A$6,IF(O$26=RéfLait!$O$104,HLOOKUP(O$26,perfo_bio,3,FALSE),HLOOKUP(O$26,perfo_bio,3,FALSE)),IF(O$24=RéfLait!$F$74,HLOOKUP(IF(O$26=RéfLait!$O$104,RéfLait!$F$74,O$26),perfo_race_convent,3,FALSE),HLOOKUP(O$24,perfo_race_convent,3,FALSE)))</f>
        <v>0.04</v>
      </c>
      <c r="P38" s="570"/>
      <c r="Q38" s="1759">
        <f>IF(Q$25=RéfLait!$A$6,IF(Q$26=RéfLait!$O$104,HLOOKUP(Q$26,perfo_bio,3,FALSE),HLOOKUP(Q$26,perfo_bio,3,FALSE)),IF(Q$24=RéfLait!$F$74,HLOOKUP(IF(Q$26=RéfLait!$O$104,RéfLait!$F$74,Q$26),perfo_race_convent,3,FALSE),HLOOKUP(Q$24,perfo_race_convent,3,FALSE)))</f>
        <v>0.04</v>
      </c>
    </row>
    <row r="39" spans="1:20" hidden="1">
      <c r="A39" s="1091"/>
      <c r="B39" s="287"/>
      <c r="C39" s="2161" t="s">
        <v>943</v>
      </c>
      <c r="D39" s="2161"/>
      <c r="E39" s="2161"/>
      <c r="F39" s="614"/>
      <c r="G39" s="619">
        <f>IF(G$25=RéfLait!$A$6,IF(G$26=RéfLait!$O$104,HLOOKUP(G$26,perfo_bio,4,FALSE),HLOOKUP(G$26,perfo_bio,4,FALSE)),IF(G$24=RéfLait!$F$74,HLOOKUP(IF(G$26=RéfLait!$O$104,RéfLait!$F$74,G$26),perfo_race_convent,4,FALSE),HLOOKUP(G$24,perfo_race_convent,4,FALSE)))</f>
        <v>3.3000000000000002E-2</v>
      </c>
      <c r="H39" s="539"/>
      <c r="I39" s="1759">
        <f>IF(I$25=RéfLait!$A$6,IF(I$26=RéfLait!$O$104,HLOOKUP(I$26,perfo_bio,4,FALSE),HLOOKUP(I$26,perfo_bio,4,FALSE)),IF(I$24=RéfLait!$F$74,HLOOKUP(IF(I$26=RéfLait!$O$104,RéfLait!$F$74,I$26),perfo_race_convent,4,FALSE),HLOOKUP(I$24,perfo_race_convent,4,FALSE)))</f>
        <v>3.3000000000000002E-2</v>
      </c>
      <c r="J39" s="570"/>
      <c r="K39" s="1759">
        <f>IF(K$25=RéfLait!$A$6,IF(K$26=RéfLait!$O$104,HLOOKUP(K$26,perfo_bio,4,FALSE),HLOOKUP(K$26,perfo_bio,4,FALSE)),IF(K$24=RéfLait!$F$74,HLOOKUP(IF(K$26=RéfLait!$O$104,RéfLait!$F$74,K$26),perfo_race_convent,4,FALSE),HLOOKUP(K$24,perfo_race_convent,4,FALSE)))</f>
        <v>3.3000000000000002E-2</v>
      </c>
      <c r="L39" s="570"/>
      <c r="M39" s="1759">
        <f>IF(M$25=RéfLait!$A$6,IF(M$26=RéfLait!$O$104,HLOOKUP(M$26,perfo_bio,4,FALSE),HLOOKUP(M$26,perfo_bio,4,FALSE)),IF(M$24=RéfLait!$F$74,HLOOKUP(IF(M$26=RéfLait!$O$104,RéfLait!$F$74,M$26),perfo_race_convent,4,FALSE),HLOOKUP(M$24,perfo_race_convent,4,FALSE)))</f>
        <v>3.3000000000000002E-2</v>
      </c>
      <c r="N39" s="570"/>
      <c r="O39" s="1759">
        <f>IF(O$25=RéfLait!$A$6,IF(O$26=RéfLait!$O$104,HLOOKUP(O$26,perfo_bio,4,FALSE),HLOOKUP(O$26,perfo_bio,4,FALSE)),IF(O$24=RéfLait!$F$74,HLOOKUP(IF(O$26=RéfLait!$O$104,RéfLait!$F$74,O$26),perfo_race_convent,4,FALSE),HLOOKUP(O$24,perfo_race_convent,4,FALSE)))</f>
        <v>3.3000000000000002E-2</v>
      </c>
      <c r="P39" s="570"/>
      <c r="Q39" s="1759">
        <f>IF(Q$25=RéfLait!$A$6,IF(Q$26=RéfLait!$O$104,HLOOKUP(Q$26,perfo_bio,4,FALSE),HLOOKUP(Q$26,perfo_bio,4,FALSE)),IF(Q$24=RéfLait!$F$74,HLOOKUP(IF(Q$26=RéfLait!$O$104,RéfLait!$F$74,Q$26),perfo_race_convent,4,FALSE),HLOOKUP(Q$24,perfo_race_convent,4,FALSE)))</f>
        <v>3.3000000000000002E-2</v>
      </c>
    </row>
    <row r="40" spans="1:20" hidden="1">
      <c r="A40" s="1091"/>
      <c r="B40" s="287"/>
      <c r="C40" s="2161" t="s">
        <v>13</v>
      </c>
      <c r="D40" s="2161"/>
      <c r="E40" s="2161"/>
      <c r="F40" s="614"/>
      <c r="G40" s="620">
        <f>IF(G$25=RéfLait!$A$6,IF(G$26=RéfLait!$O$104,HLOOKUP(G$26,perfo_bio,5,FALSE),HLOOKUP(G$26,perfo_bio,5,FALSE)),IF(G$24=RéfLait!$F$74,HLOOKUP(IF(G$26=RéfLait!$O$104,RéfLait!$F$74,G$26),perfo_race_convent,5,FALSE),HLOOKUP(G$24,perfo_race_convent,5,FALSE)))*0+267</f>
        <v>267</v>
      </c>
      <c r="H40" s="539"/>
      <c r="I40" s="1760">
        <f>IF(I$25=RéfLait!$A$6,IF(I$26=RéfLait!$O$104,HLOOKUP(I$26,perfo_bio,5,FALSE),HLOOKUP(I$26,perfo_bio,5,FALSE)),IF(I$24=RéfLait!$F$74,HLOOKUP(IF(I$26=RéfLait!$O$104,RéfLait!$F$74,I$26),perfo_race_convent,5,FALSE),HLOOKUP(I$24,perfo_race_convent,5,FALSE)))*0+267</f>
        <v>267</v>
      </c>
      <c r="J40" s="570"/>
      <c r="K40" s="1760">
        <f>IF(K$25=RéfLait!$A$6,IF(K$26=RéfLait!$O$104,HLOOKUP(K$26,perfo_bio,5,FALSE),HLOOKUP(K$26,perfo_bio,5,FALSE)),IF(K$24=RéfLait!$F$74,HLOOKUP(IF(K$26=RéfLait!$O$104,RéfLait!$F$74,K$26),perfo_race_convent,5,FALSE),HLOOKUP(K$24,perfo_race_convent,5,FALSE)))*0+267</f>
        <v>267</v>
      </c>
      <c r="L40" s="570"/>
      <c r="M40" s="1760">
        <f>IF(M$25=RéfLait!$A$6,IF(M$26=RéfLait!$O$104,HLOOKUP(M$26,perfo_bio,5,FALSE),HLOOKUP(M$26,perfo_bio,5,FALSE)),IF(M$24=RéfLait!$F$74,HLOOKUP(IF(M$26=RéfLait!$O$104,RéfLait!$F$74,M$26),perfo_race_convent,5,FALSE),HLOOKUP(M$24,perfo_race_convent,5,FALSE)))*0+267</f>
        <v>267</v>
      </c>
      <c r="N40" s="570"/>
      <c r="O40" s="1760">
        <f>IF(O$25=RéfLait!$A$6,IF(O$26=RéfLait!$O$104,HLOOKUP(O$26,perfo_bio,5,FALSE),HLOOKUP(O$26,perfo_bio,5,FALSE)),IF(O$24=RéfLait!$F$74,HLOOKUP(IF(O$26=RéfLait!$O$104,RéfLait!$F$74,O$26),perfo_race_convent,5,FALSE),HLOOKUP(O$24,perfo_race_convent,5,FALSE)))*0+267</f>
        <v>267</v>
      </c>
      <c r="P40" s="570"/>
      <c r="Q40" s="1760">
        <f>IF(Q$25=RéfLait!$A$6,IF(Q$26=RéfLait!$O$104,HLOOKUP(Q$26,perfo_bio,5,FALSE),HLOOKUP(Q$26,perfo_bio,5,FALSE)),IF(Q$24=RéfLait!$F$74,HLOOKUP(IF(Q$26=RéfLait!$O$104,RéfLait!$F$74,Q$26),perfo_race_convent,5,FALSE),HLOOKUP(Q$24,perfo_race_convent,5,FALSE)))*0+267</f>
        <v>267</v>
      </c>
    </row>
    <row r="41" spans="1:20" hidden="1">
      <c r="A41" s="1091"/>
      <c r="B41" s="287"/>
      <c r="C41" s="2162" t="s">
        <v>394</v>
      </c>
      <c r="D41" s="2162"/>
      <c r="E41" s="2162"/>
      <c r="F41" s="614"/>
      <c r="G41" s="621">
        <f>1-HLOOKUP(IF(G$27=RéfLait!$C$6,IF(Lait!G$26=RéfLait!$C$104,1,3),IF(Lait!G$26=RéfLait!$C$104,5,7)),Table_5,18)</f>
        <v>0.99230394678323963</v>
      </c>
      <c r="H41" s="539"/>
      <c r="I41" s="1761">
        <f>1-HLOOKUP(IF(I$27=RéfLait!$C$6,IF(Lait!I$26=RéfLait!$C$104,1,3),IF(Lait!I$26=RéfLait!$C$104,5,7)),Table_5,18)</f>
        <v>0.99230394678323963</v>
      </c>
      <c r="J41" s="570"/>
      <c r="K41" s="1761">
        <f>1-HLOOKUP(IF(K$27=RéfLait!$C$6,IF(Lait!K$26=RéfLait!$C$104,1,3),IF(Lait!K$26=RéfLait!$C$104,5,7)),Table_5,18)</f>
        <v>0.99230394678323963</v>
      </c>
      <c r="L41" s="570"/>
      <c r="M41" s="1761">
        <f>1-HLOOKUP(IF(M$27=RéfLait!$C$6,IF(Lait!M$26=RéfLait!$C$104,1,3),IF(Lait!M$26=RéfLait!$C$104,5,7)),Table_5,18)</f>
        <v>0.99230394678323963</v>
      </c>
      <c r="N41" s="570"/>
      <c r="O41" s="1761">
        <f>1-HLOOKUP(IF(O$27=RéfLait!$C$6,IF(Lait!O$26=RéfLait!$C$104,1,3),IF(Lait!O$26=RéfLait!$C$104,5,7)),Table_5,18)</f>
        <v>0.99230394678323963</v>
      </c>
      <c r="P41" s="570"/>
      <c r="Q41" s="1761">
        <f>1-HLOOKUP(IF(Q$27=RéfLait!$C$6,IF(Lait!Q$26=RéfLait!$C$104,1,3),IF(Lait!Q$26=RéfLait!$C$104,5,7)),Table_5,18)</f>
        <v>0.99230394678323963</v>
      </c>
    </row>
    <row r="42" spans="1:20">
      <c r="A42" s="1091"/>
      <c r="B42" s="287"/>
      <c r="C42" s="2162" t="s">
        <v>1320</v>
      </c>
      <c r="D42" s="2162"/>
      <c r="E42" s="2162"/>
      <c r="F42" s="614"/>
      <c r="G42" s="622">
        <f>(G29*(365+G30)/(G38*G37*G41))</f>
        <v>59.882362776263591</v>
      </c>
      <c r="H42" s="570"/>
      <c r="I42" s="571">
        <f>(I29*(365+I30)/(I38*I37*I41))</f>
        <v>59.882362776263591</v>
      </c>
      <c r="J42" s="570"/>
      <c r="K42" s="571">
        <f>(K29*(365+K30)/(K38*K37*K41))</f>
        <v>59.882362776263591</v>
      </c>
      <c r="L42" s="570"/>
      <c r="M42" s="571">
        <f>(M29*(365+M30)/(M38*M37*M41))</f>
        <v>59.882362776263591</v>
      </c>
      <c r="N42" s="570"/>
      <c r="O42" s="571">
        <f>(O29*(365+O30)/(O38*O37*O41))</f>
        <v>59.882362776263591</v>
      </c>
      <c r="P42" s="570"/>
      <c r="Q42" s="571">
        <f>(Q29*(365+Q30)/(Q38*Q37*Q41))</f>
        <v>59.882362776263591</v>
      </c>
    </row>
    <row r="43" spans="1:20">
      <c r="A43" s="1091"/>
      <c r="B43" s="287"/>
      <c r="C43" s="2161" t="s">
        <v>859</v>
      </c>
      <c r="D43" s="2161"/>
      <c r="E43" s="2161"/>
      <c r="F43" s="614"/>
      <c r="G43" s="620">
        <f>ROUND(IF(G42&lt;G31,G42,G31),0)</f>
        <v>60</v>
      </c>
      <c r="H43" s="539"/>
      <c r="I43" s="1760">
        <f>ROUND(IF(I42&lt;I31,I42,I31),0)</f>
        <v>60</v>
      </c>
      <c r="J43" s="570"/>
      <c r="K43" s="1760">
        <f>ROUND(IF(K42&lt;K31,K42,K31),0)</f>
        <v>60</v>
      </c>
      <c r="L43" s="570"/>
      <c r="M43" s="1760">
        <f>ROUND(IF(M42&lt;M31,M42,M31),0)</f>
        <v>60</v>
      </c>
      <c r="N43" s="570"/>
      <c r="O43" s="1760">
        <f>ROUND(IF(O42&lt;O31,O42,O31),0)</f>
        <v>60</v>
      </c>
      <c r="P43" s="570"/>
      <c r="Q43" s="1760">
        <f>ROUND(IF(Q42&lt;Q31,Q42,Q31),0)</f>
        <v>60</v>
      </c>
      <c r="S43" s="93"/>
    </row>
    <row r="44" spans="1:20" hidden="1">
      <c r="A44" s="1091"/>
      <c r="B44" s="287"/>
      <c r="C44" s="2162" t="s">
        <v>393</v>
      </c>
      <c r="D44" s="2162"/>
      <c r="E44" s="2162"/>
      <c r="F44" s="614"/>
      <c r="G44" s="670">
        <f>IF(G$25=RéfLait!$A$6,IF(G$26=RéfLait!$O$104,HLOOKUP(G$26,perfo_bio,7,FALSE),HLOOKUP(G$26,perfo_bio,7,FALSE)),IF(G$24=RéfLait!$F$74,HLOOKUP(IF(G$26=RéfLait!$O$104,RéfLait!$F$74,G$26),perfo_race_convent,7,FALSE),HLOOKUP(G$24,perfo_race_convent,7,FALSE)))</f>
        <v>0.871</v>
      </c>
      <c r="H44" s="539"/>
      <c r="I44" s="1762">
        <f>IF(I$25=RéfLait!$A$6,IF(I$26=RéfLait!$O$104,HLOOKUP(I$26,perfo_bio,7,FALSE),HLOOKUP(I$26,perfo_bio,7,FALSE)),IF(I$24=RéfLait!$F$74,HLOOKUP(IF(I$26=RéfLait!$O$104,RéfLait!$F$74,I$26),perfo_race_convent,7,FALSE),HLOOKUP(I$24,perfo_race_convent,7,FALSE)))</f>
        <v>0.871</v>
      </c>
      <c r="J44" s="570"/>
      <c r="K44" s="1762">
        <f>IF(K$25=RéfLait!$A$6,IF(K$26=RéfLait!$O$104,HLOOKUP(K$26,perfo_bio,7,FALSE),HLOOKUP(K$26,perfo_bio,7,FALSE)),IF(K$24=RéfLait!$F$74,HLOOKUP(IF(K$26=RéfLait!$O$104,RéfLait!$F$74,K$26),perfo_race_convent,7,FALSE),HLOOKUP(K$24,perfo_race_convent,7,FALSE)))</f>
        <v>0.871</v>
      </c>
      <c r="L44" s="570"/>
      <c r="M44" s="1762">
        <f>IF(M$25=RéfLait!$A$6,IF(M$26=RéfLait!$O$104,HLOOKUP(M$26,perfo_bio,7,FALSE),HLOOKUP(M$26,perfo_bio,7,FALSE)),IF(M$24=RéfLait!$F$74,HLOOKUP(IF(M$26=RéfLait!$O$104,RéfLait!$F$74,M$26),perfo_race_convent,7,FALSE),HLOOKUP(M$24,perfo_race_convent,7,FALSE)))</f>
        <v>0.871</v>
      </c>
      <c r="N44" s="570"/>
      <c r="O44" s="1762">
        <f>IF(O$25=RéfLait!$A$6,IF(O$26=RéfLait!$O$104,HLOOKUP(O$26,perfo_bio,7,FALSE),HLOOKUP(O$26,perfo_bio,7,FALSE)),IF(O$24=RéfLait!$F$74,HLOOKUP(IF(O$26=RéfLait!$O$104,RéfLait!$F$74,O$26),perfo_race_convent,7,FALSE),HLOOKUP(O$24,perfo_race_convent,7,FALSE)))</f>
        <v>0.871</v>
      </c>
      <c r="P44" s="570"/>
      <c r="Q44" s="1762">
        <f>IF(Q$25=RéfLait!$A$6,IF(Q$26=RéfLait!$O$104,HLOOKUP(Q$26,perfo_bio,7,FALSE),HLOOKUP(Q$26,perfo_bio,7,FALSE)),IF(Q$24=RéfLait!$F$74,HLOOKUP(IF(Q$26=RéfLait!$O$104,RéfLait!$F$74,Q$26),perfo_race_convent,7,FALSE),HLOOKUP(Q$24,perfo_race_convent,7,FALSE)))</f>
        <v>0.871</v>
      </c>
    </row>
    <row r="45" spans="1:20" hidden="1">
      <c r="A45" s="1091"/>
      <c r="B45" s="287"/>
      <c r="C45" s="2161" t="s">
        <v>14</v>
      </c>
      <c r="D45" s="2161"/>
      <c r="E45" s="2161"/>
      <c r="F45" s="614"/>
      <c r="G45" s="620">
        <f>IF(G$25=RéfLait!$A$6,IF(G$26=RéfLait!$O$104,HLOOKUP(G$26,perfo_bio,8,FALSE),HLOOKUP(G$26,perfo_bio,8,FALSE)),IF(G$24=RéfLait!$F$74,HLOOKUP(IF(G$26=RéfLait!$O$104,RéfLait!$F$74,G$26),perfo_race_convent,8,FALSE),HLOOKUP(G$24,perfo_race_convent,8,FALSE)))</f>
        <v>673</v>
      </c>
      <c r="H45" s="539"/>
      <c r="I45" s="1760">
        <f>IF(I$25=RéfLait!$A$6,IF(I$26=RéfLait!$O$104,HLOOKUP(I$26,perfo_bio,8,FALSE),HLOOKUP(I$26,perfo_bio,8,FALSE)),IF(I$24=RéfLait!$F$74,HLOOKUP(IF(I$26=RéfLait!$O$104,RéfLait!$F$74,I$26),perfo_race_convent,8,FALSE),HLOOKUP(I$24,perfo_race_convent,8,FALSE)))</f>
        <v>673</v>
      </c>
      <c r="J45" s="570"/>
      <c r="K45" s="1760">
        <f>IF(K$25=RéfLait!$A$6,IF(K$26=RéfLait!$O$104,HLOOKUP(K$26,perfo_bio,8,FALSE),HLOOKUP(K$26,perfo_bio,8,FALSE)),IF(K$24=RéfLait!$F$74,HLOOKUP(IF(K$26=RéfLait!$O$104,RéfLait!$F$74,K$26),perfo_race_convent,8,FALSE),HLOOKUP(K$24,perfo_race_convent,8,FALSE)))</f>
        <v>673</v>
      </c>
      <c r="L45" s="570"/>
      <c r="M45" s="1760">
        <f>IF(M$25=RéfLait!$A$6,IF(M$26=RéfLait!$O$104,HLOOKUP(M$26,perfo_bio,8,FALSE),HLOOKUP(M$26,perfo_bio,8,FALSE)),IF(M$24=RéfLait!$F$74,HLOOKUP(IF(M$26=RéfLait!$O$104,RéfLait!$F$74,M$26),perfo_race_convent,8,FALSE),HLOOKUP(M$24,perfo_race_convent,8,FALSE)))</f>
        <v>673</v>
      </c>
      <c r="N45" s="570"/>
      <c r="O45" s="1760">
        <f>IF(O$25=RéfLait!$A$6,IF(O$26=RéfLait!$O$104,HLOOKUP(O$26,perfo_bio,8,FALSE),HLOOKUP(O$26,perfo_bio,8,FALSE)),IF(O$24=RéfLait!$F$74,HLOOKUP(IF(O$26=RéfLait!$O$104,RéfLait!$F$74,O$26),perfo_race_convent,8,FALSE),HLOOKUP(O$24,perfo_race_convent,8,FALSE)))</f>
        <v>673</v>
      </c>
      <c r="P45" s="570"/>
      <c r="Q45" s="1760">
        <f>IF(Q$25=RéfLait!$A$6,IF(Q$26=RéfLait!$O$104,HLOOKUP(Q$26,perfo_bio,8,FALSE),HLOOKUP(Q$26,perfo_bio,8,FALSE)),IF(Q$24=RéfLait!$F$74,HLOOKUP(IF(Q$26=RéfLait!$O$104,RéfLait!$F$74,Q$26),perfo_race_convent,8,FALSE),HLOOKUP(Q$24,perfo_race_convent,8,FALSE)))</f>
        <v>673</v>
      </c>
    </row>
    <row r="46" spans="1:20" hidden="1">
      <c r="A46" s="1091"/>
      <c r="B46" s="287"/>
      <c r="C46" s="2163" t="s">
        <v>392</v>
      </c>
      <c r="D46" s="2163"/>
      <c r="E46" s="2163"/>
      <c r="F46" s="614"/>
      <c r="G46" s="620">
        <f>IF(G$25=RéfLait!$A$6,IF(G$26=RéfLait!$O$104,HLOOKUP(G$26,perfo_bio,9,FALSE),HLOOKUP(G$26,perfo_bio,9,FALSE)),IF(G$24=RéfLait!$F$74,HLOOKUP(IF(G$26=RéfLait!$O$104,RéfLait!$F$74,G$26),perfo_race_convent,9,FALSE),HLOOKUP(G$24,perfo_race_convent,9,FALSE)))</f>
        <v>419</v>
      </c>
      <c r="H46" s="539"/>
      <c r="I46" s="1760">
        <f>IF(I$25=RéfLait!$A$6,IF(I$26=RéfLait!$O$104,HLOOKUP(I$26,perfo_bio,9,FALSE),HLOOKUP(I$26,perfo_bio,9,FALSE)),IF(I$24=RéfLait!$F$74,HLOOKUP(IF(I$26=RéfLait!$O$104,RéfLait!$F$74,I$26),perfo_race_convent,9,FALSE),HLOOKUP(I$24,perfo_race_convent,9,FALSE)))</f>
        <v>419</v>
      </c>
      <c r="J46" s="570"/>
      <c r="K46" s="1760">
        <f>IF(K$25=RéfLait!$A$6,IF(K$26=RéfLait!$O$104,HLOOKUP(K$26,perfo_bio,9,FALSE),HLOOKUP(K$26,perfo_bio,9,FALSE)),IF(K$24=RéfLait!$F$74,HLOOKUP(IF(K$26=RéfLait!$O$104,RéfLait!$F$74,K$26),perfo_race_convent,9,FALSE),HLOOKUP(K$24,perfo_race_convent,9,FALSE)))</f>
        <v>419</v>
      </c>
      <c r="L46" s="570"/>
      <c r="M46" s="1760">
        <f>IF(M$25=RéfLait!$A$6,IF(M$26=RéfLait!$O$104,HLOOKUP(M$26,perfo_bio,9,FALSE),HLOOKUP(M$26,perfo_bio,9,FALSE)),IF(M$24=RéfLait!$F$74,HLOOKUP(IF(M$26=RéfLait!$O$104,RéfLait!$F$74,M$26),perfo_race_convent,9,FALSE),HLOOKUP(M$24,perfo_race_convent,9,FALSE)))</f>
        <v>419</v>
      </c>
      <c r="N46" s="570"/>
      <c r="O46" s="1760">
        <f>IF(O$25=RéfLait!$A$6,IF(O$26=RéfLait!$O$104,HLOOKUP(O$26,perfo_bio,9,FALSE),HLOOKUP(O$26,perfo_bio,9,FALSE)),IF(O$24=RéfLait!$F$74,HLOOKUP(IF(O$26=RéfLait!$O$104,RéfLait!$F$74,O$26),perfo_race_convent,9,FALSE),HLOOKUP(O$24,perfo_race_convent,9,FALSE)))</f>
        <v>419</v>
      </c>
      <c r="P46" s="570"/>
      <c r="Q46" s="1760">
        <f>IF(Q$25=RéfLait!$A$6,IF(Q$26=RéfLait!$O$104,HLOOKUP(Q$26,perfo_bio,9,FALSE),HLOOKUP(Q$26,perfo_bio,9,FALSE)),IF(Q$24=RéfLait!$F$74,HLOOKUP(IF(Q$26=RéfLait!$O$104,RéfLait!$F$74,Q$26),perfo_race_convent,9,FALSE),HLOOKUP(Q$24,perfo_race_convent,9,FALSE)))</f>
        <v>419</v>
      </c>
    </row>
    <row r="47" spans="1:20" hidden="1">
      <c r="A47" s="1091"/>
      <c r="B47" s="287"/>
      <c r="C47" s="2163" t="s">
        <v>874</v>
      </c>
      <c r="D47" s="2163"/>
      <c r="E47" s="2163"/>
      <c r="F47" s="614"/>
      <c r="G47" s="620">
        <f>IF(G$25=RéfLait!$A$6,IF(G$26=RéfLait!$O$104,HLOOKUP(G$26,perfo_bio,10,FALSE),HLOOKUP(G$26,perfo_bio,10,FALSE)),IF(G$24=RéfLait!$F$74,HLOOKUP(IF(G$26=RéfLait!$O$104,RéfLait!$F$74,G$26),perfo_race_convent,10,FALSE),HLOOKUP(G$24,perfo_race_convent,10,FALSE)))</f>
        <v>63</v>
      </c>
      <c r="H47" s="539"/>
      <c r="I47" s="1760">
        <f>IF(I$25=RéfLait!$A$6,IF(I$26=RéfLait!$O$104,HLOOKUP(I$26,perfo_bio,10,FALSE),HLOOKUP(I$26,perfo_bio,10,FALSE)),IF(I$24=RéfLait!$F$74,HLOOKUP(IF(I$26=RéfLait!$O$104,RéfLait!$F$74,I$26),perfo_race_convent,10,FALSE),HLOOKUP(I$24,perfo_race_convent,10,FALSE)))</f>
        <v>63</v>
      </c>
      <c r="J47" s="570"/>
      <c r="K47" s="1760">
        <f>IF(K$25=RéfLait!$A$6,IF(K$26=RéfLait!$O$104,HLOOKUP(K$26,perfo_bio,10,FALSE),HLOOKUP(K$26,perfo_bio,10,FALSE)),IF(K$24=RéfLait!$F$74,HLOOKUP(IF(K$26=RéfLait!$O$104,RéfLait!$F$74,K$26),perfo_race_convent,10,FALSE),HLOOKUP(K$24,perfo_race_convent,10,FALSE)))</f>
        <v>63</v>
      </c>
      <c r="L47" s="570"/>
      <c r="M47" s="1760">
        <f>IF(M$25=RéfLait!$A$6,IF(M$26=RéfLait!$O$104,HLOOKUP(M$26,perfo_bio,10,FALSE),HLOOKUP(M$26,perfo_bio,10,FALSE)),IF(M$24=RéfLait!$F$74,HLOOKUP(IF(M$26=RéfLait!$O$104,RéfLait!$F$74,M$26),perfo_race_convent,10,FALSE),HLOOKUP(M$24,perfo_race_convent,10,FALSE)))</f>
        <v>63</v>
      </c>
      <c r="N47" s="570"/>
      <c r="O47" s="1760">
        <f>IF(O$25=RéfLait!$A$6,IF(O$26=RéfLait!$O$104,HLOOKUP(O$26,perfo_bio,10,FALSE),HLOOKUP(O$26,perfo_bio,10,FALSE)),IF(O$24=RéfLait!$F$74,HLOOKUP(IF(O$26=RéfLait!$O$104,RéfLait!$F$74,O$26),perfo_race_convent,10,FALSE),HLOOKUP(O$24,perfo_race_convent,10,FALSE)))</f>
        <v>63</v>
      </c>
      <c r="P47" s="570"/>
      <c r="Q47" s="1760">
        <f>IF(Q$25=RéfLait!$A$6,IF(Q$26=RéfLait!$O$104,HLOOKUP(Q$26,perfo_bio,10,FALSE),HLOOKUP(Q$26,perfo_bio,10,FALSE)),IF(Q$24=RéfLait!$F$74,HLOOKUP(IF(Q$26=RéfLait!$O$104,RéfLait!$F$74,Q$26),perfo_race_convent,10,FALSE),HLOOKUP(Q$24,perfo_race_convent,10,FALSE)))</f>
        <v>63</v>
      </c>
    </row>
    <row r="48" spans="1:20">
      <c r="A48" s="402"/>
      <c r="E48" s="1420"/>
      <c r="F48" s="614"/>
      <c r="G48" s="623"/>
      <c r="I48" s="26"/>
      <c r="J48" s="26"/>
      <c r="K48" s="26"/>
      <c r="L48" s="26"/>
      <c r="M48" s="26"/>
      <c r="N48" s="26"/>
      <c r="O48" s="26"/>
      <c r="P48" s="26"/>
      <c r="Q48" s="26"/>
    </row>
    <row r="49" spans="1:19" ht="19.5" thickBot="1">
      <c r="A49" s="2076" t="s">
        <v>275</v>
      </c>
      <c r="B49" s="2" t="s">
        <v>391</v>
      </c>
      <c r="C49" s="2"/>
      <c r="D49" s="2"/>
      <c r="E49" s="1421"/>
      <c r="F49" s="613"/>
      <c r="G49" s="624"/>
      <c r="H49" s="2"/>
      <c r="I49" s="1756"/>
      <c r="J49" s="1756"/>
      <c r="K49" s="1756"/>
      <c r="L49" s="1756"/>
      <c r="M49" s="1756"/>
      <c r="N49" s="1756"/>
      <c r="O49" s="1756"/>
      <c r="P49" s="1756"/>
      <c r="Q49" s="1756"/>
    </row>
    <row r="50" spans="1:19" ht="15" thickTop="1">
      <c r="A50" s="402"/>
      <c r="B50" s="305"/>
      <c r="E50" s="1420"/>
      <c r="F50" s="614"/>
      <c r="G50" s="623"/>
      <c r="I50" s="26"/>
      <c r="J50" s="26"/>
      <c r="K50" s="26"/>
      <c r="L50" s="26"/>
      <c r="M50" s="26"/>
      <c r="N50" s="26"/>
      <c r="O50" s="26"/>
      <c r="P50" s="26"/>
      <c r="Q50" s="26"/>
    </row>
    <row r="51" spans="1:19">
      <c r="A51" s="1091"/>
      <c r="B51" s="481"/>
      <c r="C51" s="2165" t="s">
        <v>24</v>
      </c>
      <c r="D51" s="2165"/>
      <c r="E51" s="2165"/>
      <c r="F51" s="614"/>
      <c r="G51" s="670">
        <f>IF(G$25=RéfLait!$A$6,IF(G$26=RéfLait!$O$104,HLOOKUP(G$26,perfo_bio,6,FALSE),HLOOKUP(G$26,perfo_bio,6,FALSE)),IF(G$24=RéfLait!$F$74,HLOOKUP(IF(G$26=RéfLait!$O$104,RéfLait!$F$74,G$26),perfo_race_convent,6,FALSE),HLOOKUP(G$24,perfo_race_convent,6,FALSE)))</f>
        <v>0.33400000000000002</v>
      </c>
      <c r="H51" s="539"/>
      <c r="I51" s="1763">
        <f>IF(I$25=RéfLait!$A$6,IF(I$26=RéfLait!$O$104,HLOOKUP(I$26,perfo_bio,6,FALSE),HLOOKUP(I$26,perfo_bio,6,FALSE)),IF(I$24=RéfLait!$F$74,HLOOKUP(IF(I$26=RéfLait!$O$104,RéfLait!$F$74,I$26),perfo_race_convent,6,FALSE),HLOOKUP(I$24,perfo_race_convent,6,FALSE)))</f>
        <v>0.33400000000000002</v>
      </c>
      <c r="J51" s="570"/>
      <c r="K51" s="1763">
        <f>IF(K$25=RéfLait!$A$6,IF(K$26=RéfLait!$O$104,HLOOKUP(K$26,perfo_bio,6,FALSE),HLOOKUP(K$26,perfo_bio,6,FALSE)),IF(K$24=RéfLait!$F$74,HLOOKUP(IF(K$26=RéfLait!$O$104,RéfLait!$F$74,K$26),perfo_race_convent,6,FALSE),HLOOKUP(K$24,perfo_race_convent,6,FALSE)))</f>
        <v>0.33400000000000002</v>
      </c>
      <c r="L51" s="570"/>
      <c r="M51" s="1763">
        <f>IF(M$25=RéfLait!$A$6,IF(M$26=RéfLait!$O$104,HLOOKUP(M$26,perfo_bio,6,FALSE),HLOOKUP(M$26,perfo_bio,6,FALSE)),IF(M$24=RéfLait!$F$74,HLOOKUP(IF(M$26=RéfLait!$O$104,RéfLait!$F$74,M$26),perfo_race_convent,6,FALSE),HLOOKUP(M$24,perfo_race_convent,6,FALSE)))</f>
        <v>0.33400000000000002</v>
      </c>
      <c r="N51" s="570"/>
      <c r="O51" s="1763">
        <f>IF(O$25=RéfLait!$A$6,IF(O$26=RéfLait!$O$104,HLOOKUP(O$26,perfo_bio,6,FALSE),HLOOKUP(O$26,perfo_bio,6,FALSE)),IF(O$24=RéfLait!$F$74,HLOOKUP(IF(O$26=RéfLait!$O$104,RéfLait!$F$74,O$26),perfo_race_convent,6,FALSE),HLOOKUP(O$24,perfo_race_convent,6,FALSE)))</f>
        <v>0.33400000000000002</v>
      </c>
      <c r="P51" s="570"/>
      <c r="Q51" s="1763">
        <f>IF(Q$25=RéfLait!$A$6,IF(Q$26=RéfLait!$O$104,HLOOKUP(Q$26,perfo_bio,6,FALSE),HLOOKUP(Q$26,perfo_bio,6,FALSE)),IF(Q$24=RéfLait!$F$74,HLOOKUP(IF(Q$26=RéfLait!$O$104,RéfLait!$F$74,Q$26),perfo_race_convent,6,FALSE),HLOOKUP(Q$24,perfo_race_convent,6,FALSE)))</f>
        <v>0.33400000000000002</v>
      </c>
    </row>
    <row r="52" spans="1:19" ht="16.5" hidden="1">
      <c r="A52" s="1091"/>
      <c r="B52" s="288"/>
      <c r="C52" s="2165" t="s">
        <v>390</v>
      </c>
      <c r="D52" s="2165"/>
      <c r="E52" s="2165"/>
      <c r="F52" s="614"/>
      <c r="G52" s="670">
        <v>0.03</v>
      </c>
      <c r="H52" s="539"/>
      <c r="I52" s="1763">
        <f>G52</f>
        <v>0.03</v>
      </c>
      <c r="J52" s="570"/>
      <c r="K52" s="1763">
        <f>I52</f>
        <v>0.03</v>
      </c>
      <c r="L52" s="570"/>
      <c r="M52" s="1763">
        <f>K52</f>
        <v>0.03</v>
      </c>
      <c r="N52" s="570"/>
      <c r="O52" s="1763">
        <f>M52</f>
        <v>0.03</v>
      </c>
      <c r="P52" s="570"/>
      <c r="Q52" s="1763">
        <f>O52</f>
        <v>0.03</v>
      </c>
    </row>
    <row r="53" spans="1:19" ht="16.5" hidden="1">
      <c r="A53" s="1091"/>
      <c r="B53" s="288"/>
      <c r="C53" s="2165" t="s">
        <v>389</v>
      </c>
      <c r="D53" s="2165"/>
      <c r="E53" s="2165"/>
      <c r="F53" s="614"/>
      <c r="G53" s="670">
        <v>0</v>
      </c>
      <c r="H53" s="539"/>
      <c r="I53" s="1764">
        <f>G53</f>
        <v>0</v>
      </c>
      <c r="J53" s="570"/>
      <c r="K53" s="1764">
        <f>I53</f>
        <v>0</v>
      </c>
      <c r="L53" s="570"/>
      <c r="M53" s="1764">
        <f>K53</f>
        <v>0</v>
      </c>
      <c r="N53" s="570"/>
      <c r="O53" s="1764">
        <f>M53</f>
        <v>0</v>
      </c>
      <c r="P53" s="570"/>
      <c r="Q53" s="1764">
        <f>O53</f>
        <v>0</v>
      </c>
    </row>
    <row r="54" spans="1:19" ht="16.5" hidden="1">
      <c r="A54" s="1091"/>
      <c r="B54" s="288"/>
      <c r="C54" s="2165" t="s">
        <v>875</v>
      </c>
      <c r="D54" s="2165"/>
      <c r="E54" s="2165"/>
      <c r="F54" s="614"/>
      <c r="G54" s="625">
        <f>IF(G$27=RéfLait!$C$8,RéfLait!$D$44,RéfLait!$C$44)</f>
        <v>3000</v>
      </c>
      <c r="H54" s="540"/>
      <c r="I54" s="1764">
        <f>IF(I$27=RéfLait!$C$8,RéfLait!$D$44,RéfLait!$C$44)</f>
        <v>3000</v>
      </c>
      <c r="J54" s="1765"/>
      <c r="K54" s="1764">
        <f>IF(K$27=RéfLait!$C$8,RéfLait!$D$44,RéfLait!$C$44)</f>
        <v>3000</v>
      </c>
      <c r="L54" s="1765"/>
      <c r="M54" s="1764">
        <f>IF(M$27=RéfLait!$C$8,RéfLait!$D$44,RéfLait!$C$44)</f>
        <v>3000</v>
      </c>
      <c r="N54" s="1765"/>
      <c r="O54" s="1764">
        <f>IF(O$27=RéfLait!$C$8,RéfLait!$D$44,RéfLait!$C$44)</f>
        <v>3000</v>
      </c>
      <c r="P54" s="1765"/>
      <c r="Q54" s="1764">
        <f>IF(Q$27=RéfLait!$C$8,RéfLait!$D$44,RéfLait!$C$44)</f>
        <v>3000</v>
      </c>
    </row>
    <row r="55" spans="1:19" ht="16.5" hidden="1">
      <c r="A55" s="1091"/>
      <c r="B55" s="288"/>
      <c r="C55" s="2165" t="s">
        <v>388</v>
      </c>
      <c r="D55" s="2165"/>
      <c r="E55" s="2165"/>
      <c r="F55" s="614"/>
      <c r="G55" s="625">
        <f>IF(G$27=RéfLait!$C$8,RéfLait!$D$45,RéfLait!$C$45)*Lait!G$45*2.2-IF(G$27=RéfLait!$C$8,RéfLait!$D$47,RéfLait!$C$47)</f>
        <v>932.42000000000007</v>
      </c>
      <c r="H55" s="540"/>
      <c r="I55" s="1764">
        <f>IF(I$27=RéfLait!$C$8,RéfLait!$D$45,RéfLait!$C$45)*Lait!I$45*2.2-IF(I$27=RéfLait!$C$8,RéfLait!$D$47,RéfLait!$C$47)</f>
        <v>932.42000000000007</v>
      </c>
      <c r="J55" s="1765"/>
      <c r="K55" s="1764">
        <f>IF(K$27=RéfLait!$C$8,RéfLait!$D$45,RéfLait!$C$45)*Lait!K$45*2.2-IF(K$27=RéfLait!$C$8,RéfLait!$D$47,RéfLait!$C$47)</f>
        <v>932.42000000000007</v>
      </c>
      <c r="L55" s="1765"/>
      <c r="M55" s="1764">
        <f>IF(M$27=RéfLait!$C$8,RéfLait!$D$45,RéfLait!$C$45)*Lait!M$45*2.2-IF(M$27=RéfLait!$C$8,RéfLait!$D$47,RéfLait!$C$47)</f>
        <v>932.42000000000007</v>
      </c>
      <c r="N55" s="1765"/>
      <c r="O55" s="1764">
        <f>IF(O$27=RéfLait!$C$8,RéfLait!$D$45,RéfLait!$C$45)*Lait!O$45*2.2-IF(O$27=RéfLait!$C$8,RéfLait!$D$47,RéfLait!$C$47)</f>
        <v>932.42000000000007</v>
      </c>
      <c r="P55" s="1765"/>
      <c r="Q55" s="1764">
        <f>IF(Q$27=RéfLait!$C$8,RéfLait!$D$45,RéfLait!$C$45)*Lait!Q$45*2.2-IF(Q$27=RéfLait!$C$8,RéfLait!$D$47,RéfLait!$C$47)</f>
        <v>932.42000000000007</v>
      </c>
    </row>
    <row r="56" spans="1:19" ht="16.5" hidden="1">
      <c r="A56" s="1091"/>
      <c r="B56" s="288"/>
      <c r="C56" s="2165" t="s">
        <v>1337</v>
      </c>
      <c r="D56" s="2165"/>
      <c r="E56" s="2165"/>
      <c r="F56" s="614"/>
      <c r="G56" s="670">
        <v>0.97</v>
      </c>
      <c r="H56" s="539"/>
      <c r="I56" s="1763">
        <f>G56</f>
        <v>0.97</v>
      </c>
      <c r="J56" s="570"/>
      <c r="K56" s="1763">
        <f>I56</f>
        <v>0.97</v>
      </c>
      <c r="L56" s="570"/>
      <c r="M56" s="1763">
        <f>K56</f>
        <v>0.97</v>
      </c>
      <c r="N56" s="570"/>
      <c r="O56" s="1763">
        <f>M56</f>
        <v>0.97</v>
      </c>
      <c r="P56" s="570"/>
      <c r="Q56" s="1763">
        <f>O56</f>
        <v>0.97</v>
      </c>
    </row>
    <row r="57" spans="1:19" ht="16.5" hidden="1">
      <c r="A57" s="1091"/>
      <c r="B57" s="288"/>
      <c r="C57" s="2165" t="s">
        <v>1321</v>
      </c>
      <c r="D57" s="2165"/>
      <c r="E57" s="2165"/>
      <c r="F57" s="614"/>
      <c r="G57" s="573">
        <f>ROUND((G51*(1+G53)*(1+G58))*G43,0)</f>
        <v>22</v>
      </c>
      <c r="H57" s="539"/>
      <c r="I57" s="572">
        <f>ROUND((I51*(1+I53)*(1+I58))*I43,0)</f>
        <v>22</v>
      </c>
      <c r="J57" s="570"/>
      <c r="K57" s="572">
        <f>ROUND((K51*(1+K53)*(1+K58))*K43,0)</f>
        <v>22</v>
      </c>
      <c r="L57" s="570"/>
      <c r="M57" s="572">
        <f>ROUND((M51*(1+M53)*(1+M58))*M43,0)</f>
        <v>22</v>
      </c>
      <c r="N57" s="570"/>
      <c r="O57" s="572">
        <f>ROUND((O51*(1+O53)*(1+O58))*O43,0)</f>
        <v>22</v>
      </c>
      <c r="P57" s="570"/>
      <c r="Q57" s="572">
        <f>ROUND((Q51*(1+Q53)*(1+Q58))*Q43,0)</f>
        <v>22</v>
      </c>
    </row>
    <row r="58" spans="1:19" ht="16.5" hidden="1">
      <c r="A58" s="1091"/>
      <c r="B58" s="288"/>
      <c r="C58" s="2165" t="s">
        <v>387</v>
      </c>
      <c r="D58" s="2165"/>
      <c r="E58" s="2165"/>
      <c r="F58" s="614"/>
      <c r="G58" s="670">
        <v>0.1</v>
      </c>
      <c r="H58" s="539"/>
      <c r="I58" s="1763">
        <f>G58</f>
        <v>0.1</v>
      </c>
      <c r="J58" s="570"/>
      <c r="K58" s="1763">
        <f>I58</f>
        <v>0.1</v>
      </c>
      <c r="L58" s="570"/>
      <c r="M58" s="1763">
        <f>K58</f>
        <v>0.1</v>
      </c>
      <c r="N58" s="570"/>
      <c r="O58" s="1763">
        <f>M58</f>
        <v>0.1</v>
      </c>
      <c r="P58" s="570"/>
      <c r="Q58" s="1763">
        <f>O58</f>
        <v>0.1</v>
      </c>
    </row>
    <row r="59" spans="1:19" ht="16.5" hidden="1">
      <c r="A59" s="1091"/>
      <c r="B59" s="288"/>
      <c r="C59" s="2165" t="s">
        <v>1322</v>
      </c>
      <c r="D59" s="2165"/>
      <c r="E59" s="2165"/>
      <c r="F59" s="614"/>
      <c r="G59" s="620">
        <f>IF(G$25=RéfLait!$A$6,IF(G$26=RéfLait!$O$104,HLOOKUP(G$26,perfo_bio,11,FALSE),HLOOKUP(G$26,perfo_bio,11,FALSE)),IF(G$24=RéfLait!$F$74,HLOOKUP(IF(G$26=RéfLait!$O$104,RéfLait!$F$74,G$26),perfo_race_convent,11,FALSE),HLOOKUP(G$24,perfo_race_convent,11,FALSE)))</f>
        <v>26</v>
      </c>
      <c r="H59" s="539"/>
      <c r="I59" s="1766">
        <f>IF(I$25=RéfLait!$A$6,IF(I$26=RéfLait!$O$104,HLOOKUP(I$26,perfo_bio,11,FALSE),HLOOKUP(I$26,perfo_bio,11,FALSE)),IF(I$24=RéfLait!$F$74,HLOOKUP(IF(I$26=RéfLait!$O$104,RéfLait!$F$74,I$26),perfo_race_convent,11,FALSE),HLOOKUP(I$24,perfo_race_convent,11,FALSE)))</f>
        <v>26</v>
      </c>
      <c r="J59" s="570"/>
      <c r="K59" s="1766">
        <f>IF(K$25=RéfLait!$A$6,IF(K$26=RéfLait!$O$104,HLOOKUP(K$26,perfo_bio,11,FALSE),HLOOKUP(K$26,perfo_bio,11,FALSE)),IF(K$24=RéfLait!$F$74,HLOOKUP(IF(K$26=RéfLait!$O$104,RéfLait!$F$74,K$26),perfo_race_convent,11,FALSE),HLOOKUP(K$24,perfo_race_convent,11,FALSE)))</f>
        <v>26</v>
      </c>
      <c r="L59" s="570"/>
      <c r="M59" s="1766">
        <f>IF(M$25=RéfLait!$A$6,IF(M$26=RéfLait!$O$104,HLOOKUP(M$26,perfo_bio,11,FALSE),HLOOKUP(M$26,perfo_bio,11,FALSE)),IF(M$24=RéfLait!$F$74,HLOOKUP(IF(M$26=RéfLait!$O$104,RéfLait!$F$74,M$26),perfo_race_convent,11,FALSE),HLOOKUP(M$24,perfo_race_convent,11,FALSE)))</f>
        <v>26</v>
      </c>
      <c r="N59" s="570"/>
      <c r="O59" s="1766">
        <f>IF(O$25=RéfLait!$A$6,IF(O$26=RéfLait!$O$104,HLOOKUP(O$26,perfo_bio,11,FALSE),HLOOKUP(O$26,perfo_bio,11,FALSE)),IF(O$24=RéfLait!$F$74,HLOOKUP(IF(O$26=RéfLait!$O$104,RéfLait!$F$74,O$26),perfo_race_convent,11,FALSE),HLOOKUP(O$24,perfo_race_convent,11,FALSE)))</f>
        <v>26</v>
      </c>
      <c r="P59" s="570"/>
      <c r="Q59" s="1766">
        <f>IF(Q$25=RéfLait!$A$6,IF(Q$26=RéfLait!$O$104,HLOOKUP(Q$26,perfo_bio,11,FALSE),HLOOKUP(Q$26,perfo_bio,11,FALSE)),IF(Q$24=RéfLait!$F$74,HLOOKUP(IF(Q$26=RéfLait!$O$104,RéfLait!$F$74,Q$26),perfo_race_convent,11,FALSE),HLOOKUP(Q$24,perfo_race_convent,11,FALSE)))</f>
        <v>26</v>
      </c>
    </row>
    <row r="60" spans="1:19" ht="16.5" hidden="1">
      <c r="A60" s="1091"/>
      <c r="B60" s="288"/>
      <c r="C60" s="2165" t="s">
        <v>386</v>
      </c>
      <c r="D60" s="2165"/>
      <c r="E60" s="2165"/>
      <c r="F60" s="614"/>
      <c r="G60" s="625">
        <f>IF(G27=RéfLait!$C$8,RéfLait!$D$46,RéfLait!$C$46)*Lait!G$45*0.07*2.2-IF(G$27=RéfLait!$C$8,RéfLait!$D$48,RéfLait!$C$48)</f>
        <v>186.01240000000007</v>
      </c>
      <c r="H60" s="540"/>
      <c r="I60" s="1764">
        <f>IF(I27=RéfLait!$C$8,RéfLait!$D$46,RéfLait!$C$46)*Lait!I$45*0.07*2.2-IF(I$27=RéfLait!$C$8,RéfLait!$D$48,RéfLait!$C$48)</f>
        <v>186.01240000000007</v>
      </c>
      <c r="J60" s="1765"/>
      <c r="K60" s="1764">
        <f>IF(K27=RéfLait!$C$8,RéfLait!$D$46,RéfLait!$C$46)*Lait!K$45*0.07*2.2-IF(K$27=RéfLait!$C$8,RéfLait!$D$48,RéfLait!$C$48)</f>
        <v>186.01240000000007</v>
      </c>
      <c r="L60" s="1765"/>
      <c r="M60" s="1764">
        <f>IF(M27=RéfLait!$C$8,RéfLait!$D$46,RéfLait!$C$46)*Lait!M$45*0.07*2.2-IF(M$27=RéfLait!$C$8,RéfLait!$D$48,RéfLait!$C$48)</f>
        <v>186.01240000000007</v>
      </c>
      <c r="N60" s="1765"/>
      <c r="O60" s="1764">
        <f>IF(O27=RéfLait!$C$8,RéfLait!$D$46,RéfLait!$C$46)*Lait!O$45*0.07*2.2-IF(O$27=RéfLait!$C$8,RéfLait!$D$48,RéfLait!$C$48)</f>
        <v>186.01240000000007</v>
      </c>
      <c r="P60" s="1765"/>
      <c r="Q60" s="1764">
        <f>IF(Q27=RéfLait!$C$8,RéfLait!$D$46,RéfLait!$C$46)*Lait!Q$45*0.07*2.2-IF(Q$27=RéfLait!$C$8,RéfLait!$D$48,RéfLait!$C$48)</f>
        <v>186.01240000000007</v>
      </c>
    </row>
    <row r="61" spans="1:19" ht="16.5">
      <c r="A61" s="1091"/>
      <c r="B61" s="288"/>
      <c r="C61" s="2165" t="s">
        <v>1485</v>
      </c>
      <c r="D61" s="2165"/>
      <c r="E61" s="2165"/>
      <c r="F61" s="614"/>
      <c r="G61" s="627">
        <f>G57*G59/12</f>
        <v>47.666666666666664</v>
      </c>
      <c r="H61" s="539"/>
      <c r="I61" s="572">
        <f>I57*I59/12</f>
        <v>47.666666666666664</v>
      </c>
      <c r="J61" s="570"/>
      <c r="K61" s="572">
        <f>K57*K59/12</f>
        <v>47.666666666666664</v>
      </c>
      <c r="L61" s="570"/>
      <c r="M61" s="572">
        <f>M57*M59/12</f>
        <v>47.666666666666664</v>
      </c>
      <c r="N61" s="570"/>
      <c r="O61" s="572">
        <f>O57*O59/12</f>
        <v>47.666666666666664</v>
      </c>
      <c r="P61" s="570"/>
      <c r="Q61" s="572">
        <f>Q57*Q59/12</f>
        <v>47.666666666666664</v>
      </c>
      <c r="S61" s="93"/>
    </row>
    <row r="62" spans="1:19" ht="18.75">
      <c r="A62" s="1091"/>
      <c r="B62" s="273"/>
      <c r="C62" s="10"/>
      <c r="D62" s="10"/>
      <c r="E62" s="1420"/>
      <c r="F62" s="614"/>
      <c r="G62" s="628"/>
      <c r="I62" s="1767"/>
      <c r="J62" s="26"/>
      <c r="K62" s="1767"/>
      <c r="L62" s="26"/>
      <c r="M62" s="1767"/>
      <c r="N62" s="26"/>
      <c r="O62" s="1767"/>
      <c r="P62" s="26"/>
      <c r="Q62" s="1767"/>
    </row>
    <row r="63" spans="1:19" ht="19.5" thickBot="1">
      <c r="A63" s="2076" t="s">
        <v>275</v>
      </c>
      <c r="B63" s="2" t="s">
        <v>606</v>
      </c>
      <c r="C63" s="2"/>
      <c r="D63" s="2"/>
      <c r="E63" s="1421"/>
      <c r="F63" s="613"/>
      <c r="G63" s="629"/>
      <c r="H63" s="2"/>
      <c r="I63" s="1768"/>
      <c r="J63" s="1756"/>
      <c r="K63" s="1768"/>
      <c r="L63" s="1756"/>
      <c r="M63" s="1768"/>
      <c r="N63" s="1768"/>
      <c r="O63" s="1768"/>
      <c r="P63" s="1768"/>
      <c r="Q63" s="1768"/>
    </row>
    <row r="64" spans="1:19" ht="15" thickTop="1">
      <c r="A64" s="402"/>
      <c r="B64" s="305"/>
      <c r="E64" s="1420"/>
      <c r="F64" s="614"/>
      <c r="G64" s="623"/>
      <c r="I64" s="26"/>
      <c r="J64" s="26"/>
      <c r="K64" s="26"/>
      <c r="L64" s="26"/>
      <c r="M64" s="26"/>
      <c r="N64" s="26"/>
      <c r="O64" s="26"/>
      <c r="P64" s="26"/>
      <c r="Q64" s="26"/>
    </row>
    <row r="65" spans="1:27" hidden="1">
      <c r="A65" s="1091"/>
      <c r="B65" s="276" t="s">
        <v>1338</v>
      </c>
      <c r="C65" s="275"/>
      <c r="D65" s="1127"/>
      <c r="E65" s="1424" t="s">
        <v>1339</v>
      </c>
      <c r="F65" s="614"/>
      <c r="G65" s="692" t="s">
        <v>384</v>
      </c>
      <c r="H65" s="704"/>
      <c r="I65" s="1769" t="str">
        <f>G65</f>
        <v>mélange</v>
      </c>
      <c r="J65" s="26"/>
      <c r="K65" s="1769" t="str">
        <f>I65</f>
        <v>mélange</v>
      </c>
      <c r="L65" s="26"/>
      <c r="M65" s="1769" t="str">
        <f>K65</f>
        <v>mélange</v>
      </c>
      <c r="N65" s="26"/>
      <c r="O65" s="1769" t="str">
        <f>M65</f>
        <v>mélange</v>
      </c>
      <c r="P65" s="26"/>
      <c r="Q65" s="1769" t="str">
        <f>O65</f>
        <v>mélange</v>
      </c>
      <c r="S65" s="462"/>
      <c r="T65" s="1500"/>
      <c r="AA65" s="1111">
        <v>43235</v>
      </c>
    </row>
    <row r="66" spans="1:27" hidden="1">
      <c r="A66" s="1091"/>
      <c r="B66" s="287"/>
      <c r="C66" s="265"/>
      <c r="D66" s="1126" t="s">
        <v>627</v>
      </c>
      <c r="E66" s="1422"/>
      <c r="F66" s="614"/>
      <c r="G66" s="598"/>
      <c r="I66" s="1770"/>
      <c r="J66" s="1771"/>
      <c r="K66" s="1770"/>
      <c r="L66" s="1771"/>
      <c r="M66" s="1770"/>
      <c r="N66" s="1771"/>
      <c r="O66" s="1770"/>
      <c r="P66" s="1771"/>
      <c r="Q66" s="1770"/>
      <c r="AA66" s="1111">
        <v>43373</v>
      </c>
    </row>
    <row r="67" spans="1:27" hidden="1">
      <c r="A67" s="1091"/>
      <c r="B67" s="287"/>
      <c r="C67" s="265"/>
      <c r="D67" s="1126" t="s">
        <v>628</v>
      </c>
      <c r="E67" s="1422"/>
      <c r="F67" s="614"/>
      <c r="G67" s="750"/>
      <c r="I67" s="1770"/>
      <c r="J67" s="1771"/>
      <c r="K67" s="1770"/>
      <c r="L67" s="1771"/>
      <c r="M67" s="1770"/>
      <c r="N67" s="1771"/>
      <c r="O67" s="1770"/>
      <c r="P67" s="1771"/>
      <c r="Q67" s="1770"/>
    </row>
    <row r="68" spans="1:27" hidden="1">
      <c r="A68" s="1091"/>
      <c r="B68" s="287"/>
      <c r="C68" s="265"/>
      <c r="D68" s="1501" t="s">
        <v>629</v>
      </c>
      <c r="E68" s="1425"/>
      <c r="F68" s="614"/>
      <c r="G68" s="634">
        <f>IFERROR(IF(G66&lt;G67,G67-G66,0),0)</f>
        <v>0</v>
      </c>
      <c r="I68" s="604">
        <f>IFERROR(IF(I66&lt;I67,I67-I66,0),0)</f>
        <v>0</v>
      </c>
      <c r="J68" s="603"/>
      <c r="K68" s="604">
        <f>IFERROR(IF(K66&lt;K67,K67-K66,0),0)</f>
        <v>0</v>
      </c>
      <c r="L68" s="603"/>
      <c r="M68" s="604">
        <f>IFERROR(IF(M66&lt;M67,M67-M66,0),0)</f>
        <v>0</v>
      </c>
      <c r="N68" s="603"/>
      <c r="O68" s="604">
        <f>IFERROR(IF(O66&lt;O67,O67-O66,0),0)</f>
        <v>0</v>
      </c>
      <c r="P68" s="603"/>
      <c r="Q68" s="604">
        <f>IFERROR(IF(Q66&lt;Q67,Q67-Q66,0),0)</f>
        <v>0</v>
      </c>
      <c r="S68" s="93"/>
    </row>
    <row r="69" spans="1:27" hidden="1">
      <c r="A69" s="1091"/>
      <c r="B69" s="287"/>
      <c r="C69" s="265"/>
      <c r="D69" s="1501" t="s">
        <v>630</v>
      </c>
      <c r="E69" s="1425"/>
      <c r="F69" s="614"/>
      <c r="G69" s="691" t="s">
        <v>385</v>
      </c>
      <c r="H69" s="704"/>
      <c r="I69" s="1772" t="str">
        <f>G69</f>
        <v xml:space="preserve">en_bande </v>
      </c>
      <c r="J69" s="1751"/>
      <c r="K69" s="1772" t="str">
        <f>I69</f>
        <v xml:space="preserve">en_bande </v>
      </c>
      <c r="L69" s="1751"/>
      <c r="M69" s="1772" t="str">
        <f>K69</f>
        <v xml:space="preserve">en_bande </v>
      </c>
      <c r="N69" s="1751"/>
      <c r="O69" s="1772" t="str">
        <f>M69</f>
        <v xml:space="preserve">en_bande </v>
      </c>
      <c r="P69" s="1751"/>
      <c r="Q69" s="1772" t="str">
        <f>O69</f>
        <v xml:space="preserve">en_bande </v>
      </c>
      <c r="S69" s="462"/>
    </row>
    <row r="70" spans="1:27" hidden="1">
      <c r="A70" s="1091"/>
      <c r="B70" s="287"/>
      <c r="C70" s="265"/>
      <c r="D70" s="1501" t="s">
        <v>625</v>
      </c>
      <c r="E70" s="1425" t="s">
        <v>279</v>
      </c>
      <c r="F70" s="614"/>
      <c r="G70" s="631">
        <f>INDEX(RéfLait!$C$200:$D$202,MATCH(G69,RéfLait!$B$200:$B$202,0),MATCH(G65,RéfLait!$C$199:$D$199,0))</f>
        <v>2.4289777670400005E-2</v>
      </c>
      <c r="I70" s="1761">
        <f>INDEX(RéfLait!$C$200:$D$202,MATCH(I69,RéfLait!$B$200:$B$202,0),MATCH(I65,RéfLait!$C$199:$D$199,0))</f>
        <v>2.4289777670400005E-2</v>
      </c>
      <c r="J70" s="26"/>
      <c r="K70" s="1761">
        <f>INDEX(RéfLait!$C$200:$D$202,MATCH(K69,RéfLait!$B$200:$B$202,0),MATCH(K65,RéfLait!$C$199:$D$199,0))</f>
        <v>2.4289777670400005E-2</v>
      </c>
      <c r="L70" s="26"/>
      <c r="M70" s="1761">
        <f>INDEX(RéfLait!$C$200:$D$202,MATCH(M69,RéfLait!$B$200:$B$202,0),MATCH(M65,RéfLait!$C$199:$D$199,0))</f>
        <v>2.4289777670400005E-2</v>
      </c>
      <c r="N70" s="26"/>
      <c r="O70" s="1761">
        <f>INDEX(RéfLait!$C$200:$D$202,MATCH(O69,RéfLait!$B$200:$B$202,0),MATCH(O65,RéfLait!$C$199:$D$199,0))</f>
        <v>2.4289777670400005E-2</v>
      </c>
      <c r="P70" s="26"/>
      <c r="Q70" s="1761">
        <f>INDEX(RéfLait!$C$200:$D$202,MATCH(Q69,RéfLait!$B$200:$B$202,0),MATCH(Q65,RéfLait!$C$199:$D$199,0))</f>
        <v>2.4289777670400005E-2</v>
      </c>
    </row>
    <row r="71" spans="1:27" hidden="1">
      <c r="A71" s="1091"/>
      <c r="B71" s="287"/>
      <c r="C71" s="265"/>
      <c r="D71" s="1501" t="s">
        <v>1300</v>
      </c>
      <c r="E71" s="1425" t="s">
        <v>1299</v>
      </c>
      <c r="F71" s="614"/>
      <c r="G71" s="632"/>
      <c r="I71" s="1773"/>
      <c r="J71" s="26"/>
      <c r="K71" s="1773"/>
      <c r="L71" s="26"/>
      <c r="M71" s="1773"/>
      <c r="N71" s="26"/>
      <c r="O71" s="1773"/>
      <c r="P71" s="26"/>
      <c r="Q71" s="1773"/>
    </row>
    <row r="72" spans="1:27" hidden="1">
      <c r="A72" s="1091"/>
      <c r="B72" s="287"/>
      <c r="C72" s="265"/>
      <c r="D72" s="1501" t="s">
        <v>632</v>
      </c>
      <c r="E72" s="1425" t="s">
        <v>1299</v>
      </c>
      <c r="F72" s="614"/>
      <c r="G72" s="632"/>
      <c r="I72" s="1773"/>
      <c r="J72" s="26"/>
      <c r="K72" s="1773"/>
      <c r="L72" s="26"/>
      <c r="M72" s="1773"/>
      <c r="N72" s="26"/>
      <c r="O72" s="1773"/>
      <c r="P72" s="26"/>
      <c r="Q72" s="1773"/>
    </row>
    <row r="73" spans="1:27" hidden="1">
      <c r="A73" s="1091"/>
      <c r="B73" s="287"/>
      <c r="C73" s="265"/>
      <c r="D73" s="1501" t="s">
        <v>633</v>
      </c>
      <c r="E73" s="1425" t="s">
        <v>1299</v>
      </c>
      <c r="F73" s="614"/>
      <c r="G73" s="632">
        <v>0</v>
      </c>
      <c r="I73" s="1773">
        <f>G73</f>
        <v>0</v>
      </c>
      <c r="J73" s="26"/>
      <c r="K73" s="1773">
        <f>I73</f>
        <v>0</v>
      </c>
      <c r="L73" s="26"/>
      <c r="M73" s="1773">
        <f>K73</f>
        <v>0</v>
      </c>
      <c r="N73" s="26"/>
      <c r="O73" s="1773">
        <f>M73</f>
        <v>0</v>
      </c>
      <c r="P73" s="26"/>
      <c r="Q73" s="1773">
        <f>O73</f>
        <v>0</v>
      </c>
    </row>
    <row r="74" spans="1:27" hidden="1">
      <c r="A74" s="1091"/>
      <c r="B74" s="287"/>
      <c r="C74" s="2158"/>
      <c r="D74" s="2158"/>
      <c r="E74" s="2158"/>
      <c r="F74" s="614"/>
      <c r="G74" s="632"/>
      <c r="I74" s="1774"/>
      <c r="J74" s="26"/>
      <c r="K74" s="1774"/>
      <c r="L74" s="26"/>
      <c r="M74" s="1774"/>
      <c r="N74" s="26"/>
      <c r="O74" s="1774"/>
      <c r="P74" s="26"/>
      <c r="Q74" s="1774"/>
    </row>
    <row r="75" spans="1:27" hidden="1">
      <c r="A75" s="1091"/>
      <c r="B75" s="277" t="s">
        <v>1340</v>
      </c>
      <c r="C75" s="277"/>
      <c r="D75" s="296"/>
      <c r="E75" s="1426" t="s">
        <v>1391</v>
      </c>
      <c r="F75" s="614"/>
      <c r="G75" s="692" t="s">
        <v>384</v>
      </c>
      <c r="H75" s="704"/>
      <c r="I75" s="1769" t="str">
        <f>G75</f>
        <v>mélange</v>
      </c>
      <c r="J75" s="26"/>
      <c r="K75" s="1769" t="str">
        <f>I75</f>
        <v>mélange</v>
      </c>
      <c r="L75" s="26"/>
      <c r="M75" s="1769" t="str">
        <f>K75</f>
        <v>mélange</v>
      </c>
      <c r="N75" s="26"/>
      <c r="O75" s="1769" t="str">
        <f>M75</f>
        <v>mélange</v>
      </c>
      <c r="P75" s="26"/>
      <c r="Q75" s="1769" t="str">
        <f>O75</f>
        <v>mélange</v>
      </c>
      <c r="S75" s="462"/>
    </row>
    <row r="76" spans="1:27" hidden="1">
      <c r="A76" s="1091"/>
      <c r="B76" s="287"/>
      <c r="C76" s="287"/>
      <c r="D76" s="1126" t="s">
        <v>636</v>
      </c>
      <c r="E76" s="1427"/>
      <c r="F76" s="614"/>
      <c r="G76" s="630" t="str">
        <f>IF(G66&gt;0,G66,"")</f>
        <v/>
      </c>
      <c r="I76" s="1770" t="str">
        <f>IF(I66&gt;0,I66,"")</f>
        <v/>
      </c>
      <c r="J76" s="1771"/>
      <c r="K76" s="1770" t="str">
        <f>IF(K66&gt;0,K66,"")</f>
        <v/>
      </c>
      <c r="L76" s="1771"/>
      <c r="M76" s="1770" t="str">
        <f>IF(M66&gt;0,M66,"")</f>
        <v/>
      </c>
      <c r="N76" s="1771"/>
      <c r="O76" s="1770" t="str">
        <f>IF(O66&gt;0,O66,"")</f>
        <v/>
      </c>
      <c r="P76" s="1771"/>
      <c r="Q76" s="1770" t="str">
        <f>IF(Q66&gt;0,Q66,"")</f>
        <v/>
      </c>
      <c r="U76" s="103"/>
    </row>
    <row r="77" spans="1:27" hidden="1">
      <c r="A77" s="1091"/>
      <c r="B77" s="287"/>
      <c r="C77" s="287"/>
      <c r="D77" s="1126" t="s">
        <v>637</v>
      </c>
      <c r="E77" s="1427"/>
      <c r="F77" s="614"/>
      <c r="G77" s="630" t="str">
        <f>IF(G67&gt;0,G67,"")</f>
        <v/>
      </c>
      <c r="I77" s="1770" t="str">
        <f>IF(I67&gt;0,I67,"")</f>
        <v/>
      </c>
      <c r="J77" s="1771"/>
      <c r="K77" s="1770" t="str">
        <f>IF(K67&gt;0,K67,"")</f>
        <v/>
      </c>
      <c r="L77" s="1771"/>
      <c r="M77" s="1770" t="str">
        <f>IF(M67&gt;0,M67,"")</f>
        <v/>
      </c>
      <c r="N77" s="1771"/>
      <c r="O77" s="1770" t="str">
        <f>IF(O67&gt;0,O67,"")</f>
        <v/>
      </c>
      <c r="P77" s="1771"/>
      <c r="Q77" s="1770" t="str">
        <f>IF(Q67&gt;0,Q67,"")</f>
        <v/>
      </c>
      <c r="U77" s="103"/>
    </row>
    <row r="78" spans="1:27" hidden="1">
      <c r="A78" s="1091"/>
      <c r="B78" s="287"/>
      <c r="C78" s="294"/>
      <c r="D78" s="1501" t="s">
        <v>634</v>
      </c>
      <c r="E78" s="1428"/>
      <c r="F78" s="614"/>
      <c r="G78" s="634">
        <f>IFERROR(IF(G76&lt;G77,G77-G76,0),0)</f>
        <v>0</v>
      </c>
      <c r="I78" s="604">
        <f>IFERROR(IF(I76&lt;I77,I77-I76,0),0)</f>
        <v>0</v>
      </c>
      <c r="J78" s="603"/>
      <c r="K78" s="604">
        <f>IFERROR(IF(K76&lt;K77,K77-K76,0),0)</f>
        <v>0</v>
      </c>
      <c r="L78" s="603"/>
      <c r="M78" s="604">
        <f>IFERROR(IF(M76&lt;M77,M77-M76,0),0)</f>
        <v>0</v>
      </c>
      <c r="N78" s="603"/>
      <c r="O78" s="604">
        <f>IFERROR(IF(O76&lt;O77,O77-O76,0),0)</f>
        <v>0</v>
      </c>
      <c r="P78" s="603"/>
      <c r="Q78" s="604">
        <f>IFERROR(IF(Q76&lt;Q77,Q77-Q76,0),0)</f>
        <v>0</v>
      </c>
      <c r="S78" s="93"/>
    </row>
    <row r="79" spans="1:27" hidden="1">
      <c r="A79" s="1091"/>
      <c r="B79" s="287"/>
      <c r="C79" s="294"/>
      <c r="D79" s="1501" t="s">
        <v>630</v>
      </c>
      <c r="E79" s="1428"/>
      <c r="F79" s="614"/>
      <c r="G79" s="691" t="str">
        <f>G69</f>
        <v xml:space="preserve">en_bande </v>
      </c>
      <c r="H79" s="704"/>
      <c r="I79" s="1772" t="str">
        <f>I69</f>
        <v xml:space="preserve">en_bande </v>
      </c>
      <c r="J79" s="1751"/>
      <c r="K79" s="1772" t="str">
        <f>K69</f>
        <v xml:space="preserve">en_bande </v>
      </c>
      <c r="L79" s="1751"/>
      <c r="M79" s="1772" t="str">
        <f>M69</f>
        <v xml:space="preserve">en_bande </v>
      </c>
      <c r="N79" s="1751"/>
      <c r="O79" s="1772" t="str">
        <f>O69</f>
        <v xml:space="preserve">en_bande </v>
      </c>
      <c r="P79" s="1751"/>
      <c r="Q79" s="1772" t="str">
        <f>Q69</f>
        <v xml:space="preserve">en_bande </v>
      </c>
      <c r="S79" s="462"/>
    </row>
    <row r="80" spans="1:27" hidden="1">
      <c r="A80" s="1091"/>
      <c r="B80" s="287"/>
      <c r="C80" s="294"/>
      <c r="D80" s="1501" t="s">
        <v>616</v>
      </c>
      <c r="E80" s="1428"/>
      <c r="F80" s="614"/>
      <c r="G80" s="631">
        <f>INDEX(RéfLait!$G$200:$H$202,MATCH(G79,RéfLait!$F$200:$F$202,0),MATCH(G75,RéfLait!$G$199:$H$199,0))</f>
        <v>2.3075288786880005E-2</v>
      </c>
      <c r="I80" s="1761">
        <f>INDEX(RéfLait!$G$200:$H$202,MATCH(I79,RéfLait!$F$200:$F$202,0),MATCH(I75,RéfLait!$G$199:$H$199,0))</f>
        <v>2.3075288786880005E-2</v>
      </c>
      <c r="J80" s="26"/>
      <c r="K80" s="1761">
        <f>INDEX(RéfLait!$G$200:$H$202,MATCH(K79,RéfLait!$F$200:$F$202,0),MATCH(K75,RéfLait!$G$199:$H$199,0))</f>
        <v>2.3075288786880005E-2</v>
      </c>
      <c r="L80" s="26"/>
      <c r="M80" s="1761">
        <f>INDEX(RéfLait!$G$200:$H$202,MATCH(M79,RéfLait!$F$200:$F$202,0),MATCH(M75,RéfLait!$G$199:$H$199,0))</f>
        <v>2.3075288786880005E-2</v>
      </c>
      <c r="N80" s="26"/>
      <c r="O80" s="1761">
        <f>INDEX(RéfLait!$G$200:$H$202,MATCH(O79,RéfLait!$F$200:$F$202,0),MATCH(O75,RéfLait!$G$199:$H$199,0))</f>
        <v>2.3075288786880005E-2</v>
      </c>
      <c r="P80" s="26"/>
      <c r="Q80" s="1761">
        <f>INDEX(RéfLait!$G$200:$H$202,MATCH(Q79,RéfLait!$F$200:$F$202,0),MATCH(Q75,RéfLait!$G$199:$H$199,0))</f>
        <v>2.3075288786880005E-2</v>
      </c>
    </row>
    <row r="81" spans="1:20" hidden="1">
      <c r="A81" s="1091"/>
      <c r="B81" s="287"/>
      <c r="C81" s="294"/>
      <c r="D81" s="1501" t="s">
        <v>631</v>
      </c>
      <c r="E81" s="1360" t="s">
        <v>626</v>
      </c>
      <c r="F81" s="614"/>
      <c r="G81" s="632">
        <v>0</v>
      </c>
      <c r="I81" s="246">
        <f>G81</f>
        <v>0</v>
      </c>
      <c r="K81" s="246">
        <f>I81</f>
        <v>0</v>
      </c>
      <c r="M81" s="246">
        <f>K81</f>
        <v>0</v>
      </c>
      <c r="O81" s="246">
        <f>M81</f>
        <v>0</v>
      </c>
      <c r="Q81" s="246">
        <f>O81</f>
        <v>0</v>
      </c>
    </row>
    <row r="82" spans="1:20" hidden="1">
      <c r="A82" s="1091"/>
      <c r="B82" s="287"/>
      <c r="C82" s="294"/>
      <c r="D82" s="1501" t="s">
        <v>632</v>
      </c>
      <c r="E82" s="1360" t="s">
        <v>626</v>
      </c>
      <c r="F82" s="614"/>
      <c r="G82" s="632">
        <v>0</v>
      </c>
      <c r="I82" s="246">
        <f>G82</f>
        <v>0</v>
      </c>
      <c r="K82" s="246">
        <f>I82</f>
        <v>0</v>
      </c>
      <c r="M82" s="246">
        <f>K82</f>
        <v>0</v>
      </c>
      <c r="O82" s="246">
        <f>M82</f>
        <v>0</v>
      </c>
      <c r="Q82" s="246">
        <f>O82</f>
        <v>0</v>
      </c>
    </row>
    <row r="83" spans="1:20" hidden="1">
      <c r="A83" s="1091"/>
      <c r="B83" s="2160" t="s">
        <v>635</v>
      </c>
      <c r="C83" s="2160"/>
      <c r="D83" s="2160"/>
      <c r="E83" s="1428"/>
      <c r="F83" s="614"/>
      <c r="G83" s="633">
        <v>0.05</v>
      </c>
      <c r="I83" s="520">
        <f>G83</f>
        <v>0.05</v>
      </c>
      <c r="K83" s="520">
        <f>I83</f>
        <v>0.05</v>
      </c>
      <c r="M83" s="520">
        <f>K83</f>
        <v>0.05</v>
      </c>
      <c r="O83" s="520">
        <f>M83</f>
        <v>0.05</v>
      </c>
      <c r="Q83" s="520">
        <f>O83</f>
        <v>0.05</v>
      </c>
    </row>
    <row r="84" spans="1:20">
      <c r="A84" s="1092"/>
      <c r="B84" s="1455"/>
      <c r="C84" s="2172" t="s">
        <v>927</v>
      </c>
      <c r="D84" s="2172"/>
      <c r="E84" s="1429" t="s">
        <v>926</v>
      </c>
      <c r="F84" s="614"/>
      <c r="G84" s="598">
        <f>((G45*G70-G71*0.88-G72*0.5-G73*0.35)*G68*G43+(G45*0.5*G80-G81*0.88-G82*0.5)*G78*G61)/1000*(1+G83)</f>
        <v>0</v>
      </c>
      <c r="H84" s="597"/>
      <c r="I84" s="598">
        <f>((I45*I70-I71*0.88-I72*0.5-I73*0.35)*I68*I43+(I45*0.5*I80-I81*0.88-I82*0.5)*I78*I61)/1000*(1+I83)</f>
        <v>0</v>
      </c>
      <c r="J84" s="597"/>
      <c r="K84" s="598">
        <f>((K45*K70-K71*0.88-K72*0.5-K73*0.35)*K68*K43+(K45*0.5*K80-K81*0.88-K82*0.5)*K78*K61)/1000*(1+K83)</f>
        <v>0</v>
      </c>
      <c r="L84" s="597"/>
      <c r="M84" s="598">
        <f>((M45*M70-M71*0.88-M72*0.5-M73*0.35)*M68*M43+(M45*0.5*M80-M81*0.88-M82*0.5)*M78*M61)/1000*(1+M83)</f>
        <v>0</v>
      </c>
      <c r="N84" s="597"/>
      <c r="O84" s="598">
        <f>((O45*O70-O71*0.88-O72*0.5-O73*0.35)*O68*O43+(O45*0.5*O80-O81*0.88-O82*0.5)*O78*O61)/1000*(1+O83)</f>
        <v>0</v>
      </c>
      <c r="P84" s="597"/>
      <c r="Q84" s="598">
        <f>((Q45*Q70-Q71*0.88-Q72*0.5-Q73*0.35)*Q68*Q43+(Q45*0.5*Q80-Q81*0.88-Q82*0.5)*Q78*Q61)/1000*(1+Q83)</f>
        <v>0</v>
      </c>
      <c r="S84" s="93"/>
    </row>
    <row r="85" spans="1:20">
      <c r="A85" s="402"/>
      <c r="B85" s="1515"/>
      <c r="C85" s="2173" t="s">
        <v>974</v>
      </c>
      <c r="D85" s="2173"/>
      <c r="E85" s="1422"/>
      <c r="F85" s="614"/>
      <c r="G85" s="750">
        <f>INDEX(RéfLait!$K$200:$L$202,MATCH(G69,RéfLait!$J$200:$J$202,0),MATCH(G65,RéfLait!$K$199:$L$199,0))</f>
        <v>1</v>
      </c>
      <c r="I85" s="750">
        <f>INDEX(RéfLait!$K$200:$L$202,MATCH(I69,RéfLait!$J$200:$J$202,0),MATCH(I65,RéfLait!$K$199:$L$199,0))</f>
        <v>1</v>
      </c>
      <c r="K85" s="750">
        <f>INDEX(RéfLait!$K$200:$L$202,MATCH(K69,RéfLait!$J$200:$J$202,0),MATCH(K65,RéfLait!$K$199:$L$199,0))</f>
        <v>1</v>
      </c>
      <c r="M85" s="750">
        <f>INDEX(RéfLait!$K$200:$L$202,MATCH(M69,RéfLait!$J$200:$J$202,0),MATCH(M65,RéfLait!$K$199:$L$199,0))</f>
        <v>1</v>
      </c>
      <c r="O85" s="750">
        <f>INDEX(RéfLait!$K$200:$L$202,MATCH(O69,RéfLait!$J$200:$J$202,0),MATCH(O65,RéfLait!$K$199:$L$199,0))</f>
        <v>1</v>
      </c>
      <c r="Q85" s="750">
        <f>INDEX(RéfLait!$K$200:$L$202,MATCH(Q69,RéfLait!$J$200:$J$202,0),MATCH(Q65,RéfLait!$K$199:$L$199,0))</f>
        <v>1</v>
      </c>
    </row>
    <row r="86" spans="1:20">
      <c r="A86" s="402"/>
      <c r="B86" s="1515"/>
      <c r="C86" s="2173" t="s">
        <v>1302</v>
      </c>
      <c r="D86" s="2173"/>
      <c r="E86" s="1422" t="s">
        <v>224</v>
      </c>
      <c r="F86" s="614"/>
      <c r="G86" s="1324">
        <f>Champs!G106</f>
        <v>0</v>
      </c>
      <c r="I86" s="1324">
        <f>Champs!I106</f>
        <v>0</v>
      </c>
      <c r="K86" s="1324">
        <f>Champs!K106</f>
        <v>0</v>
      </c>
      <c r="M86" s="1324">
        <f>Champs!M106</f>
        <v>0</v>
      </c>
      <c r="O86" s="1324">
        <f>Champs!O106</f>
        <v>0</v>
      </c>
      <c r="Q86" s="1324">
        <f>Champs!Q106</f>
        <v>0</v>
      </c>
    </row>
    <row r="87" spans="1:20">
      <c r="A87" s="402"/>
      <c r="B87" s="287"/>
      <c r="C87" s="265"/>
      <c r="D87" s="285" t="s">
        <v>1389</v>
      </c>
      <c r="E87" s="1422" t="s">
        <v>224</v>
      </c>
      <c r="F87" s="614"/>
      <c r="G87" s="1325">
        <f>G86/G43</f>
        <v>0</v>
      </c>
      <c r="I87" s="1325">
        <f>I86/I43</f>
        <v>0</v>
      </c>
      <c r="K87" s="1325">
        <f>K86/K43</f>
        <v>0</v>
      </c>
      <c r="M87" s="1325">
        <f>M86/M43</f>
        <v>0</v>
      </c>
      <c r="O87" s="1325">
        <f>O86/O43</f>
        <v>0</v>
      </c>
      <c r="Q87" s="1325">
        <f>Q86/Q43</f>
        <v>0</v>
      </c>
      <c r="S87" s="1500">
        <v>0.13</v>
      </c>
    </row>
    <row r="88" spans="1:20">
      <c r="A88" s="402"/>
      <c r="B88" s="287"/>
      <c r="C88" s="265"/>
      <c r="D88" s="285" t="s">
        <v>1301</v>
      </c>
      <c r="E88" s="1422" t="s">
        <v>279</v>
      </c>
      <c r="F88" s="614"/>
      <c r="G88" s="750">
        <f>IF(G84=0,0,(G45*G70-(G71*0.88+G72*0.5+G73*0.35))/(G45*G70))</f>
        <v>0</v>
      </c>
      <c r="I88" s="750">
        <f>IF(I84=0,0,(I45*I70-(I71*0.88+I72*0.5+I73*0.35))/(I45*I70))</f>
        <v>0</v>
      </c>
      <c r="K88" s="750">
        <f>IF(K84=0,0,(K45*K70-(K71*0.88+K72*0.5+K73*0.35))/(K45*K70))</f>
        <v>0</v>
      </c>
      <c r="M88" s="750">
        <f>IF(M84=0,0,(M45*M70-(M71*0.88+M72*0.5+M73*0.35))/(M45*M70))</f>
        <v>0</v>
      </c>
      <c r="O88" s="750">
        <f>IF(O84=0,0,(O45*O70-(O71*0.88+O72*0.5+O73*0.35))/(O45*O70))</f>
        <v>0</v>
      </c>
      <c r="Q88" s="750">
        <f>IF(Q84=0,0,(Q45*Q70-(Q71*0.88+Q72*0.5+Q73*0.35))/(Q45*Q70))</f>
        <v>0</v>
      </c>
      <c r="S88" s="1321">
        <v>0.3</v>
      </c>
    </row>
    <row r="89" spans="1:20">
      <c r="F89" s="1500"/>
      <c r="G89" s="1500"/>
      <c r="I89" s="1500"/>
      <c r="O89" s="1325"/>
      <c r="T89" s="1500"/>
    </row>
    <row r="90" spans="1:20" ht="19.5" thickBot="1">
      <c r="A90" s="2077" t="s">
        <v>275</v>
      </c>
      <c r="B90" s="2" t="s">
        <v>383</v>
      </c>
      <c r="C90" s="2"/>
      <c r="D90" s="2"/>
      <c r="E90" s="1421"/>
      <c r="F90" s="613"/>
      <c r="G90" s="629"/>
      <c r="H90" s="2"/>
      <c r="I90" s="7"/>
      <c r="J90" s="2"/>
      <c r="K90" s="7"/>
      <c r="L90" s="2"/>
      <c r="M90" s="7"/>
      <c r="N90" s="7"/>
      <c r="O90" s="7"/>
      <c r="P90" s="7"/>
      <c r="Q90" s="104"/>
    </row>
    <row r="91" spans="1:20" s="453" customFormat="1" ht="15" thickTop="1">
      <c r="A91" s="1093"/>
      <c r="B91" s="451"/>
      <c r="E91" s="1430"/>
      <c r="F91" s="726"/>
      <c r="G91" s="726"/>
    </row>
    <row r="92" spans="1:20" hidden="1">
      <c r="A92" s="1091"/>
      <c r="B92" s="287"/>
      <c r="C92" s="2170" t="s">
        <v>638</v>
      </c>
      <c r="D92" s="2170"/>
      <c r="E92" s="1431"/>
      <c r="F92" s="614"/>
      <c r="G92" s="634">
        <f>365-G68</f>
        <v>365</v>
      </c>
      <c r="I92" s="634">
        <f>365-I68</f>
        <v>365</v>
      </c>
      <c r="J92" s="439"/>
      <c r="K92" s="634">
        <f>365-K68</f>
        <v>365</v>
      </c>
      <c r="L92" s="439"/>
      <c r="M92" s="634">
        <f>365-M68</f>
        <v>365</v>
      </c>
      <c r="N92" s="439"/>
      <c r="O92" s="634">
        <f>365-O68</f>
        <v>365</v>
      </c>
      <c r="P92" s="439"/>
      <c r="Q92" s="634">
        <f>365-Q68</f>
        <v>365</v>
      </c>
      <c r="S92" s="101"/>
      <c r="T92" s="697"/>
    </row>
    <row r="93" spans="1:20">
      <c r="A93" s="1091"/>
      <c r="B93" s="287"/>
      <c r="C93" s="2164" t="s">
        <v>22</v>
      </c>
      <c r="D93" s="2164"/>
      <c r="E93" s="1432"/>
      <c r="F93" s="614"/>
      <c r="G93" s="635">
        <v>33</v>
      </c>
      <c r="I93" s="1775">
        <f>G93</f>
        <v>33</v>
      </c>
      <c r="J93" s="1519"/>
      <c r="K93" s="1775">
        <f>I93</f>
        <v>33</v>
      </c>
      <c r="L93" s="1519"/>
      <c r="M93" s="1775">
        <f>K93</f>
        <v>33</v>
      </c>
      <c r="N93" s="1519"/>
      <c r="O93" s="1775">
        <f>M93</f>
        <v>33</v>
      </c>
      <c r="P93" s="1519"/>
      <c r="Q93" s="1775">
        <f>O93</f>
        <v>33</v>
      </c>
    </row>
    <row r="94" spans="1:20">
      <c r="A94" s="1091"/>
      <c r="B94" s="287"/>
      <c r="C94" s="2164" t="s">
        <v>19</v>
      </c>
      <c r="D94" s="2164"/>
      <c r="E94" s="1432"/>
      <c r="F94" s="614"/>
      <c r="G94" s="693" t="str">
        <f>IF(G26=RéfLait!$G$74,RéfLait!$F$7,RéfLait!$F$8)</f>
        <v>Moyenne</v>
      </c>
      <c r="I94" s="1776" t="str">
        <f>IF(I26=RéfLait!$G$74,RéfLait!$F$7,RéfLait!$F$8)</f>
        <v>Moyenne</v>
      </c>
      <c r="J94" s="1519"/>
      <c r="K94" s="1776" t="str">
        <f>IF(K26=RéfLait!$G$74,RéfLait!$F$7,RéfLait!$F$8)</f>
        <v>Moyenne</v>
      </c>
      <c r="L94" s="1519"/>
      <c r="M94" s="1776" t="str">
        <f>IF(M26=RéfLait!$G$74,RéfLait!$F$7,RéfLait!$F$8)</f>
        <v>Moyenne</v>
      </c>
      <c r="N94" s="1519"/>
      <c r="O94" s="1776" t="str">
        <f>IF(O26=RéfLait!$G$74,RéfLait!$F$7,RéfLait!$F$8)</f>
        <v>Moyenne</v>
      </c>
      <c r="P94" s="1519"/>
      <c r="Q94" s="1776" t="str">
        <f>IF(Q26=RéfLait!$G$74,RéfLait!$F$7,RéfLait!$F$8)</f>
        <v>Moyenne</v>
      </c>
    </row>
    <row r="95" spans="1:20" hidden="1">
      <c r="A95" s="1091"/>
      <c r="B95" s="294"/>
      <c r="C95" s="2166" t="s">
        <v>1323</v>
      </c>
      <c r="D95" s="2166"/>
      <c r="E95" s="1433" t="s">
        <v>1272</v>
      </c>
      <c r="F95" s="614"/>
      <c r="G95" s="636">
        <f>INDEX(RéfLait!$C$176:$G$193,MATCH(G93,RéfLait!$B$176:$B$193,0),MATCH(G94,RéfLait!$C$175:$G$175,0))</f>
        <v>2.0808000000000004E-2</v>
      </c>
      <c r="I95" s="703">
        <f>INDEX(RéfLait!$C$176:$G$193,MATCH(I93,RéfLait!$B$176:$B$193,0),MATCH(I94,RéfLait!$C$175:$G$175,0))</f>
        <v>2.0808000000000004E-2</v>
      </c>
      <c r="J95" s="1519"/>
      <c r="K95" s="703">
        <f>INDEX(RéfLait!$C$176:$G$193,MATCH(K93,RéfLait!$B$176:$B$193,0),MATCH(K94,RéfLait!$C$175:$G$175,0))</f>
        <v>2.0808000000000004E-2</v>
      </c>
      <c r="L95" s="1519"/>
      <c r="M95" s="703">
        <f>INDEX(RéfLait!$C$176:$G$193,MATCH(M93,RéfLait!$B$176:$B$193,0),MATCH(M94,RéfLait!$C$175:$G$175,0))</f>
        <v>2.0808000000000004E-2</v>
      </c>
      <c r="N95" s="1519"/>
      <c r="O95" s="703">
        <f>INDEX(RéfLait!$C$176:$G$193,MATCH(O93,RéfLait!$B$176:$B$193,0),MATCH(O94,RéfLait!$C$175:$G$175,0))</f>
        <v>2.0808000000000004E-2</v>
      </c>
      <c r="P95" s="1519"/>
      <c r="Q95" s="703">
        <f>INDEX(RéfLait!$C$176:$G$193,MATCH(Q93,RéfLait!$B$176:$B$193,0),MATCH(Q94,RéfLait!$C$175:$G$175,0))</f>
        <v>2.0808000000000004E-2</v>
      </c>
    </row>
    <row r="96" spans="1:20" hidden="1">
      <c r="A96" s="1091"/>
      <c r="B96" s="287"/>
      <c r="C96" s="2171" t="s">
        <v>642</v>
      </c>
      <c r="D96" s="2171"/>
      <c r="E96" s="1425" t="s">
        <v>1299</v>
      </c>
      <c r="F96" s="614"/>
      <c r="G96" s="637">
        <v>3</v>
      </c>
      <c r="I96" s="1778">
        <f>G96</f>
        <v>3</v>
      </c>
      <c r="J96" s="1519"/>
      <c r="K96" s="1778">
        <f>I96</f>
        <v>3</v>
      </c>
      <c r="L96" s="1519"/>
      <c r="M96" s="1778">
        <f>K96</f>
        <v>3</v>
      </c>
      <c r="N96" s="1519"/>
      <c r="O96" s="1778">
        <f>M96</f>
        <v>3</v>
      </c>
      <c r="P96" s="1519"/>
      <c r="Q96" s="1778">
        <f>O96</f>
        <v>3</v>
      </c>
    </row>
    <row r="97" spans="1:19" hidden="1">
      <c r="A97" s="1091"/>
      <c r="B97" s="287"/>
      <c r="C97" s="2166" t="s">
        <v>140</v>
      </c>
      <c r="D97" s="2166"/>
      <c r="E97" s="1425" t="s">
        <v>1299</v>
      </c>
      <c r="F97" s="614"/>
      <c r="G97" s="638">
        <f>G45*G95*HLOOKUP(G$25,Table_portion_fourrages,3,FALSE)/0.35</f>
        <v>8.8023785142857172</v>
      </c>
      <c r="I97" s="1778">
        <f>I45*I95*HLOOKUP(I$25,Table_portion_fourrages,3,FALSE)/0.35</f>
        <v>8.8023785142857172</v>
      </c>
      <c r="J97" s="1519"/>
      <c r="K97" s="1778">
        <f>K45*K95*HLOOKUP(K$25,Table_portion_fourrages,3,FALSE)/0.35</f>
        <v>8.8023785142857172</v>
      </c>
      <c r="L97" s="1519"/>
      <c r="M97" s="1778">
        <f>M45*M95*HLOOKUP(M$25,Table_portion_fourrages,3,FALSE)/0.35</f>
        <v>8.8023785142857172</v>
      </c>
      <c r="N97" s="1519"/>
      <c r="O97" s="1778">
        <f>O45*O95*HLOOKUP(O$25,Table_portion_fourrages,3,FALSE)/0.35</f>
        <v>8.8023785142857172</v>
      </c>
      <c r="P97" s="1519"/>
      <c r="Q97" s="1778">
        <f>Q45*Q95*HLOOKUP(Q$25,Table_portion_fourrages,3,FALSE)/0.35</f>
        <v>8.8023785142857172</v>
      </c>
    </row>
    <row r="98" spans="1:19" hidden="1">
      <c r="A98" s="1094"/>
      <c r="B98" s="287"/>
      <c r="C98" s="2171" t="s">
        <v>639</v>
      </c>
      <c r="D98" s="2171"/>
      <c r="E98" s="1434" t="s">
        <v>279</v>
      </c>
      <c r="F98" s="614"/>
      <c r="G98" s="639">
        <v>0.4</v>
      </c>
      <c r="I98" s="1762">
        <f>G98</f>
        <v>0.4</v>
      </c>
      <c r="J98" s="1519"/>
      <c r="K98" s="1762">
        <f>I98</f>
        <v>0.4</v>
      </c>
      <c r="L98" s="1519"/>
      <c r="M98" s="1762">
        <f>K98</f>
        <v>0.4</v>
      </c>
      <c r="N98" s="1519"/>
      <c r="O98" s="1762">
        <f>M98</f>
        <v>0.4</v>
      </c>
      <c r="P98" s="1519"/>
      <c r="Q98" s="1762">
        <f>O98</f>
        <v>0.4</v>
      </c>
    </row>
    <row r="99" spans="1:19" hidden="1">
      <c r="A99" s="1091"/>
      <c r="B99" s="287"/>
      <c r="C99" s="2166" t="s">
        <v>645</v>
      </c>
      <c r="D99" s="2166"/>
      <c r="E99" s="1435" t="s">
        <v>644</v>
      </c>
      <c r="F99" s="614"/>
      <c r="G99" s="640">
        <f>G45*G95-G96*0.88-G97*0.35</f>
        <v>8.282951520000001</v>
      </c>
      <c r="H99" s="539"/>
      <c r="I99" s="585">
        <f>I45*I95-I96*0.88-I97*0.35</f>
        <v>8.282951520000001</v>
      </c>
      <c r="J99" s="539"/>
      <c r="K99" s="585">
        <f>K45*K95-K96*0.88-K97*0.35</f>
        <v>8.282951520000001</v>
      </c>
      <c r="L99" s="539"/>
      <c r="M99" s="585">
        <f>M45*M95-M96*0.88-M97*0.35</f>
        <v>8.282951520000001</v>
      </c>
      <c r="N99" s="539"/>
      <c r="O99" s="585">
        <f>O45*O95-O96*0.88-O97*0.35</f>
        <v>8.282951520000001</v>
      </c>
      <c r="P99" s="539"/>
      <c r="Q99" s="585">
        <f>Q45*Q95-Q96*0.88-Q97*0.35</f>
        <v>8.282951520000001</v>
      </c>
    </row>
    <row r="100" spans="1:19" ht="25.5" hidden="1">
      <c r="A100" s="1095" t="s">
        <v>294</v>
      </c>
      <c r="B100" s="1514"/>
      <c r="C100" s="2166" t="s">
        <v>646</v>
      </c>
      <c r="D100" s="2166"/>
      <c r="E100" s="1435" t="s">
        <v>647</v>
      </c>
      <c r="F100" s="614"/>
      <c r="G100" s="640">
        <f>G96*0.88+G97*0.35*(1-G98)+G99</f>
        <v>12.771451008000001</v>
      </c>
      <c r="H100" s="539"/>
      <c r="I100" s="575">
        <f>I96*0.88+I97*0.35*(1-I98)+I99</f>
        <v>12.771451008000001</v>
      </c>
      <c r="J100" s="539"/>
      <c r="K100" s="575">
        <f>K96*0.88+K97*0.35*(1-K98)+K99</f>
        <v>12.771451008000001</v>
      </c>
      <c r="L100" s="539"/>
      <c r="M100" s="575">
        <f>M96*0.88+M97*0.35*(1-M98)+M99</f>
        <v>12.771451008000001</v>
      </c>
      <c r="N100" s="539"/>
      <c r="O100" s="575">
        <f>O96*0.88+O97*0.35*(1-O98)+O99</f>
        <v>12.771451008000001</v>
      </c>
      <c r="P100" s="539"/>
      <c r="Q100" s="575">
        <f>Q96*0.88+Q97*0.35*(1-Q98)+Q99</f>
        <v>12.771451008000001</v>
      </c>
    </row>
    <row r="101" spans="1:19" hidden="1">
      <c r="A101" s="1091"/>
      <c r="B101" s="287"/>
      <c r="C101" s="2169" t="s">
        <v>1392</v>
      </c>
      <c r="D101" s="2169"/>
      <c r="E101" s="1436" t="s">
        <v>648</v>
      </c>
      <c r="F101" s="614"/>
      <c r="G101" s="640">
        <f>G97*0.35*G98/0.85</f>
        <v>1.4498035200000003</v>
      </c>
      <c r="H101" s="1298"/>
      <c r="I101" s="575">
        <f>I97*0.35*I98/0.85</f>
        <v>1.4498035200000003</v>
      </c>
      <c r="J101" s="539"/>
      <c r="K101" s="575">
        <f>K97*0.35*K98/0.85</f>
        <v>1.4498035200000003</v>
      </c>
      <c r="L101" s="539"/>
      <c r="M101" s="575">
        <f>M97*0.35*M98/0.85</f>
        <v>1.4498035200000003</v>
      </c>
      <c r="N101" s="539"/>
      <c r="O101" s="575">
        <f>O97*0.35*O98/0.85</f>
        <v>1.4498035200000003</v>
      </c>
      <c r="P101" s="539"/>
      <c r="Q101" s="575">
        <f>Q97*0.35*Q98/0.85</f>
        <v>1.4498035200000003</v>
      </c>
      <c r="R101" s="100"/>
    </row>
    <row r="102" spans="1:19" hidden="1">
      <c r="A102" s="1091"/>
      <c r="B102" s="287"/>
      <c r="C102" s="2170" t="s">
        <v>640</v>
      </c>
      <c r="D102" s="2170"/>
      <c r="E102" s="1434" t="s">
        <v>1393</v>
      </c>
      <c r="F102" s="614"/>
      <c r="G102" s="626">
        <f>365-G78</f>
        <v>365</v>
      </c>
      <c r="H102" s="539"/>
      <c r="I102" s="626">
        <f>365-I78</f>
        <v>365</v>
      </c>
      <c r="J102" s="539"/>
      <c r="K102" s="626">
        <f>365-K78</f>
        <v>365</v>
      </c>
      <c r="L102" s="539"/>
      <c r="M102" s="626">
        <f>365-M78</f>
        <v>365</v>
      </c>
      <c r="N102" s="539"/>
      <c r="O102" s="626">
        <f>365-O78</f>
        <v>365</v>
      </c>
      <c r="P102" s="539"/>
      <c r="Q102" s="626">
        <f>365-Q78</f>
        <v>365</v>
      </c>
      <c r="R102" s="100"/>
      <c r="S102" s="101"/>
    </row>
    <row r="103" spans="1:19" hidden="1">
      <c r="A103" s="1091"/>
      <c r="B103" s="294"/>
      <c r="C103" s="2168" t="s">
        <v>1324</v>
      </c>
      <c r="D103" s="2168"/>
      <c r="E103" s="1433" t="s">
        <v>1272</v>
      </c>
      <c r="F103" s="614"/>
      <c r="G103" s="641">
        <f>G95</f>
        <v>2.0808000000000004E-2</v>
      </c>
      <c r="H103" s="539"/>
      <c r="I103" s="586">
        <f>I95</f>
        <v>2.0808000000000004E-2</v>
      </c>
      <c r="J103" s="539"/>
      <c r="K103" s="586">
        <f>K95</f>
        <v>2.0808000000000004E-2</v>
      </c>
      <c r="L103" s="539"/>
      <c r="M103" s="586">
        <f>M95</f>
        <v>2.0808000000000004E-2</v>
      </c>
      <c r="N103" s="539"/>
      <c r="O103" s="586">
        <f>O95</f>
        <v>2.0808000000000004E-2</v>
      </c>
      <c r="P103" s="539"/>
      <c r="Q103" s="586">
        <f>Q95</f>
        <v>2.0808000000000004E-2</v>
      </c>
      <c r="S103" s="100"/>
    </row>
    <row r="104" spans="1:19" hidden="1">
      <c r="A104" s="1091"/>
      <c r="B104" s="287"/>
      <c r="C104" s="2171" t="s">
        <v>642</v>
      </c>
      <c r="D104" s="2171"/>
      <c r="E104" s="1425" t="s">
        <v>1299</v>
      </c>
      <c r="F104" s="614"/>
      <c r="G104" s="642">
        <v>3</v>
      </c>
      <c r="H104" s="539"/>
      <c r="I104" s="1777">
        <f>G104</f>
        <v>3</v>
      </c>
      <c r="J104" s="570"/>
      <c r="K104" s="1778">
        <f>I104</f>
        <v>3</v>
      </c>
      <c r="L104" s="570"/>
      <c r="M104" s="1778">
        <f>K104</f>
        <v>3</v>
      </c>
      <c r="N104" s="570"/>
      <c r="O104" s="1778">
        <f>M104</f>
        <v>3</v>
      </c>
      <c r="P104" s="570"/>
      <c r="Q104" s="1778">
        <f>O104</f>
        <v>3</v>
      </c>
    </row>
    <row r="105" spans="1:19" hidden="1">
      <c r="A105" s="1091"/>
      <c r="B105" s="287"/>
      <c r="C105" s="2166" t="s">
        <v>140</v>
      </c>
      <c r="D105" s="2166"/>
      <c r="E105" s="1425" t="s">
        <v>1299</v>
      </c>
      <c r="F105" s="614"/>
      <c r="G105" s="642">
        <v>0</v>
      </c>
      <c r="H105" s="539"/>
      <c r="I105" s="1778">
        <f>G105</f>
        <v>0</v>
      </c>
      <c r="J105" s="570"/>
      <c r="K105" s="1760">
        <f>I105</f>
        <v>0</v>
      </c>
      <c r="L105" s="570"/>
      <c r="M105" s="1760">
        <f>K105</f>
        <v>0</v>
      </c>
      <c r="N105" s="570"/>
      <c r="O105" s="1760">
        <f>M105</f>
        <v>0</v>
      </c>
      <c r="P105" s="570"/>
      <c r="Q105" s="1760">
        <f>O105</f>
        <v>0</v>
      </c>
    </row>
    <row r="106" spans="1:19" hidden="1">
      <c r="A106" s="1091"/>
      <c r="B106" s="287"/>
      <c r="C106" s="2166" t="s">
        <v>643</v>
      </c>
      <c r="D106" s="2166"/>
      <c r="E106" s="1435" t="s">
        <v>644</v>
      </c>
      <c r="F106" s="614"/>
      <c r="G106" s="640">
        <f>G45*0.6*G103-G104*0.88-G105*0.35</f>
        <v>5.7622704000000002</v>
      </c>
      <c r="H106" s="539"/>
      <c r="I106" s="585">
        <f>I45*0.6*I103-I104*0.88-I105*0.35</f>
        <v>5.7622704000000002</v>
      </c>
      <c r="J106" s="570"/>
      <c r="K106" s="585">
        <f>K45*0.6*K103-K104*0.88-K105*0.35</f>
        <v>5.7622704000000002</v>
      </c>
      <c r="L106" s="570"/>
      <c r="M106" s="585">
        <f>M45*0.6*M103-M104*0.88-M105*0.35</f>
        <v>5.7622704000000002</v>
      </c>
      <c r="N106" s="570"/>
      <c r="O106" s="585">
        <f>O45*0.6*O103-O104*0.88-O105*0.35</f>
        <v>5.7622704000000002</v>
      </c>
      <c r="P106" s="570"/>
      <c r="Q106" s="585">
        <f>Q45*0.6*Q103-Q104*0.88-Q105*0.35</f>
        <v>5.7622704000000002</v>
      </c>
    </row>
    <row r="107" spans="1:19" s="453" customFormat="1" hidden="1">
      <c r="A107" s="1093"/>
      <c r="E107" s="1363"/>
      <c r="F107" s="726"/>
      <c r="G107" s="726"/>
      <c r="I107" s="726"/>
      <c r="J107" s="726"/>
      <c r="K107" s="726"/>
      <c r="L107" s="726"/>
      <c r="M107" s="726"/>
      <c r="N107" s="726"/>
      <c r="O107" s="726"/>
      <c r="P107" s="726"/>
      <c r="Q107" s="726"/>
    </row>
    <row r="108" spans="1:19" hidden="1">
      <c r="A108" s="1091"/>
      <c r="B108" s="287"/>
      <c r="C108" s="2167" t="s">
        <v>1394</v>
      </c>
      <c r="D108" s="2167"/>
      <c r="E108" s="1424"/>
      <c r="F108" s="614"/>
      <c r="G108" s="670">
        <v>0.1</v>
      </c>
      <c r="H108" s="539"/>
      <c r="I108" s="1763">
        <f>G108</f>
        <v>0.1</v>
      </c>
      <c r="J108" s="570"/>
      <c r="K108" s="1763">
        <f>I108</f>
        <v>0.1</v>
      </c>
      <c r="L108" s="570"/>
      <c r="M108" s="1763">
        <f>K108</f>
        <v>0.1</v>
      </c>
      <c r="N108" s="570"/>
      <c r="O108" s="1763">
        <f>M108</f>
        <v>0.1</v>
      </c>
      <c r="P108" s="570"/>
      <c r="Q108" s="1763">
        <f>O108</f>
        <v>0.1</v>
      </c>
    </row>
    <row r="109" spans="1:19" hidden="1">
      <c r="A109" s="1091"/>
      <c r="B109" s="287"/>
      <c r="C109" s="265"/>
      <c r="D109" s="293" t="s">
        <v>641</v>
      </c>
      <c r="E109" s="1422"/>
      <c r="F109" s="614"/>
      <c r="G109" s="670">
        <v>0.05</v>
      </c>
      <c r="H109" s="539"/>
      <c r="I109" s="1763">
        <f>G109</f>
        <v>0.05</v>
      </c>
      <c r="J109" s="570"/>
      <c r="K109" s="1763">
        <f>I109</f>
        <v>0.05</v>
      </c>
      <c r="L109" s="570"/>
      <c r="M109" s="1763">
        <f>K109</f>
        <v>0.05</v>
      </c>
      <c r="N109" s="570"/>
      <c r="O109" s="1763">
        <f>M109</f>
        <v>0.05</v>
      </c>
      <c r="P109" s="570"/>
      <c r="Q109" s="1763">
        <f>O109</f>
        <v>0.05</v>
      </c>
    </row>
    <row r="110" spans="1:19" s="453" customFormat="1" hidden="1">
      <c r="A110" s="1093"/>
      <c r="E110" s="1363"/>
      <c r="F110" s="726"/>
      <c r="G110" s="726"/>
    </row>
    <row r="111" spans="1:19">
      <c r="A111" s="1579" t="s">
        <v>142</v>
      </c>
      <c r="B111" s="397"/>
      <c r="C111" s="398"/>
      <c r="D111" s="399" t="s">
        <v>911</v>
      </c>
      <c r="E111" s="1429" t="s">
        <v>624</v>
      </c>
      <c r="F111" s="614"/>
      <c r="G111" s="626">
        <f>(((G71*G68+G96*G92)/1000*0.88+(G72*0.5*G68+G99*G92)/1000)*G43+(G81*G78+G104*G102)/1000*0.88+(G82*0.5*G78+G106*G102)/1000*G61)*(1+G108+G109)</f>
        <v>391.49466038360009</v>
      </c>
      <c r="H111" s="539"/>
      <c r="I111" s="626">
        <f>(((I71*I68+I96*I92)/1000*0.88+(I72*0.5*I68+I99*I92)/1000)*I43+(I81*I78+I104*I102)/1000*0.88+(I82*0.5*I78+I106*I102)/1000*I61)*(1+I108+I109)</f>
        <v>391.49466038360009</v>
      </c>
      <c r="J111" s="539"/>
      <c r="K111" s="626">
        <f>(((K71*K68+K96*K92)/1000*0.88+(K72*0.5*K68+K99*K92)/1000)*K43+(K81*K78+K104*K102)/1000*0.88+(K82*0.5*K78+K106*K102)/1000*K61)*(1+K108+K109)</f>
        <v>391.49466038360009</v>
      </c>
      <c r="L111" s="539"/>
      <c r="M111" s="626">
        <f>(((M71*M68+M96*M92)/1000*0.88+(M72*0.5*M68+M99*M92)/1000)*M43+(M81*M78+M104*M102)/1000*0.88+(M82*0.5*M78+M106*M102)/1000*M61)*(1+M108+M109)</f>
        <v>391.49466038360009</v>
      </c>
      <c r="N111" s="539"/>
      <c r="O111" s="626">
        <f>(((O71*O68+O96*O92)/1000*0.88+(O72*0.5*O68+O99*O92)/1000)*O43+(O81*O78+O104*O102)/1000*0.88+(O82*0.5*O78+O106*O102)/1000*O61)*(1+O108+O109)</f>
        <v>391.49466038360009</v>
      </c>
      <c r="P111" s="539"/>
      <c r="Q111" s="626">
        <f>(((Q71*Q68+Q96*Q92)/1000*0.88+(Q72*0.5*Q68+Q99*Q92)/1000)*Q43+(Q81*Q78+Q104*Q102)/1000*0.88+(Q82*0.5*Q78+Q106*Q102)/1000*Q61)*(1+Q108+Q109)</f>
        <v>391.49466038360009</v>
      </c>
      <c r="S111" s="93" t="s">
        <v>381</v>
      </c>
    </row>
    <row r="112" spans="1:19">
      <c r="A112" s="1579" t="s">
        <v>140</v>
      </c>
      <c r="B112" s="397"/>
      <c r="C112" s="398"/>
      <c r="D112" s="399" t="s">
        <v>912</v>
      </c>
      <c r="E112" s="1429" t="s">
        <v>624</v>
      </c>
      <c r="F112" s="614"/>
      <c r="G112" s="626">
        <f>((G73*0.35*G68+G97*0.35*G92)/1000*G43+(G105*0.35*G102)/1000*G61)*(1+G108+G109)</f>
        <v>77.590766008800031</v>
      </c>
      <c r="H112" s="539"/>
      <c r="I112" s="626">
        <f>((I73*0.35*I68+I97*0.35*I92)/1000*I43+(I105*0.35*I102)/1000*I61)*(1+I108+I109)</f>
        <v>77.590766008800031</v>
      </c>
      <c r="J112" s="539"/>
      <c r="K112" s="626">
        <f>((K73*0.35*K68+K97*0.35*K92)/1000*K43+(K105*0.35*K102)/1000*K61)*(1+K108+K109)</f>
        <v>77.590766008800031</v>
      </c>
      <c r="L112" s="539"/>
      <c r="M112" s="626">
        <f>((M73*0.35*M68+M97*0.35*M92)/1000*M43+(M105*0.35*M102)/1000*M61)*(1+M108+M109)</f>
        <v>77.590766008800031</v>
      </c>
      <c r="N112" s="539"/>
      <c r="O112" s="626">
        <f>((O73*0.35*O68+O97*0.35*O92)/1000*O43+(O105*0.35*O102)/1000*O61)*(1+O108+O109)</f>
        <v>77.590766008800031</v>
      </c>
      <c r="P112" s="539"/>
      <c r="Q112" s="626">
        <f>((Q73*0.35*Q68+Q97*0.35*Q92)/1000*Q43+(Q105*0.35*Q102)/1000*Q61)*(1+Q108+Q109)</f>
        <v>77.590766008800031</v>
      </c>
      <c r="S112" s="93" t="s">
        <v>380</v>
      </c>
    </row>
    <row r="113" spans="1:20">
      <c r="A113" s="1091"/>
      <c r="B113" s="305"/>
      <c r="E113" s="1420"/>
      <c r="F113" s="614"/>
      <c r="G113" s="642"/>
      <c r="H113" s="539"/>
      <c r="I113" s="539"/>
      <c r="J113" s="539"/>
      <c r="K113" s="539"/>
      <c r="L113" s="539"/>
      <c r="M113" s="539"/>
      <c r="N113" s="539"/>
      <c r="O113" s="539"/>
      <c r="P113" s="539"/>
      <c r="Q113" s="539"/>
    </row>
    <row r="114" spans="1:20" ht="19.5" thickBot="1">
      <c r="A114" s="2077" t="s">
        <v>275</v>
      </c>
      <c r="B114" s="2" t="s">
        <v>379</v>
      </c>
      <c r="C114" s="2"/>
      <c r="D114" s="2"/>
      <c r="E114" s="1421"/>
      <c r="F114" s="613"/>
      <c r="G114" s="645"/>
      <c r="H114" s="542"/>
      <c r="I114" s="543"/>
      <c r="J114" s="542"/>
      <c r="K114" s="543"/>
      <c r="L114" s="542"/>
      <c r="M114" s="521"/>
      <c r="N114" s="521"/>
      <c r="O114" s="482"/>
      <c r="P114" s="543"/>
      <c r="Q114" s="543"/>
    </row>
    <row r="115" spans="1:20" s="453" customFormat="1" ht="15" thickTop="1">
      <c r="A115" s="1093"/>
      <c r="B115" s="451"/>
      <c r="E115" s="1430"/>
      <c r="F115" s="726"/>
      <c r="G115" s="727"/>
      <c r="H115" s="569"/>
      <c r="I115" s="569"/>
      <c r="J115" s="569"/>
      <c r="K115" s="569"/>
      <c r="L115" s="569"/>
      <c r="M115" s="569"/>
      <c r="N115" s="569"/>
      <c r="O115" s="569"/>
      <c r="P115" s="569"/>
      <c r="Q115" s="569"/>
    </row>
    <row r="116" spans="1:20" hidden="1">
      <c r="A116" s="474" t="s">
        <v>1164</v>
      </c>
      <c r="B116" s="347"/>
      <c r="C116" s="348" t="s">
        <v>1396</v>
      </c>
      <c r="D116" s="348"/>
      <c r="E116" s="1437"/>
      <c r="F116" s="614"/>
      <c r="G116" s="646">
        <f>IF(G$25=RéfLait!$A$6,IF(G$26=RéfLait!$O$104,HLOOKUP(G$26,perfo_bio,20,FALSE),HLOOKUP(G$26,perfo_bio,20,FALSE)),IF(G$24=RéfLait!$F$74,HLOOKUP(IF(G$26=RéfLait!$O$104,RéfLait!$F$74,G$26),perfo_race_convent,20,FALSE),HLOOKUP(G$24,perfo_race_convent,20,FALSE)))*INDEX(RéfLait!$K$176:$O$193,MATCH(G93,RéfLait!$J$176:$J$193,0),MATCH(G94,RéfLait!$K$175:$O$175,0))-IF(G26=RéfLait!$I$74,IF(G25=RéfLait!$A$7,0.17,0.23),0)</f>
        <v>3.253814432989691</v>
      </c>
      <c r="H116" s="539"/>
      <c r="I116" s="544">
        <f>IF(I$25=RéfLait!$A$6,IF(I$26=RéfLait!$O$104,HLOOKUP(I$26,perfo_bio,20,FALSE),HLOOKUP(I$26,perfo_bio,20,FALSE)),IF(I$24=RéfLait!$F$74,HLOOKUP(IF(I$26=RéfLait!$O$104,RéfLait!$F$74,I$26),perfo_race_convent,20,FALSE),HLOOKUP(I$24,perfo_race_convent,20,FALSE)))*INDEX(RéfLait!$K$176:$O$193,MATCH(I93,RéfLait!$J$176:$J$193,0),MATCH(I94,RéfLait!$K$175:$O$175,0))-IF(I26=RéfLait!$I$74,IF(I25=RéfLait!$A$7,0.17,0.23),0)</f>
        <v>3.253814432989691</v>
      </c>
      <c r="J116" s="539"/>
      <c r="K116" s="544">
        <f>IF(K$25=RéfLait!$A$6,IF(K$26=RéfLait!$O$104,HLOOKUP(K$26,perfo_bio,20,FALSE),HLOOKUP(K$26,perfo_bio,20,FALSE)),IF(K$24=RéfLait!$F$74,HLOOKUP(IF(K$26=RéfLait!$O$104,RéfLait!$F$74,K$26),perfo_race_convent,20,FALSE),HLOOKUP(K$24,perfo_race_convent,20,FALSE)))*INDEX(RéfLait!$K$176:$O$193,MATCH(K93,RéfLait!$J$176:$J$193,0),MATCH(K94,RéfLait!$K$175:$O$175,0))-IF(K26=RéfLait!$I$74,IF(K25=RéfLait!$A$7,0.17,0.23),0)</f>
        <v>3.253814432989691</v>
      </c>
      <c r="L116" s="539"/>
      <c r="M116" s="544">
        <f>IF(M$25=RéfLait!$A$6,IF(M$26=RéfLait!$O$104,HLOOKUP(M$26,perfo_bio,20,FALSE),HLOOKUP(M$26,perfo_bio,20,FALSE)),IF(M$24=RéfLait!$F$74,HLOOKUP(IF(M$26=RéfLait!$O$104,RéfLait!$F$74,M$26),perfo_race_convent,20,FALSE),HLOOKUP(M$24,perfo_race_convent,20,FALSE)))*INDEX(RéfLait!$K$176:$O$193,MATCH(M93,RéfLait!$J$176:$J$193,0),MATCH(M94,RéfLait!$K$175:$O$175,0))-IF(M26=RéfLait!$I$74,IF(M25=RéfLait!$A$7,0.17,0.23),0)</f>
        <v>3.253814432989691</v>
      </c>
      <c r="N116" s="539"/>
      <c r="O116" s="544">
        <f>IF(O$25=RéfLait!$A$6,IF(O$26=RéfLait!$O$104,HLOOKUP(O$26,perfo_bio,20,FALSE),HLOOKUP(O$26,perfo_bio,20,FALSE)),IF(O$24=RéfLait!$F$74,HLOOKUP(IF(O$26=RéfLait!$O$104,RéfLait!$F$74,O$26),perfo_race_convent,20,FALSE),HLOOKUP(O$24,perfo_race_convent,20,FALSE)))*INDEX(RéfLait!$K$176:$O$193,MATCH(O93,RéfLait!$J$176:$J$193,0),MATCH(O94,RéfLait!$K$175:$O$175,0))-IF(O26=RéfLait!$I$74,IF(O25=RéfLait!$A$7,0.17,0.23),0)</f>
        <v>3.253814432989691</v>
      </c>
      <c r="P116" s="539"/>
      <c r="Q116" s="544">
        <f>IF(Q$25=RéfLait!$A$6,IF(Q$26=RéfLait!$O$104,HLOOKUP(Q$26,perfo_bio,20,FALSE),HLOOKUP(Q$26,perfo_bio,20,FALSE)),IF(Q$24=RéfLait!$F$74,HLOOKUP(IF(Q$26=RéfLait!$O$104,RéfLait!$F$74,Q$26),perfo_race_convent,20,FALSE),HLOOKUP(Q$24,perfo_race_convent,20,FALSE)))*INDEX(RéfLait!$K$176:$O$193,MATCH(Q93,RéfLait!$J$176:$J$193,0),MATCH(Q94,RéfLait!$K$175:$O$175,0))-IF(Q26=RéfLait!$I$74,IF(Q25=RéfLait!$A$7,0.17,0.23),0)</f>
        <v>3.253814432989691</v>
      </c>
    </row>
    <row r="117" spans="1:20">
      <c r="A117" s="1091"/>
      <c r="B117" s="287"/>
      <c r="C117" s="265"/>
      <c r="D117" s="296" t="s">
        <v>1019</v>
      </c>
      <c r="E117" s="1422"/>
      <c r="F117" s="614"/>
      <c r="G117" s="647">
        <f>(G276+G277+G278)*1.03/(G151*1000)</f>
        <v>3.2538156680192554</v>
      </c>
      <c r="H117" s="595"/>
      <c r="I117" s="596">
        <f>(I276+I277+I278)*1.03/(I151*1000)</f>
        <v>3.2538156680192554</v>
      </c>
      <c r="J117" s="595"/>
      <c r="K117" s="596">
        <f>(K276+K277+K278)*1.03/(K151*1000)</f>
        <v>3.2538156680192554</v>
      </c>
      <c r="L117" s="595"/>
      <c r="M117" s="596">
        <f>(M276+M277+M278)*1.03/(M151*1000)</f>
        <v>3.2538156680192554</v>
      </c>
      <c r="N117" s="595"/>
      <c r="O117" s="596">
        <f>(O276+O277+O278)*1.03/(O151*1000)</f>
        <v>3.2538156680192554</v>
      </c>
      <c r="P117" s="595"/>
      <c r="Q117" s="596">
        <f>(Q276+Q277+Q278)*1.03/(Q151*1000)</f>
        <v>3.2538156680192554</v>
      </c>
    </row>
    <row r="118" spans="1:20" hidden="1">
      <c r="A118" s="1091"/>
      <c r="B118" s="287"/>
      <c r="C118" s="265"/>
      <c r="D118" s="296" t="s">
        <v>1395</v>
      </c>
      <c r="E118" s="1422" t="s">
        <v>804</v>
      </c>
      <c r="F118" s="614"/>
      <c r="G118" s="640">
        <f>G119*G45</f>
        <v>22.120728191989137</v>
      </c>
      <c r="H118" s="539"/>
      <c r="I118" s="587">
        <f>I119*I45</f>
        <v>22.120728191989137</v>
      </c>
      <c r="J118" s="539"/>
      <c r="K118" s="587">
        <f>K119*K45</f>
        <v>22.120728191989137</v>
      </c>
      <c r="L118" s="539"/>
      <c r="M118" s="587">
        <f>M119*M45</f>
        <v>22.120728191989137</v>
      </c>
      <c r="N118" s="539"/>
      <c r="O118" s="587">
        <f>O119*O45</f>
        <v>22.120728191989137</v>
      </c>
      <c r="P118" s="539"/>
      <c r="Q118" s="587">
        <f>Q119*Q45</f>
        <v>22.120728191989137</v>
      </c>
    </row>
    <row r="119" spans="1:20" hidden="1">
      <c r="A119" s="1091"/>
      <c r="B119" s="287"/>
      <c r="C119" s="265"/>
      <c r="D119" s="296" t="s">
        <v>1395</v>
      </c>
      <c r="E119" s="1422" t="s">
        <v>803</v>
      </c>
      <c r="F119" s="614"/>
      <c r="G119" s="641">
        <f>SUM(G120:G138,G140,G142,G144,G146/1000,G148/365*G149)*0.88/G45+(G95*G92+G70*G68)/365</f>
        <v>3.2868838323906593E-2</v>
      </c>
      <c r="H119" s="539"/>
      <c r="I119" s="641">
        <f>SUM(I120:I138,I140,I142,I144,I146/1000,I148/365*I149)*0.88/I45+(I95*I92+I70*I68)/365</f>
        <v>3.2868838323906593E-2</v>
      </c>
      <c r="J119" s="539"/>
      <c r="K119" s="641">
        <f>SUM(K120:K138,K140,K142,K144,K146/1000,K148/365*K149)*0.88/K45+(K95*K92+K70*K68)/365</f>
        <v>3.2868838323906593E-2</v>
      </c>
      <c r="L119" s="539"/>
      <c r="M119" s="641">
        <f>SUM(M120:M138,M140,M142,M144,M146/1000,M148/365*M149)*0.88/M45+(M95*M92+M70*M68)/365</f>
        <v>3.2868838323906593E-2</v>
      </c>
      <c r="N119" s="539"/>
      <c r="O119" s="641">
        <f>SUM(O120:O138,O140,O142,O144,O146/1000,O148/365*O149)*0.88/O45+(O95*O92+O70*O68)/365</f>
        <v>3.2868838323906593E-2</v>
      </c>
      <c r="P119" s="539"/>
      <c r="Q119" s="641">
        <f>SUM(Q120:Q138,Q140,Q142,Q144,Q146/1000,Q148/365*Q149)*0.88/Q45+(Q95*Q92+Q70*Q68)/365</f>
        <v>3.2868838323906593E-2</v>
      </c>
    </row>
    <row r="120" spans="1:20" hidden="1">
      <c r="A120" s="1579" t="s">
        <v>11</v>
      </c>
      <c r="B120" s="397"/>
      <c r="C120" s="398"/>
      <c r="D120" s="399" t="s">
        <v>789</v>
      </c>
      <c r="E120" s="1429" t="s">
        <v>626</v>
      </c>
      <c r="F120" s="614"/>
      <c r="G120" s="648">
        <v>0</v>
      </c>
      <c r="H120" s="594"/>
      <c r="I120" s="1778">
        <f t="shared" ref="I120:I137" si="5">G120</f>
        <v>0</v>
      </c>
      <c r="J120" s="570"/>
      <c r="K120" s="1778">
        <f t="shared" ref="K120:K137" si="6">I120</f>
        <v>0</v>
      </c>
      <c r="L120" s="570"/>
      <c r="M120" s="1778">
        <f t="shared" ref="M120:M137" si="7">K120</f>
        <v>0</v>
      </c>
      <c r="N120" s="570"/>
      <c r="O120" s="1778">
        <f t="shared" ref="O120:O137" si="8">M120</f>
        <v>0</v>
      </c>
      <c r="P120" s="570"/>
      <c r="Q120" s="1778">
        <f t="shared" ref="Q120:Q137" si="9">O120</f>
        <v>0</v>
      </c>
      <c r="R120" s="447"/>
      <c r="S120" s="286" t="s">
        <v>876</v>
      </c>
      <c r="T120" s="698"/>
    </row>
    <row r="121" spans="1:20" hidden="1">
      <c r="A121" s="1579" t="s">
        <v>0</v>
      </c>
      <c r="B121" s="397"/>
      <c r="C121" s="398"/>
      <c r="D121" s="399" t="s">
        <v>776</v>
      </c>
      <c r="E121" s="1429" t="s">
        <v>626</v>
      </c>
      <c r="F121" s="614"/>
      <c r="G121" s="648">
        <v>0</v>
      </c>
      <c r="H121" s="594"/>
      <c r="I121" s="1778">
        <f t="shared" si="5"/>
        <v>0</v>
      </c>
      <c r="J121" s="570"/>
      <c r="K121" s="1778">
        <f t="shared" si="6"/>
        <v>0</v>
      </c>
      <c r="L121" s="570"/>
      <c r="M121" s="1778">
        <f t="shared" si="7"/>
        <v>0</v>
      </c>
      <c r="N121" s="570"/>
      <c r="O121" s="1778">
        <f t="shared" si="8"/>
        <v>0</v>
      </c>
      <c r="P121" s="570"/>
      <c r="Q121" s="1778">
        <f t="shared" si="9"/>
        <v>0</v>
      </c>
      <c r="R121" s="447"/>
      <c r="S121" s="447"/>
      <c r="T121" s="698"/>
    </row>
    <row r="122" spans="1:20" hidden="1">
      <c r="A122" s="1579" t="s">
        <v>140</v>
      </c>
      <c r="B122" s="397"/>
      <c r="C122" s="398"/>
      <c r="D122" s="399" t="s">
        <v>777</v>
      </c>
      <c r="E122" s="1429" t="s">
        <v>626</v>
      </c>
      <c r="F122" s="614"/>
      <c r="G122" s="648">
        <v>0</v>
      </c>
      <c r="H122" s="594"/>
      <c r="I122" s="1778">
        <f t="shared" si="5"/>
        <v>0</v>
      </c>
      <c r="J122" s="570"/>
      <c r="K122" s="1778">
        <f t="shared" si="6"/>
        <v>0</v>
      </c>
      <c r="L122" s="570"/>
      <c r="M122" s="1778">
        <f t="shared" si="7"/>
        <v>0</v>
      </c>
      <c r="N122" s="570"/>
      <c r="O122" s="1778">
        <f t="shared" si="8"/>
        <v>0</v>
      </c>
      <c r="P122" s="570"/>
      <c r="Q122" s="1778">
        <f t="shared" si="9"/>
        <v>0</v>
      </c>
      <c r="R122" s="447"/>
      <c r="S122" s="447"/>
      <c r="T122" s="698"/>
    </row>
    <row r="123" spans="1:20" hidden="1">
      <c r="A123" s="1579" t="s">
        <v>1</v>
      </c>
      <c r="B123" s="397"/>
      <c r="C123" s="398"/>
      <c r="D123" s="399" t="s">
        <v>778</v>
      </c>
      <c r="E123" s="1429" t="s">
        <v>626</v>
      </c>
      <c r="F123" s="614"/>
      <c r="G123" s="648">
        <v>0</v>
      </c>
      <c r="H123" s="594"/>
      <c r="I123" s="1778">
        <f t="shared" si="5"/>
        <v>0</v>
      </c>
      <c r="J123" s="570"/>
      <c r="K123" s="1778">
        <f t="shared" si="6"/>
        <v>0</v>
      </c>
      <c r="L123" s="570"/>
      <c r="M123" s="1778">
        <f t="shared" si="7"/>
        <v>0</v>
      </c>
      <c r="N123" s="570"/>
      <c r="O123" s="1778">
        <f t="shared" si="8"/>
        <v>0</v>
      </c>
      <c r="P123" s="570"/>
      <c r="Q123" s="1778">
        <f t="shared" si="9"/>
        <v>0</v>
      </c>
      <c r="R123" s="447"/>
      <c r="S123" s="447"/>
      <c r="T123" s="698"/>
    </row>
    <row r="124" spans="1:20" hidden="1">
      <c r="A124" s="1579" t="s">
        <v>3</v>
      </c>
      <c r="B124" s="397"/>
      <c r="C124" s="398"/>
      <c r="D124" s="399" t="s">
        <v>779</v>
      </c>
      <c r="E124" s="1429" t="s">
        <v>626</v>
      </c>
      <c r="F124" s="614"/>
      <c r="G124" s="648">
        <v>0</v>
      </c>
      <c r="H124" s="594"/>
      <c r="I124" s="1778">
        <f t="shared" si="5"/>
        <v>0</v>
      </c>
      <c r="J124" s="570"/>
      <c r="K124" s="1778">
        <f t="shared" si="6"/>
        <v>0</v>
      </c>
      <c r="L124" s="570"/>
      <c r="M124" s="1778">
        <f t="shared" si="7"/>
        <v>0</v>
      </c>
      <c r="N124" s="570"/>
      <c r="O124" s="1778">
        <f t="shared" si="8"/>
        <v>0</v>
      </c>
      <c r="P124" s="570"/>
      <c r="Q124" s="1778">
        <f t="shared" si="9"/>
        <v>0</v>
      </c>
      <c r="R124" s="447"/>
      <c r="S124" s="447"/>
      <c r="T124" s="698"/>
    </row>
    <row r="125" spans="1:20" hidden="1">
      <c r="A125" s="1579" t="s">
        <v>4</v>
      </c>
      <c r="B125" s="397"/>
      <c r="C125" s="398"/>
      <c r="D125" s="399" t="s">
        <v>780</v>
      </c>
      <c r="E125" s="1429" t="s">
        <v>626</v>
      </c>
      <c r="F125" s="614"/>
      <c r="G125" s="648">
        <v>0</v>
      </c>
      <c r="H125" s="594"/>
      <c r="I125" s="1778">
        <f t="shared" si="5"/>
        <v>0</v>
      </c>
      <c r="J125" s="570"/>
      <c r="K125" s="1778">
        <f t="shared" si="6"/>
        <v>0</v>
      </c>
      <c r="L125" s="570"/>
      <c r="M125" s="1778">
        <f t="shared" si="7"/>
        <v>0</v>
      </c>
      <c r="N125" s="570"/>
      <c r="O125" s="1778">
        <f t="shared" si="8"/>
        <v>0</v>
      </c>
      <c r="P125" s="570"/>
      <c r="Q125" s="1778">
        <f t="shared" si="9"/>
        <v>0</v>
      </c>
      <c r="R125" s="447"/>
      <c r="S125" s="447"/>
      <c r="T125" s="698"/>
    </row>
    <row r="126" spans="1:20" hidden="1">
      <c r="A126" s="1579" t="s">
        <v>5</v>
      </c>
      <c r="B126" s="397"/>
      <c r="C126" s="398"/>
      <c r="D126" s="399" t="s">
        <v>781</v>
      </c>
      <c r="E126" s="1429" t="s">
        <v>626</v>
      </c>
      <c r="F126" s="614"/>
      <c r="G126" s="648">
        <v>0</v>
      </c>
      <c r="H126" s="594"/>
      <c r="I126" s="1778">
        <f t="shared" si="5"/>
        <v>0</v>
      </c>
      <c r="J126" s="570"/>
      <c r="K126" s="1778">
        <f t="shared" si="6"/>
        <v>0</v>
      </c>
      <c r="L126" s="570"/>
      <c r="M126" s="1778">
        <f t="shared" si="7"/>
        <v>0</v>
      </c>
      <c r="N126" s="570"/>
      <c r="O126" s="1778">
        <f t="shared" si="8"/>
        <v>0</v>
      </c>
      <c r="P126" s="570"/>
      <c r="Q126" s="1778">
        <f t="shared" si="9"/>
        <v>0</v>
      </c>
      <c r="R126" s="447"/>
      <c r="S126" s="447"/>
      <c r="T126" s="698"/>
    </row>
    <row r="127" spans="1:20" hidden="1">
      <c r="A127" s="1579" t="s">
        <v>6</v>
      </c>
      <c r="B127" s="397"/>
      <c r="C127" s="398"/>
      <c r="D127" s="399" t="s">
        <v>782</v>
      </c>
      <c r="E127" s="1429" t="s">
        <v>626</v>
      </c>
      <c r="F127" s="614"/>
      <c r="G127" s="648">
        <v>0</v>
      </c>
      <c r="H127" s="594"/>
      <c r="I127" s="1778">
        <f t="shared" si="5"/>
        <v>0</v>
      </c>
      <c r="J127" s="570"/>
      <c r="K127" s="1778">
        <f t="shared" si="6"/>
        <v>0</v>
      </c>
      <c r="L127" s="570"/>
      <c r="M127" s="1778">
        <f t="shared" si="7"/>
        <v>0</v>
      </c>
      <c r="N127" s="570"/>
      <c r="O127" s="1778">
        <f t="shared" si="8"/>
        <v>0</v>
      </c>
      <c r="P127" s="570"/>
      <c r="Q127" s="1778">
        <f t="shared" si="9"/>
        <v>0</v>
      </c>
      <c r="R127" s="447"/>
      <c r="S127" s="447"/>
      <c r="T127" s="698"/>
    </row>
    <row r="128" spans="1:20" hidden="1">
      <c r="A128" s="1579" t="s">
        <v>7</v>
      </c>
      <c r="B128" s="397"/>
      <c r="C128" s="398"/>
      <c r="D128" s="399" t="s">
        <v>783</v>
      </c>
      <c r="E128" s="1429" t="s">
        <v>626</v>
      </c>
      <c r="F128" s="614"/>
      <c r="G128" s="648">
        <v>0</v>
      </c>
      <c r="H128" s="594"/>
      <c r="I128" s="1778">
        <f t="shared" si="5"/>
        <v>0</v>
      </c>
      <c r="J128" s="570"/>
      <c r="K128" s="1778">
        <f t="shared" si="6"/>
        <v>0</v>
      </c>
      <c r="L128" s="570"/>
      <c r="M128" s="1778">
        <f t="shared" si="7"/>
        <v>0</v>
      </c>
      <c r="N128" s="570"/>
      <c r="O128" s="1778">
        <f t="shared" si="8"/>
        <v>0</v>
      </c>
      <c r="P128" s="570"/>
      <c r="Q128" s="1778">
        <f t="shared" si="9"/>
        <v>0</v>
      </c>
      <c r="R128" s="447"/>
      <c r="S128" s="447"/>
      <c r="T128" s="698"/>
    </row>
    <row r="129" spans="1:20" hidden="1">
      <c r="A129" s="1579" t="s">
        <v>1291</v>
      </c>
      <c r="B129" s="397"/>
      <c r="C129" s="398"/>
      <c r="D129" s="399" t="s">
        <v>1292</v>
      </c>
      <c r="E129" s="1429" t="s">
        <v>626</v>
      </c>
      <c r="F129" s="614"/>
      <c r="G129" s="648">
        <v>0</v>
      </c>
      <c r="H129" s="594"/>
      <c r="I129" s="1778">
        <f t="shared" si="5"/>
        <v>0</v>
      </c>
      <c r="J129" s="570"/>
      <c r="K129" s="1778">
        <f t="shared" si="6"/>
        <v>0</v>
      </c>
      <c r="L129" s="570"/>
      <c r="M129" s="1778">
        <f t="shared" si="7"/>
        <v>0</v>
      </c>
      <c r="N129" s="570"/>
      <c r="O129" s="1778">
        <f t="shared" si="8"/>
        <v>0</v>
      </c>
      <c r="P129" s="570"/>
      <c r="Q129" s="1778">
        <f t="shared" si="9"/>
        <v>0</v>
      </c>
      <c r="R129" s="447"/>
      <c r="S129" s="447"/>
      <c r="T129" s="698"/>
    </row>
    <row r="130" spans="1:20" hidden="1">
      <c r="A130" s="1579" t="s">
        <v>1294</v>
      </c>
      <c r="B130" s="397"/>
      <c r="C130" s="398"/>
      <c r="D130" s="399" t="s">
        <v>1316</v>
      </c>
      <c r="E130" s="1429" t="s">
        <v>626</v>
      </c>
      <c r="F130" s="614"/>
      <c r="G130" s="648">
        <v>0</v>
      </c>
      <c r="H130" s="594"/>
      <c r="I130" s="1778">
        <f t="shared" si="5"/>
        <v>0</v>
      </c>
      <c r="J130" s="570"/>
      <c r="K130" s="1778">
        <f t="shared" si="6"/>
        <v>0</v>
      </c>
      <c r="L130" s="570"/>
      <c r="M130" s="1778">
        <f t="shared" si="7"/>
        <v>0</v>
      </c>
      <c r="N130" s="570"/>
      <c r="O130" s="1778">
        <f t="shared" si="8"/>
        <v>0</v>
      </c>
      <c r="P130" s="570"/>
      <c r="Q130" s="1778">
        <f t="shared" si="9"/>
        <v>0</v>
      </c>
      <c r="R130" s="447"/>
      <c r="S130" s="447"/>
      <c r="T130" s="698"/>
    </row>
    <row r="131" spans="1:20" hidden="1">
      <c r="A131" s="1579" t="s">
        <v>218</v>
      </c>
      <c r="B131" s="397"/>
      <c r="C131" s="398"/>
      <c r="D131" s="399" t="s">
        <v>784</v>
      </c>
      <c r="E131" s="1429" t="s">
        <v>626</v>
      </c>
      <c r="F131" s="614"/>
      <c r="G131" s="648">
        <v>0</v>
      </c>
      <c r="H131" s="594"/>
      <c r="I131" s="1778">
        <f t="shared" si="5"/>
        <v>0</v>
      </c>
      <c r="J131" s="570"/>
      <c r="K131" s="1778">
        <f t="shared" si="6"/>
        <v>0</v>
      </c>
      <c r="L131" s="570"/>
      <c r="M131" s="1778">
        <f t="shared" si="7"/>
        <v>0</v>
      </c>
      <c r="N131" s="570"/>
      <c r="O131" s="1778">
        <f t="shared" si="8"/>
        <v>0</v>
      </c>
      <c r="P131" s="570"/>
      <c r="Q131" s="1778">
        <f t="shared" si="9"/>
        <v>0</v>
      </c>
      <c r="R131" s="447"/>
      <c r="S131" s="447"/>
      <c r="T131" s="698"/>
    </row>
    <row r="132" spans="1:20" hidden="1">
      <c r="A132" s="1579" t="s">
        <v>1261</v>
      </c>
      <c r="B132" s="397"/>
      <c r="C132" s="398"/>
      <c r="D132" s="399" t="s">
        <v>1265</v>
      </c>
      <c r="E132" s="1429" t="s">
        <v>626</v>
      </c>
      <c r="F132" s="614"/>
      <c r="G132" s="648">
        <v>0</v>
      </c>
      <c r="H132" s="594"/>
      <c r="I132" s="1778">
        <f t="shared" si="5"/>
        <v>0</v>
      </c>
      <c r="J132" s="570"/>
      <c r="K132" s="1778">
        <f t="shared" si="6"/>
        <v>0</v>
      </c>
      <c r="L132" s="570"/>
      <c r="M132" s="1778">
        <f t="shared" si="7"/>
        <v>0</v>
      </c>
      <c r="N132" s="570"/>
      <c r="O132" s="1778">
        <f t="shared" si="8"/>
        <v>0</v>
      </c>
      <c r="P132" s="570"/>
      <c r="Q132" s="1778">
        <f t="shared" si="9"/>
        <v>0</v>
      </c>
      <c r="R132" s="447"/>
      <c r="S132" s="447"/>
      <c r="T132" s="698"/>
    </row>
    <row r="133" spans="1:20" hidden="1">
      <c r="A133" s="1579" t="s">
        <v>219</v>
      </c>
      <c r="B133" s="397"/>
      <c r="C133" s="398"/>
      <c r="D133" s="399" t="s">
        <v>785</v>
      </c>
      <c r="E133" s="1429" t="s">
        <v>626</v>
      </c>
      <c r="F133" s="614"/>
      <c r="G133" s="648">
        <v>0</v>
      </c>
      <c r="H133" s="594"/>
      <c r="I133" s="1778">
        <f t="shared" si="5"/>
        <v>0</v>
      </c>
      <c r="J133" s="570"/>
      <c r="K133" s="1778">
        <f t="shared" si="6"/>
        <v>0</v>
      </c>
      <c r="L133" s="570"/>
      <c r="M133" s="1778">
        <f t="shared" si="7"/>
        <v>0</v>
      </c>
      <c r="N133" s="570"/>
      <c r="O133" s="1778">
        <f t="shared" si="8"/>
        <v>0</v>
      </c>
      <c r="P133" s="570"/>
      <c r="Q133" s="1778">
        <f t="shared" si="9"/>
        <v>0</v>
      </c>
      <c r="R133" s="447"/>
      <c r="S133" s="447"/>
      <c r="T133" s="698"/>
    </row>
    <row r="134" spans="1:20" hidden="1">
      <c r="A134" s="1579" t="s">
        <v>1262</v>
      </c>
      <c r="B134" s="397"/>
      <c r="C134" s="398"/>
      <c r="D134" s="399" t="s">
        <v>1317</v>
      </c>
      <c r="E134" s="1429" t="s">
        <v>626</v>
      </c>
      <c r="F134" s="614"/>
      <c r="G134" s="648">
        <v>0</v>
      </c>
      <c r="H134" s="594"/>
      <c r="I134" s="1778">
        <f t="shared" si="5"/>
        <v>0</v>
      </c>
      <c r="J134" s="570"/>
      <c r="K134" s="1778">
        <f t="shared" si="6"/>
        <v>0</v>
      </c>
      <c r="L134" s="570"/>
      <c r="M134" s="1778">
        <f t="shared" si="7"/>
        <v>0</v>
      </c>
      <c r="N134" s="570"/>
      <c r="O134" s="1778">
        <f t="shared" si="8"/>
        <v>0</v>
      </c>
      <c r="P134" s="570"/>
      <c r="Q134" s="1778">
        <f t="shared" si="9"/>
        <v>0</v>
      </c>
      <c r="R134" s="447"/>
      <c r="S134" s="447"/>
      <c r="T134" s="698"/>
    </row>
    <row r="135" spans="1:20" hidden="1">
      <c r="A135" s="1579" t="str">
        <f>nAutre1</f>
        <v>Autre #1</v>
      </c>
      <c r="B135" s="397"/>
      <c r="C135" s="398"/>
      <c r="D135" s="399" t="s">
        <v>786</v>
      </c>
      <c r="E135" s="1429" t="s">
        <v>626</v>
      </c>
      <c r="F135" s="614"/>
      <c r="G135" s="648">
        <v>0</v>
      </c>
      <c r="H135" s="594"/>
      <c r="I135" s="1778">
        <f t="shared" si="5"/>
        <v>0</v>
      </c>
      <c r="J135" s="570"/>
      <c r="K135" s="1778">
        <f t="shared" si="6"/>
        <v>0</v>
      </c>
      <c r="L135" s="570"/>
      <c r="M135" s="1778">
        <f t="shared" si="7"/>
        <v>0</v>
      </c>
      <c r="N135" s="570"/>
      <c r="O135" s="1778">
        <f t="shared" si="8"/>
        <v>0</v>
      </c>
      <c r="P135" s="570"/>
      <c r="Q135" s="1778">
        <f t="shared" si="9"/>
        <v>0</v>
      </c>
      <c r="R135" s="447"/>
      <c r="S135" s="447"/>
      <c r="T135" s="698"/>
    </row>
    <row r="136" spans="1:20" hidden="1">
      <c r="A136" s="1579" t="str">
        <f>nAutre2</f>
        <v>Autre #2</v>
      </c>
      <c r="B136" s="397"/>
      <c r="C136" s="398"/>
      <c r="D136" s="399" t="s">
        <v>787</v>
      </c>
      <c r="E136" s="1429" t="s">
        <v>626</v>
      </c>
      <c r="F136" s="614"/>
      <c r="G136" s="648">
        <v>0</v>
      </c>
      <c r="H136" s="594"/>
      <c r="I136" s="1778">
        <f t="shared" si="5"/>
        <v>0</v>
      </c>
      <c r="J136" s="570"/>
      <c r="K136" s="1778">
        <f t="shared" si="6"/>
        <v>0</v>
      </c>
      <c r="L136" s="570"/>
      <c r="M136" s="1778">
        <f t="shared" si="7"/>
        <v>0</v>
      </c>
      <c r="N136" s="570"/>
      <c r="O136" s="1778">
        <f t="shared" si="8"/>
        <v>0</v>
      </c>
      <c r="P136" s="570"/>
      <c r="Q136" s="1778">
        <f t="shared" si="9"/>
        <v>0</v>
      </c>
      <c r="R136" s="447"/>
      <c r="S136" s="447"/>
      <c r="T136" s="698"/>
    </row>
    <row r="137" spans="1:20" hidden="1">
      <c r="A137" s="1579" t="str">
        <f>nAutre3</f>
        <v>Autre #3</v>
      </c>
      <c r="B137" s="397"/>
      <c r="C137" s="398"/>
      <c r="D137" s="399" t="s">
        <v>788</v>
      </c>
      <c r="E137" s="1429" t="s">
        <v>626</v>
      </c>
      <c r="F137" s="614"/>
      <c r="G137" s="648">
        <v>0</v>
      </c>
      <c r="H137" s="594"/>
      <c r="I137" s="1778">
        <f t="shared" si="5"/>
        <v>0</v>
      </c>
      <c r="J137" s="570"/>
      <c r="K137" s="1778">
        <f t="shared" si="6"/>
        <v>0</v>
      </c>
      <c r="L137" s="570"/>
      <c r="M137" s="1778">
        <f t="shared" si="7"/>
        <v>0</v>
      </c>
      <c r="N137" s="570"/>
      <c r="O137" s="1778">
        <f t="shared" si="8"/>
        <v>0</v>
      </c>
      <c r="P137" s="570"/>
      <c r="Q137" s="1778">
        <f t="shared" si="9"/>
        <v>0</v>
      </c>
      <c r="R137" s="447"/>
      <c r="S137" s="447"/>
      <c r="T137" s="698"/>
    </row>
    <row r="138" spans="1:20" hidden="1">
      <c r="A138" s="1583"/>
      <c r="B138" s="287"/>
      <c r="C138" s="265"/>
      <c r="D138" s="1553" t="s">
        <v>944</v>
      </c>
      <c r="E138" s="1422" t="s">
        <v>626</v>
      </c>
      <c r="F138" s="614"/>
      <c r="G138" s="648">
        <f>MAX(0,((G276+G277+G278)*1.03/(G116*365*G43*G44)-(SUM(G120:G137)+G140+G142+G144+G146/1000)-(G148*G149/G47*(1-G44)/G44)))</f>
        <v>9.2238002181694725</v>
      </c>
      <c r="H138" s="539"/>
      <c r="I138" s="1778">
        <f>MAX(0,((I276+I277+I278)*1.03/(I116*365*I43*I44)-(SUM(I120:I137)+I140+I142+I144+I146/1000)-(I148*I149/I47*(1-I44)/I44)))</f>
        <v>9.2238002181694725</v>
      </c>
      <c r="J138" s="570"/>
      <c r="K138" s="1778">
        <f>MAX(0,((K276+K277+K278)*1.03/(K116*365*K43*K44)-(SUM(K120:K137)+K140+K142+K144+K146/1000)-(K148*K149/K47*(1-K44)/K44)))</f>
        <v>9.2238002181694725</v>
      </c>
      <c r="L138" s="570"/>
      <c r="M138" s="1778">
        <f>MAX(0,((M276+M277+M278)*1.03/(M116*365*M43*M44)-(SUM(M120:M137)+M140+M142+M144+M146/1000)-(M148*M149/M47*(1-M44)/M44)))</f>
        <v>9.2238002181694725</v>
      </c>
      <c r="N138" s="570"/>
      <c r="O138" s="1778">
        <f>MAX(0,((O276+O277+O278)*1.03/(O116*365*O43*O44)-(SUM(O120:O137)+O140+O142+O144+O146/1000)-(O148*O149/O47*(1-O44)/O44)))</f>
        <v>9.2238002181694725</v>
      </c>
      <c r="P138" s="570"/>
      <c r="Q138" s="1778">
        <f>MAX(0,((Q276+Q277+Q278)*1.03/(Q116*365*Q43*Q44)-(SUM(Q120:Q137)+Q140+Q142+Q144+Q146/1000)-(Q148*Q149/Q47*(1-Q44)/Q44)))</f>
        <v>9.2238002181694725</v>
      </c>
      <c r="R138" s="447"/>
      <c r="S138" s="447"/>
      <c r="T138" s="698"/>
    </row>
    <row r="139" spans="1:20" hidden="1">
      <c r="A139" s="1584"/>
      <c r="B139" s="287"/>
      <c r="C139" s="265"/>
      <c r="D139" s="295" t="str">
        <f>VLOOKUP(D138,RéfLait!$I$53:$J$58,2,FALSE)</f>
        <v xml:space="preserve">Prix autres concrentrés </v>
      </c>
      <c r="E139" s="1422" t="s">
        <v>225</v>
      </c>
      <c r="F139" s="614"/>
      <c r="G139" s="649">
        <f>IF($D$139=RéfLait!$J$53,IF(G$25=RéfLait!$A$6,HLOOKUP(G$26,perfo_bio,19,FALSE),IF(G$24=RéfLait!$F$74,HLOOKUP(IF(G$26=RéfLait!$O$104,RéfLait!$F$74,G$26),perfo_race_convent,19,FALSE),HLOOKUP(G$24,perfo_race_convent,19,FALSE))),VLOOKUP($D138,table_3,IF(OR(G$27=RéfLait!$C$8,G$27=RéfLait!$C$7),4,3),FALSE))</f>
        <v>411.30741667500752</v>
      </c>
      <c r="H139" s="540"/>
      <c r="I139" s="1764">
        <f>IF($D$139=RéfLait!$J$53,IF(I$25=RéfLait!$A$6,HLOOKUP(I$26,perfo_bio,19,FALSE),IF(I$24=RéfLait!$F$74,HLOOKUP(IF(I$26=RéfLait!$O$104,RéfLait!$F$74,I$26),perfo_race_convent,19,FALSE),HLOOKUP(I$24,perfo_race_convent,19,FALSE))),VLOOKUP($D138,table_3,IF(OR(I$27=RéfLait!$C$8,I$27=RéfLait!$C$7),4,3),FALSE))</f>
        <v>411.30741667500752</v>
      </c>
      <c r="J139" s="1765"/>
      <c r="K139" s="1764">
        <f>IF($D$139=RéfLait!$J$53,IF(K$25=RéfLait!$A$6,HLOOKUP(K$26,perfo_bio,19,FALSE),IF(K$24=RéfLait!$F$74,HLOOKUP(IF(K$26=RéfLait!$O$104,RéfLait!$F$74,K$26),perfo_race_convent,19,FALSE),HLOOKUP(K$24,perfo_race_convent,19,FALSE))),VLOOKUP($D138,table_3,IF(OR(K$27=RéfLait!$C$8,K$27=RéfLait!$C$7),4,3),FALSE))</f>
        <v>411.30741667500752</v>
      </c>
      <c r="L139" s="1765"/>
      <c r="M139" s="1764">
        <f>IF($D$139=RéfLait!$J$53,IF(M$25=RéfLait!$A$6,HLOOKUP(M$26,perfo_bio,19,FALSE),IF(M$24=RéfLait!$F$74,HLOOKUP(IF(M$26=RéfLait!$O$104,RéfLait!$F$74,M$26),perfo_race_convent,19,FALSE),HLOOKUP(M$24,perfo_race_convent,19,FALSE))),VLOOKUP($D138,table_3,IF(OR(M$27=RéfLait!$C$8,M$27=RéfLait!$C$7),4,3),FALSE))</f>
        <v>411.30741667500752</v>
      </c>
      <c r="N139" s="1765"/>
      <c r="O139" s="1764">
        <f>IF($D$139=RéfLait!$J$53,IF(O$25=RéfLait!$A$6,HLOOKUP(O$26,perfo_bio,19,FALSE),IF(O$24=RéfLait!$F$74,HLOOKUP(IF(O$26=RéfLait!$O$104,RéfLait!$F$74,O$26),perfo_race_convent,19,FALSE),HLOOKUP(O$24,perfo_race_convent,19,FALSE))),VLOOKUP($D138,table_3,IF(OR(O$27=RéfLait!$C$8,O$27=RéfLait!$C$7),4,3),FALSE))</f>
        <v>411.30741667500752</v>
      </c>
      <c r="P139" s="1765"/>
      <c r="Q139" s="1764">
        <f>IF($D$139=RéfLait!$J$53,IF(Q$25=RéfLait!$A$6,HLOOKUP(Q$26,perfo_bio,19,FALSE),IF(Q$24=RéfLait!$F$74,HLOOKUP(IF(Q$26=RéfLait!$O$104,RéfLait!$F$74,Q$26),perfo_race_convent,19,FALSE),HLOOKUP(Q$24,perfo_race_convent,19,FALSE))),VLOOKUP($D138,table_3,IF(OR(Q$27=RéfLait!$C$8,Q$27=RéfLait!$C$7),4,3),FALSE))</f>
        <v>411.30741667500752</v>
      </c>
      <c r="R139" s="447"/>
      <c r="S139" s="447"/>
      <c r="T139" s="698"/>
    </row>
    <row r="140" spans="1:20" hidden="1">
      <c r="A140" s="1584"/>
      <c r="B140" s="287"/>
      <c r="C140" s="265"/>
      <c r="D140" s="295" t="s">
        <v>775</v>
      </c>
      <c r="E140" s="1422" t="s">
        <v>626</v>
      </c>
      <c r="F140" s="614"/>
      <c r="G140" s="648">
        <v>0</v>
      </c>
      <c r="H140" s="594"/>
      <c r="I140" s="1778">
        <f>G140</f>
        <v>0</v>
      </c>
      <c r="J140" s="570"/>
      <c r="K140" s="1778">
        <f>I140</f>
        <v>0</v>
      </c>
      <c r="L140" s="570"/>
      <c r="M140" s="1778">
        <f>K140</f>
        <v>0</v>
      </c>
      <c r="N140" s="570"/>
      <c r="O140" s="1778">
        <f>M140</f>
        <v>0</v>
      </c>
      <c r="P140" s="570"/>
      <c r="Q140" s="1778">
        <f>O140</f>
        <v>0</v>
      </c>
      <c r="R140" s="447"/>
      <c r="S140" s="447"/>
      <c r="T140" s="698"/>
    </row>
    <row r="141" spans="1:20" hidden="1">
      <c r="A141" s="1584"/>
      <c r="B141" s="287"/>
      <c r="C141" s="265"/>
      <c r="D141" s="295" t="s">
        <v>662</v>
      </c>
      <c r="E141" s="1422" t="s">
        <v>659</v>
      </c>
      <c r="F141" s="614"/>
      <c r="G141" s="625">
        <f>VLOOKUP($D140&amp;" ("&amp;$E140&amp;")",table_3,IF(OR(G$27=RéfLait!$C$8,G$27=RéfLait!$C$7),4,3),FALSE)</f>
        <v>550</v>
      </c>
      <c r="H141" s="540"/>
      <c r="I141" s="1764">
        <f>VLOOKUP($D140&amp;" ("&amp;$E140&amp;")",table_3,IF(OR(I$27=RéfLait!$C$8,I$27=RéfLait!$C$7),4,3),FALSE)</f>
        <v>550</v>
      </c>
      <c r="J141" s="1765"/>
      <c r="K141" s="1764">
        <f>VLOOKUP($D140&amp;" ("&amp;$E140&amp;")",table_3,IF(OR(K$27=RéfLait!$C$8,K$27=RéfLait!$C$7),4,3),FALSE)</f>
        <v>550</v>
      </c>
      <c r="L141" s="1765"/>
      <c r="M141" s="1764">
        <f>VLOOKUP($D140&amp;" ("&amp;$E140&amp;")",table_3,IF(OR(M$27=RéfLait!$C$8,M$27=RéfLait!$C$7),4,3),FALSE)</f>
        <v>550</v>
      </c>
      <c r="N141" s="1765"/>
      <c r="O141" s="1764">
        <f>VLOOKUP($D140&amp;" ("&amp;$E140&amp;")",table_3,IF(OR(O$27=RéfLait!$C$8,O$27=RéfLait!$C$7),4,3),FALSE)</f>
        <v>550</v>
      </c>
      <c r="P141" s="1765"/>
      <c r="Q141" s="1764">
        <f>VLOOKUP($D140&amp;" ("&amp;$E140&amp;")",table_3,IF(OR(Q$27=RéfLait!$C$8,Q$27=RéfLait!$C$7),4,3),FALSE)</f>
        <v>550</v>
      </c>
      <c r="R141" s="447"/>
      <c r="S141" s="447"/>
      <c r="T141" s="698"/>
    </row>
    <row r="142" spans="1:20" hidden="1">
      <c r="A142" s="1584"/>
      <c r="B142" s="287"/>
      <c r="C142" s="265"/>
      <c r="D142" s="295" t="s">
        <v>768</v>
      </c>
      <c r="E142" s="1422" t="s">
        <v>626</v>
      </c>
      <c r="F142" s="614"/>
      <c r="G142" s="648">
        <v>0</v>
      </c>
      <c r="H142" s="594"/>
      <c r="I142" s="1778">
        <f>G142</f>
        <v>0</v>
      </c>
      <c r="J142" s="570"/>
      <c r="K142" s="1778">
        <f>I142</f>
        <v>0</v>
      </c>
      <c r="L142" s="570"/>
      <c r="M142" s="1778">
        <f>K142</f>
        <v>0</v>
      </c>
      <c r="N142" s="570"/>
      <c r="O142" s="1778">
        <f>M142</f>
        <v>0</v>
      </c>
      <c r="P142" s="570"/>
      <c r="Q142" s="1778">
        <f>O142</f>
        <v>0</v>
      </c>
      <c r="R142" s="447"/>
      <c r="S142" s="447"/>
      <c r="T142" s="698"/>
    </row>
    <row r="143" spans="1:20" hidden="1">
      <c r="A143" s="1584"/>
      <c r="B143" s="287"/>
      <c r="C143" s="265"/>
      <c r="D143" s="295" t="s">
        <v>663</v>
      </c>
      <c r="E143" s="1422" t="s">
        <v>225</v>
      </c>
      <c r="F143" s="614"/>
      <c r="G143" s="625">
        <f>VLOOKUP($D142&amp;" ("&amp;$E142&amp;")",table_3,IF(OR(G$27=RéfLait!$C$8,G$27=RéfLait!$C$7),4,3),FALSE)</f>
        <v>700</v>
      </c>
      <c r="H143" s="540"/>
      <c r="I143" s="1764">
        <f>VLOOKUP($D142&amp;" ("&amp;$E142&amp;")",table_3,IF(OR(I$27=RéfLait!$C$8,I$27=RéfLait!$C$7),4,3),FALSE)</f>
        <v>700</v>
      </c>
      <c r="J143" s="1765"/>
      <c r="K143" s="1764">
        <f>VLOOKUP($D142&amp;" ("&amp;$E142&amp;")",table_3,IF(OR(K$27=RéfLait!$C$8,K$27=RéfLait!$C$7),4,3),FALSE)</f>
        <v>700</v>
      </c>
      <c r="L143" s="1765"/>
      <c r="M143" s="1764">
        <f>VLOOKUP($D142&amp;" ("&amp;$E142&amp;")",table_3,IF(OR(M$27=RéfLait!$C$8,M$27=RéfLait!$C$7),4,3),FALSE)</f>
        <v>700</v>
      </c>
      <c r="N143" s="1765"/>
      <c r="O143" s="1764">
        <f>VLOOKUP($D142&amp;" ("&amp;$E142&amp;")",table_3,IF(OR(O$27=RéfLait!$C$8,O$27=RéfLait!$C$7),4,3),FALSE)</f>
        <v>700</v>
      </c>
      <c r="P143" s="1765"/>
      <c r="Q143" s="1764">
        <f>VLOOKUP($D142&amp;" ("&amp;$E142&amp;")",table_3,IF(OR(Q$27=RéfLait!$C$8,Q$27=RéfLait!$C$7),4,3),FALSE)</f>
        <v>700</v>
      </c>
      <c r="R143" s="447"/>
      <c r="S143" s="447"/>
      <c r="T143" s="698"/>
    </row>
    <row r="144" spans="1:20" hidden="1">
      <c r="A144" s="1584"/>
      <c r="B144" s="287"/>
      <c r="C144" s="265"/>
      <c r="D144" s="295" t="s">
        <v>765</v>
      </c>
      <c r="E144" s="1422" t="s">
        <v>626</v>
      </c>
      <c r="F144" s="614"/>
      <c r="G144" s="648">
        <v>0</v>
      </c>
      <c r="H144" s="594"/>
      <c r="I144" s="1778">
        <f>G144</f>
        <v>0</v>
      </c>
      <c r="J144" s="570"/>
      <c r="K144" s="1778">
        <f>I144</f>
        <v>0</v>
      </c>
      <c r="L144" s="570"/>
      <c r="M144" s="1778">
        <f>K144</f>
        <v>0</v>
      </c>
      <c r="N144" s="570"/>
      <c r="O144" s="1778">
        <f>M144</f>
        <v>0</v>
      </c>
      <c r="P144" s="570"/>
      <c r="Q144" s="1778">
        <f>O144</f>
        <v>0</v>
      </c>
      <c r="R144" s="447"/>
      <c r="S144" s="447"/>
      <c r="T144" s="698"/>
    </row>
    <row r="145" spans="1:20" hidden="1">
      <c r="A145" s="1584"/>
      <c r="B145" s="287"/>
      <c r="C145" s="265"/>
      <c r="D145" s="295" t="s">
        <v>660</v>
      </c>
      <c r="E145" s="1422" t="s">
        <v>659</v>
      </c>
      <c r="F145" s="614"/>
      <c r="G145" s="625">
        <f>VLOOKUP($D144&amp;" ("&amp;$E144&amp;")",table_3,IF(OR(G$27=RéfLait!$C$8,G$27=RéfLait!$C$7),4,3),FALSE)</f>
        <v>850</v>
      </c>
      <c r="H145" s="540"/>
      <c r="I145" s="1764">
        <f>VLOOKUP($D144&amp;" ("&amp;$E144&amp;")",table_3,IF(OR(I$27=RéfLait!$C$8,I$27=RéfLait!$C$7),4,3),FALSE)</f>
        <v>850</v>
      </c>
      <c r="J145" s="1765"/>
      <c r="K145" s="1764">
        <f>VLOOKUP($D144&amp;" ("&amp;$E144&amp;")",table_3,IF(OR(K$27=RéfLait!$C$8,K$27=RéfLait!$C$7),4,3),FALSE)</f>
        <v>850</v>
      </c>
      <c r="L145" s="1765"/>
      <c r="M145" s="1764">
        <f>VLOOKUP($D144&amp;" ("&amp;$E144&amp;")",table_3,IF(OR(M$27=RéfLait!$C$8,M$27=RéfLait!$C$7),4,3),FALSE)</f>
        <v>850</v>
      </c>
      <c r="N145" s="1765"/>
      <c r="O145" s="1764">
        <f>VLOOKUP($D144&amp;" ("&amp;$E144&amp;")",table_3,IF(OR(O$27=RéfLait!$C$8,O$27=RéfLait!$C$7),4,3),FALSE)</f>
        <v>850</v>
      </c>
      <c r="P145" s="1765"/>
      <c r="Q145" s="1764">
        <f>VLOOKUP($D144&amp;" ("&amp;$E144&amp;")",table_3,IF(OR(Q$27=RéfLait!$C$8,Q$27=RéfLait!$C$7),4,3),FALSE)</f>
        <v>850</v>
      </c>
      <c r="R145" s="99"/>
      <c r="S145" s="447"/>
      <c r="T145" s="698"/>
    </row>
    <row r="146" spans="1:20" hidden="1">
      <c r="A146" s="1584"/>
      <c r="B146" s="287"/>
      <c r="C146" s="265"/>
      <c r="D146" s="295" t="s">
        <v>877</v>
      </c>
      <c r="E146" s="1422" t="s">
        <v>766</v>
      </c>
      <c r="F146" s="614"/>
      <c r="G146" s="648">
        <v>0</v>
      </c>
      <c r="H146" s="594"/>
      <c r="I146" s="1778">
        <f>G146</f>
        <v>0</v>
      </c>
      <c r="J146" s="570"/>
      <c r="K146" s="1778">
        <f>I146</f>
        <v>0</v>
      </c>
      <c r="L146" s="570"/>
      <c r="M146" s="1778">
        <f>K146</f>
        <v>0</v>
      </c>
      <c r="N146" s="570"/>
      <c r="O146" s="1778">
        <f>M146</f>
        <v>0</v>
      </c>
      <c r="P146" s="570"/>
      <c r="Q146" s="1778">
        <f>O146</f>
        <v>0</v>
      </c>
      <c r="R146" s="447"/>
      <c r="S146" s="447"/>
      <c r="T146" s="698"/>
    </row>
    <row r="147" spans="1:20" hidden="1">
      <c r="A147" s="1584"/>
      <c r="B147" s="287"/>
      <c r="C147" s="265"/>
      <c r="D147" s="295" t="s">
        <v>664</v>
      </c>
      <c r="E147" s="1422" t="s">
        <v>659</v>
      </c>
      <c r="F147" s="614"/>
      <c r="G147" s="625">
        <f>VLOOKUP($D146&amp;" ("&amp;$E146&amp;")",table_3,IF(OR(G$27=RéfLait!$C$8,G$27=RéfLait!$C$7),4,3),FALSE)</f>
        <v>1200</v>
      </c>
      <c r="H147" s="540"/>
      <c r="I147" s="1764">
        <f>VLOOKUP($D146&amp;" ("&amp;$E146&amp;")",table_3,IF(OR(I$27=RéfLait!$C$8,I$27=RéfLait!$C$7),4,3),FALSE)</f>
        <v>1200</v>
      </c>
      <c r="J147" s="1765"/>
      <c r="K147" s="1764">
        <f>VLOOKUP($D146&amp;" ("&amp;$E146&amp;")",table_3,IF(OR(K$27=RéfLait!$C$8,K$27=RéfLait!$C$7),4,3),FALSE)</f>
        <v>1200</v>
      </c>
      <c r="L147" s="1765"/>
      <c r="M147" s="1764">
        <f>VLOOKUP($D146&amp;" ("&amp;$E146&amp;")",table_3,IF(OR(M$27=RéfLait!$C$8,M$27=RéfLait!$C$7),4,3),FALSE)</f>
        <v>1200</v>
      </c>
      <c r="N147" s="1765"/>
      <c r="O147" s="1764">
        <f>VLOOKUP($D146&amp;" ("&amp;$E146&amp;")",table_3,IF(OR(O$27=RéfLait!$C$8,O$27=RéfLait!$C$7),4,3),FALSE)</f>
        <v>1200</v>
      </c>
      <c r="P147" s="1765"/>
      <c r="Q147" s="1764">
        <f>VLOOKUP($D146&amp;" ("&amp;$E146&amp;")",table_3,IF(OR(Q$27=RéfLait!$C$8,Q$27=RéfLait!$C$7),4,3),FALSE)</f>
        <v>1200</v>
      </c>
      <c r="R147" s="447"/>
      <c r="S147" s="447"/>
      <c r="T147" s="698"/>
    </row>
    <row r="148" spans="1:20" hidden="1">
      <c r="A148" s="1584"/>
      <c r="B148" s="287"/>
      <c r="C148" s="265"/>
      <c r="D148" s="296" t="s">
        <v>773</v>
      </c>
      <c r="E148" s="1422" t="s">
        <v>626</v>
      </c>
      <c r="F148" s="614"/>
      <c r="G148" s="648">
        <v>0</v>
      </c>
      <c r="H148" s="594"/>
      <c r="I148" s="1778">
        <f>G148</f>
        <v>0</v>
      </c>
      <c r="J148" s="570"/>
      <c r="K148" s="1778">
        <f>I148</f>
        <v>0</v>
      </c>
      <c r="L148" s="570"/>
      <c r="M148" s="1778">
        <f>K148</f>
        <v>0</v>
      </c>
      <c r="N148" s="570"/>
      <c r="O148" s="1778">
        <f>M148</f>
        <v>0</v>
      </c>
      <c r="P148" s="570"/>
      <c r="Q148" s="1778">
        <f>O148</f>
        <v>0</v>
      </c>
      <c r="R148" s="447"/>
      <c r="S148" s="447"/>
      <c r="T148" s="698"/>
    </row>
    <row r="149" spans="1:20" hidden="1">
      <c r="A149" s="1584"/>
      <c r="B149" s="287"/>
      <c r="C149" s="265"/>
      <c r="D149" s="296" t="s">
        <v>649</v>
      </c>
      <c r="E149" s="1422" t="s">
        <v>650</v>
      </c>
      <c r="F149" s="614"/>
      <c r="G149" s="648">
        <v>0</v>
      </c>
      <c r="H149" s="594"/>
      <c r="I149" s="1778">
        <f>G149</f>
        <v>0</v>
      </c>
      <c r="J149" s="570"/>
      <c r="K149" s="1778">
        <f>I149</f>
        <v>0</v>
      </c>
      <c r="L149" s="570"/>
      <c r="M149" s="1778">
        <f>K149</f>
        <v>0</v>
      </c>
      <c r="N149" s="570"/>
      <c r="O149" s="1778">
        <f>M149</f>
        <v>0</v>
      </c>
      <c r="P149" s="570"/>
      <c r="Q149" s="1778">
        <f>O149</f>
        <v>0</v>
      </c>
      <c r="R149" s="447"/>
      <c r="S149" s="447"/>
      <c r="T149" s="698"/>
    </row>
    <row r="150" spans="1:20" hidden="1">
      <c r="A150" s="480"/>
      <c r="B150" s="287"/>
      <c r="C150" s="265"/>
      <c r="D150" s="296" t="s">
        <v>774</v>
      </c>
      <c r="E150" s="1422" t="s">
        <v>225</v>
      </c>
      <c r="F150" s="614"/>
      <c r="G150" s="625">
        <f>VLOOKUP($D148&amp;" ("&amp;$E148&amp;")",table_3,IF(OR(G$27=RéfLait!$C$8,G$27=RéfLait!$C$7),4,3),FALSE)</f>
        <v>600</v>
      </c>
      <c r="H150" s="540"/>
      <c r="I150" s="1764">
        <f>VLOOKUP($D148&amp;" ("&amp;$E148&amp;")",table_3,IF(OR(I$27=RéfLait!$C$8,I$27=RéfLait!$C$7),4,3),FALSE)</f>
        <v>600</v>
      </c>
      <c r="J150" s="1765"/>
      <c r="K150" s="1764">
        <f>VLOOKUP($D148&amp;" ("&amp;$E148&amp;")",table_3,IF(OR(K$27=RéfLait!$C$8,K$27=RéfLait!$C$7),4,3),FALSE)</f>
        <v>600</v>
      </c>
      <c r="L150" s="1765"/>
      <c r="M150" s="1764">
        <f>VLOOKUP($D148&amp;" ("&amp;$E148&amp;")",table_3,IF(OR(M$27=RéfLait!$C$8,M$27=RéfLait!$C$7),4,3),FALSE)</f>
        <v>600</v>
      </c>
      <c r="N150" s="1765"/>
      <c r="O150" s="1764">
        <f>VLOOKUP($D148&amp;" ("&amp;$E148&amp;")",table_3,IF(OR(O$27=RéfLait!$C$8,O$27=RéfLait!$C$7),4,3),FALSE)</f>
        <v>600</v>
      </c>
      <c r="P150" s="1765"/>
      <c r="Q150" s="1764">
        <f>VLOOKUP($D148&amp;" ("&amp;$E148&amp;")",table_3,IF(OR(Q$27=RéfLait!$C$8,Q$27=RéfLait!$C$7),4,3),FALSE)</f>
        <v>600</v>
      </c>
      <c r="R150" s="447"/>
      <c r="S150" s="447"/>
      <c r="T150" s="698"/>
    </row>
    <row r="151" spans="1:20" hidden="1">
      <c r="A151" s="480"/>
      <c r="B151" s="287"/>
      <c r="C151" s="265"/>
      <c r="D151" s="296" t="s">
        <v>933</v>
      </c>
      <c r="E151" s="1422" t="s">
        <v>661</v>
      </c>
      <c r="F151" s="614"/>
      <c r="G151" s="640">
        <f>ROUND(SUM(G120:G138,G140,G142,G144,G146/1000)*G43*365*G44/1000+G148*(1-G44)*G43*(G149/G47)*365/1000,3)</f>
        <v>175.94300000000001</v>
      </c>
      <c r="H151" s="539"/>
      <c r="I151" s="640">
        <f>ROUND(SUM(I120:I138,I140,I142,I144,I146/1000)*I43*365*I44/1000+I148*(1-I44)*I43*(I149/I47)*365/1000,3)</f>
        <v>175.94300000000001</v>
      </c>
      <c r="J151" s="1779"/>
      <c r="K151" s="640">
        <f>ROUND(SUM(K120:K138,K140,K142,K144,K146/1000)*K43*365*K44/1000+K148*(1-K44)*K43*(K149/K47)*365/1000,3)</f>
        <v>175.94300000000001</v>
      </c>
      <c r="L151" s="1779"/>
      <c r="M151" s="640">
        <f>ROUND(SUM(M120:M138,M140,M142,M144,M146/1000)*M43*365*M44/1000+M148*(1-M44)*M43*(M149/M47)*365/1000,3)</f>
        <v>175.94300000000001</v>
      </c>
      <c r="N151" s="1779"/>
      <c r="O151" s="640">
        <f>ROUND(SUM(O120:O138,O140,O142,O144,O146/1000)*O43*365*O44/1000+O148*(1-O44)*O43*(O149/O47)*365/1000,3)</f>
        <v>175.94300000000001</v>
      </c>
      <c r="P151" s="1779"/>
      <c r="Q151" s="640">
        <f>ROUND(SUM(Q120:Q138,Q140,Q142,Q144,Q146/1000)*Q43*365*Q44/1000+Q148*(1-Q44)*Q43*(Q149/Q47)*365/1000,3)</f>
        <v>175.94300000000001</v>
      </c>
      <c r="R151" s="447"/>
      <c r="S151" s="447"/>
      <c r="T151" s="1327" t="s">
        <v>1305</v>
      </c>
    </row>
    <row r="152" spans="1:20" hidden="1">
      <c r="A152" s="2075"/>
      <c r="B152" s="287"/>
      <c r="C152" s="265"/>
      <c r="D152" s="296" t="s">
        <v>1303</v>
      </c>
      <c r="E152" s="1422" t="s">
        <v>279</v>
      </c>
      <c r="F152" s="614"/>
      <c r="G152" s="640"/>
      <c r="H152" s="539"/>
      <c r="I152" s="1780"/>
      <c r="J152" s="1779"/>
      <c r="K152" s="1780"/>
      <c r="L152" s="1779"/>
      <c r="M152" s="1780"/>
      <c r="N152" s="1779"/>
      <c r="O152" s="1780"/>
      <c r="P152" s="1779"/>
      <c r="Q152" s="1780"/>
      <c r="R152" s="447"/>
      <c r="S152" s="750">
        <v>0.4</v>
      </c>
      <c r="T152" s="1328">
        <v>0.35</v>
      </c>
    </row>
    <row r="153" spans="1:20" hidden="1">
      <c r="A153" s="480"/>
      <c r="B153" s="287"/>
      <c r="C153" s="265"/>
      <c r="D153" s="296" t="s">
        <v>1325</v>
      </c>
      <c r="E153" s="1422" t="s">
        <v>772</v>
      </c>
      <c r="F153" s="614"/>
      <c r="G153" s="625">
        <f ca="1">(G120/1000*G219+G121/1000*G220+G137/1000*G236)*365*G43*G44</f>
        <v>0</v>
      </c>
      <c r="H153" s="539"/>
      <c r="I153" s="625">
        <f ca="1">(I120/1000*I219+I121/1000*I220+I137/1000*I236)*365*I43*I44</f>
        <v>0</v>
      </c>
      <c r="J153" s="1779"/>
      <c r="K153" s="625">
        <f ca="1">(K120/1000*K219+K121/1000*K220+K137/1000*K236)*365*K43*K44</f>
        <v>0</v>
      </c>
      <c r="L153" s="1779"/>
      <c r="M153" s="625">
        <f ca="1">(M120/1000*M219+M121/1000*M220+M137/1000*M236)*365*M43*M44</f>
        <v>0</v>
      </c>
      <c r="N153" s="1779"/>
      <c r="O153" s="625">
        <f ca="1">(O120/1000*O219+O121/1000*O220+O137/1000*O236)*365*O43*O44</f>
        <v>0</v>
      </c>
      <c r="P153" s="1779"/>
      <c r="Q153" s="625">
        <f ca="1">(Q120/1000*Q219+Q121/1000*Q220+Q137/1000*Q236)*365*Q43*Q44</f>
        <v>0</v>
      </c>
      <c r="R153" s="447"/>
      <c r="S153" s="447"/>
      <c r="T153" s="698"/>
    </row>
    <row r="154" spans="1:20" hidden="1">
      <c r="A154" s="480"/>
      <c r="B154" s="287"/>
      <c r="C154" s="265"/>
      <c r="D154" s="296" t="s">
        <v>665</v>
      </c>
      <c r="E154" s="1422" t="s">
        <v>260</v>
      </c>
      <c r="F154" s="614"/>
      <c r="G154" s="664">
        <f>((G138/1000*G139+G140/1000*G141+G142/1000*G143+G144/1000*G145+G146/1000*G147/1000)*G44+G148/1000*(1-G44)*G149/G47*G150)*365*G43</f>
        <v>72366.68827980214</v>
      </c>
      <c r="H154" s="539"/>
      <c r="I154" s="664">
        <f>((I138/1000*I139+I140/1000*I141+I142/1000*I143+I144/1000*I145+I146/1000*I147/1000)*I44+I148/1000*(1-I44)*I149/I47*I150)*365*I43</f>
        <v>72366.68827980214</v>
      </c>
      <c r="J154" s="1779"/>
      <c r="K154" s="664">
        <f>((K138/1000*K139+K140/1000*K141+K142/1000*K143+K144/1000*K145+K146/1000*K147/1000)*K44+K148/1000*(1-K44)*K149/K47*K150)*365*K43</f>
        <v>72366.68827980214</v>
      </c>
      <c r="L154" s="1779"/>
      <c r="M154" s="664">
        <f>((M138/1000*M139+M140/1000*M141+M142/1000*M143+M144/1000*M145+M146/1000*M147/1000)*M44+M148/1000*(1-M44)*M149/M47*M150)*365*M43</f>
        <v>72366.68827980214</v>
      </c>
      <c r="N154" s="1779"/>
      <c r="O154" s="664">
        <f>((O138/1000*O139+O140/1000*O141+O142/1000*O143+O144/1000*O145+O146/1000*O147/1000)*O44+O148/1000*(1-O44)*O149/O47*O150)*365*O43</f>
        <v>72366.68827980214</v>
      </c>
      <c r="P154" s="1779"/>
      <c r="Q154" s="664">
        <f>((Q138/1000*Q139+Q140/1000*Q141+Q142/1000*Q143+Q144/1000*Q145+Q146/1000*Q147/1000)*Q44+Q148/1000*(1-Q44)*Q149/Q47*Q150)*365*Q43</f>
        <v>72366.68827980214</v>
      </c>
      <c r="R154" s="447"/>
      <c r="S154" s="447"/>
      <c r="T154" s="698"/>
    </row>
    <row r="155" spans="1:20" hidden="1">
      <c r="A155" s="480"/>
      <c r="B155" s="287"/>
      <c r="C155" s="265"/>
      <c r="D155" s="296" t="s">
        <v>934</v>
      </c>
      <c r="E155" s="1422" t="s">
        <v>651</v>
      </c>
      <c r="F155" s="614"/>
      <c r="G155" s="648">
        <f>IF(G$25=RéfLait!$A$6,IF(G$26=RéfLait!$O$104,HLOOKUP(G$26,perfo_bio,22,FALSE),HLOOKUP(G$26,perfo_bio,22,FALSE)),IF(G$24=RéfLait!$F$74,HLOOKUP(IF(G$26=RéfLait!$O$104,RéfLait!$F$74,G$26),perfo_race_convent,22,FALSE),HLOOKUP(G$24,perfo_race_convent,22,FALSE)))</f>
        <v>0</v>
      </c>
      <c r="H155" s="539"/>
      <c r="I155" s="1778">
        <f>IF(I$25=RéfLait!$A$6,IF(I$26=RéfLait!$O$104,HLOOKUP(I$26,perfo_bio,22,FALSE),HLOOKUP(I$26,perfo_bio,22,FALSE)),IF(I$24=RéfLait!$F$74,HLOOKUP(IF(I$26=RéfLait!$O$104,RéfLait!$F$74,I$26),perfo_race_convent,22,FALSE),HLOOKUP(I$24,perfo_race_convent,22,FALSE)))</f>
        <v>0</v>
      </c>
      <c r="J155" s="570"/>
      <c r="K155" s="1778">
        <f>IF(K$25=RéfLait!$A$6,IF(K$26=RéfLait!$O$104,HLOOKUP(K$26,perfo_bio,22,FALSE),HLOOKUP(K$26,perfo_bio,22,FALSE)),IF(K$24=RéfLait!$F$74,HLOOKUP(IF(K$26=RéfLait!$O$104,RéfLait!$F$74,K$26),perfo_race_convent,22,FALSE),HLOOKUP(K$24,perfo_race_convent,22,FALSE)))</f>
        <v>0</v>
      </c>
      <c r="L155" s="570"/>
      <c r="M155" s="1778">
        <f>IF(M$25=RéfLait!$A$6,IF(M$26=RéfLait!$O$104,HLOOKUP(M$26,perfo_bio,22,FALSE),HLOOKUP(M$26,perfo_bio,22,FALSE)),IF(M$24=RéfLait!$F$74,HLOOKUP(IF(M$26=RéfLait!$O$104,RéfLait!$F$74,M$26),perfo_race_convent,22,FALSE),HLOOKUP(M$24,perfo_race_convent,22,FALSE)))</f>
        <v>0</v>
      </c>
      <c r="N155" s="570"/>
      <c r="O155" s="1778">
        <f>IF(O$25=RéfLait!$A$6,IF(O$26=RéfLait!$O$104,HLOOKUP(O$26,perfo_bio,22,FALSE),HLOOKUP(O$26,perfo_bio,22,FALSE)),IF(O$24=RéfLait!$F$74,HLOOKUP(IF(O$26=RéfLait!$O$104,RéfLait!$F$74,O$26),perfo_race_convent,22,FALSE),HLOOKUP(O$24,perfo_race_convent,22,FALSE)))</f>
        <v>0</v>
      </c>
      <c r="P155" s="570"/>
      <c r="Q155" s="1778">
        <f>IF(Q$25=RéfLait!$A$6,IF(Q$26=RéfLait!$O$104,HLOOKUP(Q$26,perfo_bio,22,FALSE),HLOOKUP(Q$26,perfo_bio,22,FALSE)),IF(Q$24=RéfLait!$F$74,HLOOKUP(IF(Q$26=RéfLait!$O$104,RéfLait!$F$74,Q$26),perfo_race_convent,22,FALSE),HLOOKUP(Q$24,perfo_race_convent,22,FALSE)))</f>
        <v>0</v>
      </c>
      <c r="R155" s="447"/>
      <c r="S155" s="447"/>
      <c r="T155" s="698"/>
    </row>
    <row r="156" spans="1:20" hidden="1">
      <c r="A156" s="480"/>
      <c r="B156" s="287"/>
      <c r="C156" s="265"/>
      <c r="D156" s="296" t="s">
        <v>771</v>
      </c>
      <c r="E156" s="1422" t="s">
        <v>626</v>
      </c>
      <c r="F156" s="614"/>
      <c r="G156" s="648">
        <f>IF(G$25=RéfLait!$A$6,IF(G$26=RéfLait!$O$104,HLOOKUP(G$26,perfo_bio,23,FALSE),HLOOKUP(G$26,perfo_bio,23,FALSE)),IF(G$24=RéfLait!$F$74,HLOOKUP(IF(G$26=RéfLait!$O$104,RéfLait!$F$74,G$26),perfo_race_convent,23,FALSE),HLOOKUP(G$24,perfo_race_convent,23,FALSE)))</f>
        <v>1.1000000000000001</v>
      </c>
      <c r="H156" s="539"/>
      <c r="I156" s="1778">
        <f>IF(I$25=RéfLait!$A$6,IF(I$26=RéfLait!$O$104,HLOOKUP(I$26,perfo_bio,23,FALSE),HLOOKUP(I$26,perfo_bio,23,FALSE)),IF(I$24=RéfLait!$F$74,HLOOKUP(IF(I$26=RéfLait!$O$104,RéfLait!$F$74,I$26),perfo_race_convent,23,FALSE),HLOOKUP(I$24,perfo_race_convent,23,FALSE)))</f>
        <v>1.1000000000000001</v>
      </c>
      <c r="J156" s="570"/>
      <c r="K156" s="1778">
        <f>IF(K$25=RéfLait!$A$6,IF(K$26=RéfLait!$O$104,HLOOKUP(K$26,perfo_bio,23,FALSE),HLOOKUP(K$26,perfo_bio,23,FALSE)),IF(K$24=RéfLait!$F$74,HLOOKUP(IF(K$26=RéfLait!$O$104,RéfLait!$F$74,K$26),perfo_race_convent,23,FALSE),HLOOKUP(K$24,perfo_race_convent,23,FALSE)))</f>
        <v>1.1000000000000001</v>
      </c>
      <c r="L156" s="570"/>
      <c r="M156" s="1778">
        <f>IF(M$25=RéfLait!$A$6,IF(M$26=RéfLait!$O$104,HLOOKUP(M$26,perfo_bio,23,FALSE),HLOOKUP(M$26,perfo_bio,23,FALSE)),IF(M$24=RéfLait!$F$74,HLOOKUP(IF(M$26=RéfLait!$O$104,RéfLait!$F$74,M$26),perfo_race_convent,23,FALSE),HLOOKUP(M$24,perfo_race_convent,23,FALSE)))</f>
        <v>1.1000000000000001</v>
      </c>
      <c r="N156" s="570"/>
      <c r="O156" s="1778">
        <f>IF(O$25=RéfLait!$A$6,IF(O$26=RéfLait!$O$104,HLOOKUP(O$26,perfo_bio,23,FALSE),HLOOKUP(O$26,perfo_bio,23,FALSE)),IF(O$24=RéfLait!$F$74,HLOOKUP(IF(O$26=RéfLait!$O$104,RéfLait!$F$74,O$26),perfo_race_convent,23,FALSE),HLOOKUP(O$24,perfo_race_convent,23,FALSE)))</f>
        <v>1.1000000000000001</v>
      </c>
      <c r="P156" s="570"/>
      <c r="Q156" s="1778">
        <f>IF(Q$25=RéfLait!$A$6,IF(Q$26=RéfLait!$O$104,HLOOKUP(Q$26,perfo_bio,23,FALSE),HLOOKUP(Q$26,perfo_bio,23,FALSE)),IF(Q$24=RéfLait!$F$74,HLOOKUP(IF(Q$26=RéfLait!$O$104,RéfLait!$F$74,Q$26),perfo_race_convent,23,FALSE),HLOOKUP(Q$24,perfo_race_convent,23,FALSE)))</f>
        <v>1.1000000000000001</v>
      </c>
      <c r="R156" s="447"/>
      <c r="S156" s="447"/>
      <c r="T156" s="698"/>
    </row>
    <row r="157" spans="1:20" hidden="1">
      <c r="A157" s="480"/>
      <c r="B157" s="287"/>
      <c r="C157" s="265"/>
      <c r="D157" s="296" t="s">
        <v>1326</v>
      </c>
      <c r="E157" s="1422" t="s">
        <v>652</v>
      </c>
      <c r="F157" s="614"/>
      <c r="G157" s="626">
        <f>G278/365</f>
        <v>11.629829674082956</v>
      </c>
      <c r="H157" s="573"/>
      <c r="I157" s="1760">
        <f>I278/365</f>
        <v>11.629829674082956</v>
      </c>
      <c r="J157" s="573"/>
      <c r="K157" s="1760">
        <f>K278/365</f>
        <v>11.629829674082956</v>
      </c>
      <c r="L157" s="573"/>
      <c r="M157" s="1760">
        <f>M278/365</f>
        <v>11.629829674082956</v>
      </c>
      <c r="N157" s="573"/>
      <c r="O157" s="1760">
        <f>O278/365</f>
        <v>11.629829674082956</v>
      </c>
      <c r="P157" s="573"/>
      <c r="Q157" s="1760">
        <f>Q278/365</f>
        <v>11.629829674082956</v>
      </c>
      <c r="R157" s="447"/>
      <c r="S157" s="447"/>
      <c r="T157" s="698"/>
    </row>
    <row r="158" spans="1:20" hidden="1">
      <c r="A158" s="480"/>
      <c r="B158" s="287"/>
      <c r="C158" s="265"/>
      <c r="D158" s="296" t="s">
        <v>653</v>
      </c>
      <c r="E158" s="1422" t="s">
        <v>650</v>
      </c>
      <c r="F158" s="614"/>
      <c r="G158" s="642">
        <f>IF(G$25=RéfLait!$A$6,IF(G$26=RéfLait!$O$104,HLOOKUP(G$26,perfo_bio,24,FALSE),HLOOKUP(G$26,perfo_bio,24,FALSE)),IF(G$24=RéfLait!$F$74,HLOOKUP(IF(G$26=RéfLait!$O$104,RéfLait!$F$74,G$26),perfo_race_convent,24,FALSE),HLOOKUP(G$24,perfo_race_convent,24,FALSE)))</f>
        <v>60</v>
      </c>
      <c r="H158" s="539"/>
      <c r="I158" s="1777">
        <f>IF(I$25=RéfLait!$A$6,IF(I$26=RéfLait!$O$104,HLOOKUP(I$26,perfo_bio,24,FALSE),HLOOKUP(I$26,perfo_bio,24,FALSE)),IF(I$24=RéfLait!$F$74,HLOOKUP(IF(I$26=RéfLait!$O$104,RéfLait!$F$74,I$26),perfo_race_convent,24,FALSE),HLOOKUP(I$24,perfo_race_convent,24,FALSE)))</f>
        <v>60</v>
      </c>
      <c r="J158" s="570"/>
      <c r="K158" s="1777">
        <f>IF(K$25=RéfLait!$A$6,IF(K$26=RéfLait!$O$104,HLOOKUP(K$26,perfo_bio,24,FALSE),HLOOKUP(K$26,perfo_bio,24,FALSE)),IF(K$24=RéfLait!$F$74,HLOOKUP(IF(K$26=RéfLait!$O$104,RéfLait!$F$74,K$26),perfo_race_convent,24,FALSE),HLOOKUP(K$24,perfo_race_convent,24,FALSE)))</f>
        <v>60</v>
      </c>
      <c r="L158" s="570"/>
      <c r="M158" s="1777">
        <f>IF(M$25=RéfLait!$A$6,IF(M$26=RéfLait!$O$104,HLOOKUP(M$26,perfo_bio,24,FALSE),HLOOKUP(M$26,perfo_bio,24,FALSE)),IF(M$24=RéfLait!$F$74,HLOOKUP(IF(M$26=RéfLait!$O$104,RéfLait!$F$74,M$26),perfo_race_convent,24,FALSE),HLOOKUP(M$24,perfo_race_convent,24,FALSE)))</f>
        <v>60</v>
      </c>
      <c r="N158" s="570"/>
      <c r="O158" s="1777">
        <f>IF(O$25=RéfLait!$A$6,IF(O$26=RéfLait!$O$104,HLOOKUP(O$26,perfo_bio,24,FALSE),HLOOKUP(O$26,perfo_bio,24,FALSE)),IF(O$24=RéfLait!$F$74,HLOOKUP(IF(O$26=RéfLait!$O$104,RéfLait!$F$74,O$26),perfo_race_convent,24,FALSE),HLOOKUP(O$24,perfo_race_convent,24,FALSE)))</f>
        <v>60</v>
      </c>
      <c r="P158" s="570"/>
      <c r="Q158" s="1777">
        <f>IF(Q$25=RéfLait!$A$6,IF(Q$26=RéfLait!$O$104,HLOOKUP(Q$26,perfo_bio,24,FALSE),HLOOKUP(Q$26,perfo_bio,24,FALSE)),IF(Q$24=RéfLait!$F$74,HLOOKUP(IF(Q$26=RéfLait!$O$104,RéfLait!$F$74,Q$26),perfo_race_convent,24,FALSE),HLOOKUP(Q$24,perfo_race_convent,24,FALSE)))</f>
        <v>60</v>
      </c>
      <c r="R158" s="447"/>
      <c r="S158" s="447"/>
      <c r="T158" s="698"/>
    </row>
    <row r="159" spans="1:20" hidden="1">
      <c r="A159" s="480"/>
      <c r="B159" s="287"/>
      <c r="C159" s="265"/>
      <c r="D159" s="296" t="s">
        <v>654</v>
      </c>
      <c r="E159" s="1422" t="s">
        <v>655</v>
      </c>
      <c r="F159" s="614"/>
      <c r="G159" s="650">
        <f>VLOOKUP($D156&amp;" ("&amp;$E156&amp;")",table_3,IF(G$25=RéfLait!$A$6,4,3),FALSE)</f>
        <v>1.8</v>
      </c>
      <c r="H159" s="546"/>
      <c r="I159" s="1781">
        <f>VLOOKUP($D156&amp;" ("&amp;$E156&amp;")",table_3,IF(I$25=RéfLait!$A$6,4,3),FALSE)</f>
        <v>1.8</v>
      </c>
      <c r="J159" s="1782"/>
      <c r="K159" s="1783">
        <f>VLOOKUP($D156&amp;" ("&amp;$E156&amp;")",table_3,IF(K$25=RéfLait!$A$6,4,3),FALSE)</f>
        <v>1.8</v>
      </c>
      <c r="L159" s="1782"/>
      <c r="M159" s="1783">
        <f>VLOOKUP($D156&amp;" ("&amp;$E156&amp;")",table_3,IF(M$25=RéfLait!$A$6,4,3),FALSE)</f>
        <v>1.8</v>
      </c>
      <c r="N159" s="1782"/>
      <c r="O159" s="1783">
        <f>VLOOKUP($D156&amp;" ("&amp;$E156&amp;")",table_3,IF(O$25=RéfLait!$A$6,4,3),FALSE)</f>
        <v>1.8</v>
      </c>
      <c r="P159" s="1782"/>
      <c r="Q159" s="1783">
        <f>VLOOKUP($D156&amp;" ("&amp;$E156&amp;")",table_3,IF(Q$25=RéfLait!$A$6,4,3),FALSE)</f>
        <v>1.8</v>
      </c>
      <c r="R159" s="447"/>
      <c r="S159" s="447"/>
      <c r="T159" s="698"/>
    </row>
    <row r="160" spans="1:20" hidden="1">
      <c r="A160" s="480"/>
      <c r="B160" s="287"/>
      <c r="C160" s="265"/>
      <c r="D160" s="296" t="s">
        <v>770</v>
      </c>
      <c r="E160" s="1422" t="s">
        <v>626</v>
      </c>
      <c r="F160" s="614"/>
      <c r="G160" s="651">
        <v>1.5</v>
      </c>
      <c r="H160" s="547"/>
      <c r="I160" s="1753">
        <f>G160</f>
        <v>1.5</v>
      </c>
      <c r="J160" s="1784"/>
      <c r="K160" s="1785">
        <f>I160</f>
        <v>1.5</v>
      </c>
      <c r="L160" s="1784"/>
      <c r="M160" s="1785">
        <f>K160</f>
        <v>1.5</v>
      </c>
      <c r="N160" s="1784"/>
      <c r="O160" s="1785">
        <f>M160</f>
        <v>1.5</v>
      </c>
      <c r="P160" s="1784"/>
      <c r="Q160" s="1785">
        <f>O160</f>
        <v>1.5</v>
      </c>
    </row>
    <row r="161" spans="1:24" hidden="1">
      <c r="A161" s="480"/>
      <c r="B161" s="287"/>
      <c r="C161" s="265"/>
      <c r="D161" s="296" t="s">
        <v>656</v>
      </c>
      <c r="E161" s="1422" t="s">
        <v>657</v>
      </c>
      <c r="F161" s="614"/>
      <c r="G161" s="648">
        <v>4</v>
      </c>
      <c r="H161" s="539"/>
      <c r="I161" s="1778">
        <f>G161</f>
        <v>4</v>
      </c>
      <c r="J161" s="570"/>
      <c r="K161" s="1778">
        <f>I161</f>
        <v>4</v>
      </c>
      <c r="L161" s="570"/>
      <c r="M161" s="1778">
        <f>K161</f>
        <v>4</v>
      </c>
      <c r="N161" s="570"/>
      <c r="O161" s="1778">
        <f>M161</f>
        <v>4</v>
      </c>
      <c r="P161" s="570"/>
      <c r="Q161" s="1778">
        <f>O161</f>
        <v>4</v>
      </c>
    </row>
    <row r="162" spans="1:24" hidden="1">
      <c r="A162" s="480"/>
      <c r="B162" s="287"/>
      <c r="C162" s="265"/>
      <c r="D162" s="296" t="s">
        <v>764</v>
      </c>
      <c r="E162" s="1422" t="s">
        <v>225</v>
      </c>
      <c r="F162" s="614"/>
      <c r="G162" s="649">
        <f>VLOOKUP($D160&amp;" ("&amp;$E160&amp;")",table_3,IF(G$25=RéfLait!$A$6,4,3),FALSE)</f>
        <v>700</v>
      </c>
      <c r="H162" s="540"/>
      <c r="I162" s="1764">
        <f>VLOOKUP($D160&amp;" ("&amp;$E160&amp;")",table_3,IF(I$25=RéfLait!$A$6,4,3),FALSE)</f>
        <v>700</v>
      </c>
      <c r="J162" s="1765"/>
      <c r="K162" s="1786">
        <f>VLOOKUP($D160&amp;" ("&amp;$E160&amp;")",table_3,IF(K$25=RéfLait!$A$6,4,3),FALSE)</f>
        <v>700</v>
      </c>
      <c r="L162" s="1765"/>
      <c r="M162" s="1786">
        <f>VLOOKUP($D160&amp;" ("&amp;$E160&amp;")",table_3,IF(M$25=RéfLait!$A$6,4,3),FALSE)</f>
        <v>700</v>
      </c>
      <c r="N162" s="1765"/>
      <c r="O162" s="1786">
        <f>VLOOKUP($D160&amp;" ("&amp;$E160&amp;")",table_3,IF(O$25=RéfLait!$A$6,4,3),FALSE)</f>
        <v>700</v>
      </c>
      <c r="P162" s="1765"/>
      <c r="Q162" s="1786">
        <f>VLOOKUP($D160&amp;" ("&amp;$E160&amp;")",table_3,IF(Q$25=RéfLait!$A$6,4,3),FALSE)</f>
        <v>700</v>
      </c>
    </row>
    <row r="163" spans="1:24" hidden="1">
      <c r="A163" s="480"/>
      <c r="B163" s="287"/>
      <c r="C163" s="265"/>
      <c r="D163" s="296" t="s">
        <v>666</v>
      </c>
      <c r="E163" s="1422" t="s">
        <v>626</v>
      </c>
      <c r="F163" s="614"/>
      <c r="G163" s="1666">
        <v>0</v>
      </c>
      <c r="H163" s="539"/>
      <c r="I163" s="1787">
        <f>G163</f>
        <v>0</v>
      </c>
      <c r="J163" s="570"/>
      <c r="K163" s="1788">
        <f>I163</f>
        <v>0</v>
      </c>
      <c r="L163" s="570"/>
      <c r="M163" s="1788">
        <f>K163</f>
        <v>0</v>
      </c>
      <c r="N163" s="570"/>
      <c r="O163" s="1788">
        <f>M163</f>
        <v>0</v>
      </c>
      <c r="P163" s="570"/>
      <c r="Q163" s="1788">
        <f>O163</f>
        <v>0</v>
      </c>
    </row>
    <row r="164" spans="1:24" hidden="1">
      <c r="A164" s="480"/>
      <c r="B164" s="287"/>
      <c r="C164" s="265"/>
      <c r="D164" s="296" t="s">
        <v>1169</v>
      </c>
      <c r="E164" s="1422" t="s">
        <v>626</v>
      </c>
      <c r="F164" s="614"/>
      <c r="G164" s="1667">
        <f>IF(G25=RéfLait!$A$6,1-G163,1.5-G163)</f>
        <v>1.5</v>
      </c>
      <c r="H164" s="539"/>
      <c r="I164" s="1778">
        <f>IF(I25=RéfLait!$A$6,1-I163,1.5-I163)</f>
        <v>1.5</v>
      </c>
      <c r="J164" s="570"/>
      <c r="K164" s="1778">
        <f>IF(K25=RéfLait!$A$6,1-K163,1.5-K163)</f>
        <v>1.5</v>
      </c>
      <c r="L164" s="570"/>
      <c r="M164" s="1778">
        <f>IF(M25=RéfLait!$A$6,1-M163,1.5-M163)</f>
        <v>1.5</v>
      </c>
      <c r="N164" s="570"/>
      <c r="O164" s="1778">
        <f>IF(O25=RéfLait!$A$6,1-O163,1.5-O163)</f>
        <v>1.5</v>
      </c>
      <c r="P164" s="570"/>
      <c r="Q164" s="1778">
        <f>IF(Q25=RéfLait!$A$6,1-Q163,1.5-Q163)</f>
        <v>1.5</v>
      </c>
    </row>
    <row r="165" spans="1:24" hidden="1">
      <c r="A165" s="480"/>
      <c r="B165" s="287"/>
      <c r="C165" s="265"/>
      <c r="D165" s="296" t="s">
        <v>767</v>
      </c>
      <c r="E165" s="1422" t="s">
        <v>626</v>
      </c>
      <c r="F165" s="614"/>
      <c r="G165" s="1668">
        <f>IF(G25=RéfLait!$A$7,0.3,0)</f>
        <v>0.3</v>
      </c>
      <c r="H165" s="539"/>
      <c r="I165" s="1778">
        <f>IF(I25=RéfLait!$A$7,0.3,0)</f>
        <v>0.3</v>
      </c>
      <c r="J165" s="570"/>
      <c r="K165" s="1778">
        <f>IF(K25=RéfLait!$A$7,0.3,0)</f>
        <v>0.3</v>
      </c>
      <c r="L165" s="570"/>
      <c r="M165" s="1778">
        <f>IF(M25=RéfLait!$A$7,0.3,0)</f>
        <v>0.3</v>
      </c>
      <c r="N165" s="570"/>
      <c r="O165" s="1778">
        <f>IF(O25=RéfLait!$A$7,0.3,0)</f>
        <v>0.3</v>
      </c>
      <c r="P165" s="570"/>
      <c r="Q165" s="1778">
        <f>IF(Q25=RéfLait!$A$7,0.3,0)</f>
        <v>0.3</v>
      </c>
    </row>
    <row r="166" spans="1:24" hidden="1">
      <c r="A166" s="480"/>
      <c r="B166" s="287"/>
      <c r="C166" s="265"/>
      <c r="D166" s="296" t="s">
        <v>658</v>
      </c>
      <c r="E166" s="1422" t="s">
        <v>657</v>
      </c>
      <c r="F166" s="614"/>
      <c r="G166" s="648">
        <v>9</v>
      </c>
      <c r="H166" s="539"/>
      <c r="I166" s="1778">
        <f>G166</f>
        <v>9</v>
      </c>
      <c r="J166" s="570"/>
      <c r="K166" s="1778">
        <f>I166</f>
        <v>9</v>
      </c>
      <c r="L166" s="570"/>
      <c r="M166" s="1778">
        <f>K166</f>
        <v>9</v>
      </c>
      <c r="N166" s="570"/>
      <c r="O166" s="1778">
        <f>M166</f>
        <v>9</v>
      </c>
      <c r="P166" s="570"/>
      <c r="Q166" s="1778">
        <f>O166</f>
        <v>9</v>
      </c>
      <c r="V166" s="483"/>
      <c r="W166" s="1107"/>
      <c r="X166" s="514"/>
    </row>
    <row r="167" spans="1:24" hidden="1">
      <c r="A167" s="480"/>
      <c r="B167" s="287"/>
      <c r="C167" s="265"/>
      <c r="D167" s="296" t="s">
        <v>769</v>
      </c>
      <c r="E167" s="1422" t="s">
        <v>225</v>
      </c>
      <c r="F167" s="614"/>
      <c r="G167" s="649">
        <f>VLOOKUP($D165&amp;" ("&amp;$E165&amp;")",table_3,IF(G$25=RéfLait!$A$6,4,3),FALSE)</f>
        <v>900</v>
      </c>
      <c r="H167" s="540"/>
      <c r="I167" s="1764">
        <f>VLOOKUP($D165&amp;" ("&amp;$E165&amp;")",table_3,IF(I$25=RéfLait!$A$6,4,3),FALSE)</f>
        <v>900</v>
      </c>
      <c r="J167" s="1765"/>
      <c r="K167" s="1764">
        <f>VLOOKUP($D165&amp;" ("&amp;$E165&amp;")",table_3,IF(K$25=RéfLait!$A$6,4,3),FALSE)</f>
        <v>900</v>
      </c>
      <c r="L167" s="1765"/>
      <c r="M167" s="1764">
        <f>VLOOKUP($D165&amp;" ("&amp;$E165&amp;")",table_3,IF(M$25=RéfLait!$A$6,4,3),FALSE)</f>
        <v>900</v>
      </c>
      <c r="N167" s="1765"/>
      <c r="O167" s="1764">
        <f>VLOOKUP($D165&amp;" ("&amp;$E165&amp;")",table_3,IF(O$25=RéfLait!$A$6,4,3),FALSE)</f>
        <v>900</v>
      </c>
      <c r="P167" s="1765"/>
      <c r="Q167" s="1764">
        <f>VLOOKUP($D165&amp;" ("&amp;$E165&amp;")",table_3,IF(Q$25=RéfLait!$A$6,4,3),FALSE)</f>
        <v>900</v>
      </c>
      <c r="V167" s="483"/>
      <c r="W167" s="1107"/>
      <c r="X167" s="514"/>
    </row>
    <row r="168" spans="1:24" hidden="1">
      <c r="A168" s="1584"/>
      <c r="B168" s="287"/>
      <c r="C168" s="265"/>
      <c r="D168" s="296" t="s">
        <v>667</v>
      </c>
      <c r="E168" s="1422" t="s">
        <v>623</v>
      </c>
      <c r="F168" s="614"/>
      <c r="G168" s="707">
        <f>G155*G158</f>
        <v>0</v>
      </c>
      <c r="H168" s="539"/>
      <c r="I168" s="574">
        <f>I155*I158</f>
        <v>0</v>
      </c>
      <c r="J168" s="539"/>
      <c r="K168" s="574">
        <f>K155*K158</f>
        <v>0</v>
      </c>
      <c r="L168" s="539"/>
      <c r="M168" s="574">
        <f>M155*M158</f>
        <v>0</v>
      </c>
      <c r="N168" s="539"/>
      <c r="O168" s="574">
        <f>O155*O158</f>
        <v>0</v>
      </c>
      <c r="P168" s="539"/>
      <c r="Q168" s="574">
        <f>Q155*Q158</f>
        <v>0</v>
      </c>
      <c r="V168" s="1106"/>
      <c r="W168" s="1107"/>
      <c r="X168" s="514"/>
    </row>
    <row r="169" spans="1:24" hidden="1">
      <c r="A169" s="1584"/>
      <c r="B169" s="287"/>
      <c r="C169" s="265"/>
      <c r="D169" s="296" t="s">
        <v>1327</v>
      </c>
      <c r="E169" s="1422"/>
      <c r="F169" s="614"/>
      <c r="G169" s="640">
        <f>G156*(G158-3)*G57/1000+G160*365/1000*G61*G161/G59+(G163+G165)/1000*365*G61*G166/G59</f>
        <v>7.2011500000000002</v>
      </c>
      <c r="H169" s="539"/>
      <c r="I169" s="575">
        <f>I156*(I158-3)*I57/1000+I160*365/1000*I61*I161/I59+(I163+I165)/1000*365*I61*I166/I59</f>
        <v>7.2011500000000002</v>
      </c>
      <c r="J169" s="539"/>
      <c r="K169" s="575">
        <f>K156*(K158-3)*K57/1000+K160*365/1000*K61*K161/K59+(K163+K165)/1000*365*K61*K166/K59</f>
        <v>7.2011500000000002</v>
      </c>
      <c r="L169" s="539"/>
      <c r="M169" s="575">
        <f>M156*(M158-3)*M57/1000+M160*365/1000*M61*M161/M59+(M163+M165)/1000*365*M61*M166/M59</f>
        <v>7.2011500000000002</v>
      </c>
      <c r="N169" s="539"/>
      <c r="O169" s="575">
        <f>O156*(O158-3)*O57/1000+O160*365/1000*O61*O161/O59+(O163+O165)/1000*365*O61*O166/O59</f>
        <v>7.2011500000000002</v>
      </c>
      <c r="P169" s="539"/>
      <c r="Q169" s="575">
        <f>Q156*(Q158-3)*Q57/1000+Q160*365/1000*Q61*Q161/Q59+(Q163+Q165)/1000*365*Q61*Q166/Q59</f>
        <v>7.2011500000000002</v>
      </c>
      <c r="S169" s="483"/>
      <c r="V169" s="483"/>
      <c r="W169" s="1107"/>
      <c r="X169" s="514"/>
    </row>
    <row r="170" spans="1:24" hidden="1">
      <c r="A170" s="1584"/>
      <c r="B170" s="287"/>
      <c r="C170" s="265"/>
      <c r="D170" s="296" t="s">
        <v>668</v>
      </c>
      <c r="E170" s="1422" t="s">
        <v>260</v>
      </c>
      <c r="F170" s="614"/>
      <c r="G170" s="664">
        <f>G156*(G158-3)*G57*G159+G160*365/1000*G61*G161/G59*G162+(G163+G165)/1000*365*G61*G166/G59*G167</f>
        <v>6919.4949999999999</v>
      </c>
      <c r="H170" s="540"/>
      <c r="I170" s="576">
        <f>I156*(I158-3)*I57*I159+I160*365/1000*I61*I161/I59*I162+(I163+I165)/1000*365*I61*I166/I59*I167</f>
        <v>6919.4949999999999</v>
      </c>
      <c r="J170" s="540"/>
      <c r="K170" s="576">
        <f>K156*(K158-3)*K57*K159+K160*365/1000*K61*K161/K59*K162+(K163+K165)/1000*365*K61*K166/K59*K167</f>
        <v>6919.4949999999999</v>
      </c>
      <c r="L170" s="540"/>
      <c r="M170" s="576">
        <f>M156*(M158-3)*M57*M159+M160*365/1000*M61*M161/M59*M162+(M163+M165)/1000*365*M61*M166/M59*M167</f>
        <v>6919.4949999999999</v>
      </c>
      <c r="N170" s="540"/>
      <c r="O170" s="576">
        <f>O156*(O158-3)*O57*O159+O160*365/1000*O61*O161/O59*O162+(O163+O165)/1000*365*O61*O166/O59*O167</f>
        <v>6919.4949999999999</v>
      </c>
      <c r="P170" s="540"/>
      <c r="Q170" s="576">
        <f>Q156*(Q158-3)*Q57*Q159+Q160*365/1000*Q61*Q161/Q59*Q162+(Q163+Q165)/1000*365*Q61*Q166/Q59*Q167</f>
        <v>6919.4949999999999</v>
      </c>
      <c r="V170" s="483"/>
      <c r="W170" s="514"/>
      <c r="X170" s="514"/>
    </row>
    <row r="171" spans="1:24" hidden="1">
      <c r="A171" s="1579" t="s">
        <v>11</v>
      </c>
      <c r="B171" s="397"/>
      <c r="C171" s="398"/>
      <c r="D171" s="399" t="s">
        <v>789</v>
      </c>
      <c r="E171" s="1438" t="s">
        <v>661</v>
      </c>
      <c r="F171" s="733" t="str">
        <f ca="1">IF(INDEX(Champs!F$257:F$307,MATCH($A171,Champs!$B$257:$B$307,0)+1)&lt;G171,"!","")</f>
        <v/>
      </c>
      <c r="G171" s="708">
        <f>IF(G120=0,0,(G120/SUM(G$120:G$137))*G$189)+IF(SUM(G120:G137)=0,G163*365/1000*G61*G166/G59,0)</f>
        <v>0</v>
      </c>
      <c r="H171" s="719" t="str">
        <f ca="1">IF(INDEX(Champs!H$257:H$307,MATCH($A171,Champs!$B$257:$B$307,0)+1)&lt;I171,"!","")</f>
        <v/>
      </c>
      <c r="I171" s="577">
        <f>IF(I120=0,0,(I120/SUM(I$120:I$137))*I$189)+IF(SUM(I120:I137)=0,I163*365/1000*I61*I166/I59,0)</f>
        <v>0</v>
      </c>
      <c r="J171" s="719" t="str">
        <f ca="1">IF(INDEX(Champs!J$257:J$307,MATCH($A171,Champs!$B$257:$B$307,0)+1)&lt;K171,"!","")</f>
        <v/>
      </c>
      <c r="K171" s="577">
        <f>IF(K120=0,0,(K120/SUM(K$120:K$137))*K$189)+IF(SUM(K120:K137)=0,K163*365/1000*K61*K166/K59,0)</f>
        <v>0</v>
      </c>
      <c r="L171" s="719" t="str">
        <f ca="1">IF(INDEX(Champs!L$257:L$307,MATCH($A171,Champs!$B$257:$B$307,0)+1)&lt;M171,"!","")</f>
        <v/>
      </c>
      <c r="M171" s="577">
        <f>IF(M120=0,0,(M120/SUM(M$120:M$137))*M$189)+IF(SUM(M120:M137)=0,M163*365/1000*M61*M166/M59,0)</f>
        <v>0</v>
      </c>
      <c r="N171" s="720" t="str">
        <f ca="1">IF(INDEX(Champs!N$257:N$307,MATCH($A171,Champs!$B$257:$B$307,0)+1)&lt;O171,"!","")</f>
        <v/>
      </c>
      <c r="O171" s="577">
        <f>IF(O120=0,0,(O120/SUM(O$120:O$137))*O$189)+IF(SUM(O120:O137)=0,O163*365/1000*O61*O166/O59,0)</f>
        <v>0</v>
      </c>
      <c r="P171" s="720" t="str">
        <f ca="1">IF(INDEX(Champs!P$257:P$307,MATCH($A171,Champs!$B$257:$B$307,0)+1)&lt;Q171,"!","")</f>
        <v/>
      </c>
      <c r="Q171" s="577">
        <f>IF(Q120=0,0,(Q120/SUM(Q$120:Q$137))*Q$189)+IF(SUM(Q120:Q137)=0,Q163*365/1000*Q61*Q166/Q59,0)</f>
        <v>0</v>
      </c>
      <c r="S171" s="93"/>
    </row>
    <row r="172" spans="1:24" hidden="1">
      <c r="A172" s="1579" t="s">
        <v>0</v>
      </c>
      <c r="B172" s="397"/>
      <c r="C172" s="398"/>
      <c r="D172" s="399" t="s">
        <v>776</v>
      </c>
      <c r="E172" s="1438" t="s">
        <v>661</v>
      </c>
      <c r="F172" s="733" t="str">
        <f ca="1">IF(INDEX(Champs!F$257:F$307,MATCH($A172,Champs!$B$257:$B$307,0)+1)&lt;G172,"!","")</f>
        <v/>
      </c>
      <c r="G172" s="708">
        <f t="shared" ref="G172:G188" si="10">IF(G121=0,0,(G121/SUM(G$120:G$137))*G$189)</f>
        <v>0</v>
      </c>
      <c r="H172" s="719" t="str">
        <f ca="1">IF(INDEX(Champs!H$257:H$307,MATCH($A172,Champs!$B$257:$B$307,0)+1)&lt;I172,"!","")</f>
        <v/>
      </c>
      <c r="I172" s="578">
        <f t="shared" ref="I172:I188" si="11">IF(I121=0,0,(I121/SUM(I$120:I$137))*I$189)</f>
        <v>0</v>
      </c>
      <c r="J172" s="719" t="str">
        <f ca="1">IF(INDEX(Champs!J$257:J$307,MATCH($A172,Champs!$B$257:$B$307,0)+1)&lt;K172,"!","")</f>
        <v/>
      </c>
      <c r="K172" s="578">
        <f t="shared" ref="K172:K188" si="12">IF(K121=0,0,(K121/SUM(K$120:K$137))*K$189)</f>
        <v>0</v>
      </c>
      <c r="L172" s="719" t="str">
        <f ca="1">IF(INDEX(Champs!L$257:L$307,MATCH($A172,Champs!$B$257:$B$307,0)+1)&lt;M172,"!","")</f>
        <v/>
      </c>
      <c r="M172" s="578">
        <f t="shared" ref="M172:M188" si="13">IF(M121=0,0,(M121/SUM(M$120:M$137))*M$189)</f>
        <v>0</v>
      </c>
      <c r="N172" s="720" t="str">
        <f ca="1">IF(INDEX(Champs!N$257:N$307,MATCH($A172,Champs!$B$257:$B$307,0)+1)&lt;O172,"!","")</f>
        <v/>
      </c>
      <c r="O172" s="578">
        <f t="shared" ref="O172:O188" si="14">IF(O121=0,0,(O121/SUM(O$120:O$137))*O$189)</f>
        <v>0</v>
      </c>
      <c r="P172" s="720" t="str">
        <f ca="1">IF(INDEX(Champs!P$257:P$307,MATCH($A172,Champs!$B$257:$B$307,0)+1)&lt;Q172,"!","")</f>
        <v/>
      </c>
      <c r="Q172" s="578">
        <f t="shared" ref="Q172:Q188" si="15">IF(Q121=0,0,(Q121/SUM(Q$120:Q$137))*Q$189)</f>
        <v>0</v>
      </c>
    </row>
    <row r="173" spans="1:24" ht="15" hidden="1" thickBot="1">
      <c r="A173" s="1579" t="s">
        <v>140</v>
      </c>
      <c r="B173" s="397"/>
      <c r="C173" s="398"/>
      <c r="D173" s="399" t="s">
        <v>777</v>
      </c>
      <c r="E173" s="1438" t="s">
        <v>661</v>
      </c>
      <c r="F173" s="733" t="str">
        <f>IF(Champs!G52&lt;G173,"!","")</f>
        <v/>
      </c>
      <c r="G173" s="708">
        <f t="shared" si="10"/>
        <v>0</v>
      </c>
      <c r="H173" s="719" t="str">
        <f>IF(Champs!I52&lt;I173,"!","")</f>
        <v/>
      </c>
      <c r="I173" s="578">
        <f t="shared" si="11"/>
        <v>0</v>
      </c>
      <c r="J173" s="719" t="str">
        <f>IF(Champs!K52&lt;K173,"!","")</f>
        <v/>
      </c>
      <c r="K173" s="578">
        <f t="shared" si="12"/>
        <v>0</v>
      </c>
      <c r="L173" s="719" t="str">
        <f>IF(Champs!M52&lt;M173,"!","")</f>
        <v/>
      </c>
      <c r="M173" s="578">
        <f t="shared" si="13"/>
        <v>0</v>
      </c>
      <c r="N173" s="720" t="str">
        <f>IF(Champs!O52&lt;O173,"!","")</f>
        <v/>
      </c>
      <c r="O173" s="578">
        <f t="shared" si="14"/>
        <v>0</v>
      </c>
      <c r="P173" s="720" t="str">
        <f>IF(Champs!Q52&lt;Q173,"!","")</f>
        <v/>
      </c>
      <c r="Q173" s="578">
        <f t="shared" si="15"/>
        <v>0</v>
      </c>
    </row>
    <row r="174" spans="1:24" hidden="1">
      <c r="A174" s="1579" t="s">
        <v>1</v>
      </c>
      <c r="B174" s="397"/>
      <c r="C174" s="398"/>
      <c r="D174" s="399" t="s">
        <v>778</v>
      </c>
      <c r="E174" s="1438" t="s">
        <v>661</v>
      </c>
      <c r="F174" s="733" t="str">
        <f ca="1">IF(INDEX(Champs!F$257:F$307,MATCH($A174,Champs!$B$257:$B$307,0)+1)&lt;G174,"!","")</f>
        <v/>
      </c>
      <c r="G174" s="708">
        <f t="shared" si="10"/>
        <v>0</v>
      </c>
      <c r="H174" s="719" t="str">
        <f ca="1">IF(INDEX(Champs!H$257:H$307,MATCH($A174,Champs!$B$257:$B$307,0)+1)&lt;I174,"!","")</f>
        <v/>
      </c>
      <c r="I174" s="578">
        <f t="shared" si="11"/>
        <v>0</v>
      </c>
      <c r="J174" s="719" t="str">
        <f ca="1">IF(INDEX(Champs!J$257:J$307,MATCH($A174,Champs!$B$257:$B$307,0)+1)&lt;K174,"!","")</f>
        <v/>
      </c>
      <c r="K174" s="578">
        <f t="shared" si="12"/>
        <v>0</v>
      </c>
      <c r="L174" s="719" t="str">
        <f ca="1">IF(INDEX(Champs!L$257:L$307,MATCH($A174,Champs!$B$257:$B$307,0)+1)&lt;M174,"!","")</f>
        <v/>
      </c>
      <c r="M174" s="578">
        <f t="shared" si="13"/>
        <v>0</v>
      </c>
      <c r="N174" s="720" t="str">
        <f ca="1">IF(INDEX(Champs!N$257:N$307,MATCH($A174,Champs!$B$257:$B$307,0)+1)&lt;O174,"!","")</f>
        <v/>
      </c>
      <c r="O174" s="578">
        <f t="shared" si="14"/>
        <v>0</v>
      </c>
      <c r="P174" s="720" t="str">
        <f ca="1">IF(INDEX(Champs!P$257:P$307,MATCH($A174,Champs!$B$257:$B$307,0)+1)&lt;Q174,"!","")</f>
        <v/>
      </c>
      <c r="Q174" s="578">
        <f t="shared" si="15"/>
        <v>0</v>
      </c>
    </row>
    <row r="175" spans="1:24" hidden="1">
      <c r="A175" s="1579" t="s">
        <v>3</v>
      </c>
      <c r="B175" s="397"/>
      <c r="C175" s="398"/>
      <c r="D175" s="399" t="s">
        <v>779</v>
      </c>
      <c r="E175" s="1438" t="s">
        <v>661</v>
      </c>
      <c r="F175" s="733" t="str">
        <f ca="1">IF(INDEX(Champs!F$257:F$307,MATCH($A175,Champs!$B$257:$B$307,0)+1)&lt;G175,"!","")</f>
        <v/>
      </c>
      <c r="G175" s="708">
        <f t="shared" si="10"/>
        <v>0</v>
      </c>
      <c r="H175" s="719" t="str">
        <f ca="1">IF(INDEX(Champs!H$257:H$307,MATCH($A175,Champs!$B$257:$B$307,0)+1)&lt;I175,"!","")</f>
        <v/>
      </c>
      <c r="I175" s="578">
        <f t="shared" si="11"/>
        <v>0</v>
      </c>
      <c r="J175" s="719" t="str">
        <f ca="1">IF(INDEX(Champs!J$257:J$307,MATCH($A175,Champs!$B$257:$B$307,0)+1)&lt;K175,"!","")</f>
        <v/>
      </c>
      <c r="K175" s="578">
        <f t="shared" si="12"/>
        <v>0</v>
      </c>
      <c r="L175" s="719" t="str">
        <f ca="1">IF(INDEX(Champs!L$257:L$307,MATCH($A175,Champs!$B$257:$B$307,0)+1)&lt;M175,"!","")</f>
        <v/>
      </c>
      <c r="M175" s="578">
        <f t="shared" si="13"/>
        <v>0</v>
      </c>
      <c r="N175" s="720" t="str">
        <f ca="1">IF(INDEX(Champs!N$257:N$307,MATCH($A175,Champs!$B$257:$B$307,0)+1)&lt;O175,"!","")</f>
        <v/>
      </c>
      <c r="O175" s="578">
        <f t="shared" si="14"/>
        <v>0</v>
      </c>
      <c r="P175" s="720" t="str">
        <f ca="1">IF(INDEX(Champs!P$257:P$307,MATCH($A175,Champs!$B$257:$B$307,0)+1)&lt;Q175,"!","")</f>
        <v/>
      </c>
      <c r="Q175" s="578">
        <f t="shared" si="15"/>
        <v>0</v>
      </c>
    </row>
    <row r="176" spans="1:24" hidden="1">
      <c r="A176" s="1579" t="s">
        <v>4</v>
      </c>
      <c r="B176" s="397"/>
      <c r="C176" s="398"/>
      <c r="D176" s="399" t="s">
        <v>780</v>
      </c>
      <c r="E176" s="1438" t="s">
        <v>661</v>
      </c>
      <c r="F176" s="733" t="str">
        <f ca="1">IF(INDEX(Champs!F$257:F$307,MATCH($A176,Champs!$B$257:$B$307,0)+1)&lt;G176,"!","")</f>
        <v/>
      </c>
      <c r="G176" s="708">
        <f t="shared" si="10"/>
        <v>0</v>
      </c>
      <c r="H176" s="719" t="str">
        <f ca="1">IF(INDEX(Champs!H$257:H$307,MATCH($A176,Champs!$B$257:$B$307,0)+1)&lt;I176,"!","")</f>
        <v/>
      </c>
      <c r="I176" s="578">
        <f t="shared" si="11"/>
        <v>0</v>
      </c>
      <c r="J176" s="719" t="str">
        <f ca="1">IF(INDEX(Champs!J$257:J$307,MATCH($A176,Champs!$B$257:$B$307,0)+1)&lt;K176,"!","")</f>
        <v/>
      </c>
      <c r="K176" s="578">
        <f t="shared" si="12"/>
        <v>0</v>
      </c>
      <c r="L176" s="719" t="str">
        <f ca="1">IF(INDEX(Champs!L$257:L$307,MATCH($A176,Champs!$B$257:$B$307,0)+1)&lt;M176,"!","")</f>
        <v/>
      </c>
      <c r="M176" s="578">
        <f t="shared" si="13"/>
        <v>0</v>
      </c>
      <c r="N176" s="720" t="str">
        <f ca="1">IF(INDEX(Champs!N$257:N$307,MATCH($A176,Champs!$B$257:$B$307,0)+1)&lt;O176,"!","")</f>
        <v/>
      </c>
      <c r="O176" s="578">
        <f t="shared" si="14"/>
        <v>0</v>
      </c>
      <c r="P176" s="720" t="str">
        <f ca="1">IF(INDEX(Champs!P$257:P$307,MATCH($A176,Champs!$B$257:$B$307,0)+1)&lt;Q176,"!","")</f>
        <v/>
      </c>
      <c r="Q176" s="578">
        <f t="shared" si="15"/>
        <v>0</v>
      </c>
    </row>
    <row r="177" spans="1:17" hidden="1">
      <c r="A177" s="1579" t="s">
        <v>5</v>
      </c>
      <c r="B177" s="397"/>
      <c r="C177" s="398"/>
      <c r="D177" s="399" t="s">
        <v>781</v>
      </c>
      <c r="E177" s="1438" t="s">
        <v>661</v>
      </c>
      <c r="F177" s="733" t="str">
        <f ca="1">IF(INDEX(Champs!F$257:F$307,MATCH($A177,Champs!$B$257:$B$307,0)+1)&lt;G177,"!","")</f>
        <v/>
      </c>
      <c r="G177" s="708">
        <f t="shared" si="10"/>
        <v>0</v>
      </c>
      <c r="H177" s="719" t="str">
        <f ca="1">IF(INDEX(Champs!H$257:H$307,MATCH($A177,Champs!$B$257:$B$307,0)+1)&lt;I177,"!","")</f>
        <v/>
      </c>
      <c r="I177" s="578">
        <f t="shared" si="11"/>
        <v>0</v>
      </c>
      <c r="J177" s="719" t="str">
        <f ca="1">IF(INDEX(Champs!J$257:J$307,MATCH($A177,Champs!$B$257:$B$307,0)+1)&lt;K177,"!","")</f>
        <v/>
      </c>
      <c r="K177" s="578">
        <f t="shared" si="12"/>
        <v>0</v>
      </c>
      <c r="L177" s="719" t="str">
        <f ca="1">IF(INDEX(Champs!L$257:L$307,MATCH($A177,Champs!$B$257:$B$307,0)+1)&lt;M177,"!","")</f>
        <v/>
      </c>
      <c r="M177" s="578">
        <f t="shared" si="13"/>
        <v>0</v>
      </c>
      <c r="N177" s="720" t="str">
        <f ca="1">IF(INDEX(Champs!N$257:N$307,MATCH($A177,Champs!$B$257:$B$307,0)+1)&lt;O177,"!","")</f>
        <v/>
      </c>
      <c r="O177" s="578">
        <f t="shared" si="14"/>
        <v>0</v>
      </c>
      <c r="P177" s="720" t="str">
        <f ca="1">IF(INDEX(Champs!P$257:P$307,MATCH($A177,Champs!$B$257:$B$307,0)+1)&lt;Q177,"!","")</f>
        <v/>
      </c>
      <c r="Q177" s="578">
        <f t="shared" si="15"/>
        <v>0</v>
      </c>
    </row>
    <row r="178" spans="1:17" hidden="1">
      <c r="A178" s="1579" t="s">
        <v>6</v>
      </c>
      <c r="B178" s="397"/>
      <c r="C178" s="398"/>
      <c r="D178" s="399" t="s">
        <v>782</v>
      </c>
      <c r="E178" s="1438" t="s">
        <v>661</v>
      </c>
      <c r="F178" s="733" t="str">
        <f ca="1">IF(INDEX(Champs!F$257:F$307,MATCH($A178,Champs!$B$257:$B$307,0)+1)&lt;G178,"!","")</f>
        <v/>
      </c>
      <c r="G178" s="708">
        <f t="shared" si="10"/>
        <v>0</v>
      </c>
      <c r="H178" s="719" t="str">
        <f ca="1">IF(INDEX(Champs!H$257:H$307,MATCH($A178,Champs!$B$257:$B$307,0)+1)&lt;I178,"!","")</f>
        <v/>
      </c>
      <c r="I178" s="578">
        <f t="shared" si="11"/>
        <v>0</v>
      </c>
      <c r="J178" s="719" t="str">
        <f ca="1">IF(INDEX(Champs!J$257:J$307,MATCH($A178,Champs!$B$257:$B$307,0)+1)&lt;K178,"!","")</f>
        <v/>
      </c>
      <c r="K178" s="578">
        <f t="shared" si="12"/>
        <v>0</v>
      </c>
      <c r="L178" s="719" t="str">
        <f ca="1">IF(INDEX(Champs!L$257:L$307,MATCH($A178,Champs!$B$257:$B$307,0)+1)&lt;M178,"!","")</f>
        <v/>
      </c>
      <c r="M178" s="578">
        <f t="shared" si="13"/>
        <v>0</v>
      </c>
      <c r="N178" s="720" t="str">
        <f ca="1">IF(INDEX(Champs!N$257:N$307,MATCH($A178,Champs!$B$257:$B$307,0)+1)&lt;O178,"!","")</f>
        <v/>
      </c>
      <c r="O178" s="578">
        <f t="shared" si="14"/>
        <v>0</v>
      </c>
      <c r="P178" s="720" t="str">
        <f ca="1">IF(INDEX(Champs!P$257:P$307,MATCH($A178,Champs!$B$257:$B$307,0)+1)&lt;Q178,"!","")</f>
        <v/>
      </c>
      <c r="Q178" s="578">
        <f t="shared" si="15"/>
        <v>0</v>
      </c>
    </row>
    <row r="179" spans="1:17" hidden="1">
      <c r="A179" s="1579" t="s">
        <v>7</v>
      </c>
      <c r="B179" s="397"/>
      <c r="C179" s="398"/>
      <c r="D179" s="399" t="s">
        <v>783</v>
      </c>
      <c r="E179" s="1438" t="s">
        <v>661</v>
      </c>
      <c r="F179" s="733" t="str">
        <f ca="1">IF(INDEX(Champs!F$257:F$307,MATCH($A179,Champs!$B$257:$B$307,0)+1)&lt;G179,"!","")</f>
        <v/>
      </c>
      <c r="G179" s="708">
        <f t="shared" si="10"/>
        <v>0</v>
      </c>
      <c r="H179" s="719" t="str">
        <f ca="1">IF(INDEX(Champs!H$257:H$307,MATCH($A179,Champs!$B$257:$B$307,0)+1)&lt;I179,"!","")</f>
        <v/>
      </c>
      <c r="I179" s="578">
        <f t="shared" si="11"/>
        <v>0</v>
      </c>
      <c r="J179" s="719" t="str">
        <f ca="1">IF(INDEX(Champs!J$257:J$307,MATCH($A179,Champs!$B$257:$B$307,0)+1)&lt;K179,"!","")</f>
        <v/>
      </c>
      <c r="K179" s="578">
        <f t="shared" si="12"/>
        <v>0</v>
      </c>
      <c r="L179" s="719" t="str">
        <f ca="1">IF(INDEX(Champs!L$257:L$307,MATCH($A179,Champs!$B$257:$B$307,0)+1)&lt;M179,"!","")</f>
        <v/>
      </c>
      <c r="M179" s="578">
        <f t="shared" si="13"/>
        <v>0</v>
      </c>
      <c r="N179" s="720" t="str">
        <f ca="1">IF(INDEX(Champs!N$257:N$307,MATCH($A179,Champs!$B$257:$B$307,0)+1)&lt;O179,"!","")</f>
        <v/>
      </c>
      <c r="O179" s="578">
        <f t="shared" si="14"/>
        <v>0</v>
      </c>
      <c r="P179" s="720" t="str">
        <f ca="1">IF(INDEX(Champs!P$257:P$307,MATCH($A179,Champs!$B$257:$B$307,0)+1)&lt;Q179,"!","")</f>
        <v/>
      </c>
      <c r="Q179" s="578">
        <f t="shared" si="15"/>
        <v>0</v>
      </c>
    </row>
    <row r="180" spans="1:17" hidden="1">
      <c r="A180" s="1579" t="s">
        <v>1291</v>
      </c>
      <c r="B180" s="397"/>
      <c r="C180" s="398"/>
      <c r="D180" s="399" t="s">
        <v>1292</v>
      </c>
      <c r="E180" s="1438" t="s">
        <v>661</v>
      </c>
      <c r="F180" s="733" t="str">
        <f ca="1">IF(INDEX(Champs!F$257:F$307,MATCH($A180,Champs!$B$257:$B$307,0)+1)&lt;G180,"!","")</f>
        <v/>
      </c>
      <c r="G180" s="708">
        <f t="shared" si="10"/>
        <v>0</v>
      </c>
      <c r="H180" s="719" t="str">
        <f ca="1">IF(INDEX(Champs!H$257:H$307,MATCH($A180,Champs!$B$257:$B$307,0)+1)&lt;I180,"!","")</f>
        <v/>
      </c>
      <c r="I180" s="578">
        <f t="shared" si="11"/>
        <v>0</v>
      </c>
      <c r="J180" s="719" t="str">
        <f ca="1">IF(INDEX(Champs!J$257:J$307,MATCH($A180,Champs!$B$257:$B$307,0)+1)&lt;K180,"!","")</f>
        <v/>
      </c>
      <c r="K180" s="578">
        <f t="shared" si="12"/>
        <v>0</v>
      </c>
      <c r="L180" s="719" t="str">
        <f ca="1">IF(INDEX(Champs!L$257:L$307,MATCH($A180,Champs!$B$257:$B$307,0)+1)&lt;M180,"!","")</f>
        <v/>
      </c>
      <c r="M180" s="578">
        <f t="shared" si="13"/>
        <v>0</v>
      </c>
      <c r="N180" s="720" t="str">
        <f ca="1">IF(INDEX(Champs!N$257:N$307,MATCH($A180,Champs!$B$257:$B$307,0)+1)&lt;O180,"!","")</f>
        <v/>
      </c>
      <c r="O180" s="578">
        <f t="shared" si="14"/>
        <v>0</v>
      </c>
      <c r="P180" s="720" t="str">
        <f ca="1">IF(INDEX(Champs!P$257:P$307,MATCH($A180,Champs!$B$257:$B$307,0)+1)&lt;Q180,"!","")</f>
        <v/>
      </c>
      <c r="Q180" s="578">
        <f t="shared" si="15"/>
        <v>0</v>
      </c>
    </row>
    <row r="181" spans="1:17" hidden="1">
      <c r="A181" s="1579" t="s">
        <v>1294</v>
      </c>
      <c r="B181" s="397"/>
      <c r="C181" s="398"/>
      <c r="D181" s="399" t="s">
        <v>1316</v>
      </c>
      <c r="E181" s="1438" t="s">
        <v>661</v>
      </c>
      <c r="F181" s="733" t="str">
        <f ca="1">IF(INDEX(Champs!F$257:F$307,MATCH($A181,Champs!$B$257:$B$307,0)+1)&lt;G181,"!","")</f>
        <v/>
      </c>
      <c r="G181" s="708">
        <f t="shared" si="10"/>
        <v>0</v>
      </c>
      <c r="H181" s="719" t="str">
        <f ca="1">IF(INDEX(Champs!H$257:H$307,MATCH($A181,Champs!$B$257:$B$307,0)+1)&lt;I181,"!","")</f>
        <v/>
      </c>
      <c r="I181" s="578">
        <f t="shared" si="11"/>
        <v>0</v>
      </c>
      <c r="J181" s="719" t="str">
        <f ca="1">IF(INDEX(Champs!J$257:J$307,MATCH($A181,Champs!$B$257:$B$307,0)+1)&lt;K181,"!","")</f>
        <v/>
      </c>
      <c r="K181" s="578">
        <f t="shared" si="12"/>
        <v>0</v>
      </c>
      <c r="L181" s="719" t="str">
        <f ca="1">IF(INDEX(Champs!L$257:L$307,MATCH($A181,Champs!$B$257:$B$307,0)+1)&lt;M181,"!","")</f>
        <v/>
      </c>
      <c r="M181" s="578">
        <f t="shared" si="13"/>
        <v>0</v>
      </c>
      <c r="N181" s="720" t="str">
        <f ca="1">IF(INDEX(Champs!N$257:N$307,MATCH($A181,Champs!$B$257:$B$307,0)+1)&lt;O181,"!","")</f>
        <v/>
      </c>
      <c r="O181" s="578">
        <f t="shared" si="14"/>
        <v>0</v>
      </c>
      <c r="P181" s="720" t="str">
        <f ca="1">IF(INDEX(Champs!P$257:P$307,MATCH($A181,Champs!$B$257:$B$307,0)+1)&lt;Q181,"!","")</f>
        <v/>
      </c>
      <c r="Q181" s="578">
        <f t="shared" si="15"/>
        <v>0</v>
      </c>
    </row>
    <row r="182" spans="1:17" hidden="1">
      <c r="A182" s="1579" t="s">
        <v>218</v>
      </c>
      <c r="B182" s="397"/>
      <c r="C182" s="398"/>
      <c r="D182" s="399" t="s">
        <v>784</v>
      </c>
      <c r="E182" s="1438" t="s">
        <v>661</v>
      </c>
      <c r="F182" s="733" t="str">
        <f ca="1">IF(INDEX(Champs!F$257:F$307,MATCH($A182,Champs!$B$257:$B$307,0)+1)&lt;G182,"!","")</f>
        <v/>
      </c>
      <c r="G182" s="708">
        <f t="shared" si="10"/>
        <v>0</v>
      </c>
      <c r="H182" s="719" t="str">
        <f ca="1">IF(INDEX(Champs!H$257:H$307,MATCH($A182,Champs!$B$257:$B$307,0)+1)&lt;I182,"!","")</f>
        <v/>
      </c>
      <c r="I182" s="578">
        <f t="shared" si="11"/>
        <v>0</v>
      </c>
      <c r="J182" s="719" t="str">
        <f ca="1">IF(INDEX(Champs!J$257:J$307,MATCH($A182,Champs!$B$257:$B$307,0)+1)&lt;K182,"!","")</f>
        <v/>
      </c>
      <c r="K182" s="578">
        <f t="shared" si="12"/>
        <v>0</v>
      </c>
      <c r="L182" s="719" t="str">
        <f ca="1">IF(INDEX(Champs!L$257:L$307,MATCH($A182,Champs!$B$257:$B$307,0)+1)&lt;M182,"!","")</f>
        <v/>
      </c>
      <c r="M182" s="578">
        <f t="shared" si="13"/>
        <v>0</v>
      </c>
      <c r="N182" s="720" t="str">
        <f ca="1">IF(INDEX(Champs!N$257:N$307,MATCH($A182,Champs!$B$257:$B$307,0)+1)&lt;O182,"!","")</f>
        <v/>
      </c>
      <c r="O182" s="578">
        <f t="shared" si="14"/>
        <v>0</v>
      </c>
      <c r="P182" s="720" t="str">
        <f ca="1">IF(INDEX(Champs!P$257:P$307,MATCH($A182,Champs!$B$257:$B$307,0)+1)&lt;Q182,"!","")</f>
        <v/>
      </c>
      <c r="Q182" s="578">
        <f t="shared" si="15"/>
        <v>0</v>
      </c>
    </row>
    <row r="183" spans="1:17" hidden="1">
      <c r="A183" s="1579" t="s">
        <v>1261</v>
      </c>
      <c r="B183" s="397"/>
      <c r="C183" s="398"/>
      <c r="D183" s="399" t="s">
        <v>1344</v>
      </c>
      <c r="E183" s="1438" t="s">
        <v>661</v>
      </c>
      <c r="F183" s="733" t="str">
        <f ca="1">IF(INDEX(Champs!F$257:F$307,MATCH($A183,Champs!$B$257:$B$307,0)+1)&lt;G183,"!","")</f>
        <v/>
      </c>
      <c r="G183" s="708">
        <f t="shared" si="10"/>
        <v>0</v>
      </c>
      <c r="H183" s="719" t="str">
        <f ca="1">IF(INDEX(Champs!H$257:H$307,MATCH($A183,Champs!$B$257:$B$307,0)+1)&lt;I183,"!","")</f>
        <v/>
      </c>
      <c r="I183" s="578">
        <f t="shared" si="11"/>
        <v>0</v>
      </c>
      <c r="J183" s="719" t="str">
        <f ca="1">IF(INDEX(Champs!J$257:J$307,MATCH($A183,Champs!$B$257:$B$307,0)+1)&lt;K183,"!","")</f>
        <v/>
      </c>
      <c r="K183" s="578">
        <f t="shared" si="12"/>
        <v>0</v>
      </c>
      <c r="L183" s="719" t="str">
        <f ca="1">IF(INDEX(Champs!L$257:L$307,MATCH($A183,Champs!$B$257:$B$307,0)+1)&lt;M183,"!","")</f>
        <v/>
      </c>
      <c r="M183" s="578">
        <f t="shared" si="13"/>
        <v>0</v>
      </c>
      <c r="N183" s="720" t="str">
        <f ca="1">IF(INDEX(Champs!N$257:N$307,MATCH($A183,Champs!$B$257:$B$307,0)+1)&lt;O183,"!","")</f>
        <v/>
      </c>
      <c r="O183" s="578">
        <f t="shared" si="14"/>
        <v>0</v>
      </c>
      <c r="P183" s="720" t="str">
        <f ca="1">IF(INDEX(Champs!P$257:P$307,MATCH($A183,Champs!$B$257:$B$307,0)+1)&lt;Q183,"!","")</f>
        <v/>
      </c>
      <c r="Q183" s="578">
        <f t="shared" si="15"/>
        <v>0</v>
      </c>
    </row>
    <row r="184" spans="1:17" hidden="1">
      <c r="A184" s="1579" t="s">
        <v>219</v>
      </c>
      <c r="B184" s="397"/>
      <c r="C184" s="398"/>
      <c r="D184" s="399" t="s">
        <v>785</v>
      </c>
      <c r="E184" s="1438" t="s">
        <v>661</v>
      </c>
      <c r="F184" s="733" t="str">
        <f ca="1">IF(INDEX(Champs!F$257:F$307,MATCH($A184,Champs!$B$257:$B$307,0)+1)&lt;G184,"!","")</f>
        <v/>
      </c>
      <c r="G184" s="708">
        <f t="shared" si="10"/>
        <v>0</v>
      </c>
      <c r="H184" s="719" t="str">
        <f ca="1">IF(INDEX(Champs!H$257:H$307,MATCH($A184,Champs!$B$257:$B$307,0)+1)&lt;I184,"!","")</f>
        <v/>
      </c>
      <c r="I184" s="578">
        <f t="shared" si="11"/>
        <v>0</v>
      </c>
      <c r="J184" s="719" t="str">
        <f ca="1">IF(INDEX(Champs!J$257:J$307,MATCH($A184,Champs!$B$257:$B$307,0)+1)&lt;K184,"!","")</f>
        <v/>
      </c>
      <c r="K184" s="578">
        <f t="shared" si="12"/>
        <v>0</v>
      </c>
      <c r="L184" s="719" t="str">
        <f ca="1">IF(INDEX(Champs!L$257:L$307,MATCH($A184,Champs!$B$257:$B$307,0)+1)&lt;M184,"!","")</f>
        <v/>
      </c>
      <c r="M184" s="578">
        <f t="shared" si="13"/>
        <v>0</v>
      </c>
      <c r="N184" s="720" t="str">
        <f ca="1">IF(INDEX(Champs!N$257:N$307,MATCH($A184,Champs!$B$257:$B$307,0)+1)&lt;O184,"!","")</f>
        <v/>
      </c>
      <c r="O184" s="578">
        <f t="shared" si="14"/>
        <v>0</v>
      </c>
      <c r="P184" s="720" t="str">
        <f ca="1">IF(INDEX(Champs!P$257:P$307,MATCH($A184,Champs!$B$257:$B$307,0)+1)&lt;Q184,"!","")</f>
        <v/>
      </c>
      <c r="Q184" s="578">
        <f t="shared" si="15"/>
        <v>0</v>
      </c>
    </row>
    <row r="185" spans="1:17" hidden="1">
      <c r="A185" s="1579" t="s">
        <v>1262</v>
      </c>
      <c r="B185" s="397"/>
      <c r="C185" s="398"/>
      <c r="D185" s="399" t="s">
        <v>1317</v>
      </c>
      <c r="E185" s="1438" t="s">
        <v>661</v>
      </c>
      <c r="F185" s="733"/>
      <c r="G185" s="708">
        <f t="shared" si="10"/>
        <v>0</v>
      </c>
      <c r="H185" s="719"/>
      <c r="I185" s="578">
        <f t="shared" si="11"/>
        <v>0</v>
      </c>
      <c r="J185" s="719"/>
      <c r="K185" s="578">
        <f t="shared" si="12"/>
        <v>0</v>
      </c>
      <c r="L185" s="719"/>
      <c r="M185" s="578">
        <f t="shared" si="13"/>
        <v>0</v>
      </c>
      <c r="N185" s="720"/>
      <c r="O185" s="578">
        <f t="shared" si="14"/>
        <v>0</v>
      </c>
      <c r="P185" s="720"/>
      <c r="Q185" s="578">
        <f t="shared" si="15"/>
        <v>0</v>
      </c>
    </row>
    <row r="186" spans="1:17" hidden="1">
      <c r="A186" s="1579" t="str">
        <f>nAutre1</f>
        <v>Autre #1</v>
      </c>
      <c r="B186" s="397"/>
      <c r="C186" s="398"/>
      <c r="D186" s="399" t="s">
        <v>786</v>
      </c>
      <c r="E186" s="1438" t="s">
        <v>661</v>
      </c>
      <c r="F186" s="733" t="str">
        <f ca="1">IF(INDEX(Champs!F$257:F$307,MATCH($A186,Champs!$B$257:$B$307,0)+1)&lt;G186,"!","")</f>
        <v/>
      </c>
      <c r="G186" s="708">
        <f t="shared" si="10"/>
        <v>0</v>
      </c>
      <c r="H186" s="719" t="str">
        <f ca="1">IF(INDEX(Champs!H$257:H$307,MATCH($A186,Champs!$B$257:$B$307,0)+1)&lt;I186,"!","")</f>
        <v/>
      </c>
      <c r="I186" s="578">
        <f t="shared" si="11"/>
        <v>0</v>
      </c>
      <c r="J186" s="719" t="str">
        <f ca="1">IF(INDEX(Champs!J$257:J$307,MATCH($A186,Champs!$B$257:$B$307,0)+1)&lt;K186,"!","")</f>
        <v/>
      </c>
      <c r="K186" s="578">
        <f t="shared" si="12"/>
        <v>0</v>
      </c>
      <c r="L186" s="719" t="str">
        <f ca="1">IF(INDEX(Champs!L$257:L$307,MATCH($A186,Champs!$B$257:$B$307,0)+1)&lt;M186,"!","")</f>
        <v/>
      </c>
      <c r="M186" s="578">
        <f t="shared" si="13"/>
        <v>0</v>
      </c>
      <c r="N186" s="720" t="str">
        <f ca="1">IF(INDEX(Champs!N$257:N$307,MATCH($A186,Champs!$B$257:$B$307,0)+1)&lt;O186,"!","")</f>
        <v/>
      </c>
      <c r="O186" s="578">
        <f t="shared" si="14"/>
        <v>0</v>
      </c>
      <c r="P186" s="720" t="str">
        <f ca="1">IF(INDEX(Champs!P$257:P$307,MATCH($A186,Champs!$B$257:$B$307,0)+1)&lt;Q186,"!","")</f>
        <v/>
      </c>
      <c r="Q186" s="578">
        <f t="shared" si="15"/>
        <v>0</v>
      </c>
    </row>
    <row r="187" spans="1:17" hidden="1">
      <c r="A187" s="1579" t="str">
        <f>nAutre2</f>
        <v>Autre #2</v>
      </c>
      <c r="B187" s="397"/>
      <c r="C187" s="398"/>
      <c r="D187" s="399" t="s">
        <v>787</v>
      </c>
      <c r="E187" s="1438" t="s">
        <v>661</v>
      </c>
      <c r="F187" s="733" t="str">
        <f ca="1">IF(INDEX(Champs!F$257:F$307,MATCH($A187,Champs!$B$257:$B$307,0)+1)&lt;G187,"!","")</f>
        <v/>
      </c>
      <c r="G187" s="708">
        <f t="shared" si="10"/>
        <v>0</v>
      </c>
      <c r="H187" s="719" t="str">
        <f ca="1">IF(INDEX(Champs!H$257:H$307,MATCH($A187,Champs!$B$257:$B$307,0)+1)&lt;I187,"!","")</f>
        <v/>
      </c>
      <c r="I187" s="578">
        <f t="shared" si="11"/>
        <v>0</v>
      </c>
      <c r="J187" s="719" t="str">
        <f ca="1">IF(INDEX(Champs!J$257:J$307,MATCH($A187,Champs!$B$257:$B$307,0)+1)&lt;K187,"!","")</f>
        <v/>
      </c>
      <c r="K187" s="578">
        <f t="shared" si="12"/>
        <v>0</v>
      </c>
      <c r="L187" s="719" t="str">
        <f ca="1">IF(INDEX(Champs!L$257:L$307,MATCH($A187,Champs!$B$257:$B$307,0)+1)&lt;M187,"!","")</f>
        <v/>
      </c>
      <c r="M187" s="578">
        <f t="shared" si="13"/>
        <v>0</v>
      </c>
      <c r="N187" s="720" t="str">
        <f ca="1">IF(INDEX(Champs!N$257:N$307,MATCH($A187,Champs!$B$257:$B$307,0)+1)&lt;O187,"!","")</f>
        <v/>
      </c>
      <c r="O187" s="578">
        <f t="shared" si="14"/>
        <v>0</v>
      </c>
      <c r="P187" s="720" t="str">
        <f ca="1">IF(INDEX(Champs!P$257:P$307,MATCH($A187,Champs!$B$257:$B$307,0)+1)&lt;Q187,"!","")</f>
        <v/>
      </c>
      <c r="Q187" s="578">
        <f t="shared" si="15"/>
        <v>0</v>
      </c>
    </row>
    <row r="188" spans="1:17" ht="15" hidden="1" thickBot="1">
      <c r="A188" s="1579" t="str">
        <f>nAutre3</f>
        <v>Autre #3</v>
      </c>
      <c r="B188" s="397"/>
      <c r="C188" s="398"/>
      <c r="D188" s="399" t="s">
        <v>788</v>
      </c>
      <c r="E188" s="1438" t="s">
        <v>661</v>
      </c>
      <c r="F188" s="733" t="str">
        <f ca="1">IF(INDEX(Champs!F$257:F$307,MATCH($A188,Champs!$B$257:$B$307,0)+1)&lt;G188,"!","")</f>
        <v/>
      </c>
      <c r="G188" s="708">
        <f t="shared" si="10"/>
        <v>0</v>
      </c>
      <c r="H188" s="719" t="str">
        <f ca="1">IF(INDEX(Champs!H$257:H$307,MATCH($A188,Champs!$B$257:$B$307,0)+1)&lt;I188,"!","")</f>
        <v/>
      </c>
      <c r="I188" s="578">
        <f t="shared" si="11"/>
        <v>0</v>
      </c>
      <c r="J188" s="719" t="str">
        <f ca="1">IF(INDEX(Champs!J$257:J$307,MATCH($A188,Champs!$B$257:$B$307,0)+1)&lt;K188,"!","")</f>
        <v/>
      </c>
      <c r="K188" s="578">
        <f t="shared" si="12"/>
        <v>0</v>
      </c>
      <c r="L188" s="719" t="str">
        <f ca="1">IF(INDEX(Champs!L$257:L$307,MATCH($A188,Champs!$B$257:$B$307,0)+1)&lt;M188,"!","")</f>
        <v/>
      </c>
      <c r="M188" s="578">
        <f t="shared" si="13"/>
        <v>0</v>
      </c>
      <c r="N188" s="720" t="str">
        <f ca="1">IF(INDEX(Champs!N$257:N$307,MATCH($A188,Champs!$B$257:$B$307,0)+1)&lt;O188,"!","")</f>
        <v/>
      </c>
      <c r="O188" s="578">
        <f t="shared" si="14"/>
        <v>0</v>
      </c>
      <c r="P188" s="720" t="str">
        <f ca="1">IF(INDEX(Champs!P$257:P$307,MATCH($A188,Champs!$B$257:$B$307,0)+1)&lt;Q188,"!","")</f>
        <v/>
      </c>
      <c r="Q188" s="578">
        <f t="shared" si="15"/>
        <v>0</v>
      </c>
    </row>
    <row r="189" spans="1:17" ht="15" hidden="1" thickTop="1">
      <c r="A189" s="1091"/>
      <c r="B189" s="712"/>
      <c r="C189" s="713"/>
      <c r="D189" s="715" t="s">
        <v>916</v>
      </c>
      <c r="E189" s="1439" t="s">
        <v>661</v>
      </c>
      <c r="F189" s="734"/>
      <c r="G189" s="716">
        <f>ROUND(SUM(G120:G137)/1000*G43*365*G44,2)+G163/1000*365*G61*G166/G59</f>
        <v>0</v>
      </c>
      <c r="H189" s="718"/>
      <c r="I189" s="717">
        <f>ROUND(SUM(I120:I137)/1000*I43*365*I44,2)+I163/1000*365*I61*I166/I59</f>
        <v>0</v>
      </c>
      <c r="J189" s="718"/>
      <c r="K189" s="717">
        <f>ROUND(SUM(K120:K137)/1000*K43*365*K44,2)+K163/1000*365*K61*K166/K59</f>
        <v>0</v>
      </c>
      <c r="L189" s="718"/>
      <c r="M189" s="717">
        <f>ROUND(SUM(M120:M137)/1000*M43*365*M44,2)+M163/1000*365*M61*M166/M59</f>
        <v>0</v>
      </c>
      <c r="N189" s="718"/>
      <c r="O189" s="717">
        <f>ROUND(SUM(O120:O137)/1000*O43*365*O44,2)+O163/1000*365*O61*O166/O59</f>
        <v>0</v>
      </c>
      <c r="P189" s="718"/>
      <c r="Q189" s="717">
        <f>ROUND(SUM(Q120:Q137)/1000*Q43*365*Q44,2)+Q163/1000*365*Q61*Q166/Q59</f>
        <v>0</v>
      </c>
    </row>
    <row r="190" spans="1:17" hidden="1">
      <c r="A190" s="1091"/>
      <c r="B190" s="397"/>
      <c r="C190" s="398"/>
      <c r="D190" s="400" t="s">
        <v>928</v>
      </c>
      <c r="E190" s="1438" t="s">
        <v>913</v>
      </c>
      <c r="F190" s="623"/>
      <c r="G190" s="625">
        <f ca="1">ROUND((G120/1000*G219+G121/1000*G220+G137/1000*G236)*G43*365*G44,2)+G163/1000*G219*365*G61*G166/G59</f>
        <v>0</v>
      </c>
      <c r="H190" s="714"/>
      <c r="I190" s="579">
        <f ca="1">ROUND((I120/1000*I219+I121/1000*I220+I137/1000*I236)*I43*365*I44,2)+I163/1000*I219*365*I61*I166/I59</f>
        <v>0</v>
      </c>
      <c r="J190" s="548"/>
      <c r="K190" s="579">
        <f ca="1">ROUND((K120/1000*K219+K121/1000*K220+K137/1000*K236)*K43*365*K44,2)+K163/1000*K219*365*K61*K166/K59</f>
        <v>0</v>
      </c>
      <c r="L190" s="548"/>
      <c r="M190" s="579">
        <f ca="1">ROUND((M120/1000*M219+M121/1000*M220+M137/1000*M236)*M43*365*M44,2)+M163/1000*M219*365*M61*M166/M59</f>
        <v>0</v>
      </c>
      <c r="N190" s="540"/>
      <c r="O190" s="579">
        <f ca="1">ROUND((O120/1000*O219+O121/1000*O220+O137/1000*O236)*O43*365*O44,2)+O163/1000*O219*365*O61*O166/O59</f>
        <v>0</v>
      </c>
      <c r="P190" s="540"/>
      <c r="Q190" s="579">
        <f ca="1">ROUND((Q120/1000*Q219+Q121/1000*Q220+Q137/1000*Q236)*Q43*365*Q44,2)+Q163/1000*Q219*365*Q61*Q166/Q59</f>
        <v>0</v>
      </c>
    </row>
    <row r="191" spans="1:17" hidden="1">
      <c r="A191" s="1091"/>
      <c r="B191" s="287"/>
      <c r="C191" s="265"/>
      <c r="D191" s="296" t="s">
        <v>914</v>
      </c>
      <c r="E191" s="1422" t="s">
        <v>661</v>
      </c>
      <c r="F191" s="614"/>
      <c r="G191" s="652">
        <f>G151+G169-G189</f>
        <v>183.14415000000002</v>
      </c>
      <c r="H191" s="714"/>
      <c r="I191" s="580">
        <f>I151+I169-I189</f>
        <v>183.14415000000002</v>
      </c>
      <c r="J191" s="539"/>
      <c r="K191" s="580">
        <f>K151+K169-K189</f>
        <v>183.14415000000002</v>
      </c>
      <c r="L191" s="539"/>
      <c r="M191" s="580">
        <f>M151+M169-M189</f>
        <v>183.14415000000002</v>
      </c>
      <c r="N191" s="539"/>
      <c r="O191" s="580">
        <f>O151+O169-O189</f>
        <v>183.14415000000002</v>
      </c>
      <c r="P191" s="539"/>
      <c r="Q191" s="580">
        <f>Q151+Q169-Q189</f>
        <v>183.14415000000002</v>
      </c>
    </row>
    <row r="192" spans="1:17">
      <c r="A192" s="1091"/>
      <c r="B192" s="287"/>
      <c r="C192" s="265"/>
      <c r="D192" s="296" t="s">
        <v>915</v>
      </c>
      <c r="E192" s="1422" t="s">
        <v>661</v>
      </c>
      <c r="F192" s="614"/>
      <c r="G192" s="652">
        <f>G189+G191</f>
        <v>183.14415000000002</v>
      </c>
      <c r="H192" s="714"/>
      <c r="I192" s="580">
        <f>I189+I191</f>
        <v>183.14415000000002</v>
      </c>
      <c r="J192" s="539"/>
      <c r="K192" s="580">
        <f>K189+K191</f>
        <v>183.14415000000002</v>
      </c>
      <c r="L192" s="539"/>
      <c r="M192" s="580">
        <f>M189+M191</f>
        <v>183.14415000000002</v>
      </c>
      <c r="N192" s="539"/>
      <c r="O192" s="580">
        <f>O189+O191</f>
        <v>183.14415000000002</v>
      </c>
      <c r="P192" s="539"/>
      <c r="Q192" s="580">
        <f>Q189+Q191</f>
        <v>183.14415000000002</v>
      </c>
    </row>
    <row r="193" spans="1:20">
      <c r="A193" s="1091"/>
      <c r="B193" s="287"/>
      <c r="C193" s="1746"/>
      <c r="D193" s="296" t="s">
        <v>1304</v>
      </c>
      <c r="E193" s="1422" t="s">
        <v>661</v>
      </c>
      <c r="F193" s="614"/>
      <c r="G193" s="652"/>
      <c r="H193" s="714"/>
      <c r="I193" s="1840"/>
      <c r="J193" s="1841"/>
      <c r="K193" s="1840"/>
      <c r="L193" s="1841"/>
      <c r="M193" s="1840"/>
      <c r="N193" s="1841"/>
      <c r="O193" s="1840"/>
      <c r="P193" s="1841"/>
      <c r="Q193" s="1840"/>
    </row>
    <row r="194" spans="1:20">
      <c r="A194" s="402"/>
      <c r="E194" s="1420"/>
      <c r="F194" s="614"/>
      <c r="G194" s="642"/>
      <c r="H194" s="539"/>
      <c r="I194" s="539"/>
      <c r="J194" s="539"/>
      <c r="K194" s="539"/>
      <c r="L194" s="539"/>
      <c r="M194" s="539"/>
      <c r="N194" s="539"/>
      <c r="O194" s="539"/>
      <c r="P194" s="539"/>
      <c r="Q194" s="539"/>
    </row>
    <row r="195" spans="1:20" ht="19.5" thickBot="1">
      <c r="A195" s="2077" t="s">
        <v>275</v>
      </c>
      <c r="B195" s="2" t="s">
        <v>378</v>
      </c>
      <c r="C195" s="2"/>
      <c r="D195" s="2"/>
      <c r="E195" s="1440"/>
      <c r="F195" s="613"/>
      <c r="G195" s="653"/>
      <c r="H195" s="2"/>
      <c r="I195" s="408"/>
      <c r="J195" s="2"/>
      <c r="K195" s="408"/>
      <c r="L195" s="2"/>
      <c r="M195" s="408"/>
      <c r="N195" s="408"/>
      <c r="O195" s="408"/>
      <c r="P195" s="408"/>
      <c r="Q195" s="408"/>
      <c r="R195" s="235"/>
    </row>
    <row r="196" spans="1:20" s="453" customFormat="1" ht="15" thickTop="1">
      <c r="A196" s="1093"/>
      <c r="B196" s="566"/>
      <c r="C196" s="566"/>
      <c r="D196" s="566"/>
      <c r="E196" s="1430"/>
      <c r="F196" s="728"/>
      <c r="G196" s="729"/>
      <c r="H196" s="569"/>
      <c r="I196" s="568"/>
      <c r="J196" s="569"/>
      <c r="K196" s="568"/>
      <c r="L196" s="569"/>
      <c r="M196" s="568"/>
      <c r="N196" s="569"/>
      <c r="O196" s="568"/>
      <c r="P196" s="569"/>
      <c r="Q196" s="568"/>
      <c r="T196" s="475"/>
    </row>
    <row r="197" spans="1:20" hidden="1">
      <c r="A197" s="1091"/>
      <c r="B197" s="274"/>
      <c r="C197" s="265"/>
      <c r="D197" s="1126" t="s">
        <v>791</v>
      </c>
      <c r="E197" s="1422" t="s">
        <v>476</v>
      </c>
      <c r="F197" s="614"/>
      <c r="G197" s="625">
        <f>HLOOKUP(IF(G$25=RéfLait!$C$103,IF(Lait!G$26=RéfLait!$C$104,2,4),IF(Lait!G$26=RéfLait!$C$104,6,8)),Table_5,26)*G$37/103</f>
        <v>255.22717059680622</v>
      </c>
      <c r="H197" s="540"/>
      <c r="I197" s="1764">
        <f>HLOOKUP(IF(I$25=RéfLait!$C$103,IF(Lait!I$26=RéfLait!$C$104,2,4),IF(Lait!I$26=RéfLait!$C$104,6,8)),Table_5,26)*I$37/103</f>
        <v>255.22717059680622</v>
      </c>
      <c r="J197" s="1765"/>
      <c r="K197" s="1764">
        <f>HLOOKUP(IF(K$25=RéfLait!$C$103,IF(Lait!K$26=RéfLait!$C$104,2,4),IF(Lait!K$26=RéfLait!$C$104,6,8)),Table_5,26)*K$37/103</f>
        <v>255.22717059680622</v>
      </c>
      <c r="L197" s="1765"/>
      <c r="M197" s="1764">
        <f>HLOOKUP(IF(M$25=RéfLait!$C$103,IF(Lait!M$26=RéfLait!$C$104,2,4),IF(Lait!M$26=RéfLait!$C$104,6,8)),Table_5,26)*M$37/103</f>
        <v>255.22717059680622</v>
      </c>
      <c r="N197" s="1765"/>
      <c r="O197" s="1764">
        <f>HLOOKUP(IF(O$25=RéfLait!$C$103,IF(Lait!O$26=RéfLait!$C$104,2,4),IF(Lait!O$26=RéfLait!$C$104,6,8)),Table_5,26)*O$37/103</f>
        <v>255.22717059680622</v>
      </c>
      <c r="P197" s="1765"/>
      <c r="Q197" s="1764">
        <f>HLOOKUP(IF(Q$25=RéfLait!$C$103,IF(Lait!Q$26=RéfLait!$C$104,2,4),IF(Lait!Q$26=RéfLait!$C$104,6,8)),Table_5,26)*Q$37/103</f>
        <v>255.22717059680622</v>
      </c>
      <c r="R197" s="94"/>
    </row>
    <row r="198" spans="1:20" hidden="1">
      <c r="A198" s="1091"/>
      <c r="B198" s="274"/>
      <c r="C198" s="265"/>
      <c r="D198" s="1126" t="s">
        <v>792</v>
      </c>
      <c r="E198" s="1422" t="s">
        <v>476</v>
      </c>
      <c r="F198" s="614"/>
      <c r="G198" s="625">
        <f>HLOOKUP(IF(G$25=RéfLait!$C$103,IF(Lait!G$26=RéfLait!$C$104,2,4),IF(Lait!G$26=RéfLait!$C$104,6,8)),Table_5,27)*G$37/103</f>
        <v>144.52829758363509</v>
      </c>
      <c r="H198" s="540"/>
      <c r="I198" s="1764">
        <f>HLOOKUP(IF(I$25=RéfLait!$C$103,IF(Lait!I$26=RéfLait!$C$104,2,4),IF(Lait!I$26=RéfLait!$C$104,6,8)),Table_5,27)*I$37/103</f>
        <v>144.52829758363509</v>
      </c>
      <c r="J198" s="1765"/>
      <c r="K198" s="1764">
        <f>HLOOKUP(IF(K$25=RéfLait!$C$103,IF(Lait!K$26=RéfLait!$C$104,2,4),IF(Lait!K$26=RéfLait!$C$104,6,8)),Table_5,27)*K$37/103</f>
        <v>144.52829758363509</v>
      </c>
      <c r="L198" s="1765"/>
      <c r="M198" s="1764">
        <f>HLOOKUP(IF(M$25=RéfLait!$C$103,IF(Lait!M$26=RéfLait!$C$104,2,4),IF(Lait!M$26=RéfLait!$C$104,6,8)),Table_5,27)*M$37/103</f>
        <v>144.52829758363509</v>
      </c>
      <c r="N198" s="1765"/>
      <c r="O198" s="1764">
        <f>HLOOKUP(IF(O$25=RéfLait!$C$103,IF(Lait!O$26=RéfLait!$C$104,2,4),IF(Lait!O$26=RéfLait!$C$104,6,8)),Table_5,27)*O$37/103</f>
        <v>144.52829758363509</v>
      </c>
      <c r="P198" s="1765"/>
      <c r="Q198" s="1764">
        <f>HLOOKUP(IF(Q$25=RéfLait!$C$103,IF(Lait!Q$26=RéfLait!$C$104,2,4),IF(Lait!Q$26=RéfLait!$C$104,6,8)),Table_5,27)*Q$37/103</f>
        <v>144.52829758363509</v>
      </c>
      <c r="R198" s="94"/>
    </row>
    <row r="199" spans="1:20">
      <c r="F199" s="735"/>
      <c r="G199" s="644"/>
      <c r="I199" s="1500"/>
      <c r="R199" s="94"/>
    </row>
    <row r="200" spans="1:20" ht="19.5" thickBot="1">
      <c r="A200" s="2077" t="s">
        <v>275</v>
      </c>
      <c r="B200" s="2" t="s">
        <v>377</v>
      </c>
      <c r="C200" s="2"/>
      <c r="D200" s="2"/>
      <c r="E200" s="1440"/>
      <c r="F200" s="613"/>
      <c r="G200" s="629"/>
      <c r="H200" s="2"/>
      <c r="I200" s="7"/>
      <c r="J200" s="2"/>
      <c r="K200" s="7"/>
      <c r="L200" s="2"/>
      <c r="M200" s="7"/>
      <c r="N200" s="2"/>
      <c r="O200" s="7"/>
      <c r="P200" s="2"/>
      <c r="Q200" s="7"/>
    </row>
    <row r="201" spans="1:20" s="270" customFormat="1" ht="13.5" thickTop="1">
      <c r="A201" s="1096"/>
      <c r="B201" s="278"/>
      <c r="C201" s="279"/>
      <c r="D201" s="279"/>
      <c r="E201" s="1441"/>
      <c r="F201" s="736"/>
      <c r="G201" s="655"/>
      <c r="H201" s="549"/>
      <c r="I201" s="550"/>
      <c r="J201" s="549"/>
      <c r="K201" s="550"/>
      <c r="L201" s="549"/>
      <c r="M201" s="550"/>
      <c r="N201" s="549"/>
      <c r="O201" s="550"/>
      <c r="P201" s="549"/>
      <c r="Q201" s="550"/>
      <c r="T201" s="699"/>
    </row>
    <row r="202" spans="1:20" hidden="1">
      <c r="A202" s="1091"/>
      <c r="B202" s="287"/>
      <c r="C202" s="265"/>
      <c r="D202" s="295" t="s">
        <v>669</v>
      </c>
      <c r="E202" s="1442" t="s">
        <v>672</v>
      </c>
      <c r="F202" s="614"/>
      <c r="G202" s="648">
        <v>1</v>
      </c>
      <c r="H202" s="539"/>
      <c r="I202" s="538">
        <f>G202</f>
        <v>1</v>
      </c>
      <c r="J202" s="539"/>
      <c r="K202" s="538">
        <f>I202</f>
        <v>1</v>
      </c>
      <c r="L202" s="539"/>
      <c r="M202" s="538">
        <f>K202</f>
        <v>1</v>
      </c>
      <c r="N202" s="539"/>
      <c r="O202" s="538">
        <f>M202</f>
        <v>1</v>
      </c>
      <c r="P202" s="539"/>
      <c r="Q202" s="538">
        <f>O202</f>
        <v>1</v>
      </c>
    </row>
    <row r="203" spans="1:20" hidden="1">
      <c r="A203" s="1091"/>
      <c r="B203" s="287"/>
      <c r="C203" s="265"/>
      <c r="D203" s="295" t="s">
        <v>1328</v>
      </c>
      <c r="E203" s="1442" t="s">
        <v>672</v>
      </c>
      <c r="F203" s="614"/>
      <c r="G203" s="648">
        <v>0.5</v>
      </c>
      <c r="H203" s="539"/>
      <c r="I203" s="545">
        <f>G203</f>
        <v>0.5</v>
      </c>
      <c r="J203" s="539"/>
      <c r="K203" s="545">
        <f>I203</f>
        <v>0.5</v>
      </c>
      <c r="L203" s="539"/>
      <c r="M203" s="545">
        <f>K203</f>
        <v>0.5</v>
      </c>
      <c r="N203" s="539"/>
      <c r="O203" s="545">
        <f>M203</f>
        <v>0.5</v>
      </c>
      <c r="P203" s="539"/>
      <c r="Q203" s="545">
        <f>O203</f>
        <v>0.5</v>
      </c>
    </row>
    <row r="204" spans="1:20" hidden="1">
      <c r="A204" s="1091"/>
      <c r="B204" s="287"/>
      <c r="C204" s="265"/>
      <c r="D204" s="295" t="s">
        <v>669</v>
      </c>
      <c r="E204" s="1442" t="s">
        <v>673</v>
      </c>
      <c r="F204" s="614"/>
      <c r="G204" s="648">
        <v>2.5</v>
      </c>
      <c r="H204" s="539"/>
      <c r="I204" s="545">
        <f>G204</f>
        <v>2.5</v>
      </c>
      <c r="J204" s="539"/>
      <c r="K204" s="545">
        <f>I204</f>
        <v>2.5</v>
      </c>
      <c r="L204" s="539"/>
      <c r="M204" s="545">
        <f>K204</f>
        <v>2.5</v>
      </c>
      <c r="N204" s="539"/>
      <c r="O204" s="545">
        <f>M204</f>
        <v>2.5</v>
      </c>
      <c r="P204" s="539"/>
      <c r="Q204" s="545">
        <f>O204</f>
        <v>2.5</v>
      </c>
    </row>
    <row r="205" spans="1:20" hidden="1">
      <c r="A205" s="1091"/>
      <c r="B205" s="287"/>
      <c r="C205" s="265"/>
      <c r="D205" s="295" t="s">
        <v>1328</v>
      </c>
      <c r="E205" s="1442" t="s">
        <v>673</v>
      </c>
      <c r="F205" s="614"/>
      <c r="G205" s="648">
        <v>1</v>
      </c>
      <c r="H205" s="539"/>
      <c r="I205" s="545">
        <f>G205</f>
        <v>1</v>
      </c>
      <c r="J205" s="539"/>
      <c r="K205" s="545">
        <f>I205</f>
        <v>1</v>
      </c>
      <c r="L205" s="539"/>
      <c r="M205" s="545">
        <f>K205</f>
        <v>1</v>
      </c>
      <c r="N205" s="539"/>
      <c r="O205" s="545">
        <f>M205</f>
        <v>1</v>
      </c>
      <c r="P205" s="539"/>
      <c r="Q205" s="545">
        <f>O205</f>
        <v>1</v>
      </c>
    </row>
    <row r="206" spans="1:20" hidden="1">
      <c r="A206" s="1091"/>
      <c r="B206" s="287"/>
      <c r="C206" s="265"/>
      <c r="D206" s="297" t="s">
        <v>670</v>
      </c>
      <c r="E206" s="1422" t="s">
        <v>671</v>
      </c>
      <c r="F206" s="614"/>
      <c r="G206" s="648">
        <f>(G43*(G202*G68+G204*G92)+G61*(G203*G78+G205*G102))/1000</f>
        <v>72.148333333333326</v>
      </c>
      <c r="H206" s="539"/>
      <c r="I206" s="545">
        <f>(I43*(I202*I68+I204*I92)+I61*(I203*I78+I205*I102))/1000</f>
        <v>72.148333333333326</v>
      </c>
      <c r="J206" s="539"/>
      <c r="K206" s="545">
        <f>(K43*(K202*K68+K204*K92)+K61*(K203*K78+K205*K102))/1000</f>
        <v>72.148333333333326</v>
      </c>
      <c r="L206" s="539"/>
      <c r="M206" s="545">
        <f>(M43*(M202*M68+M204*M92)+M61*(M203*M78+M205*M102))/1000</f>
        <v>72.148333333333326</v>
      </c>
      <c r="N206" s="539"/>
      <c r="O206" s="545">
        <f>(O43*(O202*O68+O204*O92)+O61*(O203*O78+O205*O102))/1000</f>
        <v>72.148333333333326</v>
      </c>
      <c r="P206" s="539"/>
      <c r="Q206" s="545">
        <f>(Q43*(Q202*Q68+Q204*Q92)+Q61*(Q203*Q78+Q205*Q102))/1000</f>
        <v>72.148333333333326</v>
      </c>
    </row>
    <row r="207" spans="1:20" hidden="1">
      <c r="A207" s="1092"/>
      <c r="B207" s="751"/>
      <c r="C207" s="398"/>
      <c r="D207" s="399" t="s">
        <v>790</v>
      </c>
      <c r="E207" s="1438" t="s">
        <v>244</v>
      </c>
      <c r="F207" s="614"/>
      <c r="G207" s="651">
        <f>Champs!F321</f>
        <v>0</v>
      </c>
      <c r="H207" s="539"/>
      <c r="I207" s="601">
        <f ca="1">Champs!I321</f>
        <v>0</v>
      </c>
      <c r="J207" s="600"/>
      <c r="K207" s="601">
        <f ca="1">Champs!K321</f>
        <v>0</v>
      </c>
      <c r="L207" s="600"/>
      <c r="M207" s="601">
        <f ca="1">Champs!M321</f>
        <v>0</v>
      </c>
      <c r="N207" s="600"/>
      <c r="O207" s="601">
        <f ca="1">Champs!O321</f>
        <v>0</v>
      </c>
      <c r="P207" s="600"/>
      <c r="Q207" s="1665">
        <f ca="1">Champs!Q321</f>
        <v>0</v>
      </c>
      <c r="S207" s="98" t="s">
        <v>375</v>
      </c>
    </row>
    <row r="208" spans="1:20" hidden="1">
      <c r="A208" s="1091"/>
      <c r="B208" s="287"/>
      <c r="C208" s="265"/>
      <c r="D208" s="298" t="s">
        <v>1329</v>
      </c>
      <c r="E208" s="1422" t="s">
        <v>225</v>
      </c>
      <c r="F208" s="614"/>
      <c r="G208" s="625">
        <f>RéfChamps!$BR$7</f>
        <v>167</v>
      </c>
      <c r="H208" s="540"/>
      <c r="I208" s="1764">
        <f>RéfChamps!$BR$7</f>
        <v>167</v>
      </c>
      <c r="J208" s="1765"/>
      <c r="K208" s="1764">
        <f>RéfChamps!$BR$7</f>
        <v>167</v>
      </c>
      <c r="L208" s="1765"/>
      <c r="M208" s="1764">
        <f>RéfChamps!$BR$7</f>
        <v>167</v>
      </c>
      <c r="N208" s="1765"/>
      <c r="O208" s="1764">
        <f>RéfChamps!$BR$7</f>
        <v>167</v>
      </c>
      <c r="P208" s="1765"/>
      <c r="Q208" s="1764">
        <f>RéfChamps!$BR$7</f>
        <v>167</v>
      </c>
    </row>
    <row r="209" spans="1:21">
      <c r="F209" s="735"/>
      <c r="G209" s="644"/>
      <c r="I209" s="1500"/>
    </row>
    <row r="210" spans="1:21" ht="19.5" thickBot="1">
      <c r="A210" s="2077" t="s">
        <v>275</v>
      </c>
      <c r="B210" s="2" t="s">
        <v>376</v>
      </c>
      <c r="C210" s="2"/>
      <c r="D210" s="2"/>
      <c r="E210" s="1440"/>
      <c r="F210" s="613"/>
      <c r="G210" s="629"/>
      <c r="H210" s="2"/>
      <c r="I210" s="7"/>
      <c r="J210" s="2"/>
      <c r="K210" s="7"/>
      <c r="L210" s="2"/>
      <c r="M210" s="7"/>
      <c r="N210" s="2"/>
      <c r="O210" s="7"/>
      <c r="P210" s="2"/>
      <c r="Q210" s="7"/>
    </row>
    <row r="211" spans="1:21" s="270" customFormat="1" ht="13.5" thickTop="1">
      <c r="A211" s="1096"/>
      <c r="B211" s="278"/>
      <c r="C211" s="279"/>
      <c r="D211" s="279"/>
      <c r="E211" s="1441"/>
      <c r="F211" s="736"/>
      <c r="G211" s="655"/>
      <c r="H211" s="549"/>
      <c r="I211" s="550"/>
      <c r="J211" s="549"/>
      <c r="K211" s="550"/>
      <c r="L211" s="549"/>
      <c r="M211" s="550"/>
      <c r="N211" s="549"/>
      <c r="O211" s="550"/>
      <c r="P211" s="549"/>
      <c r="Q211" s="550"/>
      <c r="T211" s="699"/>
    </row>
    <row r="212" spans="1:21" s="270" customFormat="1" ht="12.75">
      <c r="A212" s="1096"/>
      <c r="T212" s="699"/>
    </row>
    <row r="213" spans="1:21">
      <c r="A213" s="1579" t="s">
        <v>142</v>
      </c>
      <c r="B213" s="397"/>
      <c r="C213" s="398"/>
      <c r="D213" s="401" t="s">
        <v>617</v>
      </c>
      <c r="E213" s="1438" t="s">
        <v>225</v>
      </c>
      <c r="F213" s="623"/>
      <c r="G213" s="599">
        <f ca="1">IF(Champs!G114=0,IF(G25=RéfLait!$A$6,RéfLait!$E$67,RéfLait!$D$67),Champs!G116)</f>
        <v>24.37619961612284</v>
      </c>
      <c r="H213" s="540"/>
      <c r="I213" s="599">
        <f ca="1">IF(Champs!I114=0,IF(I25=RéfLait!$A$6,RéfLait!$E$67,RéfLait!$D$67),Champs!I116)</f>
        <v>44.913627639155472</v>
      </c>
      <c r="J213" s="599"/>
      <c r="K213" s="599">
        <f ca="1">IF(Champs!K114=0,IF(K25=RéfLait!$A$6,RéfLait!$E$67,RéfLait!$D$67),Champs!K116)</f>
        <v>24.37619961612284</v>
      </c>
      <c r="L213" s="599"/>
      <c r="M213" s="599">
        <f ca="1">IF(Champs!M114=0,IF(M25=RéfLait!$A$6,RéfLait!$E$67,RéfLait!$D$67),Champs!M116)</f>
        <v>24.37619961612284</v>
      </c>
      <c r="N213" s="599"/>
      <c r="O213" s="599">
        <f ca="1">IF(Champs!O114=0,IF(O25=RéfLait!$A$6,RéfLait!$E$67,RéfLait!$D$67),Champs!O116)</f>
        <v>24.37619961612284</v>
      </c>
      <c r="P213" s="599"/>
      <c r="Q213" s="599">
        <f ca="1">IF(Champs!Q114=0,IF(Q25=RéfLait!$A$6,RéfLait!$E$67,RéfLait!$D$67),Champs!Q116)</f>
        <v>24.37619961612284</v>
      </c>
      <c r="T213" s="1500"/>
    </row>
    <row r="214" spans="1:21">
      <c r="A214" s="1579" t="s">
        <v>140</v>
      </c>
      <c r="B214" s="397"/>
      <c r="C214" s="398"/>
      <c r="D214" s="401" t="s">
        <v>794</v>
      </c>
      <c r="E214" s="1438" t="s">
        <v>225</v>
      </c>
      <c r="F214" s="623"/>
      <c r="G214" s="599">
        <f ca="1">IF(Champs!G120=0,IF(G25=RéfLait!$A$6,RéfLait!$E$68,RéfLait!$D$68),Champs!G121)</f>
        <v>11.183673469387756</v>
      </c>
      <c r="H214" s="540"/>
      <c r="I214" s="599">
        <f ca="1">IF(Champs!I120=0,IF(I25=RéfLait!$A$6,RéfLait!$E$68,RéfLait!$D$68),Champs!I121)</f>
        <v>12.979591836734693</v>
      </c>
      <c r="J214" s="599"/>
      <c r="K214" s="599">
        <f ca="1">IF(Champs!K120=0,IF(K25=RéfLait!$A$6,RéfLait!$E$68,RéfLait!$D$68),Champs!K121)</f>
        <v>11.183673469387756</v>
      </c>
      <c r="L214" s="599"/>
      <c r="M214" s="599">
        <f ca="1">IF(Champs!M120=0,IF(M25=RéfLait!$A$6,RéfLait!$E$68,RéfLait!$D$68),Champs!M121)</f>
        <v>11.183673469387756</v>
      </c>
      <c r="N214" s="599"/>
      <c r="O214" s="599">
        <f ca="1">IF(Champs!O120=0,IF(O25=RéfLait!$A$6,RéfLait!$E$68,RéfLait!$D$68),Champs!O121)</f>
        <v>11.183673469387756</v>
      </c>
      <c r="P214" s="599"/>
      <c r="Q214" s="599">
        <f ca="1">IF(Champs!Q120=0,IF(Q25=RéfLait!$A$6,RéfLait!$E$68,RéfLait!$D$68),Champs!Q121)</f>
        <v>11.183673469387756</v>
      </c>
      <c r="T214" s="1500"/>
    </row>
    <row r="215" spans="1:21">
      <c r="A215" s="1579" t="s">
        <v>2</v>
      </c>
      <c r="B215" s="397"/>
      <c r="C215" s="398"/>
      <c r="D215" s="401" t="s">
        <v>618</v>
      </c>
      <c r="E215" s="1438" t="s">
        <v>225</v>
      </c>
      <c r="F215" s="623"/>
      <c r="G215" s="599">
        <f ca="1">IF(Champs!G108=0,IF(G25=RéfLait!$A$6,RéfLait!$E$69,RéfLait!$D$69),Champs!G110)</f>
        <v>32.66266004703423</v>
      </c>
      <c r="H215" s="540"/>
      <c r="I215" s="599">
        <f ca="1">IF(Champs!I108=0,IF(I25=RéfLait!$A$6,RéfLait!$E$69,RéfLait!$D$69),Champs!I110)</f>
        <v>41.28560229945127</v>
      </c>
      <c r="J215" s="599"/>
      <c r="K215" s="599">
        <f ca="1">IF(Champs!K108=0,IF(K25=RéfLait!$A$6,RéfLait!$E$69,RéfLait!$D$69),Champs!K110)</f>
        <v>32.66266004703423</v>
      </c>
      <c r="L215" s="599"/>
      <c r="M215" s="599">
        <f ca="1">IF(Champs!M108=0,IF(M25=RéfLait!$A$6,RéfLait!$E$69,RéfLait!$D$69),Champs!M110)</f>
        <v>32.66266004703423</v>
      </c>
      <c r="N215" s="599"/>
      <c r="O215" s="599">
        <f ca="1">IF(Champs!O108=0,IF(O25=RéfLait!$A$6,RéfLait!$E$69,RéfLait!$D$69),Champs!O110)</f>
        <v>32.66266004703423</v>
      </c>
      <c r="P215" s="599"/>
      <c r="Q215" s="599">
        <f ca="1">IF(Champs!Q108=0,IF(Q25=RéfLait!$A$6,RéfLait!$E$69,RéfLait!$D$69),Champs!Q110)</f>
        <v>32.66266004703423</v>
      </c>
      <c r="T215" s="1500"/>
    </row>
    <row r="216" spans="1:21" ht="16.7" hidden="1" customHeight="1" thickBot="1">
      <c r="A216" s="743"/>
      <c r="B216" s="723"/>
      <c r="C216" s="724"/>
      <c r="D216" s="401" t="s">
        <v>963</v>
      </c>
      <c r="E216" s="1443" t="s">
        <v>225</v>
      </c>
      <c r="F216" s="623"/>
      <c r="G216" s="625">
        <f>RéfChamps!BS82</f>
        <v>56</v>
      </c>
      <c r="H216" s="540"/>
      <c r="I216" s="1786">
        <f>RéfChamps!BU82</f>
        <v>0</v>
      </c>
      <c r="J216" s="1789"/>
      <c r="K216" s="1786">
        <f>RéfChamps!BW82</f>
        <v>0</v>
      </c>
      <c r="L216" s="1789"/>
      <c r="M216" s="1786">
        <f>RéfChamps!BY82</f>
        <v>0</v>
      </c>
      <c r="N216" s="1789"/>
      <c r="O216" s="1786">
        <f>RéfChamps!CA82</f>
        <v>0</v>
      </c>
      <c r="P216" s="1789"/>
      <c r="Q216" s="1786">
        <f>RéfChamps!CC82</f>
        <v>0</v>
      </c>
      <c r="T216" s="1500"/>
    </row>
    <row r="217" spans="1:21" s="1519" customFormat="1" ht="6" hidden="1" customHeight="1" thickTop="1">
      <c r="A217" s="743"/>
      <c r="B217" s="1663"/>
      <c r="C217" s="439"/>
      <c r="D217" s="1659"/>
      <c r="E217" s="1660"/>
      <c r="F217" s="1661"/>
      <c r="G217" s="1662"/>
      <c r="H217" s="1664"/>
      <c r="I217" s="1790"/>
      <c r="J217" s="1791"/>
      <c r="K217" s="1790"/>
      <c r="L217" s="1791"/>
      <c r="M217" s="1790"/>
      <c r="N217" s="1791"/>
      <c r="O217" s="1790"/>
      <c r="P217" s="1791"/>
      <c r="Q217" s="1790"/>
      <c r="R217" s="94"/>
    </row>
    <row r="218" spans="1:21" s="726" customFormat="1" ht="17.45" hidden="1" customHeight="1">
      <c r="A218" s="1585"/>
      <c r="B218" s="2159" t="s">
        <v>1330</v>
      </c>
      <c r="C218" s="2159"/>
      <c r="D218" s="2159"/>
      <c r="E218" s="2159"/>
      <c r="F218" s="623"/>
      <c r="G218" s="625"/>
      <c r="H218" s="540"/>
      <c r="I218" s="1792"/>
      <c r="J218" s="1789"/>
      <c r="K218" s="1792"/>
      <c r="L218" s="1789"/>
      <c r="M218" s="1792"/>
      <c r="N218" s="1789"/>
      <c r="O218" s="1792"/>
      <c r="P218" s="1789"/>
      <c r="Q218" s="1792"/>
      <c r="S218" s="54"/>
      <c r="T218" s="54"/>
      <c r="U218" s="54"/>
    </row>
    <row r="219" spans="1:21" hidden="1">
      <c r="A219" s="1579" t="s">
        <v>11</v>
      </c>
      <c r="B219" s="397"/>
      <c r="C219" s="399"/>
      <c r="D219" s="745" t="str">
        <f>IF($I$218=RéfLait!$G$6,RéfLait!B230,RéfLait!C230)</f>
        <v>Prix net des grains mélangés</v>
      </c>
      <c r="E219" s="1438" t="s">
        <v>225</v>
      </c>
      <c r="F219" s="623"/>
      <c r="G219" s="599">
        <f ca="1">IF(G$218=RéfLait!$G$6,IF(Champs!G135=0,0,Champs!G134/Champs!G135),Champs!G136)</f>
        <v>190</v>
      </c>
      <c r="H219" s="540"/>
      <c r="I219" s="599">
        <f ca="1">IF(I$218=RéfLait!$G$6,IF(Champs!I135=0,0,Champs!I134/Champs!I135),Champs!I136)</f>
        <v>190</v>
      </c>
      <c r="J219" s="599"/>
      <c r="K219" s="599">
        <f ca="1">IF(K$218=RéfLait!$G$6,IF(Champs!K135=0,0,Champs!K134/Champs!K135),Champs!K136)</f>
        <v>190</v>
      </c>
      <c r="L219" s="599"/>
      <c r="M219" s="599">
        <f ca="1">IF(M$218=RéfLait!$G$6,IF(Champs!M135=0,0,Champs!M134/Champs!M135),Champs!M136)</f>
        <v>190</v>
      </c>
      <c r="N219" s="599"/>
      <c r="O219" s="599">
        <f ca="1">IF(O$218=RéfLait!$G$6,IF(Champs!O135=0,0,Champs!O134/Champs!O135),Champs!O136)</f>
        <v>462.5</v>
      </c>
      <c r="P219" s="599"/>
      <c r="Q219" s="599">
        <f ca="1">IF(Q$218=RéfLait!$G$6,IF(Champs!Q135=0,0,Champs!Q134/Champs!Q135),Champs!Q136)</f>
        <v>462.5</v>
      </c>
      <c r="T219" s="1500"/>
    </row>
    <row r="220" spans="1:21">
      <c r="A220" s="1579" t="s">
        <v>0</v>
      </c>
      <c r="B220" s="397"/>
      <c r="C220" s="399"/>
      <c r="D220" s="745" t="str">
        <f>IF($I$218=RéfLait!$G$6,RéfLait!B231,RéfLait!C231)</f>
        <v>Prix net du maïs-grain</v>
      </c>
      <c r="E220" s="1438" t="s">
        <v>225</v>
      </c>
      <c r="F220" s="623"/>
      <c r="G220" s="599">
        <f ca="1">IF(G$218=RéfLait!$G$6,IF(Champs!G128=0,0,Champs!G127/Champs!G128),Champs!G129)</f>
        <v>193</v>
      </c>
      <c r="H220" s="540"/>
      <c r="I220" s="599">
        <f ca="1">IF(I$218=RéfLait!$G$6,IF(Champs!I128=0,0,Champs!I127/Champs!I128),Champs!I129)</f>
        <v>193</v>
      </c>
      <c r="J220" s="599"/>
      <c r="K220" s="599">
        <f ca="1">IF(K$218=RéfLait!$G$6,IF(Champs!K128=0,0,Champs!K127/Champs!K128),Champs!K129)</f>
        <v>193</v>
      </c>
      <c r="L220" s="599"/>
      <c r="M220" s="599">
        <f ca="1">IF(M$218=RéfLait!$G$6,IF(Champs!M128=0,0,Champs!M127/Champs!M128),Champs!M129)</f>
        <v>193</v>
      </c>
      <c r="N220" s="599"/>
      <c r="O220" s="599">
        <f ca="1">IF(O$218=RéfLait!$G$6,IF(Champs!O128=0,0,Champs!O127/Champs!O128),Champs!O129)</f>
        <v>485</v>
      </c>
      <c r="P220" s="599"/>
      <c r="Q220" s="599">
        <f ca="1">IF(Q$218=RéfLait!$G$6,IF(Champs!Q128=0,0,Champs!Q127/Champs!Q128),Champs!Q129)</f>
        <v>485</v>
      </c>
      <c r="T220" s="1500"/>
    </row>
    <row r="221" spans="1:21">
      <c r="A221" s="1579" t="s">
        <v>140</v>
      </c>
      <c r="B221" s="397"/>
      <c r="C221" s="399"/>
      <c r="D221" s="745" t="str">
        <f>IF($I$218=RéfLait!$G$6,RéfLait!B232,RéfLait!C232)</f>
        <v>Prix net du maïs ensilage</v>
      </c>
      <c r="E221" s="1438" t="s">
        <v>225</v>
      </c>
      <c r="F221" s="623"/>
      <c r="G221" s="599"/>
      <c r="H221" s="540"/>
      <c r="I221" s="599"/>
      <c r="J221" s="599"/>
      <c r="K221" s="599"/>
      <c r="L221" s="599"/>
      <c r="M221" s="599"/>
      <c r="N221" s="599"/>
      <c r="O221" s="599"/>
      <c r="P221" s="599"/>
      <c r="Q221" s="599"/>
      <c r="T221" s="1500"/>
    </row>
    <row r="222" spans="1:21" hidden="1">
      <c r="A222" s="1579" t="s">
        <v>1</v>
      </c>
      <c r="B222" s="397"/>
      <c r="C222" s="399"/>
      <c r="D222" s="745" t="str">
        <f>IF($I$218=RéfLait!$G$6,RéfLait!B233,RéfLait!C233)</f>
        <v>Prix net du soya</v>
      </c>
      <c r="E222" s="1438" t="s">
        <v>225</v>
      </c>
      <c r="F222" s="623"/>
      <c r="G222" s="599">
        <f ca="1">IF(G$218=RéfLait!$G$6,IF(Champs!G142=0,0,Champs!G141/Champs!G142),Champs!G143)</f>
        <v>460</v>
      </c>
      <c r="H222" s="540"/>
      <c r="I222" s="599">
        <f ca="1">IF(I$218=RéfLait!$G$6,IF(Champs!I142=0,0,Champs!I141/Champs!I142),Champs!I143)</f>
        <v>460</v>
      </c>
      <c r="J222" s="599"/>
      <c r="K222" s="599">
        <f ca="1">IF(K$218=RéfLait!$G$6,IF(Champs!K142=0,0,Champs!K141/Champs!K142),Champs!K143)</f>
        <v>460</v>
      </c>
      <c r="L222" s="599"/>
      <c r="M222" s="599">
        <f ca="1">IF(M$218=RéfLait!$G$6,IF(Champs!M142=0,0,Champs!M141/Champs!M142),Champs!M143)</f>
        <v>460</v>
      </c>
      <c r="N222" s="599"/>
      <c r="O222" s="599">
        <f ca="1">IF(O$218=RéfLait!$G$6,IF(Champs!O142=0,0,Champs!O141/Champs!O142),Champs!O143)</f>
        <v>1048</v>
      </c>
      <c r="P222" s="599"/>
      <c r="Q222" s="599">
        <f ca="1">IF(Q$218=RéfLait!$G$6,IF(Champs!Q142=0,0,Champs!Q141/Champs!Q142),Champs!Q143)</f>
        <v>1048</v>
      </c>
      <c r="T222" s="1500"/>
    </row>
    <row r="223" spans="1:21" hidden="1">
      <c r="A223" s="1579" t="s">
        <v>3</v>
      </c>
      <c r="B223" s="397"/>
      <c r="C223" s="399"/>
      <c r="D223" s="745" t="str">
        <f>IF($I$218=RéfLait!$G$6,RéfLait!B234,RéfLait!C234)</f>
        <v>Prix net du blé de printemps</v>
      </c>
      <c r="E223" s="1438" t="s">
        <v>225</v>
      </c>
      <c r="F223" s="623"/>
      <c r="G223" s="599">
        <f ca="1">IF(G$218=RéfLait!$G$6,IF(Champs!G149=0,0,Champs!G148/Champs!G149),Champs!G150)</f>
        <v>265</v>
      </c>
      <c r="H223" s="540"/>
      <c r="I223" s="599">
        <f ca="1">IF(I$218=RéfLait!$G$6,IF(Champs!I149=0,0,Champs!I148/Champs!I149),Champs!I150)</f>
        <v>265</v>
      </c>
      <c r="J223" s="599"/>
      <c r="K223" s="599">
        <f ca="1">IF(K$218=RéfLait!$G$6,IF(Champs!K149=0,0,Champs!K148/Champs!K149),Champs!K150)</f>
        <v>265</v>
      </c>
      <c r="L223" s="599"/>
      <c r="M223" s="599">
        <f ca="1">IF(M$218=RéfLait!$G$6,IF(Champs!M149=0,0,Champs!M148/Champs!M149),Champs!M150)</f>
        <v>265</v>
      </c>
      <c r="N223" s="599"/>
      <c r="O223" s="599">
        <f ca="1">IF(O$218=RéfLait!$G$6,IF(Champs!O149=0,0,Champs!O148/Champs!O149),Champs!O150)</f>
        <v>575</v>
      </c>
      <c r="P223" s="599"/>
      <c r="Q223" s="599">
        <f ca="1">IF(Q$218=RéfLait!$G$6,IF(Champs!Q149=0,0,Champs!Q148/Champs!Q149),Champs!Q150)</f>
        <v>575</v>
      </c>
      <c r="T223" s="1500"/>
    </row>
    <row r="224" spans="1:21" hidden="1">
      <c r="A224" s="1579" t="s">
        <v>4</v>
      </c>
      <c r="B224" s="397"/>
      <c r="C224" s="399"/>
      <c r="D224" s="745" t="str">
        <f>IF($I$218=RéfLait!$G$6,RéfLait!B235,RéfLait!C235)</f>
        <v>Prix net de l'orge</v>
      </c>
      <c r="E224" s="1438" t="s">
        <v>225</v>
      </c>
      <c r="F224" s="623"/>
      <c r="G224" s="599">
        <f ca="1">IF(G$218=RéfLait!$G$6,IF(Champs!G156=0,0,Champs!G155/Champs!G156),Champs!G157)</f>
        <v>190</v>
      </c>
      <c r="H224" s="540"/>
      <c r="I224" s="599">
        <f ca="1">IF(I$218=RéfLait!$G$6,IF(Champs!I156=0,0,Champs!I155/Champs!I156),Champs!I157)</f>
        <v>190</v>
      </c>
      <c r="J224" s="599"/>
      <c r="K224" s="599">
        <f ca="1">IF(K$218=RéfLait!$G$6,IF(Champs!K156=0,0,Champs!K155/Champs!K156),Champs!K157)</f>
        <v>190</v>
      </c>
      <c r="L224" s="599"/>
      <c r="M224" s="599">
        <f ca="1">IF(M$218=RéfLait!$G$6,IF(Champs!M156=0,0,Champs!M155/Champs!M156),Champs!M157)</f>
        <v>190</v>
      </c>
      <c r="N224" s="599"/>
      <c r="O224" s="599">
        <f ca="1">IF(O$218=RéfLait!$G$6,IF(Champs!O156=0,0,Champs!O155/Champs!O156),Champs!O157)</f>
        <v>425</v>
      </c>
      <c r="P224" s="599"/>
      <c r="Q224" s="599">
        <f ca="1">IF(Q$218=RéfLait!$G$6,IF(Champs!Q156=0,0,Champs!Q155/Champs!Q156),Champs!Q157)</f>
        <v>425</v>
      </c>
      <c r="T224" s="1500"/>
    </row>
    <row r="225" spans="1:20" hidden="1">
      <c r="A225" s="1579" t="s">
        <v>5</v>
      </c>
      <c r="B225" s="397"/>
      <c r="C225" s="399"/>
      <c r="D225" s="745" t="str">
        <f>IF($I$218=RéfLait!$G$6,RéfLait!B236,RéfLait!C236)</f>
        <v>Prix net de l'avoine</v>
      </c>
      <c r="E225" s="1438" t="s">
        <v>225</v>
      </c>
      <c r="F225" s="623"/>
      <c r="G225" s="599">
        <f ca="1">IF(G$218=RéfLait!$G$6,IF(Champs!G163=0,0,Champs!G162/Champs!G163),Champs!G164)</f>
        <v>190</v>
      </c>
      <c r="H225" s="540"/>
      <c r="I225" s="599">
        <f ca="1">IF(I$218=RéfLait!$G$6,IF(Champs!I163=0,0,Champs!I162/Champs!I163),Champs!I164)</f>
        <v>190</v>
      </c>
      <c r="J225" s="599"/>
      <c r="K225" s="599">
        <f ca="1">IF(K$218=RéfLait!$G$6,IF(Champs!K163=0,0,Champs!K162/Champs!K163),Champs!K164)</f>
        <v>190</v>
      </c>
      <c r="L225" s="599"/>
      <c r="M225" s="599">
        <f ca="1">IF(M$218=RéfLait!$G$6,IF(Champs!M163=0,0,Champs!M162/Champs!M163),Champs!M164)</f>
        <v>190</v>
      </c>
      <c r="N225" s="599"/>
      <c r="O225" s="599">
        <f ca="1">IF(O$218=RéfLait!$G$6,IF(Champs!O163=0,0,Champs!O162/Champs!O163),Champs!O164)</f>
        <v>400</v>
      </c>
      <c r="P225" s="599"/>
      <c r="Q225" s="599">
        <f ca="1">IF(Q$218=RéfLait!$G$6,IF(Champs!Q163=0,0,Champs!Q162/Champs!Q163),Champs!Q164)</f>
        <v>400</v>
      </c>
      <c r="T225" s="1500"/>
    </row>
    <row r="226" spans="1:20" hidden="1">
      <c r="A226" s="1579" t="s">
        <v>6</v>
      </c>
      <c r="B226" s="397"/>
      <c r="C226" s="399"/>
      <c r="D226" s="745" t="str">
        <f>IF($I$218=RéfLait!$G$6,RéfLait!B237,RéfLait!C237)</f>
        <v>Prix net du blé d'automne</v>
      </c>
      <c r="E226" s="1438" t="s">
        <v>225</v>
      </c>
      <c r="F226" s="623"/>
      <c r="G226" s="599">
        <f ca="1">IF(G$218=RéfLait!$G$6,IF(Champs!G170=0,0,Champs!G169/Champs!G170),Champs!G171)</f>
        <v>265</v>
      </c>
      <c r="H226" s="540"/>
      <c r="I226" s="599">
        <f ca="1">IF(I$218=RéfLait!$G$6,IF(Champs!I170=0,0,Champs!I169/Champs!I170),Champs!I171)</f>
        <v>265</v>
      </c>
      <c r="J226" s="599"/>
      <c r="K226" s="599">
        <f ca="1">IF(K$218=RéfLait!$G$6,IF(Champs!K170=0,0,Champs!K169/Champs!K170),Champs!K171)</f>
        <v>265</v>
      </c>
      <c r="L226" s="599"/>
      <c r="M226" s="599">
        <f ca="1">IF(M$218=RéfLait!$G$6,IF(Champs!M170=0,0,Champs!M169/Champs!M170),Champs!M171)</f>
        <v>265</v>
      </c>
      <c r="N226" s="599"/>
      <c r="O226" s="599">
        <f ca="1">IF(O$218=RéfLait!$G$6,IF(Champs!O170=0,0,Champs!O169/Champs!O170),Champs!O171)</f>
        <v>575</v>
      </c>
      <c r="P226" s="599"/>
      <c r="Q226" s="599">
        <f ca="1">IF(Q$218=RéfLait!$G$6,IF(Champs!Q170=0,0,Champs!Q169/Champs!Q170),Champs!Q171)</f>
        <v>575</v>
      </c>
      <c r="T226" s="1500"/>
    </row>
    <row r="227" spans="1:20" hidden="1">
      <c r="A227" s="1579" t="s">
        <v>7</v>
      </c>
      <c r="B227" s="397"/>
      <c r="C227" s="399"/>
      <c r="D227" s="745" t="str">
        <f>IF($I$218=RéfLait!$G$6,RéfLait!B238,RéfLait!C238)</f>
        <v>Prix net du seigle d'automne</v>
      </c>
      <c r="E227" s="1438" t="s">
        <v>225</v>
      </c>
      <c r="F227" s="623"/>
      <c r="G227" s="599">
        <f ca="1">IF(G$218=RéfLait!$G$6,IF(Champs!G177=0,0,Champs!G176/Champs!G177),Champs!G178)</f>
        <v>190</v>
      </c>
      <c r="H227" s="540"/>
      <c r="I227" s="599">
        <f ca="1">IF(I$218=RéfLait!$G$6,IF(Champs!I177=0,0,Champs!I176/Champs!I177),Champs!I178)</f>
        <v>190</v>
      </c>
      <c r="J227" s="599"/>
      <c r="K227" s="599">
        <f ca="1">IF(K$218=RéfLait!$G$6,IF(Champs!K177=0,0,Champs!K176/Champs!K177),Champs!K178)</f>
        <v>190</v>
      </c>
      <c r="L227" s="599"/>
      <c r="M227" s="599">
        <f ca="1">IF(M$218=RéfLait!$G$6,IF(Champs!M177=0,0,Champs!M176/Champs!M177),Champs!M178)</f>
        <v>190</v>
      </c>
      <c r="N227" s="599"/>
      <c r="O227" s="599">
        <f ca="1">IF(O$218=RéfLait!$G$6,IF(Champs!O177=0,0,Champs!O176/Champs!O177),Champs!O178)</f>
        <v>600</v>
      </c>
      <c r="P227" s="599"/>
      <c r="Q227" s="599">
        <f ca="1">IF(Q$218=RéfLait!$G$6,IF(Champs!Q177=0,0,Champs!Q176/Champs!Q177),Champs!Q178)</f>
        <v>600</v>
      </c>
      <c r="T227" s="1500"/>
    </row>
    <row r="228" spans="1:20" hidden="1">
      <c r="A228" s="1579" t="s">
        <v>1291</v>
      </c>
      <c r="B228" s="397"/>
      <c r="C228" s="399"/>
      <c r="D228" s="745" t="str">
        <f>IF($I$218=RéfLait!$G$6,RéfLait!B239,RéfLait!C239)</f>
        <v>Prix net de l'épeautre d'automne</v>
      </c>
      <c r="E228" s="1438" t="s">
        <v>225</v>
      </c>
      <c r="F228" s="623"/>
      <c r="G228" s="625"/>
      <c r="H228" s="540"/>
      <c r="I228" s="599"/>
      <c r="J228" s="599"/>
      <c r="K228" s="599"/>
      <c r="L228" s="599"/>
      <c r="M228" s="599"/>
      <c r="N228" s="599"/>
      <c r="O228" s="599"/>
      <c r="P228" s="599"/>
      <c r="Q228" s="599"/>
      <c r="T228" s="1500"/>
    </row>
    <row r="229" spans="1:20" hidden="1">
      <c r="A229" s="1579" t="s">
        <v>1294</v>
      </c>
      <c r="B229" s="397"/>
      <c r="C229" s="399"/>
      <c r="D229" s="745" t="str">
        <f>IF($I$218=RéfLait!$G$6,RéfLait!B240,RéfLait!C240)</f>
        <v>Prix net de l'épeautre de printemps</v>
      </c>
      <c r="E229" s="1438" t="s">
        <v>225</v>
      </c>
      <c r="F229" s="623"/>
      <c r="G229" s="1456"/>
      <c r="H229" s="540"/>
      <c r="I229" s="599"/>
      <c r="J229" s="599"/>
      <c r="K229" s="599"/>
      <c r="L229" s="599"/>
      <c r="M229" s="599"/>
      <c r="N229" s="599"/>
      <c r="O229" s="599"/>
      <c r="P229" s="599"/>
      <c r="Q229" s="599"/>
      <c r="T229" s="1500"/>
    </row>
    <row r="230" spans="1:20" hidden="1">
      <c r="A230" s="1579" t="s">
        <v>218</v>
      </c>
      <c r="B230" s="397"/>
      <c r="C230" s="399"/>
      <c r="D230" s="745" t="str">
        <f>IF($I$218=RéfLait!$G$6,RéfLait!B241,RéfLait!C241)</f>
        <v>Prix net du canola</v>
      </c>
      <c r="E230" s="1438" t="s">
        <v>225</v>
      </c>
      <c r="F230" s="623"/>
      <c r="G230" s="599"/>
      <c r="H230" s="540"/>
      <c r="I230" s="599"/>
      <c r="J230" s="599"/>
      <c r="K230" s="599"/>
      <c r="L230" s="599"/>
      <c r="M230" s="599"/>
      <c r="N230" s="599"/>
      <c r="O230" s="599"/>
      <c r="P230" s="599"/>
      <c r="Q230" s="599"/>
      <c r="T230" s="1500"/>
    </row>
    <row r="231" spans="1:20" hidden="1">
      <c r="A231" s="1579" t="s">
        <v>1261</v>
      </c>
      <c r="B231" s="397"/>
      <c r="C231" s="399"/>
      <c r="D231" s="745" t="str">
        <f>IF($I$218=RéfLait!$G$6,RéfLait!B242,RéfLait!C242)</f>
        <v>Prix net du sarrazin</v>
      </c>
      <c r="E231" s="1438" t="s">
        <v>225</v>
      </c>
      <c r="F231" s="623"/>
      <c r="G231" s="625"/>
      <c r="H231" s="540"/>
      <c r="I231" s="599"/>
      <c r="J231" s="599"/>
      <c r="K231" s="599"/>
      <c r="L231" s="599"/>
      <c r="M231" s="599"/>
      <c r="N231" s="599"/>
      <c r="O231" s="599"/>
      <c r="P231" s="599"/>
      <c r="Q231" s="599"/>
      <c r="T231" s="1500"/>
    </row>
    <row r="232" spans="1:20" hidden="1">
      <c r="A232" s="1579" t="s">
        <v>219</v>
      </c>
      <c r="B232" s="397"/>
      <c r="C232" s="399"/>
      <c r="D232" s="745" t="str">
        <f>IF($I$218=RéfLait!$G$6,RéfLait!B243,RéfLait!C243)</f>
        <v>Prix net du chanvre</v>
      </c>
      <c r="E232" s="1438" t="s">
        <v>225</v>
      </c>
      <c r="F232" s="623"/>
      <c r="G232" s="625"/>
      <c r="H232" s="540"/>
      <c r="I232" s="599"/>
      <c r="J232" s="599"/>
      <c r="K232" s="599"/>
      <c r="L232" s="599"/>
      <c r="M232" s="599"/>
      <c r="N232" s="599"/>
      <c r="O232" s="599"/>
      <c r="P232" s="599"/>
      <c r="Q232" s="599"/>
      <c r="T232" s="1500"/>
    </row>
    <row r="233" spans="1:20" hidden="1">
      <c r="A233" s="1579" t="s">
        <v>1262</v>
      </c>
      <c r="B233" s="397"/>
      <c r="C233" s="399"/>
      <c r="D233" s="745" t="s">
        <v>1357</v>
      </c>
      <c r="E233" s="1438" t="s">
        <v>225</v>
      </c>
      <c r="F233" s="623"/>
      <c r="G233" s="1456"/>
      <c r="H233" s="540"/>
      <c r="I233" s="599"/>
      <c r="J233" s="599"/>
      <c r="K233" s="599"/>
      <c r="L233" s="599"/>
      <c r="M233" s="599"/>
      <c r="N233" s="599"/>
      <c r="O233" s="599"/>
      <c r="P233" s="599"/>
      <c r="Q233" s="599"/>
      <c r="T233" s="1500"/>
    </row>
    <row r="234" spans="1:20" hidden="1">
      <c r="A234" s="1579" t="str">
        <f>nAutre1</f>
        <v>Autre #1</v>
      </c>
      <c r="B234" s="397"/>
      <c r="C234" s="399"/>
      <c r="D234" s="745" t="str">
        <f>IF($I$218=RéfLait!$G$6,RéfLait!B245,RéfLait!C245)</f>
        <v>Prix net du Autre #1</v>
      </c>
      <c r="E234" s="1438" t="s">
        <v>225</v>
      </c>
      <c r="F234" s="623"/>
      <c r="G234" s="625"/>
      <c r="H234" s="540"/>
      <c r="I234" s="599"/>
      <c r="J234" s="599"/>
      <c r="K234" s="599"/>
      <c r="L234" s="599"/>
      <c r="M234" s="599"/>
      <c r="N234" s="599"/>
      <c r="O234" s="599"/>
      <c r="P234" s="599"/>
      <c r="Q234" s="599"/>
      <c r="T234" s="1500"/>
    </row>
    <row r="235" spans="1:20" hidden="1">
      <c r="A235" s="1579" t="str">
        <f>nAutre2</f>
        <v>Autre #2</v>
      </c>
      <c r="B235" s="397"/>
      <c r="C235" s="399"/>
      <c r="D235" s="745" t="str">
        <f>IF($I$218=RéfLait!$G$6,RéfLait!B246,RéfLait!C246)</f>
        <v>Prix net du Autre #2</v>
      </c>
      <c r="E235" s="1438" t="s">
        <v>225</v>
      </c>
      <c r="F235" s="623"/>
      <c r="G235" s="625"/>
      <c r="H235" s="540"/>
      <c r="I235" s="599"/>
      <c r="J235" s="599"/>
      <c r="K235" s="599"/>
      <c r="L235" s="599"/>
      <c r="M235" s="599"/>
      <c r="N235" s="599"/>
      <c r="O235" s="599"/>
      <c r="P235" s="599"/>
      <c r="Q235" s="599"/>
      <c r="T235" s="1500"/>
    </row>
    <row r="236" spans="1:20" ht="15" hidden="1" thickBot="1">
      <c r="A236" s="1579" t="str">
        <f>nAutre3</f>
        <v>Autre #3</v>
      </c>
      <c r="B236" s="397"/>
      <c r="C236" s="399"/>
      <c r="D236" s="725" t="str">
        <f>IF($I$218=RéfLait!$G$6,RéfLait!B247,RéfLait!C247)</f>
        <v>Prix net du Autre #3</v>
      </c>
      <c r="E236" s="1438" t="s">
        <v>225</v>
      </c>
      <c r="F236" s="623"/>
      <c r="G236" s="625"/>
      <c r="H236" s="539"/>
      <c r="I236" s="599"/>
      <c r="J236" s="600"/>
      <c r="K236" s="599"/>
      <c r="L236" s="600"/>
      <c r="M236" s="599"/>
      <c r="N236" s="600"/>
      <c r="O236" s="599"/>
      <c r="P236" s="600"/>
      <c r="Q236" s="599"/>
      <c r="T236" s="1500"/>
    </row>
    <row r="237" spans="1:20">
      <c r="A237" s="1108"/>
      <c r="F237" s="1500"/>
      <c r="G237" s="1500"/>
      <c r="I237" s="1500"/>
    </row>
    <row r="238" spans="1:20" ht="19.5" thickBot="1">
      <c r="A238" s="2077" t="s">
        <v>275</v>
      </c>
      <c r="B238" s="2" t="s">
        <v>374</v>
      </c>
      <c r="C238" s="2"/>
      <c r="D238" s="2"/>
      <c r="E238" s="1421"/>
      <c r="F238" s="613"/>
      <c r="G238" s="656"/>
      <c r="H238" s="542"/>
      <c r="I238" s="542"/>
      <c r="J238" s="542"/>
      <c r="K238" s="542"/>
      <c r="L238" s="542"/>
      <c r="M238" s="542"/>
      <c r="N238" s="542"/>
      <c r="O238" s="542"/>
      <c r="P238" s="542"/>
      <c r="Q238" s="542"/>
    </row>
    <row r="239" spans="1:20" s="54" customFormat="1" ht="15" thickTop="1">
      <c r="A239" s="402"/>
      <c r="E239" s="1420"/>
      <c r="F239" s="737"/>
      <c r="G239" s="657"/>
      <c r="H239" s="551"/>
      <c r="I239" s="551"/>
      <c r="J239" s="551"/>
      <c r="K239" s="551"/>
      <c r="L239" s="551"/>
      <c r="M239" s="551"/>
      <c r="N239" s="551"/>
      <c r="O239" s="551"/>
      <c r="P239" s="551"/>
      <c r="Q239" s="551"/>
      <c r="T239" s="700"/>
    </row>
    <row r="240" spans="1:20" ht="16.5" hidden="1">
      <c r="A240" s="1091"/>
      <c r="B240" s="288"/>
      <c r="C240" s="280"/>
      <c r="D240" s="705" t="s">
        <v>917</v>
      </c>
      <c r="E240" s="1364" t="s">
        <v>918</v>
      </c>
      <c r="F240" s="614"/>
      <c r="G240" s="658">
        <f>INDEX(RéfLait!$C$208:$E$210,MATCH(NbVachesS1,RéfLait!$B$208:$B$210,1),MATCH(G28,RéfLait!$C$207:$E$207,0))</f>
        <v>12.1</v>
      </c>
      <c r="H240" s="1512"/>
      <c r="I240" s="1778">
        <f>INDEX(RéfLait!$C$208:$E$210,MATCH(NbVachesS1,RéfLait!$B$208:$B$210,1),MATCH(I28,RéfLait!$C$207:$E$207,0))</f>
        <v>12.1</v>
      </c>
      <c r="J240" s="1793"/>
      <c r="K240" s="1778">
        <f>INDEX(RéfLait!$C$208:$E$210,MATCH(NbVachesS1,RéfLait!$B$208:$B$210,1),MATCH(K28,RéfLait!$C$207:$E$207,0))</f>
        <v>12.1</v>
      </c>
      <c r="L240" s="1793"/>
      <c r="M240" s="1778">
        <f>INDEX(RéfLait!$C$208:$E$210,MATCH(NbVachesS1,RéfLait!$B$208:$B$210,1),MATCH(M28,RéfLait!$C$207:$E$207,0))</f>
        <v>12.1</v>
      </c>
      <c r="N240" s="1793"/>
      <c r="O240" s="1778">
        <f>INDEX(RéfLait!$C$208:$E$210,MATCH(NbVachesS1,RéfLait!$B$208:$B$210,1),MATCH(O28,RéfLait!$C$207:$E$207,0))</f>
        <v>12.1</v>
      </c>
      <c r="P240" s="1793"/>
      <c r="Q240" s="1778">
        <f>INDEX(RéfLait!$C$208:$E$210,MATCH(NbVachesS1,RéfLait!$B$208:$B$210,1),MATCH(Q28,RéfLait!$C$207:$E$207,0))</f>
        <v>12.1</v>
      </c>
    </row>
    <row r="241" spans="1:20" ht="16.5" hidden="1">
      <c r="A241" s="1091"/>
      <c r="B241" s="288"/>
      <c r="C241" s="280"/>
      <c r="D241" s="705" t="s">
        <v>1331</v>
      </c>
      <c r="E241" s="1364" t="s">
        <v>924</v>
      </c>
      <c r="F241" s="614"/>
      <c r="G241" s="659">
        <f>IF(G28=RéfLait!$E$7,0.2,0.3)*G240*NbVachesS1/60</f>
        <v>3.63</v>
      </c>
      <c r="H241" s="539"/>
      <c r="I241" s="1778">
        <f>IF(I28=RéfLait!$E$7,0.2,0.3)*I240*NbVachesS1/60</f>
        <v>3.63</v>
      </c>
      <c r="J241" s="570"/>
      <c r="K241" s="1778">
        <f>IF(K28=RéfLait!$E$7,0.2,0.3)*K240*NbVachesS1/60</f>
        <v>3.63</v>
      </c>
      <c r="L241" s="570"/>
      <c r="M241" s="1778">
        <f>IF(M28=RéfLait!$E$7,0.2,0.3)*M240*NbVachesS1/60</f>
        <v>3.63</v>
      </c>
      <c r="N241" s="570"/>
      <c r="O241" s="1778">
        <f>IF(O28=RéfLait!$E$7,0.2,0.3)*O240*NbVachesS1/60</f>
        <v>3.63</v>
      </c>
      <c r="P241" s="570"/>
      <c r="Q241" s="1778">
        <f>IF(Q28=RéfLait!$E$7,0.2,0.3)*Q240*NbVachesS1/60</f>
        <v>3.63</v>
      </c>
    </row>
    <row r="242" spans="1:20" hidden="1">
      <c r="A242" s="1091"/>
      <c r="B242" s="2152" t="s">
        <v>919</v>
      </c>
      <c r="C242" s="2152"/>
      <c r="D242" s="2152"/>
      <c r="E242" s="1364" t="s">
        <v>920</v>
      </c>
      <c r="F242" s="614"/>
      <c r="G242" s="660">
        <f>13.25*1.23</f>
        <v>16.297499999999999</v>
      </c>
      <c r="H242" s="540"/>
      <c r="I242" s="1786">
        <f>13.25*1.23</f>
        <v>16.297499999999999</v>
      </c>
      <c r="J242" s="1765"/>
      <c r="K242" s="1786">
        <f>13.25*1.23</f>
        <v>16.297499999999999</v>
      </c>
      <c r="L242" s="1765"/>
      <c r="M242" s="1786">
        <f>13.25*1.23</f>
        <v>16.297499999999999</v>
      </c>
      <c r="N242" s="1765"/>
      <c r="O242" s="1786">
        <f>13.25*1.23</f>
        <v>16.297499999999999</v>
      </c>
      <c r="P242" s="1765"/>
      <c r="Q242" s="1786">
        <f>13.25*1.23</f>
        <v>16.297499999999999</v>
      </c>
    </row>
    <row r="243" spans="1:20" ht="16.5" hidden="1">
      <c r="A243" s="1091"/>
      <c r="B243" s="288"/>
      <c r="C243" s="281"/>
      <c r="D243" s="706" t="s">
        <v>921</v>
      </c>
      <c r="E243" s="1364" t="s">
        <v>918</v>
      </c>
      <c r="F243" s="614"/>
      <c r="G243" s="730">
        <v>0</v>
      </c>
      <c r="H243" s="539"/>
      <c r="I243" s="1760">
        <f>G243</f>
        <v>0</v>
      </c>
      <c r="J243" s="570"/>
      <c r="K243" s="1760">
        <f>I243</f>
        <v>0</v>
      </c>
      <c r="L243" s="570"/>
      <c r="M243" s="1760">
        <f>K243</f>
        <v>0</v>
      </c>
      <c r="N243" s="570"/>
      <c r="O243" s="1760">
        <f>M243</f>
        <v>0</v>
      </c>
      <c r="P243" s="570"/>
      <c r="Q243" s="1760">
        <f>O243</f>
        <v>0</v>
      </c>
      <c r="S243" s="92"/>
    </row>
    <row r="244" spans="1:20" ht="16.5" hidden="1">
      <c r="A244" s="1091"/>
      <c r="B244" s="288"/>
      <c r="C244" s="281"/>
      <c r="D244" s="706" t="s">
        <v>922</v>
      </c>
      <c r="E244" s="1364" t="s">
        <v>923</v>
      </c>
      <c r="F244" s="614"/>
      <c r="G244" s="738" t="e">
        <f>IF(G240=E240,G240/2*(G43-E43),G43*G240-E43*E240)-G243*G43</f>
        <v>#VALUE!</v>
      </c>
      <c r="H244" s="540"/>
      <c r="I244" s="1757">
        <f>IF(I240=G240,I240/2*(I43-G43),I43*I240-G43*G240)-I243*I43</f>
        <v>0</v>
      </c>
      <c r="J244" s="1765"/>
      <c r="K244" s="1757">
        <f>IF(K240=I240,K240/2*(K43-I43),K43*K240-I43*I240)-K243*K43</f>
        <v>0</v>
      </c>
      <c r="L244" s="1765"/>
      <c r="M244" s="1757">
        <f>IF(M240=K240,M240/2*(M43-K43),M43*M240-K43*K240)-M243*M43</f>
        <v>0</v>
      </c>
      <c r="N244" s="1765"/>
      <c r="O244" s="1757">
        <f>IF(O240=M240,O240/2*(O43-M43),O43*O240-M43*M240)-O243*O43</f>
        <v>0</v>
      </c>
      <c r="P244" s="1765"/>
      <c r="Q244" s="1757">
        <f>IF(Q240=O240,Q240/2*(Q43-O43),Q43*Q240-O43*O240)-Q243*Q43</f>
        <v>0</v>
      </c>
    </row>
    <row r="245" spans="1:20" hidden="1">
      <c r="A245" s="1091"/>
      <c r="B245" s="287"/>
      <c r="C245" s="281"/>
      <c r="D245" s="706" t="s">
        <v>878</v>
      </c>
      <c r="E245" s="1364"/>
      <c r="F245" s="614"/>
      <c r="G245" s="670">
        <v>0</v>
      </c>
      <c r="H245" s="539"/>
      <c r="I245" s="1763">
        <f>G245</f>
        <v>0</v>
      </c>
      <c r="J245" s="570"/>
      <c r="K245" s="1763">
        <f>I245</f>
        <v>0</v>
      </c>
      <c r="L245" s="570"/>
      <c r="M245" s="1763">
        <f>K245</f>
        <v>0</v>
      </c>
      <c r="N245" s="570"/>
      <c r="O245" s="1763">
        <f>M245</f>
        <v>0</v>
      </c>
      <c r="P245" s="570"/>
      <c r="Q245" s="1763">
        <f>O245</f>
        <v>0</v>
      </c>
      <c r="S245" s="484"/>
    </row>
    <row r="246" spans="1:20">
      <c r="A246" s="1091"/>
      <c r="B246" s="448"/>
      <c r="C246" s="480"/>
      <c r="D246" s="480" t="s">
        <v>879</v>
      </c>
      <c r="E246" s="1423"/>
      <c r="F246" s="614"/>
      <c r="G246" s="661">
        <f>IF(AND(G28=E28,E33="oui",annees_liees="oui"),E246+G244,G240*G43)</f>
        <v>726</v>
      </c>
      <c r="H246" s="552"/>
      <c r="I246" s="2109">
        <f>IF(AND(I28=G28,G33="oui",annees_liees="oui"),G246+I244,I240*I43)</f>
        <v>726</v>
      </c>
      <c r="J246" s="2110"/>
      <c r="K246" s="2109">
        <f>IF(AND(K28=I28,I33="oui",annees_liees="oui"),I246+K244,K240*K43)</f>
        <v>726</v>
      </c>
      <c r="L246" s="2110"/>
      <c r="M246" s="2109">
        <f>IF(AND(M28=K28,K33="oui",annees_liees="oui"),K246+M244,M240*M43)</f>
        <v>726</v>
      </c>
      <c r="N246" s="2110"/>
      <c r="O246" s="2109">
        <f>IF(AND(O28=M28,M33="oui",annees_liees="oui"),M246+O244,O240*O43)</f>
        <v>726</v>
      </c>
      <c r="P246" s="2110"/>
      <c r="Q246" s="2109">
        <f>IF(AND(Q28=O28,O33="oui",annees_liees="oui"),O246+Q244,Q240*Q43)</f>
        <v>726</v>
      </c>
      <c r="S246" s="450"/>
    </row>
    <row r="247" spans="1:20" ht="19.5" thickBot="1">
      <c r="A247" s="2077" t="s">
        <v>276</v>
      </c>
      <c r="B247" s="2" t="s">
        <v>10</v>
      </c>
      <c r="C247" s="2"/>
      <c r="D247" s="2"/>
      <c r="E247" s="1421"/>
      <c r="F247" s="613"/>
      <c r="G247" s="656"/>
      <c r="H247" s="542"/>
      <c r="I247" s="1794"/>
      <c r="J247" s="1794"/>
      <c r="K247" s="1794"/>
      <c r="L247" s="1794"/>
      <c r="M247" s="1794"/>
      <c r="N247" s="1794"/>
      <c r="O247" s="1794"/>
      <c r="P247" s="1794"/>
      <c r="Q247" s="1794"/>
      <c r="S247" s="450"/>
    </row>
    <row r="248" spans="1:20" s="54" customFormat="1" ht="13.5" thickTop="1">
      <c r="A248" s="1091"/>
      <c r="E248" s="1420"/>
      <c r="F248" s="737"/>
      <c r="G248" s="662"/>
      <c r="H248" s="551"/>
      <c r="I248" s="553"/>
      <c r="J248" s="1795"/>
      <c r="K248" s="553"/>
      <c r="L248" s="1795"/>
      <c r="M248" s="553"/>
      <c r="N248" s="1795"/>
      <c r="O248" s="553"/>
      <c r="P248" s="1795"/>
      <c r="Q248" s="553"/>
      <c r="S248" s="407"/>
      <c r="T248" s="700"/>
    </row>
    <row r="249" spans="1:20" ht="16.5">
      <c r="A249" s="1091"/>
      <c r="B249" s="288"/>
      <c r="C249" s="265" t="s">
        <v>621</v>
      </c>
      <c r="D249" s="265"/>
      <c r="E249" s="1422" t="s">
        <v>622</v>
      </c>
      <c r="F249" s="614"/>
      <c r="G249" s="663"/>
      <c r="H249" s="539"/>
      <c r="I249" s="1760"/>
      <c r="J249" s="570"/>
      <c r="K249" s="1760"/>
      <c r="L249" s="570"/>
      <c r="M249" s="1760"/>
      <c r="N249" s="570"/>
      <c r="O249" s="1760"/>
      <c r="P249" s="570"/>
      <c r="Q249" s="1760"/>
      <c r="S249" s="450"/>
    </row>
    <row r="250" spans="1:20" ht="16.5">
      <c r="A250" s="1091"/>
      <c r="B250" s="288"/>
      <c r="C250" s="268" t="s">
        <v>674</v>
      </c>
      <c r="D250" s="265"/>
      <c r="E250" s="1422" t="s">
        <v>260</v>
      </c>
      <c r="F250" s="614"/>
      <c r="G250" s="625">
        <f>G249*RéfLait!$C$216</f>
        <v>0</v>
      </c>
      <c r="H250" s="540"/>
      <c r="I250" s="1786">
        <f>I249*RéfLait!$C$216</f>
        <v>0</v>
      </c>
      <c r="J250" s="1765"/>
      <c r="K250" s="1786">
        <f>K249*RéfLait!$C$216</f>
        <v>0</v>
      </c>
      <c r="L250" s="1765"/>
      <c r="M250" s="1786">
        <f>M249*RéfLait!$C$216</f>
        <v>0</v>
      </c>
      <c r="N250" s="1765"/>
      <c r="O250" s="1786">
        <f>O249*RéfLait!$C$216</f>
        <v>0</v>
      </c>
      <c r="P250" s="1765"/>
      <c r="Q250" s="1786">
        <f>Q249*RéfLait!$C$216</f>
        <v>0</v>
      </c>
      <c r="S250" s="450"/>
    </row>
    <row r="251" spans="1:20" ht="16.5">
      <c r="A251" s="1091"/>
      <c r="B251" s="288"/>
      <c r="C251" s="265" t="s">
        <v>1332</v>
      </c>
      <c r="D251" s="265"/>
      <c r="E251" s="1364" t="s">
        <v>622</v>
      </c>
      <c r="F251" s="614"/>
      <c r="G251" s="663"/>
      <c r="H251" s="539"/>
      <c r="I251" s="1760"/>
      <c r="J251" s="570"/>
      <c r="K251" s="1760"/>
      <c r="L251" s="570"/>
      <c r="M251" s="1760"/>
      <c r="N251" s="570"/>
      <c r="O251" s="1760"/>
      <c r="P251" s="570"/>
      <c r="Q251" s="1760"/>
      <c r="S251" s="450"/>
    </row>
    <row r="252" spans="1:20" ht="16.5">
      <c r="A252" s="1091"/>
      <c r="B252" s="288"/>
      <c r="C252" s="268" t="s">
        <v>675</v>
      </c>
      <c r="D252" s="265"/>
      <c r="E252" s="1422"/>
      <c r="F252" s="614"/>
      <c r="G252" s="625">
        <f>G251*RéfLait!$C$217</f>
        <v>0</v>
      </c>
      <c r="H252" s="540"/>
      <c r="I252" s="1786">
        <f>I251*RéfLait!$C$217</f>
        <v>0</v>
      </c>
      <c r="J252" s="1765"/>
      <c r="K252" s="1786">
        <f>K251*RéfLait!$C$217</f>
        <v>0</v>
      </c>
      <c r="L252" s="1765"/>
      <c r="M252" s="1786">
        <f>M251*RéfLait!$C$217</f>
        <v>0</v>
      </c>
      <c r="N252" s="1765"/>
      <c r="O252" s="1786">
        <f>O251*RéfLait!$C$217</f>
        <v>0</v>
      </c>
      <c r="P252" s="1765"/>
      <c r="Q252" s="1786">
        <f>Q251*RéfLait!$C$217</f>
        <v>0</v>
      </c>
      <c r="S252" s="450"/>
    </row>
    <row r="253" spans="1:20" ht="16.5">
      <c r="A253" s="1091"/>
      <c r="B253" s="288"/>
      <c r="C253" s="265" t="s">
        <v>701</v>
      </c>
      <c r="D253" s="265"/>
      <c r="E253" s="1422" t="s">
        <v>1333</v>
      </c>
      <c r="F253" s="614"/>
      <c r="G253" s="663"/>
      <c r="H253" s="539"/>
      <c r="I253" s="1760"/>
      <c r="J253" s="570"/>
      <c r="K253" s="1760"/>
      <c r="L253" s="570"/>
      <c r="M253" s="1760"/>
      <c r="N253" s="570"/>
      <c r="O253" s="1760"/>
      <c r="P253" s="570"/>
      <c r="Q253" s="1760"/>
      <c r="S253" s="450"/>
    </row>
    <row r="254" spans="1:20" ht="16.5">
      <c r="A254" s="1091"/>
      <c r="B254" s="288"/>
      <c r="C254" s="268" t="s">
        <v>676</v>
      </c>
      <c r="D254" s="265"/>
      <c r="E254" s="1422"/>
      <c r="F254" s="614"/>
      <c r="G254" s="625">
        <f>G253*RéfLait!$C$218</f>
        <v>0</v>
      </c>
      <c r="H254" s="540"/>
      <c r="I254" s="1786">
        <f>I253*RéfLait!$C$218</f>
        <v>0</v>
      </c>
      <c r="J254" s="1765"/>
      <c r="K254" s="1786">
        <f>K253*RéfLait!$C$218</f>
        <v>0</v>
      </c>
      <c r="L254" s="1765"/>
      <c r="M254" s="1786">
        <f>M253*RéfLait!$C$218</f>
        <v>0</v>
      </c>
      <c r="N254" s="1765"/>
      <c r="O254" s="1786">
        <f>O253*RéfLait!$C$218</f>
        <v>0</v>
      </c>
      <c r="P254" s="1765"/>
      <c r="Q254" s="1786">
        <f>Q253*RéfLait!$C$218</f>
        <v>0</v>
      </c>
      <c r="S254" s="450"/>
    </row>
    <row r="255" spans="1:20">
      <c r="A255" s="1091"/>
      <c r="B255" s="287"/>
      <c r="C255" s="265" t="s">
        <v>702</v>
      </c>
      <c r="D255" s="265">
        <v>1</v>
      </c>
      <c r="E255" s="1422"/>
      <c r="F255" s="614"/>
      <c r="G255" s="663"/>
      <c r="H255" s="539"/>
      <c r="I255" s="1760">
        <v>1</v>
      </c>
      <c r="J255" s="570"/>
      <c r="K255" s="1760"/>
      <c r="L255" s="570"/>
      <c r="M255" s="1760"/>
      <c r="N255" s="570"/>
      <c r="O255" s="1760"/>
      <c r="P255" s="570"/>
      <c r="Q255" s="1760"/>
      <c r="S255" s="450"/>
    </row>
    <row r="256" spans="1:20">
      <c r="A256" s="1091"/>
      <c r="B256" s="287"/>
      <c r="C256" s="268" t="s">
        <v>677</v>
      </c>
      <c r="D256" s="265"/>
      <c r="E256" s="1422"/>
      <c r="F256" s="614"/>
      <c r="G256" s="625">
        <f>G255*RéfLait!$C$219</f>
        <v>0</v>
      </c>
      <c r="H256" s="540"/>
      <c r="I256" s="1786">
        <f>I255*RéfLait!$C$219</f>
        <v>1180</v>
      </c>
      <c r="J256" s="1765"/>
      <c r="K256" s="1786">
        <f>K255*RéfLait!$C$219</f>
        <v>0</v>
      </c>
      <c r="L256" s="1765"/>
      <c r="M256" s="1786">
        <f>M255*RéfLait!$C$219</f>
        <v>0</v>
      </c>
      <c r="N256" s="1765"/>
      <c r="O256" s="1786">
        <f>O255*RéfLait!$C$219</f>
        <v>0</v>
      </c>
      <c r="P256" s="1765"/>
      <c r="Q256" s="1786">
        <f>Q255*RéfLait!$C$219</f>
        <v>0</v>
      </c>
      <c r="S256" s="450"/>
    </row>
    <row r="257" spans="1:20">
      <c r="A257" s="1091"/>
      <c r="B257" s="287"/>
      <c r="C257" s="265" t="s">
        <v>703</v>
      </c>
      <c r="D257" s="265"/>
      <c r="E257" s="1422" t="s">
        <v>704</v>
      </c>
      <c r="F257" s="614"/>
      <c r="G257" s="663"/>
      <c r="H257" s="539"/>
      <c r="I257" s="1760"/>
      <c r="J257" s="570"/>
      <c r="K257" s="1760"/>
      <c r="L257" s="570"/>
      <c r="M257" s="1760"/>
      <c r="N257" s="570"/>
      <c r="O257" s="1760"/>
      <c r="P257" s="570"/>
      <c r="Q257" s="1760"/>
      <c r="S257" s="450"/>
    </row>
    <row r="258" spans="1:20">
      <c r="A258" s="1091"/>
      <c r="B258" s="287"/>
      <c r="C258" s="268" t="s">
        <v>678</v>
      </c>
      <c r="D258" s="265"/>
      <c r="E258" s="1422"/>
      <c r="F258" s="614"/>
      <c r="G258" s="625">
        <f>G257*RéfLait!$C$220</f>
        <v>0</v>
      </c>
      <c r="H258" s="540"/>
      <c r="I258" s="1786">
        <f>I257*RéfLait!$C$220</f>
        <v>0</v>
      </c>
      <c r="J258" s="1765"/>
      <c r="K258" s="1786">
        <f>K257*RéfLait!$C$220</f>
        <v>0</v>
      </c>
      <c r="L258" s="1765"/>
      <c r="M258" s="1786">
        <f>M257*RéfLait!$C$220</f>
        <v>0</v>
      </c>
      <c r="N258" s="1765"/>
      <c r="O258" s="1786">
        <f>O257*RéfLait!$C$220</f>
        <v>0</v>
      </c>
      <c r="P258" s="1765"/>
      <c r="Q258" s="1786">
        <f>Q257*RéfLait!$C$220</f>
        <v>0</v>
      </c>
      <c r="S258" s="450"/>
    </row>
    <row r="259" spans="1:20">
      <c r="A259" s="1091"/>
      <c r="B259" s="287"/>
      <c r="C259" s="265" t="s">
        <v>679</v>
      </c>
      <c r="D259" s="265"/>
      <c r="E259" s="1422"/>
      <c r="F259" s="614"/>
      <c r="G259" s="625"/>
      <c r="H259" s="554"/>
      <c r="I259" s="1786"/>
      <c r="J259" s="1765"/>
      <c r="K259" s="1786"/>
      <c r="L259" s="1765"/>
      <c r="M259" s="1786"/>
      <c r="N259" s="1765"/>
      <c r="O259" s="1786"/>
      <c r="P259" s="1765"/>
      <c r="Q259" s="1786"/>
      <c r="S259" s="450"/>
    </row>
    <row r="260" spans="1:20">
      <c r="A260" s="1091"/>
      <c r="B260" s="287"/>
      <c r="C260" s="265" t="s">
        <v>373</v>
      </c>
      <c r="D260" s="265"/>
      <c r="E260" s="1422"/>
      <c r="F260" s="614"/>
      <c r="G260" s="625"/>
      <c r="H260" s="554"/>
      <c r="I260" s="1786"/>
      <c r="J260" s="1765"/>
      <c r="K260" s="1786"/>
      <c r="L260" s="1765"/>
      <c r="M260" s="1786"/>
      <c r="N260" s="1765"/>
      <c r="O260" s="1786"/>
      <c r="P260" s="1765"/>
      <c r="Q260" s="1786"/>
      <c r="S260" s="450"/>
    </row>
    <row r="261" spans="1:20" s="1519" customFormat="1">
      <c r="A261" s="1091"/>
      <c r="B261" s="287"/>
      <c r="C261" s="1685" t="s">
        <v>1482</v>
      </c>
      <c r="D261" s="1685"/>
      <c r="E261" s="1422" t="s">
        <v>622</v>
      </c>
      <c r="F261" s="614"/>
      <c r="G261" s="677"/>
      <c r="H261" s="1745"/>
      <c r="I261" s="1757"/>
      <c r="J261" s="1758"/>
      <c r="K261" s="1757"/>
      <c r="L261" s="1758"/>
      <c r="M261" s="1757"/>
      <c r="N261" s="1758"/>
      <c r="O261" s="1757"/>
      <c r="P261" s="1758"/>
      <c r="Q261" s="1757"/>
      <c r="S261" s="450"/>
      <c r="T261" s="462"/>
    </row>
    <row r="262" spans="1:20" s="1519" customFormat="1">
      <c r="A262" s="1091"/>
      <c r="B262" s="287"/>
      <c r="C262" s="1117" t="s">
        <v>1483</v>
      </c>
      <c r="D262" s="1685"/>
      <c r="E262" s="1422"/>
      <c r="F262" s="614"/>
      <c r="G262" s="625">
        <f>IF(G$27=RéfLait!$C$8,RéfLait!$D$44,RéfLait!$C$44)*G261</f>
        <v>0</v>
      </c>
      <c r="H262" s="554"/>
      <c r="I262" s="1786">
        <f>IF(I$27=RéfLait!$C$8,RéfLait!$D$44,RéfLait!$C$44)*I261</f>
        <v>0</v>
      </c>
      <c r="J262" s="1765"/>
      <c r="K262" s="1786">
        <f>IF(K$27=RéfLait!$C$8,RéfLait!$D$44,RéfLait!$C$44)*K261</f>
        <v>0</v>
      </c>
      <c r="L262" s="1765"/>
      <c r="M262" s="1786">
        <f>IF(M$27=RéfLait!$C$8,RéfLait!$D$44,RéfLait!$C$44)*M261</f>
        <v>0</v>
      </c>
      <c r="N262" s="1765"/>
      <c r="O262" s="1786">
        <f>IF(O$27=RéfLait!$C$8,RéfLait!$D$44,RéfLait!$C$44)*O261</f>
        <v>0</v>
      </c>
      <c r="P262" s="1765"/>
      <c r="Q262" s="1786">
        <f>IF(Q$27=RéfLait!$C$8,RéfLait!$D$44,RéfLait!$C$44)*Q261</f>
        <v>0</v>
      </c>
      <c r="S262" s="450"/>
      <c r="T262" s="462"/>
    </row>
    <row r="263" spans="1:20">
      <c r="A263" s="1091"/>
      <c r="B263" s="287"/>
      <c r="C263" s="265" t="s">
        <v>1184</v>
      </c>
      <c r="D263" s="265"/>
      <c r="E263" s="1422" t="s">
        <v>880</v>
      </c>
      <c r="F263" s="614"/>
      <c r="G263" s="651">
        <v>0</v>
      </c>
      <c r="H263" s="554"/>
      <c r="I263" s="1785">
        <f>G263</f>
        <v>0</v>
      </c>
      <c r="J263" s="1765"/>
      <c r="K263" s="1785">
        <f>I263</f>
        <v>0</v>
      </c>
      <c r="L263" s="1765"/>
      <c r="M263" s="1785">
        <f>K263</f>
        <v>0</v>
      </c>
      <c r="N263" s="1765"/>
      <c r="O263" s="1785">
        <f>M263</f>
        <v>0</v>
      </c>
      <c r="P263" s="1765"/>
      <c r="Q263" s="1785">
        <f>O263</f>
        <v>0</v>
      </c>
      <c r="S263" s="450" t="e">
        <f>CUMPRINC(O269/12,O270*12,O268,1,13,1)</f>
        <v>#NUM!</v>
      </c>
    </row>
    <row r="264" spans="1:20">
      <c r="A264" s="1091"/>
      <c r="B264" s="287"/>
      <c r="C264" s="1117" t="s">
        <v>1182</v>
      </c>
      <c r="D264" s="265"/>
      <c r="E264" s="1422"/>
      <c r="F264" s="614"/>
      <c r="G264" s="625">
        <f>G263*Prix_quota</f>
        <v>0</v>
      </c>
      <c r="H264" s="540"/>
      <c r="I264" s="1786">
        <f>I263*Prix_quota</f>
        <v>0</v>
      </c>
      <c r="J264" s="1765"/>
      <c r="K264" s="1786">
        <f>K263*Prix_quota</f>
        <v>0</v>
      </c>
      <c r="L264" s="1765"/>
      <c r="M264" s="1786">
        <f>M263*Prix_quota</f>
        <v>0</v>
      </c>
      <c r="N264" s="1765"/>
      <c r="O264" s="1786">
        <f>O263*Prix_quota</f>
        <v>0</v>
      </c>
      <c r="P264" s="1765"/>
      <c r="Q264" s="1786">
        <f>Q263*Prix_quota</f>
        <v>0</v>
      </c>
      <c r="S264" s="450"/>
    </row>
    <row r="265" spans="1:20">
      <c r="A265" s="1091"/>
      <c r="B265" s="287"/>
      <c r="C265" s="265" t="s">
        <v>1183</v>
      </c>
      <c r="D265" s="265"/>
      <c r="E265" s="1422"/>
      <c r="F265" s="614"/>
      <c r="G265" s="1118">
        <f>G250+G252+G254+G256+G258+G259+G260+G262+G264</f>
        <v>0</v>
      </c>
      <c r="H265" s="554"/>
      <c r="I265" s="1118">
        <f>I250+I252+I254+I256+I258+I259+I260+I262+I264</f>
        <v>1180</v>
      </c>
      <c r="J265" s="1796"/>
      <c r="K265" s="1118">
        <f>K250+K252+K254+K256+K258+K259+K260+K262+K264</f>
        <v>0</v>
      </c>
      <c r="L265" s="1796"/>
      <c r="M265" s="1118">
        <f>M250+M252+M254+M256+M258+M259+M260+M262+M264</f>
        <v>0</v>
      </c>
      <c r="N265" s="1796"/>
      <c r="O265" s="1118">
        <f>O250+O252+O254+O256+O258+O259+O260+O262+O264</f>
        <v>0</v>
      </c>
      <c r="P265" s="1796"/>
      <c r="Q265" s="1118">
        <f>Q250+Q252+Q254+Q256+Q258+Q259+Q260+Q262+Q264</f>
        <v>0</v>
      </c>
      <c r="S265" s="450"/>
    </row>
    <row r="266" spans="1:20">
      <c r="A266" s="1091"/>
      <c r="B266" s="266" t="s">
        <v>371</v>
      </c>
      <c r="C266" s="265"/>
      <c r="D266" s="265"/>
      <c r="E266" s="1422"/>
      <c r="F266" s="614"/>
      <c r="G266" s="625"/>
      <c r="H266" s="539"/>
      <c r="I266" s="1797"/>
      <c r="J266" s="570"/>
      <c r="K266" s="1797"/>
      <c r="L266" s="570"/>
      <c r="M266" s="1797"/>
      <c r="N266" s="570"/>
      <c r="O266" s="1797"/>
      <c r="P266" s="570"/>
      <c r="Q266" s="1797"/>
      <c r="S266" s="450"/>
    </row>
    <row r="267" spans="1:20">
      <c r="A267" s="1091"/>
      <c r="B267" s="266"/>
      <c r="C267" s="265" t="s">
        <v>372</v>
      </c>
      <c r="D267" s="265"/>
      <c r="E267" s="1422"/>
      <c r="F267" s="614"/>
      <c r="G267" s="625">
        <v>0</v>
      </c>
      <c r="H267" s="554"/>
      <c r="I267" s="1764">
        <f>G267</f>
        <v>0</v>
      </c>
      <c r="J267" s="1765"/>
      <c r="K267" s="1764">
        <f>I267</f>
        <v>0</v>
      </c>
      <c r="L267" s="1765"/>
      <c r="M267" s="1764">
        <f>K267</f>
        <v>0</v>
      </c>
      <c r="N267" s="1765"/>
      <c r="O267" s="1764">
        <f>M267</f>
        <v>0</v>
      </c>
      <c r="P267" s="1765"/>
      <c r="Q267" s="1764">
        <f>O267</f>
        <v>0</v>
      </c>
      <c r="S267" s="450"/>
    </row>
    <row r="268" spans="1:20">
      <c r="A268" s="1091"/>
      <c r="B268" s="287"/>
      <c r="C268" s="265" t="s">
        <v>370</v>
      </c>
      <c r="D268" s="265"/>
      <c r="E268" s="1422"/>
      <c r="F268" s="614"/>
      <c r="G268" s="664">
        <f>G265-G267</f>
        <v>0</v>
      </c>
      <c r="H268" s="539"/>
      <c r="I268" s="593">
        <f>I265-I267</f>
        <v>1180</v>
      </c>
      <c r="J268" s="570"/>
      <c r="K268" s="593">
        <f>K265-K267</f>
        <v>0</v>
      </c>
      <c r="L268" s="570"/>
      <c r="M268" s="593">
        <f>M265-M267</f>
        <v>0</v>
      </c>
      <c r="N268" s="570"/>
      <c r="O268" s="593">
        <f>O265-O267</f>
        <v>0</v>
      </c>
      <c r="P268" s="570"/>
      <c r="Q268" s="593">
        <f>Q265-Q267</f>
        <v>0</v>
      </c>
      <c r="S268" s="522" t="e">
        <f>S263/O268</f>
        <v>#NUM!</v>
      </c>
    </row>
    <row r="269" spans="1:20">
      <c r="A269" s="1091"/>
      <c r="B269" s="287"/>
      <c r="C269" s="265" t="s">
        <v>680</v>
      </c>
      <c r="D269" s="265"/>
      <c r="E269" s="1422"/>
      <c r="F269" s="614"/>
      <c r="G269" s="619">
        <v>0.05</v>
      </c>
      <c r="H269" s="541"/>
      <c r="I269" s="2111">
        <f>G269</f>
        <v>0.05</v>
      </c>
      <c r="J269" s="570"/>
      <c r="K269" s="2111">
        <f>I269</f>
        <v>0.05</v>
      </c>
      <c r="L269" s="570"/>
      <c r="M269" s="2111">
        <f>K269</f>
        <v>0.05</v>
      </c>
      <c r="N269" s="570"/>
      <c r="O269" s="2111">
        <f>M269</f>
        <v>0.05</v>
      </c>
      <c r="P269" s="570"/>
      <c r="Q269" s="2111">
        <f>O269</f>
        <v>0.05</v>
      </c>
      <c r="S269" s="450"/>
    </row>
    <row r="270" spans="1:20">
      <c r="A270" s="1091"/>
      <c r="B270" s="287"/>
      <c r="C270" s="265" t="s">
        <v>681</v>
      </c>
      <c r="D270" s="265"/>
      <c r="E270" s="1364" t="s">
        <v>682</v>
      </c>
      <c r="F270" s="614"/>
      <c r="G270" s="642">
        <v>20</v>
      </c>
      <c r="H270" s="541"/>
      <c r="I270" s="1773">
        <f>G270</f>
        <v>20</v>
      </c>
      <c r="J270" s="1766"/>
      <c r="K270" s="1773">
        <f>I270</f>
        <v>20</v>
      </c>
      <c r="L270" s="1766"/>
      <c r="M270" s="1773">
        <f>K270</f>
        <v>20</v>
      </c>
      <c r="N270" s="1766"/>
      <c r="O270" s="1773">
        <f>M270</f>
        <v>20</v>
      </c>
      <c r="P270" s="1766"/>
      <c r="Q270" s="1773">
        <f>O270</f>
        <v>20</v>
      </c>
      <c r="S270" s="450"/>
    </row>
    <row r="271" spans="1:20">
      <c r="A271" s="1091"/>
      <c r="B271" s="287"/>
      <c r="C271" s="265" t="s">
        <v>369</v>
      </c>
      <c r="D271" s="265"/>
      <c r="E271" s="1422"/>
      <c r="F271" s="614"/>
      <c r="G271" s="664">
        <f>ROUND(PMT(G269/12,G270*12,-G268)*12,-1)</f>
        <v>0</v>
      </c>
      <c r="H271" s="539"/>
      <c r="I271" s="576">
        <f>ROUND(PMT(I269/12,I270*12,-I268)*12,-1)</f>
        <v>90</v>
      </c>
      <c r="J271" s="570"/>
      <c r="K271" s="576">
        <f>ROUND(PMT(K269/12,K270*12,-K268)*12,-1)</f>
        <v>0</v>
      </c>
      <c r="L271" s="570"/>
      <c r="M271" s="576">
        <f>ROUND(PMT(M269/12,M270*12,-M268)*12,-1)</f>
        <v>0</v>
      </c>
      <c r="N271" s="570"/>
      <c r="O271" s="576">
        <f>ROUND(PMT(O269/12,O270*12,-O268)*12,-1)</f>
        <v>0</v>
      </c>
      <c r="P271" s="570"/>
      <c r="Q271" s="576">
        <f>ROUND(PMT(Q269/12,Q270*12,-Q268)*12,-1)</f>
        <v>0</v>
      </c>
      <c r="S271" s="523" t="e">
        <f>CUMPRINC(O269/12,O270*12,O268,T271,T272,0)*12</f>
        <v>#NUM!</v>
      </c>
      <c r="T271" s="462">
        <v>1</v>
      </c>
    </row>
    <row r="272" spans="1:20">
      <c r="A272" s="402"/>
      <c r="E272" s="1420"/>
      <c r="F272" s="614"/>
      <c r="G272" s="642"/>
      <c r="H272" s="539"/>
      <c r="I272" s="570"/>
      <c r="J272" s="570"/>
      <c r="K272" s="570"/>
      <c r="L272" s="570"/>
      <c r="M272" s="570"/>
      <c r="N272" s="570"/>
      <c r="O272" s="570"/>
      <c r="P272" s="570"/>
      <c r="Q272" s="570"/>
      <c r="T272" s="462">
        <v>2</v>
      </c>
    </row>
    <row r="273" spans="1:20" ht="19.5" thickBot="1">
      <c r="A273" s="2077" t="s">
        <v>275</v>
      </c>
      <c r="B273" s="2" t="s">
        <v>368</v>
      </c>
      <c r="C273" s="2"/>
      <c r="D273" s="2"/>
      <c r="E273" s="1421"/>
      <c r="F273" s="613"/>
      <c r="G273" s="645"/>
      <c r="H273" s="542"/>
      <c r="I273" s="1798"/>
      <c r="J273" s="1794"/>
      <c r="K273" s="1798"/>
      <c r="L273" s="1794"/>
      <c r="M273" s="1798"/>
      <c r="N273" s="1794"/>
      <c r="O273" s="1798"/>
      <c r="P273" s="1794"/>
      <c r="Q273" s="1798"/>
      <c r="S273" s="96" t="s">
        <v>27</v>
      </c>
    </row>
    <row r="274" spans="1:20" s="404" customFormat="1" ht="15" thickTop="1">
      <c r="A274" s="1097"/>
      <c r="E274" s="1444"/>
      <c r="F274" s="739"/>
      <c r="G274" s="657"/>
      <c r="H274" s="555"/>
      <c r="I274" s="1799"/>
      <c r="J274" s="1799"/>
      <c r="K274" s="1799"/>
      <c r="L274" s="1799"/>
      <c r="M274" s="1799"/>
      <c r="N274" s="1799"/>
      <c r="O274" s="1799"/>
      <c r="P274" s="1799"/>
      <c r="Q274" s="1799"/>
      <c r="T274" s="701"/>
    </row>
    <row r="275" spans="1:20" s="404" customFormat="1">
      <c r="A275" s="1097"/>
      <c r="B275" s="287"/>
      <c r="C275" s="265" t="s">
        <v>881</v>
      </c>
      <c r="D275" s="265"/>
      <c r="E275" s="1422" t="s">
        <v>688</v>
      </c>
      <c r="F275" s="614"/>
      <c r="G275" s="665">
        <f>G43</f>
        <v>60</v>
      </c>
      <c r="H275" s="539"/>
      <c r="I275" s="556">
        <f>I43</f>
        <v>60</v>
      </c>
      <c r="J275" s="570"/>
      <c r="K275" s="556">
        <f>K43</f>
        <v>60</v>
      </c>
      <c r="L275" s="570"/>
      <c r="M275" s="556">
        <f>M43</f>
        <v>60</v>
      </c>
      <c r="N275" s="570"/>
      <c r="O275" s="556">
        <f>O43</f>
        <v>60</v>
      </c>
      <c r="P275" s="570"/>
      <c r="Q275" s="556">
        <f>Q43</f>
        <v>60</v>
      </c>
      <c r="T275" s="701"/>
    </row>
    <row r="276" spans="1:20">
      <c r="A276" s="1091"/>
      <c r="B276" s="287"/>
      <c r="C276" s="265" t="s">
        <v>683</v>
      </c>
      <c r="D276" s="265"/>
      <c r="E276" s="1422" t="s">
        <v>623</v>
      </c>
      <c r="F276" s="614"/>
      <c r="G276" s="665">
        <f>G37/1.03*G43*G41</f>
        <v>551566.85010906833</v>
      </c>
      <c r="H276" s="539"/>
      <c r="I276" s="563">
        <f>I37/1.03*I43*I41</f>
        <v>551566.85010906833</v>
      </c>
      <c r="J276" s="570"/>
      <c r="K276" s="563">
        <f>K37/1.03*K43*K41</f>
        <v>551566.85010906833</v>
      </c>
      <c r="L276" s="570"/>
      <c r="M276" s="563">
        <f>M37/1.03*M43*M41</f>
        <v>551566.85010906833</v>
      </c>
      <c r="N276" s="570"/>
      <c r="O276" s="563">
        <f>O37/1.03*O43*O41</f>
        <v>551566.85010906833</v>
      </c>
      <c r="P276" s="570"/>
      <c r="Q276" s="563">
        <f>Q37/1.03*Q43*Q41</f>
        <v>551566.85010906833</v>
      </c>
    </row>
    <row r="277" spans="1:20">
      <c r="A277" s="1091"/>
      <c r="B277" s="287"/>
      <c r="C277" s="51" t="s">
        <v>684</v>
      </c>
      <c r="D277" s="51"/>
      <c r="E277" s="1422" t="s">
        <v>623</v>
      </c>
      <c r="F277" s="614"/>
      <c r="G277" s="665">
        <f>G155*G158*G57</f>
        <v>0</v>
      </c>
      <c r="H277" s="539"/>
      <c r="I277" s="563">
        <f>I155*I158*I57</f>
        <v>0</v>
      </c>
      <c r="J277" s="570"/>
      <c r="K277" s="563">
        <f>K155*K158*K57</f>
        <v>0</v>
      </c>
      <c r="L277" s="570"/>
      <c r="M277" s="563">
        <f>M155*M158*M57</f>
        <v>0</v>
      </c>
      <c r="N277" s="570"/>
      <c r="O277" s="563">
        <f>O155*O158*O57</f>
        <v>0</v>
      </c>
      <c r="P277" s="570"/>
      <c r="Q277" s="563">
        <f>Q155*Q158*Q57</f>
        <v>0</v>
      </c>
    </row>
    <row r="278" spans="1:20" hidden="1">
      <c r="A278" s="1091"/>
      <c r="B278" s="274"/>
      <c r="C278" s="265" t="s">
        <v>685</v>
      </c>
      <c r="D278" s="265"/>
      <c r="E278" s="1422" t="s">
        <v>623</v>
      </c>
      <c r="F278" s="614"/>
      <c r="G278" s="665">
        <f>HLOOKUP(IF(G$27=RéfLait!$C6,IF(Lait!G$26=RéfLait!$C$104,1,3),IF(Lait!G$26=RéfLait!$C$104,5,7)),Table_5,18)*G276-G277</f>
        <v>4244.8878310402788</v>
      </c>
      <c r="H278" s="539"/>
      <c r="I278" s="563">
        <f>HLOOKUP(IF(I$27=RéfLait!$C6,IF(Lait!I$26=RéfLait!$C$104,1,3),IF(Lait!I$26=RéfLait!$C$104,5,7)),Table_5,18)*I276-I277</f>
        <v>4244.8878310402788</v>
      </c>
      <c r="J278" s="570"/>
      <c r="K278" s="563">
        <f>HLOOKUP(IF(K$27=RéfLait!$C6,IF(Lait!K$26=RéfLait!$C$104,1,3),IF(Lait!K$26=RéfLait!$C$104,5,7)),Table_5,18)*K276-K277</f>
        <v>4244.8878310402788</v>
      </c>
      <c r="L278" s="570"/>
      <c r="M278" s="563">
        <f>HLOOKUP(IF(M$27=RéfLait!$C6,IF(Lait!M$26=RéfLait!$C$104,1,3),IF(Lait!M$26=RéfLait!$C$104,5,7)),Table_5,18)*M276-M277</f>
        <v>4244.8878310402788</v>
      </c>
      <c r="N278" s="570"/>
      <c r="O278" s="563">
        <f>HLOOKUP(IF(O$27=RéfLait!$C6,IF(Lait!O$26=RéfLait!$C$104,1,3),IF(Lait!O$26=RéfLait!$C$104,5,7)),Table_5,18)*O276-O277</f>
        <v>4244.8878310402788</v>
      </c>
      <c r="P278" s="570"/>
      <c r="Q278" s="563">
        <f>HLOOKUP(IF(Q$27=RéfLait!$C6,IF(Lait!Q$26=RéfLait!$C$104,1,3),IF(Lait!Q$26=RéfLait!$C$104,5,7)),Table_5,18)*Q276-Q277</f>
        <v>4244.8878310402788</v>
      </c>
    </row>
    <row r="279" spans="1:20" hidden="1">
      <c r="A279" s="1091"/>
      <c r="B279" s="287"/>
      <c r="C279" s="51" t="s">
        <v>691</v>
      </c>
      <c r="D279" s="51"/>
      <c r="E279" s="1422"/>
      <c r="F279" s="614"/>
      <c r="G279" s="640">
        <f>G276*G38*1.03/365</f>
        <v>62.259052669845524</v>
      </c>
      <c r="H279" s="539"/>
      <c r="I279" s="575">
        <f>I276*I38*1.03/365</f>
        <v>62.259052669845524</v>
      </c>
      <c r="J279" s="570"/>
      <c r="K279" s="575">
        <f>K276*K38*1.03/365</f>
        <v>62.259052669845524</v>
      </c>
      <c r="L279" s="570"/>
      <c r="M279" s="575">
        <f>M276*M38*1.03/365</f>
        <v>62.259052669845524</v>
      </c>
      <c r="N279" s="570"/>
      <c r="O279" s="575">
        <f>O276*O38*1.03/365</f>
        <v>62.259052669845524</v>
      </c>
      <c r="P279" s="570"/>
      <c r="Q279" s="575">
        <f>Q276*Q38*1.03/365</f>
        <v>62.259052669845524</v>
      </c>
    </row>
    <row r="280" spans="1:20" hidden="1">
      <c r="A280" s="1091"/>
      <c r="B280" s="287"/>
      <c r="C280" s="51" t="s">
        <v>692</v>
      </c>
      <c r="D280" s="51"/>
      <c r="E280" s="1422"/>
      <c r="F280" s="614"/>
      <c r="G280" s="640">
        <f>(G279-G29)*365/G29</f>
        <v>13.742570408226934</v>
      </c>
      <c r="H280" s="539"/>
      <c r="I280" s="575">
        <f>(I279-I29)*365/I29</f>
        <v>13.742570408226934</v>
      </c>
      <c r="J280" s="570"/>
      <c r="K280" s="575">
        <f>(K279-K29)*365/K29</f>
        <v>13.742570408226934</v>
      </c>
      <c r="L280" s="570"/>
      <c r="M280" s="575">
        <f>(M279-M29)*365/M29</f>
        <v>13.742570408226934</v>
      </c>
      <c r="N280" s="570"/>
      <c r="O280" s="575">
        <f>(O279-O29)*365/O29</f>
        <v>13.742570408226934</v>
      </c>
      <c r="P280" s="570"/>
      <c r="Q280" s="575">
        <f>(Q279-Q29)*365/Q29</f>
        <v>13.742570408226934</v>
      </c>
    </row>
    <row r="281" spans="1:20" hidden="1">
      <c r="A281" s="1091"/>
      <c r="B281" s="287"/>
      <c r="C281" s="265" t="s">
        <v>20</v>
      </c>
      <c r="D281" s="265"/>
      <c r="E281" s="1364"/>
      <c r="F281" s="614"/>
      <c r="G281" s="666">
        <f>(G39*103+5.73)/(G38*103)</f>
        <v>2.2157766990291266</v>
      </c>
      <c r="H281" s="539"/>
      <c r="I281" s="588">
        <f>(I39*103+5.73)/(I38*103)</f>
        <v>2.2157766990291266</v>
      </c>
      <c r="J281" s="570"/>
      <c r="K281" s="588">
        <f>(K39*103+5.73)/(K38*103)</f>
        <v>2.2157766990291266</v>
      </c>
      <c r="L281" s="570"/>
      <c r="M281" s="588">
        <f>(M39*103+5.73)/(M38*103)</f>
        <v>2.2157766990291266</v>
      </c>
      <c r="N281" s="570"/>
      <c r="O281" s="588">
        <f>(O39*103+5.73)/(O38*103)</f>
        <v>2.2157766990291266</v>
      </c>
      <c r="P281" s="570"/>
      <c r="Q281" s="588">
        <f>(Q39*103+5.73)/(Q38*103)</f>
        <v>2.2157766990291266</v>
      </c>
    </row>
    <row r="282" spans="1:20" hidden="1">
      <c r="A282" s="1091"/>
      <c r="B282" s="287"/>
      <c r="C282" s="51" t="s">
        <v>693</v>
      </c>
      <c r="D282" s="51"/>
      <c r="E282" s="1364"/>
      <c r="F282" s="614"/>
      <c r="G282" s="667">
        <f>(K_Qual-F1_Qual*G$40+F2_Qual*G$40^2)/100</f>
        <v>0.2818824999999997</v>
      </c>
      <c r="H282" s="539"/>
      <c r="I282" s="589">
        <f>(K_Qual-F1_Qual*I$40+F2_Qual*I$40^2)/100</f>
        <v>0.2818824999999997</v>
      </c>
      <c r="J282" s="570"/>
      <c r="K282" s="589">
        <f>(K_Qual-F1_Qual*K$40+F2_Qual*K$40^2)/100</f>
        <v>0.2818824999999997</v>
      </c>
      <c r="L282" s="570"/>
      <c r="M282" s="589">
        <f>(K_Qual-F1_Qual*M$40+F2_Qual*M$40^2)/100</f>
        <v>0.2818824999999997</v>
      </c>
      <c r="N282" s="570"/>
      <c r="O282" s="589">
        <f>(K_Qual-F1_Qual*O$40+F2_Qual*O$40^2)/100</f>
        <v>0.2818824999999997</v>
      </c>
      <c r="P282" s="570"/>
      <c r="Q282" s="589">
        <f>(K_Qual-F1_Qual*Q$40+F2_Qual*Q$40^2)/100</f>
        <v>0.2818824999999997</v>
      </c>
    </row>
    <row r="283" spans="1:20" hidden="1">
      <c r="A283" s="1091"/>
      <c r="B283" s="287"/>
      <c r="C283" s="51" t="s">
        <v>694</v>
      </c>
      <c r="D283" s="51"/>
      <c r="E283" s="1364"/>
      <c r="F283" s="614"/>
      <c r="G283" s="667">
        <f>(KCMML-F1_CMML*G$40+F2_CMML*G$40^2)/100</f>
        <v>7.7142000000000058E-2</v>
      </c>
      <c r="H283" s="539"/>
      <c r="I283" s="589">
        <f>(KCMML-F1_CMML*I$40+F2_CMML*I$40^2)/100</f>
        <v>7.7142000000000058E-2</v>
      </c>
      <c r="J283" s="570"/>
      <c r="K283" s="589">
        <f>(KCMML-F1_CMML*K$40+F2_CMML*K$40^2)/100</f>
        <v>7.7142000000000058E-2</v>
      </c>
      <c r="L283" s="570"/>
      <c r="M283" s="589">
        <f>(KCMML-F1_CMML*M$40+F2_CMML*M$40^2)/100</f>
        <v>7.7142000000000058E-2</v>
      </c>
      <c r="N283" s="570"/>
      <c r="O283" s="589">
        <f>(KCMML-F1_CMML*O$40+F2_CMML*O$40^2)/100</f>
        <v>7.7142000000000058E-2</v>
      </c>
      <c r="P283" s="570"/>
      <c r="Q283" s="589">
        <f>(KCMML-F1_CMML*Q$40+F2_CMML*Q$40^2)/100</f>
        <v>7.7142000000000058E-2</v>
      </c>
    </row>
    <row r="284" spans="1:20">
      <c r="A284" s="1091"/>
      <c r="B284" s="287"/>
      <c r="C284" s="265" t="s">
        <v>975</v>
      </c>
      <c r="D284" s="265"/>
      <c r="E284" s="1364" t="s">
        <v>686</v>
      </c>
      <c r="F284" s="614"/>
      <c r="G284" s="641">
        <f>(G68*G70+G95*(365-G68))/365</f>
        <v>2.0808000000000004E-2</v>
      </c>
      <c r="H284" s="539"/>
      <c r="I284" s="590">
        <f>(I68*I70+I95*(365-I68))/365</f>
        <v>2.0808000000000004E-2</v>
      </c>
      <c r="J284" s="570"/>
      <c r="K284" s="590">
        <f>(K68*K70+K95*(365-K68))/365</f>
        <v>2.0808000000000004E-2</v>
      </c>
      <c r="L284" s="570"/>
      <c r="M284" s="590">
        <f>(M68*M70+M95*(365-M68))/365</f>
        <v>2.0808000000000004E-2</v>
      </c>
      <c r="N284" s="570"/>
      <c r="O284" s="590">
        <f>(O68*O70+O95*(365-O68))/365</f>
        <v>2.0808000000000004E-2</v>
      </c>
      <c r="P284" s="570"/>
      <c r="Q284" s="590">
        <f>(Q68*Q70+Q95*(365-Q68))/365</f>
        <v>2.0808000000000004E-2</v>
      </c>
    </row>
    <row r="285" spans="1:20">
      <c r="A285" s="1091"/>
      <c r="B285" s="287"/>
      <c r="C285" s="265" t="s">
        <v>23</v>
      </c>
      <c r="D285" s="265"/>
      <c r="E285" s="1364"/>
      <c r="F285" s="614"/>
      <c r="G285" s="666">
        <f>G117</f>
        <v>3.2538156680192554</v>
      </c>
      <c r="H285" s="539"/>
      <c r="I285" s="588">
        <f>I117</f>
        <v>3.2538156680192554</v>
      </c>
      <c r="J285" s="570"/>
      <c r="K285" s="588">
        <f>K117</f>
        <v>3.2538156680192554</v>
      </c>
      <c r="L285" s="570"/>
      <c r="M285" s="588">
        <f>M117</f>
        <v>3.2538156680192554</v>
      </c>
      <c r="N285" s="570"/>
      <c r="O285" s="588">
        <f>O117</f>
        <v>3.2538156680192554</v>
      </c>
      <c r="P285" s="570"/>
      <c r="Q285" s="588">
        <f>Q117</f>
        <v>3.2538156680192554</v>
      </c>
    </row>
    <row r="286" spans="1:20">
      <c r="A286" s="1091"/>
      <c r="B286" s="287"/>
      <c r="C286" s="265" t="s">
        <v>882</v>
      </c>
      <c r="D286" s="265"/>
      <c r="E286" s="1364" t="s">
        <v>475</v>
      </c>
      <c r="F286" s="614"/>
      <c r="G286" s="668">
        <f>G154/((G276+G277+G278)/100)</f>
        <v>13.02</v>
      </c>
      <c r="H286" s="539"/>
      <c r="I286" s="557">
        <f>I154/((I276+I277+I278)/100)</f>
        <v>13.02</v>
      </c>
      <c r="J286" s="570"/>
      <c r="K286" s="557">
        <f>K154/((K276+K277+K278)/100)</f>
        <v>13.02</v>
      </c>
      <c r="L286" s="570"/>
      <c r="M286" s="557">
        <f>M154/((M276+M277+M278)/100)</f>
        <v>13.02</v>
      </c>
      <c r="N286" s="570"/>
      <c r="O286" s="557">
        <f>O154/((O276+O277+O278)/100)</f>
        <v>13.02</v>
      </c>
      <c r="P286" s="570"/>
      <c r="Q286" s="557">
        <f>Q154/((Q276+Q277+Q278)/100)</f>
        <v>13.02</v>
      </c>
    </row>
    <row r="287" spans="1:20" hidden="1">
      <c r="A287" s="1091"/>
      <c r="B287" s="287"/>
      <c r="C287" s="51" t="s">
        <v>1334</v>
      </c>
      <c r="D287" s="51"/>
      <c r="E287" s="1364" t="s">
        <v>225</v>
      </c>
      <c r="F287" s="614"/>
      <c r="G287" s="669">
        <f ca="1">(G153+G154)/G151</f>
        <v>411.30757279233694</v>
      </c>
      <c r="H287" s="539"/>
      <c r="I287" s="591">
        <f ca="1">(I153+I154)/I151</f>
        <v>411.30757279233694</v>
      </c>
      <c r="J287" s="570"/>
      <c r="K287" s="591">
        <f ca="1">(K153+K154)/K151</f>
        <v>411.30757279233694</v>
      </c>
      <c r="L287" s="570"/>
      <c r="M287" s="591">
        <f ca="1">(M153+M154)/M151</f>
        <v>411.30757279233694</v>
      </c>
      <c r="N287" s="570"/>
      <c r="O287" s="591">
        <f ca="1">(O153+O154)/O151</f>
        <v>411.30757279233694</v>
      </c>
      <c r="P287" s="570"/>
      <c r="Q287" s="591">
        <f ca="1">(Q153+Q154)/Q151</f>
        <v>411.30757279233694</v>
      </c>
    </row>
    <row r="288" spans="1:20" hidden="1">
      <c r="A288" s="1326"/>
      <c r="B288" s="287"/>
      <c r="C288" s="51" t="s">
        <v>1341</v>
      </c>
      <c r="D288" s="51"/>
      <c r="E288" s="1364" t="s">
        <v>883</v>
      </c>
      <c r="F288" s="614"/>
      <c r="G288" s="670">
        <f>(SUM(G120:G138,G140,G142,G144,G146/1000)*0.86+G101)/G118</f>
        <v>0.42413936947263192</v>
      </c>
      <c r="H288" s="558"/>
      <c r="I288" s="558">
        <f>(SUM(I120:I138,I140,I142,I144,I146/1000)*0.86+I101)/I118</f>
        <v>0.42413936947263192</v>
      </c>
      <c r="J288" s="558"/>
      <c r="K288" s="558">
        <f>(SUM(K120:K138,K140,K142,K144,K146/1000)*0.86+K101)/K118</f>
        <v>0.42413936947263192</v>
      </c>
      <c r="L288" s="558"/>
      <c r="M288" s="558">
        <f>(SUM(M120:M138,M140,M142,M144,M146/1000)*0.86+M101)/M118</f>
        <v>0.42413936947263192</v>
      </c>
      <c r="N288" s="558"/>
      <c r="O288" s="558">
        <f>(SUM(O120:O138,O140,O142,O144,O146/1000)*0.86+O101)/O118</f>
        <v>0.42413936947263192</v>
      </c>
      <c r="P288" s="558"/>
      <c r="Q288" s="558">
        <f>(SUM(Q120:Q138,Q140,Q142,Q144,Q146/1000)*0.86+Q101)/Q118</f>
        <v>0.42413936947263192</v>
      </c>
    </row>
    <row r="289" spans="1:20" hidden="1">
      <c r="A289" s="1091"/>
      <c r="B289" s="287"/>
      <c r="C289" s="51" t="s">
        <v>687</v>
      </c>
      <c r="D289" s="51"/>
      <c r="E289" s="1364" t="s">
        <v>688</v>
      </c>
      <c r="F289" s="614"/>
      <c r="G289" s="626">
        <v>0</v>
      </c>
      <c r="H289" s="539"/>
      <c r="I289" s="573">
        <f>G289</f>
        <v>0</v>
      </c>
      <c r="J289" s="570"/>
      <c r="K289" s="573">
        <f>I289</f>
        <v>0</v>
      </c>
      <c r="L289" s="570"/>
      <c r="M289" s="573">
        <f>K289</f>
        <v>0</v>
      </c>
      <c r="N289" s="570"/>
      <c r="O289" s="573">
        <f>M289</f>
        <v>0</v>
      </c>
      <c r="P289" s="570"/>
      <c r="Q289" s="573">
        <f>O289</f>
        <v>0</v>
      </c>
    </row>
    <row r="290" spans="1:20" hidden="1">
      <c r="A290" s="1091"/>
      <c r="B290" s="287"/>
      <c r="C290" s="51" t="s">
        <v>689</v>
      </c>
      <c r="D290" s="51"/>
      <c r="E290" s="1364" t="s">
        <v>688</v>
      </c>
      <c r="F290" s="614"/>
      <c r="G290" s="626">
        <f>ROUND(G43*(G51-G52)-G289,0)</f>
        <v>18</v>
      </c>
      <c r="H290" s="539"/>
      <c r="I290" s="573">
        <f>ROUND(I43*(I51-I52)-I289,0)</f>
        <v>18</v>
      </c>
      <c r="J290" s="570"/>
      <c r="K290" s="573">
        <f>ROUND(K43*(K51-K52)-K289,0)</f>
        <v>18</v>
      </c>
      <c r="L290" s="570"/>
      <c r="M290" s="573">
        <f>ROUND(M43*(M51-M52)-M289,0)</f>
        <v>18</v>
      </c>
      <c r="N290" s="570"/>
      <c r="O290" s="573">
        <f>ROUND(O43*(O51-O52)-O289,0)</f>
        <v>18</v>
      </c>
      <c r="P290" s="570"/>
      <c r="Q290" s="573">
        <f>ROUND(Q43*(Q51-Q52)-Q289,0)</f>
        <v>18</v>
      </c>
    </row>
    <row r="291" spans="1:20" hidden="1">
      <c r="A291" s="1091"/>
      <c r="B291" s="287"/>
      <c r="C291" s="51" t="s">
        <v>690</v>
      </c>
      <c r="D291" s="51"/>
      <c r="E291" s="1364" t="s">
        <v>688</v>
      </c>
      <c r="F291" s="614"/>
      <c r="G291" s="626">
        <f>ROUND(G43*(G56*(1-G58)),0)-G57</f>
        <v>30</v>
      </c>
      <c r="H291" s="539"/>
      <c r="I291" s="573">
        <f>ROUND(I43*(I56*(1-I58)),0)-I57</f>
        <v>30</v>
      </c>
      <c r="J291" s="570"/>
      <c r="K291" s="573">
        <f>ROUND(K43*(K56*(1-K58)),0)-K57</f>
        <v>30</v>
      </c>
      <c r="L291" s="570"/>
      <c r="M291" s="573">
        <f>ROUND(M43*(M56*(1-M58)),0)-M57</f>
        <v>30</v>
      </c>
      <c r="N291" s="570"/>
      <c r="O291" s="573">
        <f>ROUND(O43*(O56*(1-O58)),0)-O57</f>
        <v>30</v>
      </c>
      <c r="P291" s="570"/>
      <c r="Q291" s="573">
        <f>ROUND(Q43*(Q56*(1-Q58)),0)-Q57</f>
        <v>30</v>
      </c>
    </row>
    <row r="292" spans="1:20">
      <c r="A292" s="402"/>
      <c r="E292" s="1420"/>
      <c r="F292" s="614"/>
      <c r="G292" s="642"/>
      <c r="H292" s="539"/>
      <c r="I292" s="570"/>
      <c r="J292" s="570"/>
      <c r="K292" s="570"/>
      <c r="L292" s="570"/>
      <c r="M292" s="570"/>
      <c r="N292" s="570"/>
      <c r="O292" s="570"/>
      <c r="P292" s="570"/>
      <c r="Q292" s="570"/>
    </row>
    <row r="293" spans="1:20" ht="19.5" thickBot="1">
      <c r="A293" s="1091"/>
      <c r="B293" s="2" t="s">
        <v>367</v>
      </c>
      <c r="C293" s="284"/>
      <c r="D293" s="284"/>
      <c r="E293" s="1445"/>
      <c r="F293" s="613"/>
      <c r="G293" s="645"/>
      <c r="H293" s="542"/>
      <c r="I293" s="1798"/>
      <c r="J293" s="1794"/>
      <c r="K293" s="1798"/>
      <c r="L293" s="1794"/>
      <c r="M293" s="1798"/>
      <c r="N293" s="1794"/>
      <c r="O293" s="1798"/>
      <c r="P293" s="1794"/>
      <c r="Q293" s="1798"/>
    </row>
    <row r="294" spans="1:20" s="404" customFormat="1" ht="15" thickTop="1">
      <c r="A294" s="1097"/>
      <c r="B294" s="405"/>
      <c r="C294" s="406"/>
      <c r="D294" s="406"/>
      <c r="E294" s="1446"/>
      <c r="F294" s="740"/>
      <c r="G294" s="671"/>
      <c r="H294" s="559"/>
      <c r="I294" s="1800"/>
      <c r="J294" s="1801"/>
      <c r="K294" s="1800"/>
      <c r="L294" s="1801"/>
      <c r="M294" s="1800"/>
      <c r="N294" s="1801"/>
      <c r="O294" s="1800"/>
      <c r="P294" s="1801"/>
      <c r="Q294" s="1800"/>
      <c r="T294" s="701"/>
    </row>
    <row r="295" spans="1:20" ht="16.5">
      <c r="A295" s="2077" t="s">
        <v>275</v>
      </c>
      <c r="B295" s="301"/>
      <c r="C295" s="291" t="s">
        <v>1335</v>
      </c>
      <c r="D295" s="292"/>
      <c r="E295" s="1447"/>
      <c r="F295" s="672"/>
      <c r="G295" s="665">
        <f>SUM(G296:G300)</f>
        <v>450689.71141267585</v>
      </c>
      <c r="H295" s="581"/>
      <c r="I295" s="581">
        <f>SUM(I296:I300)</f>
        <v>450689.71141267585</v>
      </c>
      <c r="J295" s="581"/>
      <c r="K295" s="581">
        <f>SUM(K296:K300)</f>
        <v>450689.71141267585</v>
      </c>
      <c r="L295" s="581"/>
      <c r="M295" s="581">
        <f>SUM(M296:M300)</f>
        <v>450689.71141267585</v>
      </c>
      <c r="N295" s="581"/>
      <c r="O295" s="581">
        <f>SUM(O296:O300)</f>
        <v>450689.71141267585</v>
      </c>
      <c r="P295" s="581"/>
      <c r="Q295" s="581">
        <f>SUM(Q296:Q300)</f>
        <v>450689.71141267585</v>
      </c>
    </row>
    <row r="296" spans="1:20" hidden="1">
      <c r="A296" s="1092"/>
      <c r="B296" s="287"/>
      <c r="C296" s="43" t="s">
        <v>366</v>
      </c>
      <c r="D296" s="43"/>
      <c r="E296" s="1422"/>
      <c r="F296" s="614"/>
      <c r="G296" s="665">
        <f>IF(G276&lt;=G34,1,G34/G276)*G276/100*(G38*103*RéfLait!$O$25+G39*103*RéfLait!$O$26+5.72*RéfLait!$O$27)</f>
        <v>427629.21934368933</v>
      </c>
      <c r="H296" s="560"/>
      <c r="I296" s="556">
        <f>IF(I276&lt;=I34,1,I34/I276)*I276/100*(I38*103*RéfLait!$O$25+I39*103*RéfLait!$O$26+5.72*RéfLait!$O$27)</f>
        <v>427629.21934368933</v>
      </c>
      <c r="J296" s="1758"/>
      <c r="K296" s="556">
        <f>IF(K276&lt;=K34,1,K34/K276)*K276/100*(K38*103*RéfLait!$O$25+K39*103*RéfLait!$O$26+5.72*RéfLait!$O$27)</f>
        <v>427629.21934368933</v>
      </c>
      <c r="L296" s="1758"/>
      <c r="M296" s="556">
        <f>IF(M276&lt;=M34,1,M34/M276)*M276/100*(M38*103*RéfLait!$O$25+M39*103*RéfLait!$O$26+5.72*RéfLait!$O$27)</f>
        <v>427629.21934368933</v>
      </c>
      <c r="N296" s="1758"/>
      <c r="O296" s="556">
        <f>IF(O276&lt;=O34,1,O34/O276)*O276/100*(O38*103*RéfLait!$O$25+O39*103*RéfLait!$O$26+5.72*RéfLait!$O$27)</f>
        <v>427629.21934368933</v>
      </c>
      <c r="P296" s="1758"/>
      <c r="Q296" s="556">
        <f>IF(Q276&lt;=Q34,1,Q34/Q276)*Q276/100*(Q38*103*RéfLait!$O$25+Q39*103*RéfLait!$O$26+5.72*RéfLait!$O$27)</f>
        <v>427629.21934368933</v>
      </c>
    </row>
    <row r="297" spans="1:20" hidden="1">
      <c r="A297" s="1092"/>
      <c r="B297" s="287"/>
      <c r="C297" s="43" t="s">
        <v>569</v>
      </c>
      <c r="D297" s="43"/>
      <c r="E297" s="1422"/>
      <c r="F297" s="614"/>
      <c r="G297" s="665">
        <f>IF(G$27=RéfLait!$C$8,RéfLait!$O$29+RéfLait!$O$32,RéfLait!$O$29)*Lait!G$296/100*Lait!G$282+G$296/100*G$283*RéfLait!$O$30</f>
        <v>696.56006898652151</v>
      </c>
      <c r="H297" s="560"/>
      <c r="I297" s="563">
        <f>IF(I$27=RéfLait!$C$8,RéfLait!$O$29+RéfLait!$O$32,RéfLait!$O$29)*Lait!I$296/100*Lait!I$282+I$296/100*I$283*RéfLait!$O$30</f>
        <v>696.56006898652151</v>
      </c>
      <c r="J297" s="1758"/>
      <c r="K297" s="563">
        <f>IF(K$27=RéfLait!$C$8,RéfLait!$O$29+RéfLait!$O$32,RéfLait!$O$29)*Lait!K$296/100*Lait!K$282+K$296/100*K$283*RéfLait!$O$30</f>
        <v>696.56006898652151</v>
      </c>
      <c r="L297" s="1758"/>
      <c r="M297" s="563">
        <f>IF(M$27=RéfLait!$C$8,RéfLait!$O$29+RéfLait!$O$32,RéfLait!$O$29)*Lait!M$296/100*Lait!M$282+M$296/100*M$283*RéfLait!$O$30</f>
        <v>696.56006898652151</v>
      </c>
      <c r="N297" s="1758"/>
      <c r="O297" s="563">
        <f>IF(O$27=RéfLait!$C$8,RéfLait!$O$29+RéfLait!$O$32,RéfLait!$O$29)*Lait!O$296/100*Lait!O$282+O$296/100*O$283*RéfLait!$O$30</f>
        <v>696.56006898652151</v>
      </c>
      <c r="P297" s="1758"/>
      <c r="Q297" s="563">
        <f>IF(Q$27=RéfLait!$C$8,RéfLait!$O$29+RéfLait!$O$32,RéfLait!$O$29)*Lait!Q$296/100*Lait!Q$282+Q$296/100*Q$283*RéfLait!$O$30</f>
        <v>696.56006898652151</v>
      </c>
    </row>
    <row r="298" spans="1:20" hidden="1">
      <c r="A298" s="1092"/>
      <c r="B298" s="287"/>
      <c r="C298" s="43" t="s">
        <v>695</v>
      </c>
      <c r="D298" s="43"/>
      <c r="E298" s="1422"/>
      <c r="F298" s="614"/>
      <c r="G298" s="665">
        <f>IF(G27=RéfLait!$C$8,RéfLait!$O$31,0)*G276/100</f>
        <v>0</v>
      </c>
      <c r="H298" s="560"/>
      <c r="I298" s="563">
        <f>IF(I27=RéfLait!$C$8,RéfLait!$O$31,0)*I276/100</f>
        <v>0</v>
      </c>
      <c r="J298" s="1758"/>
      <c r="K298" s="563">
        <f>IF(K27=RéfLait!$C$8,RéfLait!$O$31,0)*K276/100</f>
        <v>0</v>
      </c>
      <c r="L298" s="1758"/>
      <c r="M298" s="563">
        <f>IF(M27=RéfLait!$C$8,RéfLait!$O$31,0)*M276/100</f>
        <v>0</v>
      </c>
      <c r="N298" s="1758"/>
      <c r="O298" s="563">
        <f>IF(O27=RéfLait!$C$8,RéfLait!$O$31,0)*O276/100</f>
        <v>0</v>
      </c>
      <c r="P298" s="1758"/>
      <c r="Q298" s="563">
        <f>IF(Q27=RéfLait!$C$8,RéfLait!$O$31,0)*Q276/100</f>
        <v>0</v>
      </c>
    </row>
    <row r="299" spans="1:20" hidden="1">
      <c r="A299" s="1092"/>
      <c r="B299" s="287"/>
      <c r="C299" s="43" t="s">
        <v>696</v>
      </c>
      <c r="D299" s="43"/>
      <c r="E299" s="1422"/>
      <c r="F299" s="614"/>
      <c r="G299" s="665">
        <f>G289*G54+G55*G290+G291*G60</f>
        <v>22363.932000000004</v>
      </c>
      <c r="H299" s="560"/>
      <c r="I299" s="592">
        <f>I289*I54+I55*I290+I291*I60</f>
        <v>22363.932000000004</v>
      </c>
      <c r="J299" s="1758"/>
      <c r="K299" s="592">
        <f>K289*K54+K55*K290+K291*K60</f>
        <v>22363.932000000004</v>
      </c>
      <c r="L299" s="1758"/>
      <c r="M299" s="592">
        <f>M289*M54+M55*M290+M291*M60</f>
        <v>22363.932000000004</v>
      </c>
      <c r="N299" s="1758"/>
      <c r="O299" s="592">
        <f>O289*O54+O55*O290+O291*O60</f>
        <v>22363.932000000004</v>
      </c>
      <c r="P299" s="1758"/>
      <c r="Q299" s="592">
        <f>Q289*Q54+Q55*Q290+Q291*Q60</f>
        <v>22363.932000000004</v>
      </c>
    </row>
    <row r="300" spans="1:20" hidden="1">
      <c r="A300" s="1092"/>
      <c r="B300" s="287"/>
      <c r="C300" s="43" t="s">
        <v>697</v>
      </c>
      <c r="D300" s="43"/>
      <c r="E300" s="1422"/>
      <c r="F300" s="614"/>
      <c r="G300" s="677">
        <v>0</v>
      </c>
      <c r="H300" s="560"/>
      <c r="I300" s="1802">
        <f>G300</f>
        <v>0</v>
      </c>
      <c r="J300" s="1758"/>
      <c r="K300" s="1802">
        <f>I300</f>
        <v>0</v>
      </c>
      <c r="L300" s="1758"/>
      <c r="M300" s="1802">
        <f>K300</f>
        <v>0</v>
      </c>
      <c r="N300" s="1758"/>
      <c r="O300" s="1802">
        <f>M300</f>
        <v>0</v>
      </c>
      <c r="P300" s="1758"/>
      <c r="Q300" s="1802">
        <f>O300</f>
        <v>0</v>
      </c>
    </row>
    <row r="301" spans="1:20" s="54" customFormat="1">
      <c r="A301" s="1098"/>
      <c r="B301" s="403"/>
      <c r="C301" s="404"/>
      <c r="D301" s="404"/>
      <c r="E301" s="1420"/>
      <c r="F301" s="737"/>
      <c r="G301" s="731"/>
      <c r="H301" s="561"/>
      <c r="I301" s="1803"/>
      <c r="J301" s="1804"/>
      <c r="K301" s="1803"/>
      <c r="L301" s="1804"/>
      <c r="M301" s="1803"/>
      <c r="N301" s="1804"/>
      <c r="O301" s="1803"/>
      <c r="P301" s="1804"/>
      <c r="Q301" s="1803"/>
      <c r="T301" s="700"/>
    </row>
    <row r="302" spans="1:20" ht="16.5">
      <c r="A302" s="2077" t="s">
        <v>275</v>
      </c>
      <c r="B302" s="302"/>
      <c r="C302" s="283" t="s">
        <v>365</v>
      </c>
      <c r="D302" s="282"/>
      <c r="E302" s="1448"/>
      <c r="F302" s="673"/>
      <c r="G302" s="665">
        <f ca="1">SUM(G303:G313)</f>
        <v>244346.83514934962</v>
      </c>
      <c r="H302" s="582"/>
      <c r="I302" s="582">
        <f ca="1">SUM(I303:I313)</f>
        <v>252526.47524019112</v>
      </c>
      <c r="J302" s="582"/>
      <c r="K302" s="582">
        <f ca="1">SUM(K303:K313)</f>
        <v>244346.83514934962</v>
      </c>
      <c r="L302" s="582"/>
      <c r="M302" s="582">
        <f ca="1">SUM(M303:M313)</f>
        <v>244346.83514934962</v>
      </c>
      <c r="N302" s="582"/>
      <c r="O302" s="582">
        <f ca="1">SUM(O303:O313)</f>
        <v>244346.83514934962</v>
      </c>
      <c r="P302" s="582"/>
      <c r="Q302" s="582">
        <f ca="1">SUM(Q303:Q313)</f>
        <v>244346.83514934962</v>
      </c>
      <c r="S302" s="4"/>
    </row>
    <row r="303" spans="1:20" ht="16.5" hidden="1">
      <c r="A303" s="1091"/>
      <c r="B303" s="287"/>
      <c r="C303" s="43" t="s">
        <v>698</v>
      </c>
      <c r="D303" s="1513"/>
      <c r="E303" s="1422"/>
      <c r="F303" s="614"/>
      <c r="G303" s="665">
        <f>G276/100*(((G38+G39)*103+5.72) *(RéfLait!$O$33+RéfLait!$O$34+RéfLait!$O$35)+RéfLait!$O$36)</f>
        <v>25395.308571588666</v>
      </c>
      <c r="H303" s="560"/>
      <c r="I303" s="563">
        <f>I276/100*(((I38+I39)*103+5.72) *(RéfLait!$O$33+RéfLait!$O$34+RéfLait!$O$35)+RéfLait!$O$36)</f>
        <v>25395.308571588666</v>
      </c>
      <c r="J303" s="1758"/>
      <c r="K303" s="563">
        <f>K276/100*(((K38+K39)*103+5.72) *(RéfLait!$O$33+RéfLait!$O$34+RéfLait!$O$35)+RéfLait!$O$36)</f>
        <v>25395.308571588666</v>
      </c>
      <c r="L303" s="1758"/>
      <c r="M303" s="563">
        <f>M276/100*(((M38+M39)*103+5.72) *(RéfLait!$O$33+RéfLait!$O$34+RéfLait!$O$35)+RéfLait!$O$36)</f>
        <v>25395.308571588666</v>
      </c>
      <c r="N303" s="1758"/>
      <c r="O303" s="563">
        <f>O276/100*(((O38+O39)*103+5.72) *(RéfLait!$O$33+RéfLait!$O$34+RéfLait!$O$35)+RéfLait!$O$36)</f>
        <v>25395.308571588666</v>
      </c>
      <c r="P303" s="1758"/>
      <c r="Q303" s="563">
        <f>Q276/100*(((Q38+Q39)*103+5.72) *(RéfLait!$O$33+RéfLait!$O$34+RéfLait!$O$35)+RéfLait!$O$36)</f>
        <v>25395.308571588666</v>
      </c>
    </row>
    <row r="304" spans="1:20" hidden="1">
      <c r="A304" s="1091"/>
      <c r="B304" s="287"/>
      <c r="C304" s="51" t="s">
        <v>364</v>
      </c>
      <c r="D304" s="51"/>
      <c r="E304" s="1422"/>
      <c r="F304" s="614"/>
      <c r="G304" s="665">
        <f>G154+G170</f>
        <v>79286.183279802135</v>
      </c>
      <c r="H304" s="560"/>
      <c r="I304" s="563">
        <f>I154+I170</f>
        <v>79286.183279802135</v>
      </c>
      <c r="J304" s="1758"/>
      <c r="K304" s="563">
        <f>K154+K170</f>
        <v>79286.183279802135</v>
      </c>
      <c r="L304" s="1758"/>
      <c r="M304" s="563">
        <f>M154+M170</f>
        <v>79286.183279802135</v>
      </c>
      <c r="N304" s="1758"/>
      <c r="O304" s="563">
        <f>O154+O170</f>
        <v>79286.183279802135</v>
      </c>
      <c r="P304" s="1758"/>
      <c r="Q304" s="563">
        <f>Q154+Q170</f>
        <v>79286.183279802135</v>
      </c>
    </row>
    <row r="305" spans="1:20" hidden="1">
      <c r="A305" s="1091"/>
      <c r="B305" s="287"/>
      <c r="C305" s="51" t="s">
        <v>363</v>
      </c>
      <c r="D305" s="51"/>
      <c r="E305" s="1422"/>
      <c r="F305" s="614"/>
      <c r="G305" s="665">
        <f ca="1">G190</f>
        <v>0</v>
      </c>
      <c r="H305" s="560"/>
      <c r="I305" s="563">
        <f ca="1">I190</f>
        <v>0</v>
      </c>
      <c r="J305" s="1758"/>
      <c r="K305" s="563">
        <f ca="1">K190</f>
        <v>0</v>
      </c>
      <c r="L305" s="1758"/>
      <c r="M305" s="563">
        <f ca="1">M190</f>
        <v>0</v>
      </c>
      <c r="N305" s="1758"/>
      <c r="O305" s="563">
        <f ca="1">O190</f>
        <v>0</v>
      </c>
      <c r="P305" s="1758"/>
      <c r="Q305" s="563">
        <f ca="1">Q190</f>
        <v>0</v>
      </c>
    </row>
    <row r="306" spans="1:20" hidden="1">
      <c r="A306" s="1091"/>
      <c r="B306" s="287"/>
      <c r="C306" s="51" t="s">
        <v>884</v>
      </c>
      <c r="D306" s="51"/>
      <c r="E306" s="1422"/>
      <c r="F306" s="614"/>
      <c r="G306" s="674">
        <f ca="1">IF(G111&gt;Champs!G107*Champs!G109,G111-Champs!G107*Champs!G109,0)*RéfLait!$D$67</f>
        <v>0</v>
      </c>
      <c r="H306" s="560"/>
      <c r="I306" s="562">
        <f ca="1">IF(I111&gt;Champs!I107*Champs!I109,I111-Champs!I107*Champs!I109,0)*RéfLait!$D$67</f>
        <v>0</v>
      </c>
      <c r="J306" s="1758"/>
      <c r="K306" s="562">
        <f ca="1">IF(K111&gt;Champs!K107*Champs!K109,K111-Champs!K107*Champs!K109,0)*RéfLait!$D$67</f>
        <v>0</v>
      </c>
      <c r="L306" s="1758"/>
      <c r="M306" s="562">
        <f ca="1">IF(M111&gt;Champs!M107*Champs!M109,M111-Champs!M107*Champs!M109,0)*RéfLait!$D$67</f>
        <v>0</v>
      </c>
      <c r="N306" s="1758"/>
      <c r="O306" s="562">
        <f ca="1">IF(O111&gt;Champs!O107*Champs!O109,O111-Champs!O107*Champs!O109,0)*RéfLait!$D$67</f>
        <v>0</v>
      </c>
      <c r="P306" s="1758"/>
      <c r="Q306" s="562">
        <f ca="1">IF(Q111&gt;Champs!Q107*Champs!Q109,Q111-Champs!Q107*Champs!Q109,0)*RéfLait!$D$67</f>
        <v>0</v>
      </c>
    </row>
    <row r="307" spans="1:20" hidden="1">
      <c r="A307" s="1091"/>
      <c r="B307" s="287"/>
      <c r="C307" s="51" t="s">
        <v>362</v>
      </c>
      <c r="D307" s="51"/>
      <c r="E307" s="1422"/>
      <c r="F307" s="614"/>
      <c r="G307" s="665">
        <f ca="1">G84*G215+G111*G213+G112*G214</f>
        <v>10410.901781438944</v>
      </c>
      <c r="H307" s="560"/>
      <c r="I307" s="563">
        <f ca="1">I84*I215+I111*I213+I112*I214</f>
        <v>18590.541872280461</v>
      </c>
      <c r="J307" s="1758"/>
      <c r="K307" s="563">
        <f ca="1">K84*K215+K111*K213+K112*K214</f>
        <v>10410.901781438944</v>
      </c>
      <c r="L307" s="1758"/>
      <c r="M307" s="563">
        <f ca="1">M84*M215+M111*M213+M112*M214</f>
        <v>10410.901781438944</v>
      </c>
      <c r="N307" s="1758"/>
      <c r="O307" s="563">
        <f ca="1">O84*O215+O111*O213+O112*O214</f>
        <v>10410.901781438944</v>
      </c>
      <c r="P307" s="1758"/>
      <c r="Q307" s="563">
        <f ca="1">Q84*Q215+Q111*Q213+Q112*Q214</f>
        <v>10410.901781438944</v>
      </c>
    </row>
    <row r="308" spans="1:20" hidden="1">
      <c r="A308" s="1091"/>
      <c r="B308" s="287"/>
      <c r="C308" s="51" t="s">
        <v>699</v>
      </c>
      <c r="D308" s="51"/>
      <c r="E308" s="1422"/>
      <c r="F308" s="614"/>
      <c r="G308" s="665">
        <f>(G197+G198)*G43</f>
        <v>23985.328090826479</v>
      </c>
      <c r="H308" s="560"/>
      <c r="I308" s="563">
        <f>(I197+I198)*I43</f>
        <v>23985.328090826479</v>
      </c>
      <c r="J308" s="1758"/>
      <c r="K308" s="563">
        <f>(K197+K198)*K43</f>
        <v>23985.328090826479</v>
      </c>
      <c r="L308" s="1758"/>
      <c r="M308" s="563">
        <f>(M197+M198)*M43</f>
        <v>23985.328090826479</v>
      </c>
      <c r="N308" s="1758"/>
      <c r="O308" s="563">
        <f>(O197+O198)*O43</f>
        <v>23985.328090826479</v>
      </c>
      <c r="P308" s="1758"/>
      <c r="Q308" s="563">
        <f>(Q197+Q198)*Q43</f>
        <v>23985.328090826479</v>
      </c>
    </row>
    <row r="309" spans="1:20" hidden="1">
      <c r="A309" s="1091"/>
      <c r="B309" s="287"/>
      <c r="C309" s="51" t="s">
        <v>1449</v>
      </c>
      <c r="D309" s="51"/>
      <c r="E309" s="1422"/>
      <c r="F309" s="614"/>
      <c r="G309" s="563">
        <f>IF(G207=0,G206*G208,IF(G207&gt;=G206,0,(G206-G207)*G208))</f>
        <v>12048.771666666666</v>
      </c>
      <c r="H309" s="560"/>
      <c r="I309" s="563">
        <f ca="1">IF(I207=0,I206*I208,IF(I207&gt;=I206,0,(I206-I207)*I208))</f>
        <v>12048.771666666666</v>
      </c>
      <c r="J309" s="1758"/>
      <c r="K309" s="563">
        <f ca="1">IF(K207=0,K206*K208,IF(K207&gt;=K206,0,(K206-K207)*K208))</f>
        <v>12048.771666666666</v>
      </c>
      <c r="L309" s="1758"/>
      <c r="M309" s="563">
        <f ca="1">IF(M207=0,M206*M208,IF(M207&gt;=M206,0,(M206-M207)*M208))</f>
        <v>12048.771666666666</v>
      </c>
      <c r="N309" s="1758"/>
      <c r="O309" s="563">
        <f ca="1">IF(O207=0,O206*O208,IF(O207&gt;=O206,0,(O206-O207)*O208))</f>
        <v>12048.771666666666</v>
      </c>
      <c r="P309" s="1758"/>
      <c r="Q309" s="563">
        <f ca="1">IF(Q207=0,Q206*Q208,IF(Q207&gt;=Q206,0,(Q206-Q207)*Q208))</f>
        <v>12048.771666666666</v>
      </c>
    </row>
    <row r="310" spans="1:20" s="1519" customFormat="1" hidden="1">
      <c r="A310" s="1091"/>
      <c r="B310" s="287"/>
      <c r="C310" s="1653" t="s">
        <v>1448</v>
      </c>
      <c r="D310" s="1653"/>
      <c r="E310" s="1422"/>
      <c r="F310" s="614"/>
      <c r="G310" s="563">
        <f>IF(G207=0,0,IF(G207&gt;G206,G206*G216,G207*G216))</f>
        <v>0</v>
      </c>
      <c r="H310" s="560"/>
      <c r="I310" s="563">
        <f ca="1">IF(I207=0,0,IF(I207&gt;I206,I206*I216,I207*I216))</f>
        <v>0</v>
      </c>
      <c r="J310" s="1758"/>
      <c r="K310" s="563">
        <f ca="1">IF(K207=0,0,IF(K207&gt;K206,K206*K216,K207*K216))</f>
        <v>0</v>
      </c>
      <c r="L310" s="1758"/>
      <c r="M310" s="563">
        <f ca="1">IF(M207=0,0,IF(M207&gt;M206,M206*M216,M207*M216))</f>
        <v>0</v>
      </c>
      <c r="N310" s="1758"/>
      <c r="O310" s="563">
        <f ca="1">IF(O207=0,0,IF(O207&gt;O206,O206*O216,O207*O216))</f>
        <v>0</v>
      </c>
      <c r="P310" s="1758"/>
      <c r="Q310" s="563">
        <f ca="1">IF(Q207=0,0,IF(Q207&gt;Q206,Q206*Q216,Q207*Q216))</f>
        <v>0</v>
      </c>
      <c r="T310" s="462"/>
    </row>
    <row r="311" spans="1:20" hidden="1">
      <c r="A311" s="1091"/>
      <c r="B311" s="287"/>
      <c r="C311" s="51" t="s">
        <v>1030</v>
      </c>
      <c r="D311" s="51"/>
      <c r="E311" s="1422"/>
      <c r="F311" s="614"/>
      <c r="G311" s="675">
        <f>HLOOKUP(IF(G$25=RéfLait!$C$103,IF(Lait!G$26=RéfLait!$C$104,1,3),IF(Lait!G$26=RéfLait!$C$104,5,7)),Table_5,35,FALSE)*G43+(G259+G260)*0.04+IF(G28=RéfLait!$E$7,RéfLait!$L$17*ABS(G43/RéfLait!$L$18),0)</f>
        <v>17514.676444814264</v>
      </c>
      <c r="H311" s="560"/>
      <c r="I311" s="1757">
        <f>HLOOKUP(IF(I$25=RéfLait!$C$103,IF(Lait!I$26=RéfLait!$C$104,1,3),IF(Lait!I$26=RéfLait!$C$104,5,7)),Table_5,35,FALSE)*I43+(I259+I260)*0.04+IF(I28=RéfLait!$E$7,RéfLait!$L$17*ABS(I43/RéfLait!$L$18),0)</f>
        <v>17514.676444814264</v>
      </c>
      <c r="J311" s="1758"/>
      <c r="K311" s="1757">
        <f>HLOOKUP(IF(K$25=RéfLait!$C$103,IF(Lait!K$26=RéfLait!$C$104,1,3),IF(Lait!K$26=RéfLait!$C$104,5,7)),Table_5,35,FALSE)*K43+(K259+K260)*0.04+IF(K28=RéfLait!$E$7,RéfLait!$L$17*ABS(K43/RéfLait!$L$18),0)</f>
        <v>17514.676444814264</v>
      </c>
      <c r="L311" s="1758"/>
      <c r="M311" s="1757">
        <f>HLOOKUP(IF(M$25=RéfLait!$C$103,IF(Lait!M$26=RéfLait!$C$104,1,3),IF(Lait!M$26=RéfLait!$C$104,5,7)),Table_5,35,FALSE)*M43+(M259+M260)*0.04+IF(M28=RéfLait!$E$7,RéfLait!$L$17*ABS(M43/RéfLait!$L$18),0)</f>
        <v>17514.676444814264</v>
      </c>
      <c r="N311" s="1758"/>
      <c r="O311" s="1757">
        <f>HLOOKUP(IF(O$25=RéfLait!$C$103,IF(Lait!O$26=RéfLait!$C$104,1,3),IF(Lait!O$26=RéfLait!$C$104,5,7)),Table_5,35,FALSE)*O43+(O259+O260)*0.04+IF(O28=RéfLait!$E$7,RéfLait!$L$17*ABS(O43/RéfLait!$L$18),0)</f>
        <v>17514.676444814264</v>
      </c>
      <c r="P311" s="1758"/>
      <c r="Q311" s="1757">
        <f>HLOOKUP(IF(Q$25=RéfLait!$C$103,IF(Lait!Q$26=RéfLait!$C$104,1,3),IF(Lait!Q$26=RéfLait!$C$104,5,7)),Table_5,35,FALSE)*Q43+(Q259+Q260)*0.04+IF(Q28=RéfLait!$E$7,RéfLait!$L$17*ABS(Q43/RéfLait!$L$18),0)</f>
        <v>17514.676444814264</v>
      </c>
      <c r="T311" s="702">
        <f>K312-M312</f>
        <v>0</v>
      </c>
    </row>
    <row r="312" spans="1:20" hidden="1">
      <c r="A312" s="1091"/>
      <c r="B312" s="287"/>
      <c r="C312" s="51" t="s">
        <v>1031</v>
      </c>
      <c r="D312" s="51"/>
      <c r="E312" s="1422"/>
      <c r="F312" s="614"/>
      <c r="G312" s="665">
        <f>G241*G242*365</f>
        <v>21593.372624999996</v>
      </c>
      <c r="H312" s="560"/>
      <c r="I312" s="563">
        <f>I241*I242*365</f>
        <v>21593.372624999996</v>
      </c>
      <c r="J312" s="1758"/>
      <c r="K312" s="563">
        <f>K241*K242*365</f>
        <v>21593.372624999996</v>
      </c>
      <c r="L312" s="1758"/>
      <c r="M312" s="563">
        <f>M241*M242*365</f>
        <v>21593.372624999996</v>
      </c>
      <c r="N312" s="1758"/>
      <c r="O312" s="563">
        <f>O241*O242*365</f>
        <v>21593.372624999996</v>
      </c>
      <c r="P312" s="1758"/>
      <c r="Q312" s="563">
        <f>Q241*Q242*365</f>
        <v>21593.372624999996</v>
      </c>
    </row>
    <row r="313" spans="1:20" hidden="1">
      <c r="A313" s="1091"/>
      <c r="B313" s="287"/>
      <c r="C313" s="51" t="s">
        <v>361</v>
      </c>
      <c r="D313" s="51"/>
      <c r="E313" s="1422"/>
      <c r="F313" s="614"/>
      <c r="G313" s="675">
        <f>HLOOKUP(IF(G$25=RéfLait!$C103,IF(Lait!G$26=RéfLait!$C$104,1,3),IF(Lait!G$26=RéfLait!$C$104,5,7)),Table_5,40,FALSE)*G43</f>
        <v>54112.292689212489</v>
      </c>
      <c r="H313" s="560"/>
      <c r="I313" s="1757">
        <f>HLOOKUP(IF(I$25=RéfLait!$C103,IF(Lait!I$26=RéfLait!$C$104,1,3),IF(Lait!I$26=RéfLait!$C$104,5,7)),Table_5,40,FALSE)*I43</f>
        <v>54112.292689212489</v>
      </c>
      <c r="J313" s="1758"/>
      <c r="K313" s="1757">
        <f>HLOOKUP(IF(K$25=RéfLait!$C103,IF(Lait!K$26=RéfLait!$C$104,1,3),IF(Lait!K$26=RéfLait!$C$104,5,7)),Table_5,40,FALSE)*K43</f>
        <v>54112.292689212489</v>
      </c>
      <c r="L313" s="1758"/>
      <c r="M313" s="1757">
        <f>HLOOKUP(IF(M$25=RéfLait!$C103,IF(Lait!M$26=RéfLait!$C$104,1,3),IF(Lait!M$26=RéfLait!$C$104,5,7)),Table_5,40,FALSE)*M43</f>
        <v>54112.292689212489</v>
      </c>
      <c r="N313" s="1758"/>
      <c r="O313" s="1757">
        <f>HLOOKUP(IF(O$25=RéfLait!$C103,IF(Lait!O$26=RéfLait!$C$104,1,3),IF(Lait!O$26=RéfLait!$C$104,5,7)),Table_5,40,FALSE)*O43</f>
        <v>54112.292689212489</v>
      </c>
      <c r="P313" s="1758"/>
      <c r="Q313" s="1757">
        <f>HLOOKUP(IF(Q$25=RéfLait!$C103,IF(Lait!Q$26=RéfLait!$C$104,1,3),IF(Lait!Q$26=RéfLait!$C$104,5,7)),Table_5,40,FALSE)*Q43</f>
        <v>54112.292689212489</v>
      </c>
    </row>
    <row r="314" spans="1:20" ht="16.5">
      <c r="A314" s="1091"/>
      <c r="B314" s="305"/>
      <c r="C314" s="95"/>
      <c r="D314" s="95"/>
      <c r="E314" s="1420"/>
      <c r="F314" s="614"/>
      <c r="G314" s="677"/>
      <c r="H314" s="560"/>
      <c r="I314" s="1805"/>
      <c r="J314" s="1758"/>
      <c r="K314" s="1805"/>
      <c r="L314" s="1758"/>
      <c r="M314" s="1805"/>
      <c r="N314" s="1758"/>
      <c r="O314" s="1805"/>
      <c r="P314" s="1758"/>
      <c r="Q314" s="1805"/>
    </row>
    <row r="315" spans="1:20">
      <c r="A315" s="1091"/>
      <c r="B315" s="1081"/>
      <c r="C315" s="1082" t="s">
        <v>1185</v>
      </c>
      <c r="D315" s="1082"/>
      <c r="E315" s="1449"/>
      <c r="F315" s="1083"/>
      <c r="G315" s="1084">
        <f ca="1">G295-G302</f>
        <v>206342.87626332624</v>
      </c>
      <c r="H315" s="1085"/>
      <c r="I315" s="1086">
        <f ca="1">I295-I302</f>
        <v>198163.23617248473</v>
      </c>
      <c r="J315" s="1806"/>
      <c r="K315" s="1086">
        <f ca="1">K295-K302</f>
        <v>206342.87626332624</v>
      </c>
      <c r="L315" s="1806"/>
      <c r="M315" s="1086">
        <f ca="1">M295-M302</f>
        <v>206342.87626332624</v>
      </c>
      <c r="N315" s="1806"/>
      <c r="O315" s="1086">
        <f ca="1">O295-O302</f>
        <v>206342.87626332624</v>
      </c>
      <c r="P315" s="1806"/>
      <c r="Q315" s="1086">
        <f ca="1">Q295-Q302</f>
        <v>206342.87626332624</v>
      </c>
    </row>
    <row r="316" spans="1:20" ht="16.5">
      <c r="A316" s="1091"/>
      <c r="B316" s="448"/>
      <c r="C316" s="448"/>
      <c r="D316" s="448"/>
      <c r="E316" s="1450"/>
      <c r="F316" s="614"/>
      <c r="G316" s="676"/>
      <c r="H316" s="560"/>
      <c r="I316" s="26"/>
      <c r="J316" s="26"/>
      <c r="K316" s="26"/>
      <c r="L316" s="26"/>
      <c r="M316" s="26"/>
      <c r="N316" s="26"/>
      <c r="O316" s="26"/>
      <c r="P316" s="26"/>
      <c r="Q316" s="26"/>
    </row>
    <row r="317" spans="1:20">
      <c r="A317" s="1091"/>
      <c r="B317" s="1120" t="s">
        <v>1186</v>
      </c>
      <c r="C317" s="1120"/>
      <c r="D317" s="1120"/>
      <c r="E317" s="1451"/>
      <c r="F317" s="1500"/>
      <c r="G317" s="1500"/>
      <c r="I317" s="1807"/>
      <c r="J317" s="26"/>
      <c r="K317" s="26"/>
      <c r="L317" s="26"/>
      <c r="M317" s="26"/>
      <c r="N317" s="26"/>
      <c r="O317" s="26"/>
      <c r="P317" s="26"/>
      <c r="Q317" s="26"/>
    </row>
    <row r="318" spans="1:20">
      <c r="A318" s="1091"/>
      <c r="F318" s="1500"/>
      <c r="G318" s="1500"/>
      <c r="H318" s="439"/>
      <c r="I318" s="26"/>
      <c r="J318" s="603"/>
      <c r="K318" s="26"/>
      <c r="L318" s="26"/>
      <c r="M318" s="26"/>
      <c r="N318" s="26"/>
      <c r="O318" s="26"/>
      <c r="P318" s="26"/>
      <c r="Q318" s="26"/>
    </row>
    <row r="319" spans="1:20" ht="16.5">
      <c r="A319" s="1091"/>
      <c r="B319" s="1119"/>
      <c r="C319" s="51" t="s">
        <v>1336</v>
      </c>
      <c r="D319" s="51"/>
      <c r="E319" s="1422"/>
      <c r="F319" s="614"/>
      <c r="G319" s="676">
        <f>ROUND(HLOOKUP(IF(G$25=RéfLait!$C103,IF(Lait!G$26=RéfLait!$C$104,1,3),IF(Lait!G$26=RéfLait!$C$104,5,7)),Table_5,47,FALSE)*G43,-2)</f>
        <v>36100</v>
      </c>
      <c r="H319" s="560"/>
      <c r="I319" s="1808">
        <f>ROUND(HLOOKUP(IF(I$25=RéfLait!$C103,IF(Lait!I$26=RéfLait!$C$104,1,3),IF(Lait!I$26=RéfLait!$C$104,5,7)),Table_5,47,FALSE)*I43,-2)</f>
        <v>36100</v>
      </c>
      <c r="J319" s="1758"/>
      <c r="K319" s="1808">
        <f>ROUND(HLOOKUP(IF(K$25=RéfLait!$C103,IF(Lait!K$26=RéfLait!$C$104,1,3),IF(Lait!K$26=RéfLait!$C$104,5,7)),Table_5,47,FALSE)*K43,-2)</f>
        <v>36100</v>
      </c>
      <c r="L319" s="1758"/>
      <c r="M319" s="1808">
        <f>ROUND(HLOOKUP(IF(M$25=RéfLait!$C103,IF(Lait!M$26=RéfLait!$C$104,1,3),IF(Lait!M$26=RéfLait!$C$104,5,7)),Table_5,47,FALSE)*M43,-2)</f>
        <v>36100</v>
      </c>
      <c r="N319" s="1758"/>
      <c r="O319" s="1808">
        <f>ROUND(HLOOKUP(IF(O$25=RéfLait!$C103,IF(Lait!O$26=RéfLait!$C$104,1,3),IF(Lait!O$26=RéfLait!$C$104,5,7)),Table_5,47,FALSE)*O43,-2)</f>
        <v>36100</v>
      </c>
      <c r="P319" s="1758"/>
      <c r="Q319" s="1808">
        <f>ROUND(HLOOKUP(IF(Q$25=RéfLait!$C103,IF(Lait!Q$26=RéfLait!$C$104,1,3),IF(Lait!Q$26=RéfLait!$C$104,5,7)),Table_5,47,FALSE)*Q43,-2)</f>
        <v>36100</v>
      </c>
    </row>
    <row r="320" spans="1:20">
      <c r="A320" s="1091"/>
      <c r="B320" s="305"/>
      <c r="E320" s="1420"/>
      <c r="F320" s="614"/>
      <c r="G320" s="677"/>
      <c r="H320" s="560"/>
      <c r="I320" s="1809"/>
      <c r="J320" s="1758"/>
      <c r="K320" s="1809"/>
      <c r="L320" s="1758"/>
      <c r="M320" s="1809"/>
      <c r="N320" s="1758"/>
      <c r="O320" s="1809"/>
      <c r="P320" s="1758"/>
      <c r="Q320" s="1809"/>
    </row>
    <row r="321" spans="1:17" ht="16.5">
      <c r="A321" s="2077" t="s">
        <v>275</v>
      </c>
      <c r="B321" s="302"/>
      <c r="C321" s="485" t="s">
        <v>360</v>
      </c>
      <c r="D321" s="486"/>
      <c r="E321" s="1452"/>
      <c r="F321" s="678"/>
      <c r="G321" s="665">
        <f>SUM(G322:G326)</f>
        <v>59193.676128185121</v>
      </c>
      <c r="H321" s="584"/>
      <c r="I321" s="584">
        <f>SUM(I322:I326)</f>
        <v>57748.535977325409</v>
      </c>
      <c r="J321" s="584"/>
      <c r="K321" s="584">
        <f>SUM(K322:K326)</f>
        <v>59193.676128185121</v>
      </c>
      <c r="L321" s="584"/>
      <c r="M321" s="584">
        <f>SUM(M322:M326)</f>
        <v>59193.676128185121</v>
      </c>
      <c r="N321" s="584"/>
      <c r="O321" s="584">
        <f>SUM(O322:O326)</f>
        <v>59193.676128185121</v>
      </c>
      <c r="P321" s="584"/>
      <c r="Q321" s="584">
        <f>SUM(Q322:Q326)</f>
        <v>59193.676128185121</v>
      </c>
    </row>
    <row r="322" spans="1:17" hidden="1">
      <c r="A322" s="1091"/>
      <c r="B322" s="287"/>
      <c r="C322" s="51" t="s">
        <v>359</v>
      </c>
      <c r="D322" s="51"/>
      <c r="E322" s="1422"/>
      <c r="F322" s="614"/>
      <c r="G322" s="677">
        <f>HLOOKUP(IF(G$25=RéfLait!$C103,IF(Lait!G$26=RéfLait!$C$104,1,3),IF(Lait!G$26=RéfLait!$C$104,5,7)),Table_5,41,FALSE)*G43</f>
        <v>16746.755543358096</v>
      </c>
      <c r="H322" s="564"/>
      <c r="I322" s="1802">
        <f>HLOOKUP(IF(I$25=RéfLait!$C103,IF(Lait!I$26=RéfLait!$C$104,1,3),IF(Lait!I$26=RéfLait!$C$104,5,7)),Table_5,41,FALSE)*I43</f>
        <v>16746.755543358096</v>
      </c>
      <c r="J322" s="1810"/>
      <c r="K322" s="1802">
        <f>HLOOKUP(IF(K$25=RéfLait!$C103,IF(Lait!K$26=RéfLait!$C$104,1,3),IF(Lait!K$26=RéfLait!$C$104,5,7)),Table_5,41,FALSE)*K43</f>
        <v>16746.755543358096</v>
      </c>
      <c r="L322" s="1810"/>
      <c r="M322" s="1802">
        <f>HLOOKUP(IF(M$25=RéfLait!$C103,IF(Lait!M$26=RéfLait!$C$104,1,3),IF(Lait!M$26=RéfLait!$C$104,5,7)),Table_5,41,FALSE)*M43</f>
        <v>16746.755543358096</v>
      </c>
      <c r="N322" s="1810"/>
      <c r="O322" s="1802">
        <f>HLOOKUP(IF(O$25=RéfLait!$C103,IF(Lait!O$26=RéfLait!$C$104,1,3),IF(Lait!O$26=RéfLait!$C$104,5,7)),Table_5,41,FALSE)*O43</f>
        <v>16746.755543358096</v>
      </c>
      <c r="P322" s="1810"/>
      <c r="Q322" s="1802">
        <f>HLOOKUP(IF(Q$25=RéfLait!$C103,IF(Lait!Q$26=RéfLait!$C$104,1,3),IF(Lait!Q$26=RéfLait!$C$104,5,7)),Table_5,41,FALSE)*Q43</f>
        <v>16746.755543358096</v>
      </c>
    </row>
    <row r="323" spans="1:17" hidden="1">
      <c r="A323" s="1091"/>
      <c r="B323" s="287"/>
      <c r="C323" s="51" t="s">
        <v>358</v>
      </c>
      <c r="D323" s="51"/>
      <c r="E323" s="1422"/>
      <c r="F323" s="614"/>
      <c r="G323" s="677">
        <f>G268*G269/2</f>
        <v>0</v>
      </c>
      <c r="H323" s="564"/>
      <c r="I323" s="1758">
        <f>I268*I269/2</f>
        <v>29.5</v>
      </c>
      <c r="J323" s="1810"/>
      <c r="K323" s="1758">
        <f>K268*K269/2</f>
        <v>0</v>
      </c>
      <c r="L323" s="1810"/>
      <c r="M323" s="1758">
        <f>M268*M269/2</f>
        <v>0</v>
      </c>
      <c r="N323" s="1810"/>
      <c r="O323" s="1758">
        <f>O268*O269/2</f>
        <v>0</v>
      </c>
      <c r="P323" s="1810"/>
      <c r="Q323" s="1758">
        <f>Q268*Q269/2</f>
        <v>0</v>
      </c>
    </row>
    <row r="324" spans="1:17" hidden="1">
      <c r="A324" s="1091"/>
      <c r="B324" s="287"/>
      <c r="C324" s="51" t="s">
        <v>357</v>
      </c>
      <c r="D324" s="51"/>
      <c r="E324" s="1422"/>
      <c r="F324" s="614"/>
      <c r="G324" s="677">
        <f>HLOOKUP(IF(G$25=RéfLait!$C$103,IF(Lait!G$26=RéfLait!$C$104,1,3),IF(Lait!G$26=RéfLait!$C$104,5,7)),Table_5,44,FALSE)*NbVachesS1+HLOOKUP(IF(G$25=RéfLait!A$103,IF(Lait!G$26=RéfLait!$C$104,1,3),IF(Lait!G$26=RéfLait!$C$104,5,7)),Table_5,45,FALSE)*G43</f>
        <v>40213.312667684164</v>
      </c>
      <c r="H324" s="564"/>
      <c r="I324" s="1802">
        <f>HLOOKUP(IF(I$25=RéfLait!$C$103,IF(Lait!I$26=RéfLait!$C$104,1,3),IF(Lait!I$26=RéfLait!$C$104,5,7)),Table_5,44,FALSE)*NbVachesS1+HLOOKUP(IF(I$25=RéfLait!C$103,IF(Lait!I$26=RéfLait!$C$104,1,3),IF(Lait!I$26=RéfLait!$C$104,5,7)),Table_5,45,FALSE)*I43</f>
        <v>37631.577771441313</v>
      </c>
      <c r="J324" s="1810"/>
      <c r="K324" s="1802">
        <f>HLOOKUP(IF(K$25=RéfLait!$C$103,IF(Lait!K$26=RéfLait!$C$104,1,3),IF(Lait!K$26=RéfLait!$C$104,5,7)),Table_5,44,FALSE)*NbVachesS1+HLOOKUP(IF(K$25=RéfLait!E$103,IF(Lait!K$26=RéfLait!$C$104,1,3),IF(Lait!K$26=RéfLait!$C$104,5,7)),Table_5,45,FALSE)*K43</f>
        <v>40213.312667684164</v>
      </c>
      <c r="L324" s="1810"/>
      <c r="M324" s="1802">
        <f>HLOOKUP(IF(M$25=RéfLait!$C$103,IF(Lait!M$26=RéfLait!$C$104,1,3),IF(Lait!M$26=RéfLait!$C$104,5,7)),Table_5,44,FALSE)*NbVachesS1+HLOOKUP(IF(M$25=RéfLait!G$103,IF(Lait!M$26=RéfLait!$C$104,1,3),IF(Lait!M$26=RéfLait!$C$104,5,7)),Table_5,45,FALSE)*M43</f>
        <v>40213.312667684164</v>
      </c>
      <c r="N324" s="1810"/>
      <c r="O324" s="1802">
        <f>HLOOKUP(IF(O$25=RéfLait!$C$103,IF(Lait!O$26=RéfLait!$C$104,1,3),IF(Lait!O$26=RéfLait!$C$104,5,7)),Table_5,44,FALSE)*NbVachesS1+HLOOKUP(IF(O$25=RéfLait!I$103,IF(Lait!O$26=RéfLait!$C$104,1,3),IF(Lait!O$26=RéfLait!$C$104,5,7)),Table_5,45,FALSE)*O43</f>
        <v>40213.312667684164</v>
      </c>
      <c r="P324" s="1810"/>
      <c r="Q324" s="1802">
        <f>HLOOKUP(IF(Q$25=RéfLait!$C$103,IF(Lait!Q$26=RéfLait!$C$104,1,3),IF(Lait!Q$26=RéfLait!$C$104,5,7)),Table_5,44,FALSE)*NbVachesS1+HLOOKUP(IF(Q$25=RéfLait!K$103,IF(Lait!Q$26=RéfLait!$C$104,1,3),IF(Lait!Q$26=RéfLait!$C$104,5,7)),Table_5,45,FALSE)*Q43</f>
        <v>40213.312667684164</v>
      </c>
    </row>
    <row r="325" spans="1:17" hidden="1">
      <c r="A325" s="1091"/>
      <c r="B325" s="289"/>
      <c r="C325" s="51" t="s">
        <v>356</v>
      </c>
      <c r="D325" s="51"/>
      <c r="E325" s="1422"/>
      <c r="F325" s="614"/>
      <c r="G325" s="677">
        <f>SUM(G250,G252,G254,G256,G258)*0.9/30+SUM(G259:G267)*0.9/15</f>
        <v>0</v>
      </c>
      <c r="H325" s="564"/>
      <c r="I325" s="1758">
        <f>SUM(I250,I252,I254,I256,I258)*0.9/30+SUM(I259:I267)*0.9/15</f>
        <v>106.19999999999999</v>
      </c>
      <c r="J325" s="1758"/>
      <c r="K325" s="1758">
        <f>SUM(K250,K252,K254,K256,K258)*0.9/30+SUM(K259:K267)*0.9/15</f>
        <v>0</v>
      </c>
      <c r="L325" s="1810"/>
      <c r="M325" s="1758">
        <f>SUM(M250,M252,M254,M256,M258)*0.9/30+SUM(M259:M267)*0.9/15</f>
        <v>0</v>
      </c>
      <c r="N325" s="1810"/>
      <c r="O325" s="1758">
        <f>SUM(O250,O252,O254,O256,O258)*0.9/30+SUM(O259:O267)*0.9/15</f>
        <v>0</v>
      </c>
      <c r="P325" s="1758"/>
      <c r="Q325" s="1758">
        <f>SUM(Q250,Q252,Q254,Q256,Q258)*0.9/30+SUM(Q259:Q267)*0.9/15</f>
        <v>0</v>
      </c>
    </row>
    <row r="326" spans="1:17" hidden="1">
      <c r="A326" s="1091"/>
      <c r="B326" s="287"/>
      <c r="C326" s="51" t="s">
        <v>355</v>
      </c>
      <c r="D326" s="51"/>
      <c r="E326" s="1422"/>
      <c r="F326" s="614"/>
      <c r="G326" s="677">
        <f>HLOOKUP(IF(G$25=RéfLait!A$103,IF(Lait!G$26=RéfLait!$C$104,1,3),IF(Lait!G$26=RéfLait!$C$104,5,7)),Table_5,48,FALSE)*G43</f>
        <v>2233.6079171428569</v>
      </c>
      <c r="H326" s="560"/>
      <c r="I326" s="1802">
        <f>HLOOKUP(IF(I$25=RéfLait!C$103,IF(Lait!I$26=RéfLait!$C$104,1,3),IF(Lait!I$26=RéfLait!$C$104,5,7)),Table_5,48,FALSE)*I43</f>
        <v>3234.502662526002</v>
      </c>
      <c r="J326" s="1810"/>
      <c r="K326" s="1802">
        <f>HLOOKUP(IF(K$25=RéfLait!E$103,IF(Lait!K$26=RéfLait!$C$104,1,3),IF(Lait!K$26=RéfLait!$C$104,5,7)),Table_5,48,FALSE)*K43</f>
        <v>2233.6079171428569</v>
      </c>
      <c r="L326" s="1810"/>
      <c r="M326" s="1802">
        <f>HLOOKUP(IF(M$25=RéfLait!G$103,IF(Lait!M$26=RéfLait!$C$104,1,3),IF(Lait!M$26=RéfLait!$C$104,5,7)),Table_5,48,FALSE)*M43</f>
        <v>2233.6079171428569</v>
      </c>
      <c r="N326" s="1810"/>
      <c r="O326" s="1802">
        <f>HLOOKUP(IF(O$25=RéfLait!I$103,IF(Lait!O$26=RéfLait!$C$104,1,3),IF(Lait!O$26=RéfLait!$C$104,5,7)),Table_5,48,FALSE)*O43</f>
        <v>2233.6079171428569</v>
      </c>
      <c r="P326" s="1810"/>
      <c r="Q326" s="1802">
        <f>HLOOKUP(IF(Q$25=RéfLait!K$103,IF(Lait!Q$26=RéfLait!$C$104,1,3),IF(Lait!Q$26=RéfLait!$C$104,5,7)),Table_5,48,FALSE)*Q43</f>
        <v>2233.6079171428569</v>
      </c>
    </row>
    <row r="327" spans="1:17">
      <c r="A327" s="1091"/>
      <c r="B327" s="305"/>
      <c r="E327" s="1420"/>
      <c r="F327" s="614"/>
      <c r="G327" s="677"/>
      <c r="H327" s="560"/>
      <c r="I327" s="1811"/>
      <c r="J327" s="1758"/>
      <c r="K327" s="1811"/>
      <c r="L327" s="1758"/>
      <c r="M327" s="1811"/>
      <c r="N327" s="1758"/>
      <c r="O327" s="1811"/>
      <c r="P327" s="1758"/>
      <c r="Q327" s="1811"/>
    </row>
    <row r="328" spans="1:17">
      <c r="A328" s="2077" t="s">
        <v>275</v>
      </c>
      <c r="B328" s="287"/>
      <c r="C328" s="51" t="s">
        <v>1342</v>
      </c>
      <c r="D328" s="51"/>
      <c r="E328" s="1422" t="s">
        <v>475</v>
      </c>
      <c r="F328" s="614"/>
      <c r="G328" s="679">
        <f ca="1">(G321+G319+G302-G299)/(G276/100)</f>
        <v>57.522778828132189</v>
      </c>
      <c r="H328" s="524"/>
      <c r="I328" s="1812">
        <f ca="1">(I321+I319+I302-I299)/(I276/100)</f>
        <v>58.743755023247978</v>
      </c>
      <c r="J328" s="1812"/>
      <c r="K328" s="1812">
        <f ca="1">(K321+K319+K302-K299)/(K276/100)</f>
        <v>57.522778828132189</v>
      </c>
      <c r="L328" s="1812"/>
      <c r="M328" s="1812">
        <f ca="1">(M321+M319+M302-M299)/(M276/100)</f>
        <v>57.522778828132189</v>
      </c>
      <c r="N328" s="1812"/>
      <c r="O328" s="1812">
        <f ca="1">(O321+O319+O302-O299)/(O276/100)</f>
        <v>57.522778828132189</v>
      </c>
      <c r="P328" s="1812"/>
      <c r="Q328" s="1812">
        <f ca="1">(Q321+Q319+Q302-Q299)/(Q276/100)</f>
        <v>57.522778828132189</v>
      </c>
    </row>
    <row r="329" spans="1:17" hidden="1">
      <c r="A329" s="1091"/>
      <c r="B329" s="287"/>
      <c r="C329" s="51" t="s">
        <v>1343</v>
      </c>
      <c r="D329" s="51"/>
      <c r="E329" s="1422" t="s">
        <v>475</v>
      </c>
      <c r="F329" s="614"/>
      <c r="G329" s="679">
        <f>(G295-G299-G300)/(G276/100)</f>
        <v>77.656186068466141</v>
      </c>
      <c r="H329" s="524"/>
      <c r="I329" s="1812">
        <f>(I295-I299-I300)/(I276/100)</f>
        <v>77.656186068466141</v>
      </c>
      <c r="J329" s="1812"/>
      <c r="K329" s="1812">
        <f>(K295-K299-K300)/(K276/100)</f>
        <v>77.656186068466141</v>
      </c>
      <c r="L329" s="1812"/>
      <c r="M329" s="1812">
        <f>(M295-M299-M300)/(M276/100)</f>
        <v>77.656186068466141</v>
      </c>
      <c r="N329" s="1812"/>
      <c r="O329" s="1812">
        <f>(O295-O299-O300)/(O276/100)</f>
        <v>77.656186068466141</v>
      </c>
      <c r="P329" s="1812"/>
      <c r="Q329" s="1812">
        <f>(Q295-Q299-Q300)/(Q276/100)</f>
        <v>77.656186068466141</v>
      </c>
    </row>
    <row r="330" spans="1:17">
      <c r="A330" s="1091"/>
      <c r="B330" s="305"/>
      <c r="E330" s="1420"/>
      <c r="F330" s="614"/>
      <c r="G330" s="677"/>
      <c r="H330" s="560"/>
      <c r="I330" s="1811"/>
      <c r="J330" s="1758"/>
      <c r="K330" s="1811"/>
      <c r="L330" s="1758"/>
      <c r="M330" s="1811"/>
      <c r="N330" s="1758"/>
      <c r="O330" s="1811"/>
      <c r="P330" s="1758"/>
      <c r="Q330" s="1811"/>
    </row>
    <row r="331" spans="1:17" ht="16.5">
      <c r="A331" s="2076" t="s">
        <v>275</v>
      </c>
      <c r="B331" s="302"/>
      <c r="C331" s="283" t="s">
        <v>1440</v>
      </c>
      <c r="D331" s="282"/>
      <c r="E331" s="1448"/>
      <c r="F331" s="741"/>
      <c r="G331" s="665"/>
      <c r="H331" s="565"/>
      <c r="I331" s="582"/>
      <c r="J331" s="1813"/>
      <c r="K331" s="582"/>
      <c r="L331" s="1813"/>
      <c r="M331" s="582"/>
      <c r="N331" s="1813"/>
      <c r="O331" s="582"/>
      <c r="P331" s="1813"/>
      <c r="Q331" s="582"/>
    </row>
    <row r="332" spans="1:17" hidden="1">
      <c r="A332" s="1091"/>
      <c r="B332" s="287"/>
      <c r="C332" s="51" t="s">
        <v>354</v>
      </c>
      <c r="D332" s="51"/>
      <c r="E332" s="1422"/>
      <c r="F332" s="614"/>
      <c r="G332" s="665">
        <f ca="1">G295-G302-G319</f>
        <v>170242.87626332624</v>
      </c>
      <c r="H332" s="560"/>
      <c r="I332" s="583">
        <f ca="1">I295-I302-I319</f>
        <v>162063.23617248473</v>
      </c>
      <c r="J332" s="1758"/>
      <c r="K332" s="583">
        <f ca="1">K295-K302-K319</f>
        <v>170242.87626332624</v>
      </c>
      <c r="L332" s="1758"/>
      <c r="M332" s="583">
        <f ca="1">M295-M302-M319</f>
        <v>170242.87626332624</v>
      </c>
      <c r="N332" s="1758"/>
      <c r="O332" s="583">
        <f ca="1">O295-O302-O319</f>
        <v>170242.87626332624</v>
      </c>
      <c r="P332" s="1758"/>
      <c r="Q332" s="583">
        <f ca="1">Q295-Q302-Q319</f>
        <v>170242.87626332624</v>
      </c>
    </row>
    <row r="333" spans="1:17" hidden="1">
      <c r="A333" s="1091"/>
      <c r="B333" s="287"/>
      <c r="C333" s="51" t="s">
        <v>353</v>
      </c>
      <c r="D333" s="51"/>
      <c r="E333" s="1422"/>
      <c r="F333" s="614"/>
      <c r="G333" s="677">
        <f>E333</f>
        <v>0</v>
      </c>
      <c r="H333" s="560"/>
      <c r="I333" s="1802">
        <f>G333</f>
        <v>0</v>
      </c>
      <c r="J333" s="1758"/>
      <c r="K333" s="1802">
        <f>I333</f>
        <v>0</v>
      </c>
      <c r="L333" s="1758"/>
      <c r="M333" s="1802">
        <f>K333</f>
        <v>0</v>
      </c>
      <c r="N333" s="1758"/>
      <c r="O333" s="1802">
        <f>M333</f>
        <v>0</v>
      </c>
      <c r="P333" s="1758"/>
      <c r="Q333" s="1802">
        <f>O333</f>
        <v>0</v>
      </c>
    </row>
    <row r="334" spans="1:17" ht="16.5" hidden="1">
      <c r="A334" s="1091"/>
      <c r="B334" s="287"/>
      <c r="C334" s="51" t="s">
        <v>352</v>
      </c>
      <c r="D334" s="51"/>
      <c r="E334" s="1422"/>
      <c r="F334" s="614"/>
      <c r="G334" s="680">
        <f>G271+D334</f>
        <v>0</v>
      </c>
      <c r="H334" s="560"/>
      <c r="I334" s="583">
        <f>I271+F334</f>
        <v>90</v>
      </c>
      <c r="J334" s="560"/>
      <c r="K334" s="583">
        <f>K271+H334</f>
        <v>0</v>
      </c>
      <c r="L334" s="560"/>
      <c r="M334" s="583">
        <f>M271+J334</f>
        <v>0</v>
      </c>
      <c r="N334" s="560"/>
      <c r="O334" s="583">
        <f>O271+L334</f>
        <v>0</v>
      </c>
      <c r="P334" s="560"/>
      <c r="Q334" s="583">
        <f>Q271+N334</f>
        <v>0</v>
      </c>
    </row>
    <row r="335" spans="1:17" hidden="1">
      <c r="A335" s="1091"/>
      <c r="B335" s="287"/>
      <c r="C335" s="51" t="s">
        <v>351</v>
      </c>
      <c r="D335" s="51"/>
      <c r="E335" s="1422"/>
      <c r="F335" s="614"/>
      <c r="G335" s="681">
        <f ca="1">G332-G333-G334</f>
        <v>170242.87626332624</v>
      </c>
      <c r="H335" s="560"/>
      <c r="I335" s="583">
        <f ca="1">I332-I333-I334</f>
        <v>161973.23617248473</v>
      </c>
      <c r="J335" s="560"/>
      <c r="K335" s="583">
        <f ca="1">K332-K333-K334</f>
        <v>170242.87626332624</v>
      </c>
      <c r="L335" s="560"/>
      <c r="M335" s="583">
        <f ca="1">M332-M333-M334</f>
        <v>170242.87626332624</v>
      </c>
      <c r="N335" s="560"/>
      <c r="O335" s="583">
        <f ca="1">O332-O333-O334</f>
        <v>170242.87626332624</v>
      </c>
      <c r="P335" s="560"/>
      <c r="Q335" s="583">
        <f ca="1">Q332-Q333-Q334</f>
        <v>170242.87626332624</v>
      </c>
    </row>
    <row r="336" spans="1:17">
      <c r="A336" s="1091"/>
      <c r="B336" s="305"/>
      <c r="E336" s="1420"/>
      <c r="F336" s="614"/>
      <c r="G336" s="682"/>
      <c r="I336" s="606"/>
      <c r="K336" s="247"/>
      <c r="M336" s="247"/>
      <c r="O336" s="247"/>
      <c r="Q336" s="247"/>
    </row>
    <row r="337" spans="1:20">
      <c r="A337" s="1091"/>
      <c r="B337" s="305"/>
      <c r="E337" s="1420"/>
      <c r="F337" s="614"/>
      <c r="G337" s="682"/>
      <c r="I337" s="606"/>
      <c r="K337" s="247"/>
      <c r="M337" s="247"/>
      <c r="O337" s="247"/>
      <c r="Q337" s="247"/>
    </row>
    <row r="338" spans="1:20">
      <c r="A338" s="1091"/>
      <c r="B338" s="305"/>
      <c r="E338" s="1420"/>
      <c r="F338" s="614"/>
      <c r="G338" s="682"/>
      <c r="I338" s="606"/>
      <c r="K338" s="247"/>
      <c r="M338" s="247"/>
      <c r="O338" s="247"/>
      <c r="Q338" s="247"/>
    </row>
    <row r="339" spans="1:20">
      <c r="A339" s="1091"/>
      <c r="B339" s="305"/>
      <c r="E339" s="1420"/>
      <c r="F339" s="614"/>
      <c r="G339" s="682"/>
      <c r="I339" s="606"/>
      <c r="K339" s="247"/>
      <c r="M339" s="247"/>
      <c r="O339" s="247"/>
      <c r="Q339" s="247"/>
    </row>
    <row r="340" spans="1:20">
      <c r="A340" s="1091"/>
      <c r="B340" s="305"/>
      <c r="E340" s="1420"/>
      <c r="F340" s="614"/>
      <c r="G340" s="682"/>
      <c r="I340" s="606"/>
      <c r="K340" s="247"/>
      <c r="M340" s="247"/>
      <c r="O340" s="247"/>
      <c r="Q340" s="247"/>
    </row>
    <row r="341" spans="1:20">
      <c r="A341" s="1091"/>
      <c r="B341" s="305"/>
      <c r="E341" s="1420"/>
      <c r="F341" s="614"/>
      <c r="G341" s="682"/>
      <c r="I341" s="606"/>
      <c r="K341" s="247"/>
      <c r="M341" s="247"/>
      <c r="O341" s="247"/>
      <c r="Q341" s="247"/>
    </row>
    <row r="342" spans="1:20">
      <c r="A342" s="1091"/>
      <c r="B342" s="305"/>
      <c r="E342" s="1420"/>
      <c r="F342" s="614"/>
      <c r="G342" s="682"/>
      <c r="I342" s="606"/>
      <c r="K342" s="247"/>
      <c r="M342" s="247"/>
      <c r="O342" s="247"/>
      <c r="Q342" s="247"/>
    </row>
    <row r="343" spans="1:20">
      <c r="A343" s="1091"/>
      <c r="B343" s="305"/>
      <c r="E343" s="1420"/>
      <c r="F343" s="614"/>
      <c r="G343" s="682"/>
      <c r="I343" s="606"/>
      <c r="K343" s="247"/>
      <c r="M343" s="247"/>
      <c r="O343" s="247"/>
      <c r="Q343" s="247"/>
    </row>
    <row r="344" spans="1:20">
      <c r="A344" s="1091"/>
      <c r="B344" s="305"/>
      <c r="E344" s="1420"/>
      <c r="F344" s="614"/>
      <c r="G344" s="682"/>
      <c r="I344" s="606"/>
      <c r="K344" s="247"/>
      <c r="M344" s="247"/>
      <c r="O344" s="247"/>
      <c r="Q344" s="247"/>
    </row>
    <row r="345" spans="1:20">
      <c r="A345" s="1091"/>
      <c r="B345" s="305"/>
      <c r="E345" s="1420"/>
      <c r="F345" s="614"/>
      <c r="G345" s="682"/>
      <c r="I345" s="606"/>
      <c r="K345" s="247"/>
      <c r="M345" s="247"/>
      <c r="O345" s="247"/>
      <c r="Q345" s="247"/>
    </row>
    <row r="346" spans="1:20">
      <c r="A346" s="1091"/>
      <c r="B346" s="305"/>
      <c r="E346" s="1420"/>
      <c r="F346" s="614"/>
      <c r="G346" s="682"/>
      <c r="I346" s="606"/>
      <c r="K346" s="247"/>
      <c r="M346" s="247"/>
      <c r="O346" s="247"/>
      <c r="Q346" s="247"/>
    </row>
    <row r="347" spans="1:20">
      <c r="A347" s="1091"/>
      <c r="B347" s="305"/>
      <c r="E347" s="1420"/>
      <c r="F347" s="614"/>
      <c r="G347" s="682"/>
      <c r="I347" s="606"/>
      <c r="K347" s="247"/>
      <c r="M347" s="247"/>
      <c r="O347" s="247"/>
      <c r="Q347" s="247"/>
    </row>
    <row r="348" spans="1:20" ht="19.5" thickBot="1">
      <c r="A348" s="1091"/>
      <c r="B348" s="6" t="s">
        <v>277</v>
      </c>
      <c r="C348" s="2"/>
      <c r="D348" s="2"/>
      <c r="E348" s="1440"/>
      <c r="F348" s="683"/>
      <c r="G348" s="683"/>
      <c r="H348" s="2"/>
      <c r="I348" s="2"/>
      <c r="J348" s="2"/>
      <c r="K348" s="2"/>
      <c r="L348" s="2"/>
      <c r="M348" s="2"/>
      <c r="N348" s="2"/>
      <c r="O348" s="2"/>
      <c r="P348" s="2"/>
      <c r="Q348" s="2"/>
    </row>
    <row r="349" spans="1:20" s="54" customFormat="1" ht="15" thickTop="1">
      <c r="A349" s="97"/>
      <c r="E349" s="1349"/>
      <c r="F349" s="685"/>
      <c r="G349" s="685"/>
      <c r="I349" s="607"/>
      <c r="T349" s="700"/>
    </row>
    <row r="350" spans="1:20">
      <c r="A350" s="1091"/>
      <c r="B350" s="305"/>
      <c r="C350" s="46" t="s">
        <v>278</v>
      </c>
      <c r="D350" s="46"/>
      <c r="E350" s="1453"/>
      <c r="F350" s="742"/>
      <c r="G350" s="686"/>
      <c r="H350" s="46"/>
      <c r="I350" s="608"/>
      <c r="J350" s="46"/>
      <c r="K350" s="410"/>
      <c r="L350" s="46"/>
      <c r="M350" s="410"/>
      <c r="N350" s="46"/>
      <c r="O350" s="410"/>
      <c r="P350" s="46"/>
      <c r="Q350" s="410"/>
    </row>
    <row r="351" spans="1:20">
      <c r="A351" s="743" t="s">
        <v>2</v>
      </c>
      <c r="B351" s="305"/>
      <c r="C351" s="1500" t="s">
        <v>2</v>
      </c>
      <c r="E351" s="1420"/>
      <c r="F351" s="735"/>
      <c r="G351" s="616" t="s">
        <v>279</v>
      </c>
      <c r="I351" s="609" t="s">
        <v>279</v>
      </c>
      <c r="K351" s="247"/>
      <c r="M351" s="247"/>
      <c r="O351" s="247"/>
      <c r="Q351" s="247"/>
    </row>
    <row r="352" spans="1:20">
      <c r="A352" s="743" t="s">
        <v>142</v>
      </c>
      <c r="B352" s="305"/>
      <c r="C352" s="1500" t="s">
        <v>142</v>
      </c>
      <c r="E352" s="1420"/>
      <c r="F352" s="735"/>
      <c r="G352" s="687" t="s">
        <v>279</v>
      </c>
      <c r="I352" s="610" t="s">
        <v>279</v>
      </c>
      <c r="K352" s="247"/>
      <c r="M352" s="247"/>
      <c r="O352" s="247"/>
      <c r="Q352" s="247"/>
    </row>
    <row r="353" spans="1:17" hidden="1">
      <c r="A353" s="743" t="s">
        <v>11</v>
      </c>
      <c r="B353" s="305"/>
      <c r="C353" s="1500" t="s">
        <v>11</v>
      </c>
      <c r="E353" s="1420"/>
      <c r="F353" s="735"/>
      <c r="G353" s="688" t="s">
        <v>279</v>
      </c>
      <c r="I353" s="606" t="s">
        <v>279</v>
      </c>
      <c r="K353" s="247"/>
      <c r="M353" s="247"/>
      <c r="O353" s="247"/>
      <c r="Q353" s="247"/>
    </row>
    <row r="354" spans="1:17">
      <c r="A354" s="743" t="s">
        <v>0</v>
      </c>
      <c r="B354" s="305"/>
      <c r="C354" s="1500" t="s">
        <v>0</v>
      </c>
      <c r="E354" s="1420"/>
      <c r="F354" s="735"/>
      <c r="G354" s="616"/>
      <c r="I354" s="609"/>
      <c r="K354" s="247"/>
      <c r="M354" s="247"/>
      <c r="O354" s="247"/>
      <c r="Q354" s="247"/>
    </row>
    <row r="355" spans="1:17">
      <c r="A355" s="743" t="s">
        <v>140</v>
      </c>
      <c r="B355" s="305"/>
      <c r="C355" s="1500" t="s">
        <v>140</v>
      </c>
      <c r="E355" s="1420"/>
      <c r="F355" s="735"/>
      <c r="G355" s="616"/>
      <c r="I355" s="609"/>
      <c r="K355" s="247"/>
      <c r="M355" s="247"/>
      <c r="O355" s="247"/>
      <c r="Q355" s="247"/>
    </row>
    <row r="356" spans="1:17" hidden="1">
      <c r="A356" s="743" t="s">
        <v>1</v>
      </c>
      <c r="B356" s="305"/>
      <c r="C356" s="1500" t="s">
        <v>1</v>
      </c>
      <c r="E356" s="1420"/>
      <c r="F356" s="735"/>
      <c r="G356" s="688"/>
      <c r="I356" s="606"/>
      <c r="K356" s="247"/>
      <c r="M356" s="247"/>
      <c r="O356" s="247"/>
      <c r="Q356" s="247"/>
    </row>
    <row r="357" spans="1:17" hidden="1">
      <c r="A357" s="743" t="s">
        <v>3</v>
      </c>
      <c r="B357" s="305"/>
      <c r="C357" s="1500" t="s">
        <v>3</v>
      </c>
      <c r="E357" s="1420"/>
      <c r="F357" s="735"/>
      <c r="G357" s="689"/>
      <c r="I357" s="605"/>
      <c r="K357" s="247"/>
      <c r="M357" s="247"/>
      <c r="O357" s="247"/>
      <c r="Q357" s="247"/>
    </row>
    <row r="358" spans="1:17" hidden="1">
      <c r="A358" s="743" t="s">
        <v>4</v>
      </c>
      <c r="B358" s="305"/>
      <c r="C358" s="1500" t="s">
        <v>4</v>
      </c>
      <c r="E358" s="1420"/>
      <c r="F358" s="735"/>
      <c r="G358" s="688"/>
      <c r="I358" s="606"/>
    </row>
    <row r="359" spans="1:17" hidden="1">
      <c r="A359" s="743" t="s">
        <v>5</v>
      </c>
      <c r="B359" s="305"/>
      <c r="C359" s="1500" t="s">
        <v>5</v>
      </c>
      <c r="E359" s="1420"/>
      <c r="F359" s="735"/>
      <c r="G359" s="616"/>
      <c r="I359" s="609"/>
    </row>
    <row r="360" spans="1:17" hidden="1">
      <c r="A360" s="743" t="s">
        <v>6</v>
      </c>
      <c r="B360" s="305"/>
      <c r="C360" s="1500" t="s">
        <v>6</v>
      </c>
      <c r="E360" s="1420"/>
      <c r="F360" s="735"/>
      <c r="G360" s="690"/>
      <c r="I360" s="602"/>
    </row>
    <row r="361" spans="1:17" hidden="1">
      <c r="A361" s="743" t="s">
        <v>7</v>
      </c>
      <c r="B361" s="305"/>
      <c r="C361" s="1500" t="s">
        <v>7</v>
      </c>
      <c r="E361" s="1420"/>
      <c r="F361" s="735"/>
      <c r="G361" s="690"/>
      <c r="I361" s="602"/>
    </row>
    <row r="362" spans="1:17" hidden="1">
      <c r="A362" s="743" t="s">
        <v>1291</v>
      </c>
      <c r="B362" s="305"/>
      <c r="C362" s="1500" t="s">
        <v>1291</v>
      </c>
      <c r="E362" s="1420"/>
      <c r="F362" s="735"/>
      <c r="G362" s="690"/>
      <c r="I362" s="602"/>
    </row>
    <row r="363" spans="1:17" hidden="1">
      <c r="A363" s="743" t="s">
        <v>1294</v>
      </c>
      <c r="B363" s="305"/>
      <c r="C363" s="1500" t="s">
        <v>1294</v>
      </c>
      <c r="E363" s="1420"/>
      <c r="F363" s="735"/>
      <c r="G363" s="690"/>
      <c r="I363" s="602"/>
    </row>
    <row r="364" spans="1:17" hidden="1">
      <c r="A364" s="743" t="s">
        <v>218</v>
      </c>
      <c r="B364" s="305"/>
      <c r="C364" s="1500" t="s">
        <v>218</v>
      </c>
      <c r="E364" s="1420"/>
      <c r="F364" s="735"/>
      <c r="G364" s="690"/>
      <c r="I364" s="602"/>
    </row>
    <row r="365" spans="1:17" hidden="1">
      <c r="A365" s="743" t="s">
        <v>1261</v>
      </c>
      <c r="B365" s="305"/>
      <c r="C365" s="1500" t="s">
        <v>1261</v>
      </c>
      <c r="E365" s="1420"/>
      <c r="F365" s="735"/>
      <c r="G365" s="690"/>
      <c r="I365" s="602"/>
    </row>
    <row r="366" spans="1:17" hidden="1">
      <c r="A366" s="743" t="s">
        <v>219</v>
      </c>
      <c r="B366" s="305"/>
      <c r="C366" s="1500" t="s">
        <v>219</v>
      </c>
      <c r="E366" s="1420"/>
      <c r="F366" s="735"/>
      <c r="G366" s="690"/>
      <c r="I366" s="602"/>
    </row>
    <row r="367" spans="1:17" hidden="1">
      <c r="A367" s="743" t="s">
        <v>1262</v>
      </c>
      <c r="B367" s="305"/>
      <c r="C367" s="1500" t="s">
        <v>1262</v>
      </c>
      <c r="E367" s="1420"/>
      <c r="F367" s="735"/>
      <c r="G367" s="690"/>
      <c r="I367" s="602"/>
    </row>
    <row r="368" spans="1:17" hidden="1">
      <c r="A368" s="743" t="str">
        <f>nAutre1</f>
        <v>Autre #1</v>
      </c>
      <c r="C368" s="1500" t="str">
        <f>nAutre1</f>
        <v>Autre #1</v>
      </c>
      <c r="E368" s="1420"/>
      <c r="F368" s="735"/>
      <c r="G368" s="690"/>
      <c r="I368" s="602"/>
    </row>
    <row r="369" spans="1:9" hidden="1">
      <c r="A369" s="743" t="str">
        <f>nAutre2</f>
        <v>Autre #2</v>
      </c>
      <c r="C369" s="1500" t="str">
        <f>nAutre2</f>
        <v>Autre #2</v>
      </c>
      <c r="E369" s="1420"/>
      <c r="F369" s="735"/>
      <c r="G369" s="690"/>
      <c r="I369" s="602"/>
    </row>
    <row r="370" spans="1:9" hidden="1">
      <c r="A370" s="743" t="str">
        <f>nAutre3</f>
        <v>Autre #3</v>
      </c>
      <c r="C370" s="1500" t="str">
        <f>nAutre3</f>
        <v>Autre #3</v>
      </c>
      <c r="E370" s="1420"/>
      <c r="F370" s="735"/>
      <c r="G370" s="690"/>
      <c r="I370" s="602"/>
    </row>
    <row r="371" spans="1:9" hidden="1">
      <c r="A371" s="743" t="s">
        <v>26</v>
      </c>
      <c r="B371" s="305"/>
      <c r="C371" s="1500" t="s">
        <v>26</v>
      </c>
      <c r="E371" s="1420"/>
      <c r="F371" s="735"/>
      <c r="G371" s="690"/>
      <c r="I371" s="602"/>
    </row>
    <row r="372" spans="1:9">
      <c r="A372" s="1091"/>
      <c r="B372" s="305"/>
      <c r="E372" s="1420"/>
      <c r="G372" s="537"/>
      <c r="I372" s="602"/>
    </row>
  </sheetData>
  <sheetProtection sheet="1" objects="1" scenarios="1" selectLockedCells="1"/>
  <mergeCells count="71">
    <mergeCell ref="B12:E12"/>
    <mergeCell ref="B13:E13"/>
    <mergeCell ref="B14:E14"/>
    <mergeCell ref="B15:E15"/>
    <mergeCell ref="C99:D99"/>
    <mergeCell ref="C93:D93"/>
    <mergeCell ref="C95:D95"/>
    <mergeCell ref="C96:D96"/>
    <mergeCell ref="C97:D97"/>
    <mergeCell ref="C98:D98"/>
    <mergeCell ref="C58:E58"/>
    <mergeCell ref="C84:D84"/>
    <mergeCell ref="C85:D85"/>
    <mergeCell ref="C86:D86"/>
    <mergeCell ref="C92:D92"/>
    <mergeCell ref="C43:E43"/>
    <mergeCell ref="C106:D106"/>
    <mergeCell ref="C108:D108"/>
    <mergeCell ref="C103:D103"/>
    <mergeCell ref="C100:D100"/>
    <mergeCell ref="C101:D101"/>
    <mergeCell ref="C102:D102"/>
    <mergeCell ref="C104:D104"/>
    <mergeCell ref="C105:D105"/>
    <mergeCell ref="C44:E44"/>
    <mergeCell ref="C45:E45"/>
    <mergeCell ref="C46:E46"/>
    <mergeCell ref="C94:D94"/>
    <mergeCell ref="C59:E59"/>
    <mergeCell ref="C60:E60"/>
    <mergeCell ref="C61:E61"/>
    <mergeCell ref="C47:E47"/>
    <mergeCell ref="C51:E51"/>
    <mergeCell ref="C52:E52"/>
    <mergeCell ref="C53:E53"/>
    <mergeCell ref="C54:E54"/>
    <mergeCell ref="C55:E55"/>
    <mergeCell ref="C56:E56"/>
    <mergeCell ref="C57:E57"/>
    <mergeCell ref="B242:D242"/>
    <mergeCell ref="P3:Q17"/>
    <mergeCell ref="H3:I17"/>
    <mergeCell ref="J3:K17"/>
    <mergeCell ref="N3:O17"/>
    <mergeCell ref="L3:M17"/>
    <mergeCell ref="B20:D20"/>
    <mergeCell ref="C74:E74"/>
    <mergeCell ref="B218:E218"/>
    <mergeCell ref="B83:D83"/>
    <mergeCell ref="C37:E37"/>
    <mergeCell ref="C38:E38"/>
    <mergeCell ref="C39:E39"/>
    <mergeCell ref="C40:E40"/>
    <mergeCell ref="C41:E41"/>
    <mergeCell ref="C42:E42"/>
    <mergeCell ref="B16:E16"/>
    <mergeCell ref="B17:E17"/>
    <mergeCell ref="B18:E18"/>
    <mergeCell ref="P2:Q2"/>
    <mergeCell ref="F2:G2"/>
    <mergeCell ref="H2:I2"/>
    <mergeCell ref="J2:K2"/>
    <mergeCell ref="L2:M2"/>
    <mergeCell ref="N2:O2"/>
    <mergeCell ref="B5:E5"/>
    <mergeCell ref="B6:E6"/>
    <mergeCell ref="B7:E7"/>
    <mergeCell ref="B8:E8"/>
    <mergeCell ref="B9:E9"/>
    <mergeCell ref="B10:E10"/>
    <mergeCell ref="B11:E11"/>
  </mergeCells>
  <conditionalFormatting sqref="M88">
    <cfRule type="cellIs" dxfId="155" priority="42" operator="lessThan">
      <formula>$S$88</formula>
    </cfRule>
  </conditionalFormatting>
  <conditionalFormatting sqref="G280">
    <cfRule type="cellIs" dxfId="154" priority="158" operator="greaterThan">
      <formula>$G$30</formula>
    </cfRule>
  </conditionalFormatting>
  <conditionalFormatting sqref="K280">
    <cfRule type="cellIs" dxfId="153" priority="157" operator="greaterThan">
      <formula>$K$30</formula>
    </cfRule>
  </conditionalFormatting>
  <conditionalFormatting sqref="M280">
    <cfRule type="cellIs" dxfId="152" priority="156" operator="greaterThan">
      <formula>$M$30</formula>
    </cfRule>
  </conditionalFormatting>
  <conditionalFormatting sqref="O280">
    <cfRule type="cellIs" dxfId="151" priority="155" operator="greaterThan">
      <formula>$O$30</formula>
    </cfRule>
  </conditionalFormatting>
  <conditionalFormatting sqref="Q280">
    <cfRule type="cellIs" dxfId="150" priority="154" operator="greaterThan">
      <formula>$Q$30</formula>
    </cfRule>
  </conditionalFormatting>
  <conditionalFormatting sqref="G279">
    <cfRule type="cellIs" dxfId="149" priority="153" operator="lessThan">
      <formula>$G$29</formula>
    </cfRule>
  </conditionalFormatting>
  <conditionalFormatting sqref="K279">
    <cfRule type="cellIs" dxfId="148" priority="152" operator="lessThan">
      <formula>$K$29</formula>
    </cfRule>
  </conditionalFormatting>
  <conditionalFormatting sqref="M279">
    <cfRule type="cellIs" dxfId="147" priority="151" operator="lessThan">
      <formula>$M$29</formula>
    </cfRule>
  </conditionalFormatting>
  <conditionalFormatting sqref="O279">
    <cfRule type="cellIs" dxfId="146" priority="150" operator="lessThan">
      <formula>$O$29</formula>
    </cfRule>
  </conditionalFormatting>
  <conditionalFormatting sqref="Q279">
    <cfRule type="cellIs" dxfId="145" priority="149" operator="lessThan">
      <formula>$Q$29</formula>
    </cfRule>
  </conditionalFormatting>
  <conditionalFormatting sqref="I280">
    <cfRule type="cellIs" dxfId="144" priority="147" operator="greaterThan">
      <formula>$K$30</formula>
    </cfRule>
  </conditionalFormatting>
  <conditionalFormatting sqref="I279">
    <cfRule type="cellIs" dxfId="143" priority="146" operator="lessThan">
      <formula>$K$29</formula>
    </cfRule>
  </conditionalFormatting>
  <conditionalFormatting sqref="I171:I180 K171:K180 M171:M180 O171:O180 Q171:Q180 Q182:Q188 O182:O188 M182:M188 K182:K188 I182:I188">
    <cfRule type="expression" dxfId="142" priority="140">
      <formula>H171="!"</formula>
    </cfRule>
  </conditionalFormatting>
  <conditionalFormatting sqref="K88">
    <cfRule type="cellIs" dxfId="141" priority="43" operator="lessThan">
      <formula>$S$88</formula>
    </cfRule>
  </conditionalFormatting>
  <conditionalFormatting sqref="O88">
    <cfRule type="cellIs" dxfId="140" priority="46" operator="lessThan">
      <formula>$S$88</formula>
    </cfRule>
  </conditionalFormatting>
  <conditionalFormatting sqref="O158">
    <cfRule type="cellIs" dxfId="139" priority="45" operator="lessThan">
      <formula>90</formula>
    </cfRule>
  </conditionalFormatting>
  <conditionalFormatting sqref="I88">
    <cfRule type="cellIs" dxfId="138" priority="44" operator="lessThan">
      <formula>$S$88</formula>
    </cfRule>
  </conditionalFormatting>
  <conditionalFormatting sqref="Q88">
    <cfRule type="cellIs" dxfId="137" priority="41" operator="lessThan">
      <formula>$S$88</formula>
    </cfRule>
  </conditionalFormatting>
  <conditionalFormatting sqref="I152 K152 M152 O152 Q152">
    <cfRule type="cellIs" dxfId="136" priority="161" operator="greaterThan">
      <formula>$T$152</formula>
    </cfRule>
  </conditionalFormatting>
  <conditionalFormatting sqref="I181 K181 M181 O181 Q181">
    <cfRule type="expression" dxfId="135" priority="36">
      <formula>H181="!"</formula>
    </cfRule>
  </conditionalFormatting>
  <conditionalFormatting sqref="G87">
    <cfRule type="cellIs" dxfId="134" priority="25" operator="lessThan">
      <formula>$S$87</formula>
    </cfRule>
  </conditionalFormatting>
  <conditionalFormatting sqref="I87">
    <cfRule type="cellIs" dxfId="133" priority="32" operator="lessThan">
      <formula>$S$87</formula>
    </cfRule>
  </conditionalFormatting>
  <conditionalFormatting sqref="K87">
    <cfRule type="cellIs" dxfId="132" priority="31" operator="lessThan">
      <formula>$S$87</formula>
    </cfRule>
  </conditionalFormatting>
  <conditionalFormatting sqref="M87">
    <cfRule type="cellIs" dxfId="131" priority="30" operator="lessThan">
      <formula>$S$87</formula>
    </cfRule>
  </conditionalFormatting>
  <conditionalFormatting sqref="O87">
    <cfRule type="cellIs" dxfId="130" priority="29" operator="lessThan">
      <formula>$S$87</formula>
    </cfRule>
  </conditionalFormatting>
  <conditionalFormatting sqref="Q87">
    <cfRule type="cellIs" dxfId="129" priority="28" operator="lessThan">
      <formula>$S$87</formula>
    </cfRule>
  </conditionalFormatting>
  <conditionalFormatting sqref="G88">
    <cfRule type="cellIs" dxfId="128" priority="26" operator="lessThan">
      <formula>$S$88</formula>
    </cfRule>
  </conditionalFormatting>
  <conditionalFormatting sqref="Q158">
    <cfRule type="cellIs" dxfId="127" priority="10" operator="lessThan">
      <formula>90</formula>
    </cfRule>
  </conditionalFormatting>
  <conditionalFormatting sqref="M158">
    <cfRule type="cellIs" dxfId="126" priority="9" operator="lessThan">
      <formula>90</formula>
    </cfRule>
  </conditionalFormatting>
  <conditionalFormatting sqref="K158">
    <cfRule type="cellIs" dxfId="125" priority="8" operator="lessThan">
      <formula>90</formula>
    </cfRule>
  </conditionalFormatting>
  <conditionalFormatting sqref="I158">
    <cfRule type="cellIs" dxfId="124" priority="7" operator="lessThan">
      <formula>90</formula>
    </cfRule>
  </conditionalFormatting>
  <conditionalFormatting sqref="I93:I98 I104:Q109 I120:Q167 I197:Q198 I208:Q208 I216:Q218 I24:Q80 I240:Q333">
    <cfRule type="expression" dxfId="123" priority="4">
      <formula>NOT(_xlfn.ISFORMULA(I24))</formula>
    </cfRule>
  </conditionalFormatting>
  <conditionalFormatting sqref="I66:Q67">
    <cfRule type="expression" dxfId="122" priority="3">
      <formula>I$66 &gt; I$67</formula>
    </cfRule>
  </conditionalFormatting>
  <conditionalFormatting sqref="I76:Q77">
    <cfRule type="expression" dxfId="121" priority="2">
      <formula>I$76 &gt; I$77</formula>
    </cfRule>
  </conditionalFormatting>
  <conditionalFormatting sqref="K93:K98 M93:M98 O93:O98 Q93:Q98">
    <cfRule type="expression" dxfId="120" priority="1">
      <formula>NOT(_xlfn.ISFORMULA(K93))</formula>
    </cfRule>
  </conditionalFormatting>
  <dataValidations count="8">
    <dataValidation type="list" allowBlank="1" showInputMessage="1" showErrorMessage="1" sqref="G26" xr:uid="{00000000-0002-0000-0500-000000000000}">
      <formula1>$O$107:$O$108</formula1>
    </dataValidation>
    <dataValidation type="list" allowBlank="1" showInputMessage="1" showErrorMessage="1" sqref="G75 G65" xr:uid="{00000000-0002-0000-0500-000001000000}">
      <formula1>$C$209:$D$209</formula1>
    </dataValidation>
    <dataValidation type="list" allowBlank="1" showInputMessage="1" showErrorMessage="1" sqref="G94 I94 K94 M94 O94 Q94" xr:uid="{00000000-0002-0000-0500-000002000000}">
      <formula1>listeGestMangeoire</formula1>
    </dataValidation>
    <dataValidation type="list" allowBlank="1" showInputMessage="1" showErrorMessage="1" sqref="I24 K24 M24 O24 Q24 G24" xr:uid="{00000000-0002-0000-0500-000003000000}">
      <formula1>listeRaces</formula1>
    </dataValidation>
    <dataValidation type="list" allowBlank="1" showInputMessage="1" showErrorMessage="1" sqref="K25 M25 Q25 G25 O25 I25" xr:uid="{00000000-0002-0000-0500-000004000000}">
      <formula1>listeRégime</formula1>
    </dataValidation>
    <dataValidation type="list" allowBlank="1" showInputMessage="1" showErrorMessage="1" sqref="E3 I317" xr:uid="{00000000-0002-0000-0500-000005000000}">
      <formula1>"oui,non"</formula1>
    </dataValidation>
    <dataValidation type="list" allowBlank="1" showInputMessage="1" showErrorMessage="1" sqref="I218 K218 M218 O218 Q218" xr:uid="{00000000-0002-0000-0500-000006000000}">
      <formula1>liste_prix_auto</formula1>
    </dataValidation>
    <dataValidation type="list" allowBlank="1" showInputMessage="1" showErrorMessage="1" sqref="G79 G69" xr:uid="{00000000-0002-0000-0500-000007000000}">
      <formula1>$B$210:$B$213</formula1>
    </dataValidation>
  </dataValidations>
  <hyperlinks>
    <hyperlink ref="B5" location="$B$23" tooltip="Descendre à la section Système de production" display="Système de production" xr:uid="{00000000-0004-0000-0500-000000000000}"/>
    <hyperlink ref="B6" location="$B$36" tooltip="Descendre à la section Production" display="Production" xr:uid="{00000000-0004-0000-0500-000001000000}"/>
    <hyperlink ref="B7" location="$B$50" tooltip="Descendre à la section Remplacement" display="Remplacement" xr:uid="{00000000-0004-0000-0500-000002000000}"/>
    <hyperlink ref="A22" location="lignesDétailsSystProd" tooltip="Afficher / Cacher les données détailées" display=" [+]" xr:uid="{00000000-0004-0000-0500-000003000000}"/>
    <hyperlink ref="A35" location="Lait!lignesDétailsProduction" tooltip="Afficher / Cacher les données détailées" display=" [-]" xr:uid="{00000000-0004-0000-0500-000004000000}"/>
    <hyperlink ref="A49" location="Lait!lignesDétailsRemplacement" tooltip="Afficher / Cacher les données détailées" display=" [+]" xr:uid="{00000000-0004-0000-0500-000005000000}"/>
    <hyperlink ref="A63" location="Lait!LignesDétailsPâturages" tooltip="Afficher / Cacher les données détailées" display=" [+]" xr:uid="{00000000-0004-0000-0500-000006000000}"/>
    <hyperlink ref="A331" location="Lait!lignesDétailsCDR" tooltip="Afficher / Cacher les données détailées" display=" [+]" xr:uid="{00000000-0004-0000-0500-000007000000}"/>
    <hyperlink ref="A4" location="Lait!C5:C19" tooltip="Afficher / Cacher la table des matières" display=" [-]" xr:uid="{00000000-0004-0000-0500-000008000000}"/>
    <hyperlink ref="A90" location="Lait!LigneSDétailsAlimentationFourrages" tooltip="Afficher / Cacher les données détailées" display=" [-]" xr:uid="{00000000-0004-0000-0500-000009000000}"/>
    <hyperlink ref="A328" location="Lait!lignesDétalsPrix" tooltip="Afficher / Cacher les données détailées" display=" [+]" xr:uid="{00000000-0004-0000-0500-00000A000000}"/>
    <hyperlink ref="A321" location="Lait!lignesDétailsAmortissements" tooltip="Afficher / Cacher les données détailées" display=" [+]" xr:uid="{00000000-0004-0000-0500-00000B000000}"/>
    <hyperlink ref="A302" location="Lait!lignesDétailsCoûtsEnEspèces" tooltip="Afficher / Cacher les données détailées" display=" [+]" xr:uid="{00000000-0004-0000-0500-00000C000000}"/>
    <hyperlink ref="A295" location="Lait!lignesDétailsProduitsBruts" tooltip="Afficher / Cacher les données détailées" display=" [+]" xr:uid="{00000000-0004-0000-0500-00000D000000}"/>
    <hyperlink ref="A273" location="Lait!lignesDétailsRésultatsTechniques" tooltip="Afficher / Cacher les données détailées" display=" [+]" xr:uid="{00000000-0004-0000-0500-00000E000000}"/>
    <hyperlink ref="A247" location="Lait!lignesDétailsInvestissements" tooltip="Afficher / Cacher les données détailées" display=" [+]" xr:uid="{00000000-0004-0000-0500-00000F000000}"/>
    <hyperlink ref="A238" location="Lait!lignesDétailsMaindOeuvre" tooltip="Afficher / Cacher les données détailées" display=" [+]" xr:uid="{00000000-0004-0000-0500-000010000000}"/>
    <hyperlink ref="A210" location="Lait!lignesDétailsCoûtsAlimentation" tooltip="Afficher / Cacher les données détailées" display=" [+]" xr:uid="{00000000-0004-0000-0500-000011000000}"/>
    <hyperlink ref="A200" location="Lait!lignesDétailsLitière" tooltip="Afficher / Cacher les données détailées" display=" [+]" xr:uid="{00000000-0004-0000-0500-000012000000}"/>
    <hyperlink ref="A195" location="Lait!lignesDétailsSantéReproduction" tooltip="Afficher / Cacher les données détailées" display=" [+]" xr:uid="{00000000-0004-0000-0500-000013000000}"/>
    <hyperlink ref="A114" location="Lait!lignesDétailsAlimentationConcentrés" tooltip="Afficher / Cacher les données détailées" display=" [+]" xr:uid="{00000000-0004-0000-0500-000014000000}"/>
    <hyperlink ref="B8" location="$B$64" tooltip="Descendre à la section Alimentation - Pâturages" display="Alimentation - Pâturages" xr:uid="{00000000-0004-0000-0500-000015000000}"/>
    <hyperlink ref="B9" location="$B$87" tooltip="Descendre à la section Alimentation - Foin, ensilage de foin et maïs ensilage" display="Alimentation - Foin, ensilage de foin et maïs ensilage" xr:uid="{00000000-0004-0000-0500-000016000000}"/>
    <hyperlink ref="B10" location="$B$111" tooltip="Descendre à la section Alimentation - Concentrés" display="Alimentation - Concentrés" xr:uid="{00000000-0004-0000-0500-000017000000}"/>
    <hyperlink ref="B11" location="$B$185" tooltip="Descendre à la section Santé et reproduction" display="Santé et reproduction" xr:uid="{00000000-0004-0000-0500-000018000000}"/>
    <hyperlink ref="B12" location="$B$190" tooltip="Descendre à la section Litière" display="Litière" xr:uid="{00000000-0004-0000-0500-000019000000}"/>
    <hyperlink ref="B13" location="$B$200" tooltip="Descendre à la section Coûts des fourrages, des grains de la ferme et de paille récoltée" display="Coûts des fourrages, des grains de la ferme et de paille récoltée" xr:uid="{00000000-0004-0000-0500-00001A000000}"/>
    <hyperlink ref="B14" location="$B$223" tooltip="Descendre à la section Main-d'œuvre" display="Main-d'œuvre" xr:uid="{00000000-0004-0000-0500-00001B000000}"/>
    <hyperlink ref="B15" location="$B$255" tooltip="Descendre à la section Résultats techniques" display="Résultats techniques" xr:uid="{00000000-0004-0000-0500-00001C000000}"/>
    <hyperlink ref="B16" location="$B$275" tooltip="Descendre à la section Sommaire du compte d'exploitation - étable" display="Sommaire du compte d'exploitation - étable" xr:uid="{00000000-0004-0000-0500-00001D000000}"/>
    <hyperlink ref="B17" location="$B$327" tooltip="Descendre à la section Céréales produites à la ferme" display="Céréales produites à la ferme" xr:uid="{00000000-0004-0000-0500-00001E000000}"/>
    <hyperlink ref="B20" location="Lait!A23:A400" display="[+ Afficher tous les détails]" xr:uid="{00000000-0004-0000-0500-00001F000000}"/>
    <hyperlink ref="B20:D20" location="Lait!A22:A351" display="[- Cacher tous les détails]" xr:uid="{00000000-0004-0000-0500-000020000000}"/>
    <hyperlink ref="C5" location="$B$23" tooltip="Descendre à la section Système de production" display="Système de production" xr:uid="{00000000-0004-0000-0500-000021000000}"/>
    <hyperlink ref="C6" location="$B$36" tooltip="Descendre à la section Production" display="Production" xr:uid="{00000000-0004-0000-0500-000022000000}"/>
    <hyperlink ref="C7" location="$B$50" tooltip="Descendre à la section Remplacement" display="Remplacement" xr:uid="{00000000-0004-0000-0500-000023000000}"/>
    <hyperlink ref="C8" location="$B$64" tooltip="Descendre à la section Alimentation - Pâturages" display="Alimentation - Pâturages" xr:uid="{00000000-0004-0000-0500-000024000000}"/>
    <hyperlink ref="C9" location="$B$91" tooltip="Descendre à la section Alimentation - Foin, ensilage de foin et maïs ensilage" display="Alimentation - Foin, ensilage de foin et maïs ensilage" xr:uid="{00000000-0004-0000-0500-000025000000}"/>
    <hyperlink ref="C10" location="$B$115" tooltip="Descendre à la section Alimentation - Concentrés" display="Alimentation - Concentrés" xr:uid="{00000000-0004-0000-0500-000026000000}"/>
    <hyperlink ref="C11" location="$B$196" tooltip="Descendre à la section Santé et reproduction" display="Santé et reproduction" xr:uid="{00000000-0004-0000-0500-000027000000}"/>
    <hyperlink ref="C12" location="$B$201" tooltip="Descendre à la section Litière" display="Litière" xr:uid="{00000000-0004-0000-0500-000028000000}"/>
    <hyperlink ref="C13" location="$B$211" tooltip="Descendre à la section Coûts des fourrages, des grains de la ferme et de paille récoltée" display="Coûts des fourrages, des grains de la ferme et de paille récoltée" xr:uid="{00000000-0004-0000-0500-000029000000}"/>
    <hyperlink ref="C14" location="$B$238" tooltip="Descendre à la section Main-d'œuvre" display="Main-d'œuvre" xr:uid="{00000000-0004-0000-0500-00002A000000}"/>
    <hyperlink ref="C15" location="$B$247" tooltip="Descendre à la section Investissements" display="Investissements" xr:uid="{00000000-0004-0000-0500-00002B000000}"/>
    <hyperlink ref="C16" location="$B$271" tooltip="Descendre à la section Résultats techniques" display="Résultats techniques" xr:uid="{00000000-0004-0000-0500-00002C000000}"/>
    <hyperlink ref="C17" location="$B$291" tooltip="Descendre à la section Sommaire du compte d'exploitation - étable" display="Sommaire du compte d'exploitation - étable" xr:uid="{00000000-0004-0000-0500-00002D000000}"/>
    <hyperlink ref="C18" location="$B$345" tooltip="Descendre à la section Céréales produites à la ferme" display="Céréales produites à la ferme" xr:uid="{00000000-0004-0000-0500-00002E000000}"/>
    <hyperlink ref="D4" location="$B$294" tooltip="Descendre à la section Sommaire du compte d'exploitation - étable" display="Sommaire du compte d'exploitation - étable" xr:uid="{00000000-0004-0000-0500-00002F000000}"/>
    <hyperlink ref="B16:E16" location="Lait!B273" tooltip="Descendre à la section Résultats techniques" display="Résultats techniques" xr:uid="{00000000-0004-0000-0500-000030000000}"/>
    <hyperlink ref="B17:E17" location="Lait!B293" tooltip="Descendre à la section Sommaire du compte d'exploitation - étable" display="Sommaire du compte d'exploitation - étable" xr:uid="{00000000-0004-0000-0500-000031000000}"/>
    <hyperlink ref="B18:E18" location="Lait!B348" tooltip="Descendre à la section Céréales produites à la ferme" display="Céréales produites à la ferme" xr:uid="{00000000-0004-0000-0500-000032000000}"/>
    <hyperlink ref="B11:E11" location="Lait!B195" tooltip="Descendre à la section Santé et reproduction" display="Santé et reproduction" xr:uid="{00000000-0004-0000-0500-000033000000}"/>
    <hyperlink ref="B5:E5" location="Lait!B22" tooltip="Descendre à la section Système de production" display="Système de production" xr:uid="{00000000-0004-0000-0500-000034000000}"/>
    <hyperlink ref="B6:E6" location="Lait!B35" tooltip="Descendre à la section Production" display="Production" xr:uid="{00000000-0004-0000-0500-000035000000}"/>
    <hyperlink ref="B7:E7" location="Lait!B49" tooltip="Descendre à la section Remplacement" display="Remplacement" xr:uid="{00000000-0004-0000-0500-000036000000}"/>
    <hyperlink ref="B8:E8" location="Lait!B63" tooltip="Descendre à la section Alimentation - Pâturages" display="Alimentation - Pâturages" xr:uid="{00000000-0004-0000-0500-000037000000}"/>
    <hyperlink ref="B9:E9" location="Lait!B90" tooltip="Descendre à la section Alimentation - Foin, ensilage de foin et maïs ensilage" display="Alimentation - Foin, ensilage de foin et maïs ensilage" xr:uid="{00000000-0004-0000-0500-000038000000}"/>
    <hyperlink ref="B10:E10" location="Lait!B114" tooltip="Descendre à la section Alimentation - Concentrés" display="Alimentation - Concentrés" xr:uid="{00000000-0004-0000-0500-000039000000}"/>
    <hyperlink ref="B12:E12" location="Lait!B200" tooltip="Descendre à la section Litière" display="Litière" xr:uid="{00000000-0004-0000-0500-00003A000000}"/>
    <hyperlink ref="B13:E13" location="Lait!B210" tooltip="Descendre à la section Coûts des fourrages, des grains de la ferme et de paille récoltée" display="Coûts des fourrages, des grains de la ferme et de paille récoltée" xr:uid="{00000000-0004-0000-0500-00003B000000}"/>
  </hyperlinks>
  <pageMargins left="0.7" right="0.7" top="0.75" bottom="0.75" header="0.3" footer="0.3"/>
  <pageSetup scale="14" orientation="portrait" r:id="rId1"/>
  <ignoredErrors>
    <ignoredError sqref="I336:Q338"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42331" r:id="rId4" name="dropdownTdmLait">
              <controlPr defaultSize="0" print="0" autoLine="0" autoPict="0" macro="[0]!Lait.gotoTDM">
                <anchor moveWithCells="1">
                  <from>
                    <xdr:col>3</xdr:col>
                    <xdr:colOff>1438275</xdr:colOff>
                    <xdr:row>0</xdr:row>
                    <xdr:rowOff>47625</xdr:rowOff>
                  </from>
                  <to>
                    <xdr:col>4</xdr:col>
                    <xdr:colOff>1047750</xdr:colOff>
                    <xdr:row>0</xdr:row>
                    <xdr:rowOff>266700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1" id="{27BE56FE-BDAE-42F8-872F-D5269F69E175}">
            <xm:f>A18&lt;RéfLait!$H$18</xm:f>
            <x14:dxf>
              <fill>
                <patternFill>
                  <bgColor rgb="FFFFCCCC"/>
                </patternFill>
              </fill>
            </x14:dxf>
          </x14:cfRule>
          <x14:cfRule type="expression" priority="12" id="{C3C1C2A5-2CF4-4CD6-9293-E08879B5626D}">
            <xm:f>A18&lt;RéfLait!$H$17</xm:f>
            <x14:dxf>
              <fill>
                <patternFill>
                  <bgColor rgb="FFFFCCCC"/>
                </patternFill>
              </fill>
            </x14:dxf>
          </x14:cfRule>
          <xm:sqref>I119 K119 M119 O119 Q119</xm:sqref>
        </x14:conditionalFormatting>
      </x14:conditionalFormattings>
    </ext>
    <ext xmlns:x14="http://schemas.microsoft.com/office/spreadsheetml/2009/9/main" uri="{CCE6A557-97BC-4b89-ADB6-D9C93CAAB3DF}">
      <x14:dataValidations xmlns:xm="http://schemas.microsoft.com/office/excel/2006/main" count="6">
        <x14:dataValidation type="list" allowBlank="1" showInputMessage="1" showErrorMessage="1" xr:uid="{00000000-0002-0000-0500-000008000000}">
          <x14:formula1>
            <xm:f>RéfLait!$C$199:$D$199</xm:f>
          </x14:formula1>
          <xm:sqref>O65 I65 K65 M65 Q65 O75 I75 K75 M75 Q75</xm:sqref>
        </x14:dataValidation>
        <x14:dataValidation type="list" allowBlank="1" showInputMessage="1" showErrorMessage="1" xr:uid="{00000000-0002-0000-0500-000009000000}">
          <x14:formula1>
            <xm:f>RéfLait!$B$200:$B$202</xm:f>
          </x14:formula1>
          <xm:sqref>O69 I69 Q69 K69 M69 O79 I79 Q79 K79 M79</xm:sqref>
        </x14:dataValidation>
        <x14:dataValidation type="list" allowBlank="1" showInputMessage="1" showErrorMessage="1" xr:uid="{00000000-0002-0000-0500-00000A000000}">
          <x14:formula1>
            <xm:f>RéfLait!$C$6:$C$11</xm:f>
          </x14:formula1>
          <xm:sqref>G27 Q27 I27 O27 K27 M27</xm:sqref>
        </x14:dataValidation>
        <x14:dataValidation type="list" allowBlank="1" showInputMessage="1" showErrorMessage="1" xr:uid="{00000000-0002-0000-0500-00000B000000}">
          <x14:formula1>
            <xm:f>RéfLait!$H$74:$I$74</xm:f>
          </x14:formula1>
          <xm:sqref>I26 K26 M26 O26 Q26</xm:sqref>
        </x14:dataValidation>
        <x14:dataValidation type="list" allowBlank="1" showInputMessage="1" showErrorMessage="1" xr:uid="{00000000-0002-0000-0500-00000C000000}">
          <x14:formula1>
            <xm:f>RéfLait!$I$53:$I$58</xm:f>
          </x14:formula1>
          <xm:sqref>D138</xm:sqref>
        </x14:dataValidation>
        <x14:dataValidation type="list" allowBlank="1" showInputMessage="1" showErrorMessage="1" xr:uid="{00000000-0002-0000-0500-00000D000000}">
          <x14:formula1>
            <xm:f>RéfLait!$E$6:$E$8</xm:f>
          </x14:formula1>
          <xm:sqref>I28 G28 Q28 O28 M28 K28</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RefLait">
    <tabColor theme="0"/>
  </sheetPr>
  <dimension ref="A1:AR247"/>
  <sheetViews>
    <sheetView workbookViewId="0"/>
  </sheetViews>
  <sheetFormatPr baseColWidth="10" defaultColWidth="10.5703125" defaultRowHeight="14.25"/>
  <cols>
    <col min="1" max="1" width="14.5703125" style="304" customWidth="1"/>
    <col min="2" max="2" width="33.42578125" style="304" customWidth="1"/>
    <col min="3" max="3" width="15.5703125" style="304" customWidth="1"/>
    <col min="4" max="4" width="12.5703125" style="304" customWidth="1"/>
    <col min="5" max="5" width="13.85546875" style="304" customWidth="1"/>
    <col min="6" max="6" width="11.42578125" style="304" customWidth="1"/>
    <col min="7" max="7" width="21.42578125" style="304" customWidth="1"/>
    <col min="8" max="8" width="9.5703125" style="304" customWidth="1"/>
    <col min="9" max="9" width="11.42578125" style="304" bestFit="1" customWidth="1"/>
    <col min="10" max="16384" width="10.5703125" style="304"/>
  </cols>
  <sheetData>
    <row r="1" spans="1:24" customFormat="1" ht="24.75" thickBot="1">
      <c r="A1" s="859" t="s">
        <v>935</v>
      </c>
      <c r="B1" s="271"/>
      <c r="C1" s="1"/>
      <c r="D1" s="1"/>
      <c r="E1" s="299"/>
      <c r="F1" s="290">
        <v>0</v>
      </c>
      <c r="G1" s="535">
        <v>0</v>
      </c>
    </row>
    <row r="2" spans="1:24" customFormat="1" ht="17.25" thickTop="1">
      <c r="A2" s="93" t="s">
        <v>600</v>
      </c>
      <c r="B2" s="1392" t="s">
        <v>599</v>
      </c>
      <c r="C2" s="304"/>
      <c r="D2" s="304"/>
      <c r="E2" s="304"/>
      <c r="F2" s="304"/>
      <c r="G2" s="304"/>
    </row>
    <row r="3" spans="1:24" customFormat="1" ht="18">
      <c r="A3" s="304"/>
      <c r="B3" s="245"/>
      <c r="C3" s="304"/>
      <c r="D3" s="304"/>
      <c r="E3" s="304"/>
      <c r="F3" s="304"/>
      <c r="G3" s="304"/>
    </row>
    <row r="4" spans="1:24" customFormat="1" ht="39" customHeight="1">
      <c r="A4" s="1393" t="s">
        <v>598</v>
      </c>
      <c r="B4" s="1394" t="s">
        <v>885</v>
      </c>
      <c r="C4" s="1395" t="s">
        <v>597</v>
      </c>
      <c r="D4" s="1396" t="s">
        <v>596</v>
      </c>
      <c r="E4" s="1394" t="s">
        <v>595</v>
      </c>
      <c r="F4" s="1397" t="s">
        <v>594</v>
      </c>
      <c r="G4" s="1398" t="s">
        <v>951</v>
      </c>
    </row>
    <row r="5" spans="1:24" customFormat="1" ht="4.3499999999999996" customHeight="1">
      <c r="A5" s="1399"/>
      <c r="B5" s="1400"/>
      <c r="C5" s="1400"/>
      <c r="D5" s="1401"/>
      <c r="E5" s="1401"/>
      <c r="F5" s="1401"/>
      <c r="G5" s="1402"/>
    </row>
    <row r="6" spans="1:24" customFormat="1">
      <c r="A6" s="1403" t="s">
        <v>177</v>
      </c>
      <c r="B6" s="1401"/>
      <c r="C6" s="1404" t="s">
        <v>592</v>
      </c>
      <c r="D6" s="1405" t="s">
        <v>402</v>
      </c>
      <c r="E6" s="1404" t="s">
        <v>398</v>
      </c>
      <c r="F6" s="1404" t="s">
        <v>424</v>
      </c>
      <c r="G6" s="1406" t="s">
        <v>952</v>
      </c>
    </row>
    <row r="7" spans="1:24" customFormat="1">
      <c r="A7" s="1407" t="s">
        <v>176</v>
      </c>
      <c r="B7" s="1408" t="s">
        <v>404</v>
      </c>
      <c r="C7" s="1400" t="s">
        <v>590</v>
      </c>
      <c r="D7" s="1401" t="s">
        <v>521</v>
      </c>
      <c r="E7" s="1404" t="s">
        <v>412</v>
      </c>
      <c r="F7" s="1404" t="s">
        <v>423</v>
      </c>
      <c r="G7" s="1406" t="s">
        <v>953</v>
      </c>
    </row>
    <row r="8" spans="1:24" customFormat="1">
      <c r="A8" s="1409"/>
      <c r="B8" s="1408" t="s">
        <v>12</v>
      </c>
      <c r="C8" s="1410" t="s">
        <v>588</v>
      </c>
      <c r="D8" s="1401" t="s">
        <v>522</v>
      </c>
      <c r="E8" s="1404" t="s">
        <v>411</v>
      </c>
      <c r="F8" s="1404" t="s">
        <v>382</v>
      </c>
      <c r="G8" s="1402"/>
    </row>
    <row r="9" spans="1:24" customFormat="1">
      <c r="A9" s="1409"/>
      <c r="B9" s="1405"/>
      <c r="C9" s="1410"/>
      <c r="D9" s="1411" t="s">
        <v>520</v>
      </c>
      <c r="E9" s="1401"/>
      <c r="F9" s="1404" t="s">
        <v>422</v>
      </c>
      <c r="G9" s="1402"/>
    </row>
    <row r="10" spans="1:24" customFormat="1">
      <c r="A10" s="1409"/>
      <c r="B10" s="1405"/>
      <c r="C10" s="1410"/>
      <c r="D10" s="1412"/>
      <c r="E10" s="1401"/>
      <c r="F10" s="1404" t="s">
        <v>421</v>
      </c>
      <c r="G10" s="1402"/>
    </row>
    <row r="11" spans="1:24" customFormat="1" ht="15.75">
      <c r="A11" s="1413"/>
      <c r="B11" s="1414"/>
      <c r="C11" s="1415" t="s">
        <v>587</v>
      </c>
      <c r="D11" s="1416"/>
      <c r="E11" s="1417"/>
      <c r="F11" s="1417"/>
      <c r="G11" s="1418"/>
    </row>
    <row r="12" spans="1:24" customFormat="1" ht="15.75">
      <c r="A12" s="230"/>
      <c r="B12" s="242"/>
      <c r="C12" s="105"/>
      <c r="D12" s="241"/>
      <c r="E12" s="94"/>
      <c r="F12" s="94"/>
      <c r="G12" s="304"/>
    </row>
    <row r="13" spans="1:24" customFormat="1">
      <c r="A13" s="230" t="s">
        <v>886</v>
      </c>
      <c r="B13" s="230" t="s">
        <v>887</v>
      </c>
      <c r="C13" s="230"/>
      <c r="D13" s="241"/>
      <c r="E13" s="94"/>
      <c r="F13" s="94"/>
      <c r="G13" s="304"/>
    </row>
    <row r="14" spans="1:24" customFormat="1" ht="15.75">
      <c r="A14" s="230"/>
      <c r="B14" s="242"/>
      <c r="C14" s="105"/>
      <c r="D14" s="107"/>
      <c r="E14" s="241"/>
      <c r="F14" s="304"/>
      <c r="G14" s="304"/>
    </row>
    <row r="15" spans="1:24" ht="16.350000000000001" customHeight="1">
      <c r="A15" s="487"/>
      <c r="B15" s="488"/>
      <c r="C15" s="489"/>
      <c r="D15" s="490" t="s">
        <v>586</v>
      </c>
      <c r="E15" s="491" t="s">
        <v>585</v>
      </c>
      <c r="F15" s="492" t="s">
        <v>584</v>
      </c>
      <c r="G15" s="2175" t="s">
        <v>593</v>
      </c>
      <c r="H15" s="2176"/>
      <c r="I15" s="2179" t="s">
        <v>888</v>
      </c>
      <c r="J15" s="2180"/>
      <c r="K15" s="2179" t="s">
        <v>889</v>
      </c>
      <c r="L15" s="2180"/>
      <c r="N15" s="94"/>
      <c r="O15" s="94"/>
      <c r="P15" s="94"/>
      <c r="Q15" s="94"/>
      <c r="R15" s="94"/>
      <c r="S15" s="94"/>
      <c r="T15" s="94"/>
      <c r="U15" s="94"/>
      <c r="V15" s="94"/>
      <c r="W15" s="94"/>
      <c r="X15" s="94"/>
    </row>
    <row r="16" spans="1:24" ht="15.75">
      <c r="A16" s="493" t="s">
        <v>583</v>
      </c>
      <c r="B16" s="237"/>
      <c r="C16" s="243" t="s">
        <v>582</v>
      </c>
      <c r="D16" s="180">
        <v>145.86000000000001</v>
      </c>
      <c r="E16" s="180">
        <v>0.75770000000000004</v>
      </c>
      <c r="F16" s="494">
        <v>8.9999999999999998E-4</v>
      </c>
      <c r="G16" s="2177"/>
      <c r="H16" s="2178"/>
      <c r="I16" s="2181"/>
      <c r="J16" s="2182"/>
      <c r="K16" s="2181"/>
      <c r="L16" s="2182"/>
      <c r="N16" s="94"/>
      <c r="O16" s="94"/>
      <c r="P16" s="94"/>
      <c r="Q16" s="94"/>
      <c r="R16" s="94"/>
      <c r="S16" s="94"/>
      <c r="T16" s="94"/>
      <c r="U16" s="94"/>
      <c r="V16" s="94"/>
      <c r="W16" s="94"/>
      <c r="X16" s="94"/>
    </row>
    <row r="17" spans="1:24" ht="15.75">
      <c r="A17" s="495"/>
      <c r="B17" s="496"/>
      <c r="C17" s="497" t="s">
        <v>580</v>
      </c>
      <c r="D17" s="498">
        <f>(D16+L149)/2</f>
        <v>151.07499999999999</v>
      </c>
      <c r="E17" s="498">
        <f>(E16+M149)/2</f>
        <v>0.62045000000000006</v>
      </c>
      <c r="F17" s="499">
        <f>(F16+N149)/2</f>
        <v>5.9999999999999995E-4</v>
      </c>
      <c r="G17" s="500" t="s">
        <v>591</v>
      </c>
      <c r="H17" s="501">
        <v>2.5000000000000001E-2</v>
      </c>
      <c r="I17" s="502" t="s">
        <v>890</v>
      </c>
      <c r="J17" s="503">
        <f>0.03*0.6+0.09*0.4</f>
        <v>5.3999999999999992E-2</v>
      </c>
      <c r="K17" s="502" t="s">
        <v>891</v>
      </c>
      <c r="L17" s="504">
        <v>5000</v>
      </c>
      <c r="N17" s="94"/>
      <c r="O17" s="94"/>
      <c r="P17" s="94"/>
      <c r="Q17" s="94"/>
      <c r="R17" s="94"/>
      <c r="S17" s="94"/>
      <c r="T17" s="94"/>
      <c r="U17" s="94"/>
      <c r="V17" s="94"/>
      <c r="W17" s="94"/>
      <c r="X17" s="94"/>
    </row>
    <row r="18" spans="1:24">
      <c r="B18" s="239"/>
      <c r="C18" s="519"/>
      <c r="D18" s="519"/>
      <c r="E18" s="236"/>
      <c r="F18" s="230"/>
      <c r="G18" s="505" t="s">
        <v>589</v>
      </c>
      <c r="H18" s="506">
        <v>3.5999999999999997E-2</v>
      </c>
      <c r="I18" s="495" t="s">
        <v>892</v>
      </c>
      <c r="J18" s="499">
        <v>6.5000000000000002E-2</v>
      </c>
      <c r="K18" s="495" t="s">
        <v>893</v>
      </c>
      <c r="L18" s="499">
        <v>55</v>
      </c>
      <c r="N18" s="94"/>
      <c r="O18" s="94"/>
      <c r="P18" s="94"/>
      <c r="Q18" s="94"/>
      <c r="R18" s="94"/>
      <c r="S18" s="94"/>
      <c r="T18" s="94"/>
      <c r="U18" s="94"/>
      <c r="V18" s="94"/>
      <c r="W18" s="94"/>
      <c r="X18" s="94"/>
    </row>
    <row r="19" spans="1:24" ht="16.5">
      <c r="A19" s="93" t="s">
        <v>894</v>
      </c>
      <c r="B19" s="238" t="s">
        <v>578</v>
      </c>
      <c r="C19" s="519"/>
      <c r="D19" s="519"/>
      <c r="E19" s="236"/>
      <c r="F19" s="230"/>
      <c r="G19" s="94"/>
      <c r="H19" s="94"/>
      <c r="I19" s="94"/>
      <c r="J19" s="94"/>
      <c r="K19" s="94"/>
      <c r="L19" s="94"/>
      <c r="M19" s="94"/>
      <c r="N19" s="94"/>
      <c r="O19" s="94"/>
      <c r="P19" s="94"/>
      <c r="Q19" s="94"/>
      <c r="R19" s="94"/>
      <c r="S19" s="94"/>
      <c r="T19" s="94"/>
      <c r="U19" s="94"/>
      <c r="V19" s="94"/>
      <c r="W19" s="94"/>
      <c r="X19" s="94"/>
    </row>
    <row r="20" spans="1:24" ht="15.75">
      <c r="B20" s="237"/>
      <c r="C20" s="519"/>
      <c r="D20" s="519"/>
      <c r="E20" s="236"/>
      <c r="F20" s="230"/>
      <c r="G20" s="94"/>
      <c r="H20" s="94"/>
      <c r="I20" s="94"/>
      <c r="J20" s="94"/>
      <c r="K20" s="94"/>
      <c r="L20" s="94"/>
      <c r="M20" s="94"/>
      <c r="N20" s="94"/>
      <c r="O20" s="94"/>
      <c r="P20" s="94"/>
      <c r="Q20" s="94"/>
      <c r="R20" s="94"/>
      <c r="S20" s="94"/>
      <c r="T20" s="94"/>
      <c r="U20" s="94"/>
      <c r="V20" s="94"/>
      <c r="W20" s="94"/>
      <c r="X20" s="94"/>
    </row>
    <row r="21" spans="1:24" ht="16.5">
      <c r="A21" s="93" t="s">
        <v>577</v>
      </c>
      <c r="B21" s="182" t="s">
        <v>576</v>
      </c>
      <c r="C21" s="234"/>
      <c r="D21" s="234"/>
      <c r="E21" s="234"/>
      <c r="F21" s="234"/>
      <c r="G21" s="235"/>
      <c r="H21" s="234"/>
      <c r="I21" s="450" t="s">
        <v>524</v>
      </c>
      <c r="J21" s="233" t="s">
        <v>575</v>
      </c>
      <c r="K21" s="94"/>
      <c r="L21" s="94"/>
      <c r="M21" s="94"/>
      <c r="N21" s="94"/>
      <c r="O21" s="94"/>
      <c r="P21" s="94"/>
      <c r="Q21" s="94"/>
      <c r="R21" s="94"/>
      <c r="S21" s="94"/>
      <c r="T21" s="94"/>
      <c r="U21" s="94"/>
      <c r="V21" s="94"/>
      <c r="W21" s="94"/>
      <c r="X21" s="94"/>
    </row>
    <row r="22" spans="1:24" ht="15.75">
      <c r="B22" s="519"/>
      <c r="C22" s="232"/>
      <c r="D22" s="232"/>
      <c r="E22" s="231"/>
      <c r="F22" s="230"/>
      <c r="G22" s="94"/>
      <c r="H22" s="94"/>
      <c r="I22" s="94"/>
      <c r="J22" s="94"/>
      <c r="K22" s="94"/>
      <c r="L22" s="94"/>
      <c r="M22" s="94"/>
      <c r="N22" s="94"/>
      <c r="O22" s="94"/>
      <c r="P22" s="94"/>
      <c r="Q22" s="94"/>
      <c r="R22" s="94"/>
      <c r="S22" s="94"/>
      <c r="T22" s="94"/>
      <c r="U22" s="94"/>
      <c r="V22" s="94"/>
      <c r="W22" s="94"/>
      <c r="X22" s="94"/>
    </row>
    <row r="23" spans="1:24" ht="15" thickBot="1">
      <c r="A23" s="450"/>
      <c r="B23" s="181">
        <v>1</v>
      </c>
      <c r="C23" s="181">
        <v>2</v>
      </c>
      <c r="D23" s="181">
        <v>3</v>
      </c>
      <c r="E23" s="181">
        <v>4</v>
      </c>
      <c r="F23" s="181">
        <v>5</v>
      </c>
      <c r="G23" s="181">
        <v>6</v>
      </c>
      <c r="H23" s="181">
        <v>7</v>
      </c>
      <c r="I23" s="181">
        <v>8</v>
      </c>
      <c r="J23" s="181">
        <v>9</v>
      </c>
      <c r="K23" s="181">
        <v>10</v>
      </c>
      <c r="L23" s="181">
        <v>11</v>
      </c>
      <c r="M23" s="181">
        <v>12</v>
      </c>
      <c r="N23" s="181">
        <v>13</v>
      </c>
      <c r="O23" s="181">
        <v>14</v>
      </c>
      <c r="P23" s="94"/>
      <c r="Q23" s="94"/>
      <c r="R23" s="94"/>
      <c r="S23" s="94"/>
      <c r="T23" s="94"/>
      <c r="U23" s="94"/>
      <c r="V23" s="94"/>
      <c r="W23" s="94"/>
      <c r="X23" s="94"/>
    </row>
    <row r="24" spans="1:24" ht="15" thickBot="1">
      <c r="A24" s="450">
        <v>1</v>
      </c>
      <c r="B24" s="229"/>
      <c r="C24" s="228">
        <v>42674</v>
      </c>
      <c r="D24" s="228">
        <v>42704</v>
      </c>
      <c r="E24" s="228">
        <v>42735</v>
      </c>
      <c r="F24" s="228">
        <v>42766</v>
      </c>
      <c r="G24" s="228">
        <v>42794</v>
      </c>
      <c r="H24" s="228">
        <v>42825</v>
      </c>
      <c r="I24" s="228">
        <v>42855</v>
      </c>
      <c r="J24" s="228">
        <v>42886</v>
      </c>
      <c r="K24" s="228">
        <v>42916</v>
      </c>
      <c r="L24" s="228">
        <v>42947</v>
      </c>
      <c r="M24" s="228">
        <v>42978</v>
      </c>
      <c r="N24" s="227">
        <v>43008</v>
      </c>
      <c r="O24" s="226" t="s">
        <v>574</v>
      </c>
      <c r="P24" s="94"/>
      <c r="Q24" s="94"/>
      <c r="R24" s="94"/>
      <c r="S24" s="94"/>
      <c r="T24" s="94"/>
      <c r="U24" s="94"/>
      <c r="V24" s="94"/>
      <c r="W24" s="94"/>
      <c r="X24" s="94"/>
    </row>
    <row r="25" spans="1:24">
      <c r="A25" s="450">
        <v>2</v>
      </c>
      <c r="B25" s="225" t="s">
        <v>573</v>
      </c>
      <c r="C25" s="224">
        <v>10.5991</v>
      </c>
      <c r="D25" s="224">
        <v>10.5381</v>
      </c>
      <c r="E25" s="224">
        <v>10.466799999999999</v>
      </c>
      <c r="F25" s="224">
        <v>10.5244</v>
      </c>
      <c r="G25" s="224">
        <v>10.6174</v>
      </c>
      <c r="H25" s="224">
        <v>10.639699999999999</v>
      </c>
      <c r="I25" s="224">
        <v>10.625500000000001</v>
      </c>
      <c r="J25" s="224">
        <v>10.653600000000001</v>
      </c>
      <c r="K25" s="224">
        <v>10.4527</v>
      </c>
      <c r="L25" s="224">
        <v>10.479100000000001</v>
      </c>
      <c r="M25" s="224">
        <v>10.7865</v>
      </c>
      <c r="N25" s="223">
        <v>10.7111</v>
      </c>
      <c r="O25" s="222">
        <f t="shared" ref="O25:O32" si="0">AVERAGE(C25:N25)</f>
        <v>10.591166666666668</v>
      </c>
      <c r="P25" s="94"/>
      <c r="Q25" s="94"/>
      <c r="R25" s="94"/>
      <c r="S25" s="94"/>
      <c r="T25" s="94"/>
      <c r="U25" s="94"/>
      <c r="V25" s="94"/>
      <c r="W25" s="94"/>
      <c r="X25" s="94"/>
    </row>
    <row r="26" spans="1:24">
      <c r="A26" s="450">
        <v>3</v>
      </c>
      <c r="B26" s="215" t="s">
        <v>572</v>
      </c>
      <c r="C26" s="221">
        <v>7.7220000000000004</v>
      </c>
      <c r="D26" s="221">
        <v>8.0089000000000006</v>
      </c>
      <c r="E26" s="221">
        <v>8.2651000000000003</v>
      </c>
      <c r="F26" s="221">
        <v>6.9786999999999999</v>
      </c>
      <c r="G26" s="221">
        <v>7.3369</v>
      </c>
      <c r="H26" s="221">
        <v>7.2096999999999998</v>
      </c>
      <c r="I26" s="221">
        <v>6.4927000000000001</v>
      </c>
      <c r="J26" s="221">
        <v>7.1105999999999998</v>
      </c>
      <c r="K26" s="221">
        <v>7.6653000000000002</v>
      </c>
      <c r="L26" s="221">
        <v>7.3005000000000004</v>
      </c>
      <c r="M26" s="221">
        <v>7.7294</v>
      </c>
      <c r="N26" s="220">
        <v>7.2098000000000004</v>
      </c>
      <c r="O26" s="212">
        <f t="shared" si="0"/>
        <v>7.419133333333332</v>
      </c>
      <c r="P26" s="94"/>
      <c r="Q26" s="94"/>
      <c r="R26" s="94"/>
      <c r="S26" s="94"/>
      <c r="T26" s="94"/>
      <c r="U26" s="94"/>
      <c r="V26" s="94"/>
      <c r="W26" s="94"/>
      <c r="X26" s="94"/>
    </row>
    <row r="27" spans="1:24">
      <c r="A27" s="450">
        <v>4</v>
      </c>
      <c r="B27" s="215" t="s">
        <v>571</v>
      </c>
      <c r="C27" s="221">
        <v>1.6088</v>
      </c>
      <c r="D27" s="221">
        <v>1.6576</v>
      </c>
      <c r="E27" s="221">
        <v>1.6883999999999999</v>
      </c>
      <c r="F27" s="221">
        <v>1.4881</v>
      </c>
      <c r="G27" s="221">
        <v>1.534</v>
      </c>
      <c r="H27" s="221">
        <v>1.5214000000000001</v>
      </c>
      <c r="I27" s="221">
        <v>1.4087000000000001</v>
      </c>
      <c r="J27" s="221">
        <v>1.4924999999999999</v>
      </c>
      <c r="K27" s="221">
        <v>1.5582</v>
      </c>
      <c r="L27" s="221">
        <v>1.4959</v>
      </c>
      <c r="M27" s="221">
        <v>1.5660000000000001</v>
      </c>
      <c r="N27" s="220">
        <v>1.5026999999999999</v>
      </c>
      <c r="O27" s="212">
        <f t="shared" si="0"/>
        <v>1.543525</v>
      </c>
      <c r="P27" s="94"/>
      <c r="Q27" s="94"/>
      <c r="R27" s="94"/>
      <c r="S27" s="94"/>
      <c r="T27" s="94"/>
      <c r="U27" s="94"/>
      <c r="V27" s="94"/>
      <c r="W27" s="94"/>
      <c r="X27" s="94"/>
    </row>
    <row r="28" spans="1:24">
      <c r="A28" s="450">
        <v>6</v>
      </c>
      <c r="B28" s="215" t="s">
        <v>570</v>
      </c>
      <c r="C28" s="217">
        <v>0.23</v>
      </c>
      <c r="D28" s="217">
        <v>0.09</v>
      </c>
      <c r="E28" s="217">
        <v>7.0000000000000007E-2</v>
      </c>
      <c r="F28" s="217">
        <v>0.06</v>
      </c>
      <c r="G28" s="217">
        <v>0.06</v>
      </c>
      <c r="H28" s="217">
        <v>0.05</v>
      </c>
      <c r="I28" s="217">
        <v>0.05</v>
      </c>
      <c r="J28" s="217">
        <v>0.09</v>
      </c>
      <c r="K28" s="217">
        <v>0.1</v>
      </c>
      <c r="L28" s="217">
        <v>0.19</v>
      </c>
      <c r="M28" s="217">
        <v>0.19270000000000001</v>
      </c>
      <c r="N28" s="216">
        <v>0.15740000000000001</v>
      </c>
      <c r="O28" s="212">
        <f t="shared" si="0"/>
        <v>0.11167500000000001</v>
      </c>
      <c r="P28" s="94"/>
      <c r="Q28" s="94"/>
      <c r="R28" s="94"/>
      <c r="S28" s="94"/>
      <c r="T28" s="94"/>
      <c r="U28" s="94"/>
      <c r="V28" s="94"/>
      <c r="W28" s="94"/>
      <c r="X28" s="94"/>
    </row>
    <row r="29" spans="1:24">
      <c r="A29" s="450">
        <v>7</v>
      </c>
      <c r="B29" s="215" t="s">
        <v>569</v>
      </c>
      <c r="C29" s="217">
        <v>0.5</v>
      </c>
      <c r="D29" s="219">
        <v>0.5</v>
      </c>
      <c r="E29" s="219">
        <v>0.5</v>
      </c>
      <c r="F29" s="219">
        <v>0.5</v>
      </c>
      <c r="G29" s="219">
        <v>0.5</v>
      </c>
      <c r="H29" s="219">
        <v>0.5</v>
      </c>
      <c r="I29" s="219">
        <v>0.5</v>
      </c>
      <c r="J29" s="219">
        <v>0.5</v>
      </c>
      <c r="K29" s="219">
        <v>0.5</v>
      </c>
      <c r="L29" s="219">
        <v>0.5</v>
      </c>
      <c r="M29" s="219">
        <v>0.5</v>
      </c>
      <c r="N29" s="218">
        <v>0.5</v>
      </c>
      <c r="O29" s="212">
        <f t="shared" si="0"/>
        <v>0.5</v>
      </c>
      <c r="P29" s="94"/>
      <c r="Q29" s="94"/>
      <c r="R29" s="94"/>
      <c r="S29" s="94"/>
      <c r="T29" s="94"/>
      <c r="U29" s="94"/>
      <c r="V29" s="94"/>
      <c r="W29" s="94"/>
      <c r="X29" s="94"/>
    </row>
    <row r="30" spans="1:24">
      <c r="A30" s="450">
        <v>8</v>
      </c>
      <c r="B30" s="215" t="s">
        <v>568</v>
      </c>
      <c r="C30" s="217">
        <v>0.29670000000000002</v>
      </c>
      <c r="D30" s="217">
        <v>0.26069999999999999</v>
      </c>
      <c r="E30" s="217">
        <v>0.26269999999999999</v>
      </c>
      <c r="F30" s="217">
        <v>0.24429999999999999</v>
      </c>
      <c r="G30" s="217">
        <v>0.21970000000000001</v>
      </c>
      <c r="H30" s="217">
        <v>0.21870000000000001</v>
      </c>
      <c r="I30" s="217">
        <v>0.2387</v>
      </c>
      <c r="J30" s="217">
        <v>0.26190000000000002</v>
      </c>
      <c r="K30" s="217">
        <v>0.30280000000000001</v>
      </c>
      <c r="L30" s="217">
        <v>0.38619999999999999</v>
      </c>
      <c r="M30" s="217">
        <v>0.36520000000000002</v>
      </c>
      <c r="N30" s="216">
        <v>0.35649999999999998</v>
      </c>
      <c r="O30" s="212">
        <f t="shared" si="0"/>
        <v>0.28450833333333336</v>
      </c>
      <c r="P30" s="94"/>
      <c r="Q30" s="94"/>
      <c r="R30" s="94"/>
      <c r="S30" s="94"/>
      <c r="T30" s="94"/>
      <c r="U30" s="94"/>
      <c r="V30" s="94"/>
      <c r="W30" s="94"/>
      <c r="X30" s="94"/>
    </row>
    <row r="31" spans="1:24">
      <c r="A31" s="450">
        <v>9</v>
      </c>
      <c r="B31" s="215" t="s">
        <v>567</v>
      </c>
      <c r="C31" s="214">
        <v>22.6403</v>
      </c>
      <c r="D31" s="214">
        <v>23.3886</v>
      </c>
      <c r="E31" s="214">
        <v>22.825600000000001</v>
      </c>
      <c r="F31" s="214">
        <v>20.473500000000001</v>
      </c>
      <c r="G31" s="214">
        <v>23.789300000000001</v>
      </c>
      <c r="H31" s="214">
        <v>22.139299999999999</v>
      </c>
      <c r="I31" s="214">
        <v>22.6187</v>
      </c>
      <c r="J31" s="214">
        <v>22.22</v>
      </c>
      <c r="K31" s="214">
        <v>21.6541</v>
      </c>
      <c r="L31" s="214">
        <v>22.486000000000001</v>
      </c>
      <c r="M31" s="214">
        <v>22.7211</v>
      </c>
      <c r="N31" s="213">
        <f>AVERAGE(B31:M31)</f>
        <v>22.450590909090906</v>
      </c>
      <c r="O31" s="212">
        <f t="shared" si="0"/>
        <v>22.450590909090906</v>
      </c>
      <c r="P31" s="94"/>
      <c r="Q31" s="94"/>
      <c r="R31" s="94"/>
      <c r="S31" s="94"/>
      <c r="T31" s="94"/>
      <c r="U31" s="94"/>
      <c r="V31" s="94"/>
      <c r="W31" s="94"/>
      <c r="X31" s="94"/>
    </row>
    <row r="32" spans="1:24" ht="15" thickBot="1">
      <c r="A32" s="450">
        <v>10</v>
      </c>
      <c r="B32" s="211" t="s">
        <v>566</v>
      </c>
      <c r="C32" s="210">
        <v>0.5</v>
      </c>
      <c r="D32" s="210">
        <v>0.5</v>
      </c>
      <c r="E32" s="210">
        <v>0.5</v>
      </c>
      <c r="F32" s="210">
        <v>0.5</v>
      </c>
      <c r="G32" s="210">
        <v>0.5</v>
      </c>
      <c r="H32" s="210">
        <v>0.5</v>
      </c>
      <c r="I32" s="210">
        <v>0.5</v>
      </c>
      <c r="J32" s="210">
        <v>0.5</v>
      </c>
      <c r="K32" s="210">
        <v>0.5</v>
      </c>
      <c r="L32" s="210">
        <v>0.5</v>
      </c>
      <c r="M32" s="210">
        <v>0.5</v>
      </c>
      <c r="N32" s="209">
        <v>0.5</v>
      </c>
      <c r="O32" s="208">
        <f t="shared" si="0"/>
        <v>0.5</v>
      </c>
      <c r="P32" s="94"/>
      <c r="Q32" s="94"/>
      <c r="R32" s="94"/>
      <c r="S32" s="94"/>
      <c r="T32" s="94"/>
      <c r="U32" s="94"/>
      <c r="V32" s="94"/>
      <c r="W32" s="94"/>
      <c r="X32" s="94"/>
    </row>
    <row r="33" spans="1:24">
      <c r="A33" s="450"/>
      <c r="B33" s="207" t="s">
        <v>565</v>
      </c>
      <c r="C33" s="175">
        <v>3.6400000000000002E-2</v>
      </c>
      <c r="D33" s="175">
        <v>3.6400000000000002E-2</v>
      </c>
      <c r="E33" s="175">
        <v>3.6400000000000002E-2</v>
      </c>
      <c r="F33" s="175">
        <v>3.6400000000000002E-2</v>
      </c>
      <c r="G33" s="175">
        <v>3.6400000000000002E-2</v>
      </c>
      <c r="H33" s="175">
        <v>3.6400000000000002E-2</v>
      </c>
      <c r="I33" s="175">
        <v>3.6400000000000002E-2</v>
      </c>
      <c r="J33" s="175">
        <v>1.1999999999999999E-3</v>
      </c>
      <c r="K33" s="175">
        <v>1.1999999999999999E-3</v>
      </c>
      <c r="L33" s="175">
        <v>1.1999999999999999E-3</v>
      </c>
      <c r="M33" s="175">
        <v>3.6400000000000002E-2</v>
      </c>
      <c r="N33" s="206">
        <v>3.6400000000000002E-2</v>
      </c>
      <c r="O33" s="205">
        <f>N33</f>
        <v>3.6400000000000002E-2</v>
      </c>
      <c r="P33" s="94"/>
      <c r="Q33" s="94"/>
      <c r="R33" s="94"/>
      <c r="S33" s="94"/>
      <c r="T33" s="94"/>
      <c r="U33" s="94"/>
      <c r="V33" s="94"/>
      <c r="W33" s="94"/>
      <c r="X33" s="94"/>
    </row>
    <row r="34" spans="1:24">
      <c r="A34" s="450"/>
      <c r="B34" s="204" t="s">
        <v>564</v>
      </c>
      <c r="C34" s="170">
        <v>0.1132</v>
      </c>
      <c r="D34" s="170">
        <v>0.1132</v>
      </c>
      <c r="E34" s="170">
        <v>0.1132</v>
      </c>
      <c r="F34" s="170">
        <v>0.1132</v>
      </c>
      <c r="G34" s="170">
        <v>0.1132</v>
      </c>
      <c r="H34" s="170">
        <v>0.1132</v>
      </c>
      <c r="I34" s="170">
        <v>0.1132</v>
      </c>
      <c r="J34" s="170">
        <v>0.1132</v>
      </c>
      <c r="K34" s="170">
        <v>0.1132</v>
      </c>
      <c r="L34" s="170">
        <v>0.1132</v>
      </c>
      <c r="M34" s="170">
        <v>0.1132</v>
      </c>
      <c r="N34" s="203">
        <v>0.1132</v>
      </c>
      <c r="O34" s="202">
        <f>AVERAGE(C34:N34)</f>
        <v>0.11319999999999998</v>
      </c>
      <c r="P34" s="94"/>
      <c r="Q34" s="94"/>
      <c r="R34" s="94"/>
      <c r="S34" s="94"/>
      <c r="T34" s="94"/>
      <c r="U34" s="94"/>
      <c r="V34" s="94"/>
      <c r="W34" s="94"/>
      <c r="X34" s="94"/>
    </row>
    <row r="35" spans="1:24">
      <c r="A35" s="450"/>
      <c r="B35" s="204" t="s">
        <v>563</v>
      </c>
      <c r="C35" s="170">
        <v>8.0000000000000004E-4</v>
      </c>
      <c r="D35" s="170">
        <v>8.0000000000000004E-4</v>
      </c>
      <c r="E35" s="170">
        <v>8.0000000000000004E-4</v>
      </c>
      <c r="F35" s="170">
        <v>8.0000000000000004E-4</v>
      </c>
      <c r="G35" s="170">
        <v>8.0000000000000004E-4</v>
      </c>
      <c r="H35" s="170">
        <v>8.0000000000000004E-4</v>
      </c>
      <c r="I35" s="170">
        <v>8.0000000000000004E-4</v>
      </c>
      <c r="J35" s="170">
        <v>8.0000000000000004E-4</v>
      </c>
      <c r="K35" s="170">
        <v>8.0000000000000004E-4</v>
      </c>
      <c r="L35" s="170">
        <v>8.0000000000000004E-4</v>
      </c>
      <c r="M35" s="170">
        <v>8.0000000000000004E-4</v>
      </c>
      <c r="N35" s="203">
        <v>8.0000000000000004E-4</v>
      </c>
      <c r="O35" s="202">
        <f>AVERAGE(C35:N35)</f>
        <v>8.0000000000000026E-4</v>
      </c>
      <c r="P35" s="94"/>
      <c r="Q35" s="94"/>
      <c r="R35" s="94"/>
      <c r="S35" s="94"/>
      <c r="T35" s="94"/>
      <c r="U35" s="94"/>
      <c r="V35" s="94"/>
      <c r="W35" s="94"/>
      <c r="X35" s="94"/>
    </row>
    <row r="36" spans="1:24" ht="15" thickBot="1">
      <c r="A36" s="450"/>
      <c r="B36" s="201" t="s">
        <v>562</v>
      </c>
      <c r="C36" s="166">
        <v>2.5901000000000001</v>
      </c>
      <c r="D36" s="166">
        <v>2.5259</v>
      </c>
      <c r="E36" s="166">
        <v>2.5525000000000002</v>
      </c>
      <c r="F36" s="166">
        <v>2.5659000000000001</v>
      </c>
      <c r="G36" s="166">
        <v>2.6126999999999998</v>
      </c>
      <c r="H36" s="166">
        <v>2.8917000000000002</v>
      </c>
      <c r="I36" s="166">
        <v>2.7993999999999999</v>
      </c>
      <c r="J36" s="166">
        <v>2.4327999999999999</v>
      </c>
      <c r="K36" s="166">
        <v>2.6189</v>
      </c>
      <c r="L36" s="166">
        <v>2.5804</v>
      </c>
      <c r="M36" s="166">
        <v>2.6295000000000002</v>
      </c>
      <c r="N36" s="200">
        <v>2.5569999999999999</v>
      </c>
      <c r="O36" s="199">
        <f>AVERAGE(C36:N36)</f>
        <v>2.6130666666666666</v>
      </c>
      <c r="P36" s="94"/>
      <c r="Q36" s="94"/>
      <c r="R36" s="94"/>
      <c r="S36" s="94"/>
      <c r="T36" s="94"/>
      <c r="U36" s="94"/>
      <c r="V36" s="94"/>
      <c r="W36" s="94"/>
      <c r="X36" s="94"/>
    </row>
    <row r="37" spans="1:24">
      <c r="A37" s="450"/>
      <c r="C37" s="198"/>
      <c r="D37" s="198"/>
      <c r="E37" s="198"/>
      <c r="F37" s="198"/>
      <c r="G37" s="198"/>
      <c r="H37" s="198"/>
      <c r="I37" s="198"/>
      <c r="J37" s="198"/>
      <c r="K37" s="198"/>
      <c r="L37" s="198"/>
      <c r="M37" s="198"/>
      <c r="N37" s="198"/>
      <c r="O37" s="197"/>
      <c r="P37" s="94"/>
      <c r="Q37" s="94"/>
      <c r="R37" s="94"/>
      <c r="S37" s="94"/>
      <c r="T37" s="94"/>
      <c r="U37" s="94"/>
      <c r="V37" s="94"/>
      <c r="W37" s="94"/>
      <c r="X37" s="94"/>
    </row>
    <row r="38" spans="1:24">
      <c r="A38" s="450"/>
      <c r="B38" s="487"/>
      <c r="C38" s="507"/>
      <c r="D38" s="508" t="s">
        <v>581</v>
      </c>
      <c r="E38" s="509">
        <f>39+10</f>
        <v>49</v>
      </c>
      <c r="F38" s="198"/>
      <c r="G38" s="198"/>
      <c r="H38" s="198"/>
      <c r="I38" s="198"/>
      <c r="J38" s="198"/>
      <c r="K38" s="198"/>
      <c r="L38" s="198"/>
      <c r="M38" s="198"/>
      <c r="N38" s="198"/>
      <c r="O38" s="197"/>
      <c r="P38" s="94"/>
      <c r="Q38" s="94"/>
      <c r="R38" s="94"/>
      <c r="S38" s="94"/>
      <c r="T38" s="94"/>
      <c r="U38" s="94"/>
      <c r="V38" s="94"/>
      <c r="W38" s="94"/>
      <c r="X38" s="94"/>
    </row>
    <row r="39" spans="1:24">
      <c r="B39" s="495"/>
      <c r="C39" s="498"/>
      <c r="D39" s="510" t="s">
        <v>579</v>
      </c>
      <c r="E39" s="499">
        <f>3+10</f>
        <v>13</v>
      </c>
      <c r="F39" s="185"/>
      <c r="G39" s="94"/>
      <c r="H39" s="94"/>
      <c r="I39" s="94"/>
      <c r="J39" s="94"/>
      <c r="K39" s="94"/>
      <c r="L39" s="94"/>
      <c r="M39" s="94"/>
      <c r="N39" s="94"/>
      <c r="O39" s="94"/>
      <c r="P39" s="94"/>
      <c r="Q39" s="94"/>
      <c r="R39" s="94"/>
      <c r="S39" s="94"/>
      <c r="T39" s="94"/>
      <c r="U39" s="94"/>
      <c r="V39" s="94"/>
      <c r="W39" s="94"/>
      <c r="X39" s="94"/>
    </row>
    <row r="40" spans="1:24" ht="15.75">
      <c r="B40" s="519"/>
      <c r="C40" s="519"/>
      <c r="D40" s="2183"/>
      <c r="E40" s="2183"/>
      <c r="F40" s="2183"/>
      <c r="G40" s="94"/>
      <c r="H40" s="94"/>
      <c r="I40" s="94"/>
      <c r="J40" s="94"/>
      <c r="K40" s="94"/>
      <c r="L40" s="94"/>
      <c r="M40" s="94"/>
      <c r="N40" s="94"/>
      <c r="O40" s="94"/>
      <c r="P40" s="94"/>
      <c r="Q40" s="94"/>
      <c r="R40" s="94"/>
      <c r="S40" s="94"/>
      <c r="T40" s="94"/>
      <c r="U40" s="94"/>
      <c r="V40" s="94"/>
      <c r="W40" s="94"/>
      <c r="X40" s="94"/>
    </row>
    <row r="41" spans="1:24" ht="16.5">
      <c r="A41" s="183" t="s">
        <v>561</v>
      </c>
      <c r="B41" s="182" t="s">
        <v>560</v>
      </c>
      <c r="D41" s="182"/>
      <c r="E41" s="450"/>
      <c r="H41" s="450"/>
      <c r="I41" s="450" t="s">
        <v>524</v>
      </c>
      <c r="J41" s="162" t="s">
        <v>559</v>
      </c>
      <c r="K41" s="94"/>
      <c r="L41" s="94"/>
      <c r="M41" s="94"/>
      <c r="N41" s="94"/>
      <c r="O41" s="94"/>
      <c r="P41" s="94"/>
      <c r="Q41" s="94"/>
      <c r="R41" s="94"/>
      <c r="S41" s="94"/>
      <c r="T41" s="94"/>
      <c r="U41" s="94"/>
      <c r="V41" s="94"/>
      <c r="W41" s="94"/>
      <c r="X41" s="94"/>
    </row>
    <row r="42" spans="1:24" ht="15" thickBot="1">
      <c r="A42" s="450"/>
      <c r="C42" s="181">
        <v>1</v>
      </c>
      <c r="D42" s="181">
        <v>2</v>
      </c>
      <c r="E42" s="450"/>
      <c r="F42" s="450"/>
      <c r="G42" s="450"/>
      <c r="H42" s="450"/>
      <c r="I42" s="94"/>
      <c r="J42" s="94"/>
      <c r="K42" s="94"/>
      <c r="L42" s="94"/>
      <c r="M42" s="94"/>
      <c r="N42" s="94"/>
      <c r="O42" s="94"/>
      <c r="P42" s="94"/>
      <c r="Q42" s="94"/>
      <c r="R42" s="94"/>
      <c r="S42" s="94"/>
      <c r="T42" s="94"/>
      <c r="U42" s="94"/>
      <c r="V42" s="94"/>
      <c r="W42" s="94"/>
      <c r="X42" s="94"/>
    </row>
    <row r="43" spans="1:24" ht="15" thickBot="1">
      <c r="B43" s="180"/>
      <c r="C43" s="179" t="s">
        <v>496</v>
      </c>
      <c r="D43" s="178" t="s">
        <v>495</v>
      </c>
      <c r="E43" s="196"/>
      <c r="F43" s="450"/>
      <c r="G43" s="450"/>
      <c r="H43" s="450"/>
      <c r="I43" s="94"/>
      <c r="J43" s="94"/>
      <c r="K43" s="94"/>
      <c r="L43" s="94"/>
      <c r="M43" s="94"/>
      <c r="N43" s="94"/>
      <c r="O43" s="94"/>
      <c r="P43" s="94"/>
      <c r="Q43" s="94"/>
      <c r="R43" s="94"/>
      <c r="S43" s="94"/>
      <c r="T43" s="94"/>
      <c r="U43" s="94"/>
      <c r="V43" s="94"/>
      <c r="W43" s="94"/>
      <c r="X43" s="94"/>
    </row>
    <row r="44" spans="1:24">
      <c r="A44" s="450">
        <v>1</v>
      </c>
      <c r="B44" s="195" t="s">
        <v>558</v>
      </c>
      <c r="C44" s="194">
        <v>3000</v>
      </c>
      <c r="D44" s="193">
        <f>C44</f>
        <v>3000</v>
      </c>
      <c r="E44" s="450"/>
      <c r="F44" s="450"/>
      <c r="G44" s="450"/>
      <c r="H44" s="450"/>
      <c r="I44" s="94"/>
      <c r="J44" s="94"/>
      <c r="K44" s="94"/>
      <c r="L44" s="94"/>
      <c r="M44" s="94"/>
      <c r="N44" s="94"/>
      <c r="O44" s="94"/>
      <c r="P44" s="94"/>
      <c r="Q44" s="94"/>
      <c r="R44" s="94"/>
      <c r="S44" s="94"/>
      <c r="T44" s="94"/>
      <c r="U44" s="94"/>
      <c r="V44" s="94"/>
      <c r="W44" s="94"/>
      <c r="X44" s="94"/>
    </row>
    <row r="45" spans="1:24">
      <c r="A45" s="450">
        <v>2</v>
      </c>
      <c r="B45" s="190" t="s">
        <v>557</v>
      </c>
      <c r="C45" s="192">
        <v>0.7</v>
      </c>
      <c r="D45" s="191">
        <f>C45</f>
        <v>0.7</v>
      </c>
      <c r="E45" s="450"/>
      <c r="F45" s="450"/>
      <c r="G45" s="450"/>
      <c r="H45" s="450"/>
      <c r="I45" s="94"/>
      <c r="J45" s="94"/>
      <c r="K45" s="94"/>
      <c r="L45" s="94"/>
      <c r="M45" s="94"/>
      <c r="N45" s="94"/>
      <c r="O45" s="94"/>
      <c r="P45" s="94"/>
      <c r="Q45" s="94"/>
      <c r="R45" s="94"/>
      <c r="S45" s="94"/>
      <c r="T45" s="94"/>
      <c r="U45" s="94"/>
      <c r="V45" s="94"/>
      <c r="W45" s="94"/>
      <c r="X45" s="94"/>
    </row>
    <row r="46" spans="1:24">
      <c r="A46" s="450">
        <v>3</v>
      </c>
      <c r="B46" s="190" t="s">
        <v>556</v>
      </c>
      <c r="C46" s="192">
        <v>2.2000000000000002</v>
      </c>
      <c r="D46" s="191">
        <f>C46</f>
        <v>2.2000000000000002</v>
      </c>
      <c r="E46" s="450"/>
      <c r="F46" s="450"/>
      <c r="G46" s="450"/>
      <c r="H46" s="450"/>
      <c r="I46" s="94"/>
      <c r="J46" s="94"/>
      <c r="K46" s="94"/>
      <c r="L46" s="94"/>
      <c r="M46" s="94"/>
      <c r="N46" s="94"/>
      <c r="O46" s="94"/>
      <c r="P46" s="94"/>
      <c r="Q46" s="94"/>
      <c r="R46" s="94"/>
      <c r="S46" s="94"/>
      <c r="T46" s="94"/>
      <c r="U46" s="94"/>
      <c r="V46" s="94"/>
      <c r="W46" s="94"/>
      <c r="X46" s="94"/>
    </row>
    <row r="47" spans="1:24">
      <c r="A47" s="450">
        <v>4</v>
      </c>
      <c r="B47" s="190" t="s">
        <v>555</v>
      </c>
      <c r="C47" s="192">
        <f>80+24</f>
        <v>104</v>
      </c>
      <c r="D47" s="191">
        <f>C47</f>
        <v>104</v>
      </c>
      <c r="E47" s="450"/>
      <c r="F47" s="450"/>
      <c r="G47" s="450"/>
      <c r="H47" s="450"/>
      <c r="I47" s="94"/>
      <c r="J47" s="94"/>
      <c r="K47" s="94"/>
      <c r="L47" s="94"/>
      <c r="M47" s="94"/>
      <c r="N47" s="94"/>
      <c r="O47" s="94"/>
      <c r="P47" s="94"/>
      <c r="Q47" s="94"/>
      <c r="R47" s="94"/>
      <c r="S47" s="94"/>
      <c r="T47" s="94"/>
      <c r="U47" s="94"/>
      <c r="V47" s="94"/>
      <c r="W47" s="94"/>
      <c r="X47" s="94"/>
    </row>
    <row r="48" spans="1:24" ht="15" thickBot="1">
      <c r="A48" s="450">
        <v>5</v>
      </c>
      <c r="B48" s="189" t="s">
        <v>554</v>
      </c>
      <c r="C48" s="188">
        <f>30+12</f>
        <v>42</v>
      </c>
      <c r="D48" s="187">
        <f>C48</f>
        <v>42</v>
      </c>
      <c r="E48" s="450"/>
      <c r="F48" s="450"/>
      <c r="G48" s="450"/>
      <c r="H48" s="450"/>
      <c r="I48" s="94"/>
      <c r="J48" s="94"/>
      <c r="K48" s="94"/>
      <c r="L48" s="94"/>
      <c r="M48" s="94"/>
      <c r="N48" s="94"/>
      <c r="O48" s="94"/>
      <c r="P48" s="94"/>
      <c r="Q48" s="94"/>
      <c r="R48" s="94"/>
      <c r="S48" s="94"/>
      <c r="T48" s="94"/>
      <c r="U48" s="94"/>
      <c r="V48" s="94"/>
      <c r="W48" s="94"/>
      <c r="X48" s="94"/>
    </row>
    <row r="49" spans="1:24" ht="15.75">
      <c r="A49" s="450"/>
      <c r="B49" s="2174"/>
      <c r="C49" s="2184"/>
      <c r="D49" s="2184"/>
      <c r="E49" s="2184"/>
      <c r="F49" s="2184"/>
      <c r="G49" s="94"/>
      <c r="H49" s="94"/>
      <c r="I49" s="94"/>
      <c r="J49" s="94"/>
      <c r="K49" s="94"/>
      <c r="L49" s="94"/>
      <c r="M49" s="94"/>
      <c r="N49" s="94"/>
      <c r="O49" s="94"/>
      <c r="P49" s="94"/>
      <c r="Q49" s="94"/>
      <c r="R49" s="94"/>
      <c r="S49" s="94"/>
      <c r="T49" s="94"/>
      <c r="U49" s="94"/>
      <c r="V49" s="94"/>
      <c r="W49" s="94"/>
      <c r="X49" s="94"/>
    </row>
    <row r="50" spans="1:24" ht="15.75">
      <c r="B50" s="186"/>
      <c r="C50" s="185"/>
      <c r="D50" s="184"/>
      <c r="E50" s="184"/>
      <c r="F50" s="184"/>
      <c r="G50" s="94"/>
      <c r="H50" s="94"/>
      <c r="I50" s="94"/>
      <c r="J50" s="94"/>
      <c r="K50" s="94"/>
      <c r="L50" s="94"/>
      <c r="M50" s="94"/>
      <c r="N50" s="94"/>
      <c r="O50" s="94"/>
      <c r="P50" s="94"/>
      <c r="Q50" s="94"/>
      <c r="R50" s="94"/>
      <c r="S50" s="94"/>
      <c r="T50" s="94"/>
      <c r="U50" s="94"/>
      <c r="V50" s="94"/>
      <c r="W50" s="94"/>
      <c r="X50" s="94"/>
    </row>
    <row r="51" spans="1:24" ht="16.5">
      <c r="A51" s="183" t="s">
        <v>553</v>
      </c>
      <c r="B51" s="182" t="s">
        <v>552</v>
      </c>
      <c r="C51" s="450" t="s">
        <v>225</v>
      </c>
      <c r="D51" s="450"/>
      <c r="E51" s="450"/>
      <c r="H51" s="94"/>
      <c r="I51" s="450" t="s">
        <v>524</v>
      </c>
      <c r="J51" s="162" t="s">
        <v>551</v>
      </c>
      <c r="K51" s="94"/>
      <c r="L51" s="94"/>
      <c r="M51" s="94"/>
      <c r="N51" s="94"/>
      <c r="O51" s="94"/>
      <c r="P51" s="94"/>
      <c r="Q51" s="94"/>
      <c r="R51" s="94"/>
      <c r="S51" s="94"/>
      <c r="T51" s="94"/>
      <c r="U51" s="94"/>
      <c r="V51" s="94"/>
      <c r="W51" s="94"/>
      <c r="X51" s="94"/>
    </row>
    <row r="52" spans="1:24" ht="15" thickBot="1">
      <c r="A52" s="450"/>
      <c r="B52" s="181">
        <v>1</v>
      </c>
      <c r="C52" s="181">
        <v>2</v>
      </c>
      <c r="D52" s="181">
        <v>3</v>
      </c>
      <c r="E52" s="181">
        <v>4</v>
      </c>
      <c r="F52" s="181"/>
      <c r="G52" s="181"/>
      <c r="H52" s="94"/>
      <c r="I52" s="94" t="s">
        <v>895</v>
      </c>
      <c r="J52" s="94"/>
      <c r="K52" s="94"/>
      <c r="L52" s="94"/>
      <c r="M52" s="94"/>
      <c r="N52" s="94"/>
      <c r="O52" s="94"/>
      <c r="P52" s="94"/>
      <c r="Q52" s="94"/>
      <c r="R52" s="94"/>
      <c r="S52" s="94"/>
      <c r="T52" s="94"/>
      <c r="U52" s="94"/>
      <c r="V52" s="94"/>
      <c r="W52" s="94"/>
      <c r="X52" s="94"/>
    </row>
    <row r="53" spans="1:24" ht="15" thickBot="1">
      <c r="B53" s="180"/>
      <c r="D53" s="179" t="s">
        <v>496</v>
      </c>
      <c r="E53" s="178" t="s">
        <v>495</v>
      </c>
      <c r="F53" s="450"/>
      <c r="G53" s="450"/>
      <c r="H53" s="94"/>
      <c r="I53" s="511" t="s">
        <v>944</v>
      </c>
      <c r="J53" s="512" t="s">
        <v>945</v>
      </c>
      <c r="K53" s="94"/>
      <c r="L53" s="94"/>
      <c r="M53" s="94"/>
      <c r="N53" s="94"/>
      <c r="O53" s="94"/>
      <c r="P53" s="94"/>
      <c r="Q53" s="94"/>
      <c r="R53" s="94"/>
      <c r="S53" s="94"/>
      <c r="T53" s="94"/>
      <c r="U53" s="94"/>
      <c r="V53" s="94"/>
      <c r="W53" s="94"/>
      <c r="X53" s="94"/>
    </row>
    <row r="54" spans="1:24">
      <c r="A54" s="450">
        <v>1</v>
      </c>
      <c r="B54" s="177" t="s">
        <v>896</v>
      </c>
      <c r="C54" s="176" t="s">
        <v>550</v>
      </c>
      <c r="D54" s="175">
        <v>200</v>
      </c>
      <c r="E54" s="174">
        <v>450</v>
      </c>
      <c r="F54" s="450"/>
      <c r="G54" s="450"/>
      <c r="H54" s="94"/>
      <c r="I54" s="511" t="s">
        <v>896</v>
      </c>
      <c r="J54" s="513" t="s">
        <v>946</v>
      </c>
      <c r="K54" s="94"/>
      <c r="L54" s="94"/>
      <c r="M54" s="94"/>
      <c r="N54" s="94"/>
      <c r="O54" s="94"/>
      <c r="P54" s="94"/>
      <c r="Q54" s="94"/>
      <c r="R54" s="94"/>
      <c r="S54" s="94"/>
      <c r="T54" s="94"/>
      <c r="U54" s="94"/>
      <c r="V54" s="94"/>
      <c r="W54" s="94"/>
      <c r="X54" s="94"/>
    </row>
    <row r="55" spans="1:24">
      <c r="A55" s="450">
        <v>2</v>
      </c>
      <c r="B55" s="172" t="s">
        <v>897</v>
      </c>
      <c r="C55" s="173" t="s">
        <v>898</v>
      </c>
      <c r="D55" s="170">
        <v>200</v>
      </c>
      <c r="E55" s="169"/>
      <c r="F55" s="450"/>
      <c r="G55" s="450"/>
      <c r="H55" s="94"/>
      <c r="I55" s="511" t="s">
        <v>897</v>
      </c>
      <c r="J55" s="513" t="s">
        <v>947</v>
      </c>
      <c r="K55" s="94"/>
      <c r="L55" s="94"/>
      <c r="M55" s="94"/>
      <c r="N55" s="94"/>
      <c r="O55" s="94"/>
      <c r="P55" s="94"/>
      <c r="Q55" s="94"/>
      <c r="R55" s="94"/>
      <c r="S55" s="94"/>
      <c r="T55" s="94"/>
      <c r="U55" s="94"/>
      <c r="V55" s="94"/>
      <c r="W55" s="94"/>
      <c r="X55" s="94"/>
    </row>
    <row r="56" spans="1:24">
      <c r="A56" s="450">
        <v>3</v>
      </c>
      <c r="B56" s="172" t="s">
        <v>899</v>
      </c>
      <c r="C56" s="173" t="s">
        <v>549</v>
      </c>
      <c r="D56" s="170">
        <v>220</v>
      </c>
      <c r="E56" s="169">
        <v>480</v>
      </c>
      <c r="F56" s="450"/>
      <c r="G56" s="450"/>
      <c r="H56" s="94"/>
      <c r="I56" s="511" t="s">
        <v>899</v>
      </c>
      <c r="J56" s="513" t="s">
        <v>948</v>
      </c>
      <c r="K56" s="94"/>
      <c r="L56" s="94"/>
      <c r="M56" s="94"/>
      <c r="N56" s="94"/>
      <c r="O56" s="94"/>
      <c r="P56" s="94"/>
      <c r="Q56" s="94"/>
      <c r="R56" s="94"/>
      <c r="S56" s="94"/>
      <c r="T56" s="94"/>
      <c r="U56" s="94"/>
      <c r="V56" s="94"/>
      <c r="W56" s="94"/>
      <c r="X56" s="94"/>
    </row>
    <row r="57" spans="1:24">
      <c r="A57" s="450">
        <v>4</v>
      </c>
      <c r="B57" s="172" t="s">
        <v>900</v>
      </c>
      <c r="C57" s="171" t="s">
        <v>548</v>
      </c>
      <c r="D57" s="170">
        <v>370</v>
      </c>
      <c r="E57" s="169"/>
      <c r="F57" s="450"/>
      <c r="H57" s="94"/>
      <c r="I57" s="511" t="str">
        <f>B57</f>
        <v>moulée commerciale</v>
      </c>
      <c r="J57" s="513" t="s">
        <v>949</v>
      </c>
      <c r="K57" s="94"/>
      <c r="L57" s="94"/>
      <c r="M57" s="94"/>
      <c r="N57" s="94"/>
      <c r="O57" s="94"/>
      <c r="P57" s="94"/>
      <c r="Q57" s="94"/>
      <c r="R57" s="94"/>
      <c r="S57" s="94"/>
      <c r="T57" s="94"/>
      <c r="U57" s="94"/>
      <c r="V57" s="94"/>
      <c r="W57" s="94"/>
      <c r="X57" s="94"/>
    </row>
    <row r="58" spans="1:24">
      <c r="A58" s="450">
        <v>5</v>
      </c>
      <c r="B58" s="172" t="s">
        <v>901</v>
      </c>
      <c r="C58" s="171" t="s">
        <v>547</v>
      </c>
      <c r="D58" s="170">
        <v>550</v>
      </c>
      <c r="E58" s="169"/>
      <c r="F58" s="450"/>
      <c r="G58" s="450"/>
      <c r="H58" s="94"/>
      <c r="I58" s="511" t="str">
        <f>B58</f>
        <v>moulée robot</v>
      </c>
      <c r="J58" s="513" t="s">
        <v>950</v>
      </c>
      <c r="K58" s="94"/>
      <c r="L58" s="94"/>
      <c r="M58" s="94"/>
      <c r="N58" s="94"/>
      <c r="O58" s="94"/>
      <c r="P58" s="94"/>
      <c r="Q58" s="94"/>
      <c r="R58" s="94"/>
      <c r="S58" s="94"/>
      <c r="T58" s="94"/>
      <c r="U58" s="94"/>
      <c r="V58" s="94"/>
      <c r="W58" s="94"/>
      <c r="X58" s="94"/>
    </row>
    <row r="59" spans="1:24">
      <c r="A59" s="450">
        <v>6</v>
      </c>
      <c r="B59" s="172" t="s">
        <v>546</v>
      </c>
      <c r="C59" s="171" t="s">
        <v>545</v>
      </c>
      <c r="D59" s="170">
        <v>600</v>
      </c>
      <c r="E59" s="169"/>
      <c r="F59" s="450"/>
      <c r="G59" s="450"/>
      <c r="H59" s="94"/>
      <c r="I59" s="94"/>
      <c r="J59" s="94"/>
      <c r="K59" s="94"/>
      <c r="L59" s="94"/>
      <c r="M59" s="94"/>
      <c r="N59" s="94"/>
      <c r="O59" s="94"/>
      <c r="P59" s="94"/>
      <c r="Q59" s="94"/>
      <c r="R59" s="94"/>
      <c r="S59" s="94"/>
      <c r="T59" s="94"/>
      <c r="U59" s="94"/>
      <c r="V59" s="94"/>
      <c r="W59" s="94"/>
      <c r="X59" s="94"/>
    </row>
    <row r="60" spans="1:24">
      <c r="A60" s="450">
        <v>7</v>
      </c>
      <c r="B60" s="172" t="s">
        <v>544</v>
      </c>
      <c r="C60" s="171" t="s">
        <v>543</v>
      </c>
      <c r="D60" s="170">
        <v>550</v>
      </c>
      <c r="E60" s="169">
        <v>1350</v>
      </c>
      <c r="F60" s="450"/>
      <c r="G60" s="450"/>
      <c r="H60" s="94"/>
      <c r="I60" s="94"/>
      <c r="J60" s="94"/>
      <c r="K60" s="94"/>
      <c r="L60" s="94"/>
      <c r="M60" s="94"/>
      <c r="N60" s="94"/>
      <c r="O60" s="94"/>
      <c r="P60" s="94"/>
      <c r="Q60" s="94"/>
      <c r="R60" s="94"/>
      <c r="S60" s="94"/>
      <c r="T60" s="94"/>
      <c r="U60" s="94"/>
      <c r="V60" s="94"/>
      <c r="W60" s="94"/>
      <c r="X60" s="94"/>
    </row>
    <row r="61" spans="1:24">
      <c r="A61" s="450">
        <v>8</v>
      </c>
      <c r="B61" s="172" t="s">
        <v>542</v>
      </c>
      <c r="C61" s="171" t="s">
        <v>541</v>
      </c>
      <c r="D61" s="170">
        <v>700</v>
      </c>
      <c r="E61" s="169"/>
      <c r="F61" s="450"/>
      <c r="G61" s="450"/>
      <c r="H61" s="94"/>
      <c r="I61" s="94"/>
      <c r="J61" s="94"/>
      <c r="K61" s="94"/>
      <c r="L61" s="94"/>
      <c r="M61" s="94"/>
      <c r="N61" s="94"/>
      <c r="O61" s="94"/>
      <c r="P61" s="94"/>
      <c r="Q61" s="94"/>
      <c r="R61" s="94"/>
      <c r="S61" s="94"/>
      <c r="T61" s="94"/>
      <c r="U61" s="94"/>
      <c r="V61" s="94"/>
      <c r="W61" s="94"/>
      <c r="X61" s="94"/>
    </row>
    <row r="62" spans="1:24">
      <c r="A62" s="450">
        <v>9</v>
      </c>
      <c r="B62" s="172" t="s">
        <v>540</v>
      </c>
      <c r="C62" s="171" t="s">
        <v>539</v>
      </c>
      <c r="D62" s="170">
        <v>850</v>
      </c>
      <c r="E62" s="169"/>
      <c r="F62" s="450"/>
      <c r="G62" s="450"/>
      <c r="H62" s="94"/>
      <c r="I62" s="94"/>
      <c r="J62" s="94"/>
      <c r="K62" s="94"/>
      <c r="L62" s="94"/>
      <c r="M62" s="94"/>
      <c r="N62" s="94"/>
      <c r="O62" s="94"/>
      <c r="P62" s="94"/>
      <c r="Q62" s="94"/>
      <c r="R62" s="94"/>
      <c r="S62" s="94"/>
      <c r="T62" s="94"/>
      <c r="U62" s="94"/>
      <c r="V62" s="94"/>
      <c r="W62" s="94"/>
      <c r="X62" s="94"/>
    </row>
    <row r="63" spans="1:24">
      <c r="A63" s="450">
        <v>10</v>
      </c>
      <c r="B63" s="172" t="s">
        <v>538</v>
      </c>
      <c r="C63" s="171" t="s">
        <v>537</v>
      </c>
      <c r="D63" s="170">
        <v>1200</v>
      </c>
      <c r="E63" s="169">
        <f>D63</f>
        <v>1200</v>
      </c>
      <c r="F63" s="450"/>
      <c r="G63" s="450"/>
      <c r="H63" s="94"/>
      <c r="I63" s="94"/>
      <c r="J63" s="94"/>
      <c r="K63" s="94"/>
      <c r="L63" s="94"/>
      <c r="M63" s="94"/>
      <c r="N63" s="94"/>
      <c r="O63" s="94"/>
      <c r="P63" s="94"/>
      <c r="Q63" s="94"/>
      <c r="R63" s="94"/>
      <c r="S63" s="94"/>
      <c r="T63" s="94"/>
      <c r="U63" s="94"/>
      <c r="V63" s="94"/>
      <c r="W63" s="94"/>
      <c r="X63" s="94"/>
    </row>
    <row r="64" spans="1:24">
      <c r="A64" s="450">
        <v>11</v>
      </c>
      <c r="B64" s="172" t="s">
        <v>536</v>
      </c>
      <c r="C64" s="171" t="s">
        <v>535</v>
      </c>
      <c r="D64" s="170">
        <f>1800/1000</f>
        <v>1.8</v>
      </c>
      <c r="E64" s="710"/>
      <c r="F64" s="711"/>
      <c r="G64" s="450"/>
      <c r="H64" s="94"/>
      <c r="I64" s="94"/>
      <c r="J64" s="94"/>
      <c r="K64" s="94"/>
      <c r="L64" s="94"/>
      <c r="M64" s="94"/>
      <c r="N64" s="94"/>
      <c r="O64" s="94"/>
      <c r="P64" s="94"/>
      <c r="Q64" s="94"/>
      <c r="R64" s="94"/>
      <c r="S64" s="94"/>
      <c r="T64" s="94"/>
      <c r="U64" s="94"/>
      <c r="V64" s="94"/>
      <c r="W64" s="94"/>
      <c r="X64" s="94"/>
    </row>
    <row r="65" spans="1:24" ht="15" customHeight="1" thickBot="1">
      <c r="A65" s="450">
        <v>12</v>
      </c>
      <c r="B65" s="172" t="s">
        <v>534</v>
      </c>
      <c r="C65" s="171" t="s">
        <v>533</v>
      </c>
      <c r="D65" s="170">
        <v>700</v>
      </c>
      <c r="E65" s="169"/>
      <c r="F65" s="450" t="s">
        <v>902</v>
      </c>
      <c r="G65" s="450"/>
      <c r="H65" s="94"/>
      <c r="I65" s="94"/>
      <c r="J65" s="94"/>
      <c r="K65" s="94"/>
      <c r="L65" s="94"/>
      <c r="M65" s="94"/>
      <c r="N65" s="94"/>
      <c r="O65" s="94"/>
      <c r="P65" s="94"/>
      <c r="Q65" s="94"/>
      <c r="R65" s="94"/>
      <c r="S65" s="94"/>
      <c r="T65" s="94"/>
      <c r="U65" s="94"/>
      <c r="V65" s="94"/>
      <c r="W65" s="94"/>
      <c r="X65" s="94"/>
    </row>
    <row r="66" spans="1:24" ht="15" customHeight="1" thickBot="1">
      <c r="A66" s="450">
        <v>13</v>
      </c>
      <c r="B66" s="172" t="s">
        <v>532</v>
      </c>
      <c r="C66" s="171" t="s">
        <v>531</v>
      </c>
      <c r="D66" s="170">
        <v>900</v>
      </c>
      <c r="E66" s="169"/>
      <c r="F66" s="179" t="s">
        <v>496</v>
      </c>
      <c r="G66" s="178" t="s">
        <v>495</v>
      </c>
      <c r="H66" s="94"/>
      <c r="I66" s="94"/>
      <c r="J66" s="94"/>
      <c r="K66" s="94"/>
      <c r="L66" s="94"/>
      <c r="M66" s="94"/>
      <c r="N66" s="94"/>
      <c r="O66" s="94"/>
      <c r="P66" s="94"/>
      <c r="Q66" s="94"/>
      <c r="R66" s="94"/>
      <c r="S66" s="94"/>
      <c r="T66" s="94"/>
      <c r="U66" s="94"/>
      <c r="V66" s="94"/>
      <c r="W66" s="94"/>
      <c r="X66" s="94"/>
    </row>
    <row r="67" spans="1:24" ht="15" customHeight="1">
      <c r="A67" s="450">
        <v>14</v>
      </c>
      <c r="B67" s="172" t="s">
        <v>530</v>
      </c>
      <c r="C67" s="171" t="s">
        <v>529</v>
      </c>
      <c r="D67" s="170">
        <v>215</v>
      </c>
      <c r="E67" s="169">
        <f>D67</f>
        <v>215</v>
      </c>
      <c r="F67" s="525">
        <f>1-F68</f>
        <v>0.78</v>
      </c>
      <c r="G67" s="526">
        <f>1-G68</f>
        <v>1</v>
      </c>
      <c r="H67" s="94"/>
      <c r="I67" s="94"/>
      <c r="J67" s="94"/>
      <c r="K67" s="94"/>
      <c r="L67" s="94"/>
      <c r="M67" s="94"/>
      <c r="N67" s="94"/>
      <c r="O67" s="94"/>
      <c r="P67" s="94"/>
      <c r="Q67" s="94"/>
      <c r="R67" s="94"/>
      <c r="S67" s="94"/>
      <c r="T67" s="94"/>
      <c r="U67" s="94"/>
      <c r="V67" s="94"/>
      <c r="W67" s="94"/>
      <c r="X67" s="94"/>
    </row>
    <row r="68" spans="1:24" ht="15" customHeight="1" thickBot="1">
      <c r="A68" s="450">
        <v>15</v>
      </c>
      <c r="B68" s="168" t="s">
        <v>528</v>
      </c>
      <c r="C68" s="167" t="s">
        <v>527</v>
      </c>
      <c r="D68" s="166">
        <v>170</v>
      </c>
      <c r="E68" s="165">
        <f>ROUND(D68/0.7,0)</f>
        <v>243</v>
      </c>
      <c r="F68" s="527">
        <v>0.22</v>
      </c>
      <c r="G68" s="528">
        <v>0</v>
      </c>
      <c r="H68" s="94"/>
      <c r="I68" s="94"/>
      <c r="J68" s="94"/>
      <c r="K68" s="94"/>
      <c r="L68" s="94"/>
      <c r="M68" s="94"/>
      <c r="N68" s="94"/>
      <c r="O68" s="94"/>
      <c r="P68" s="94"/>
      <c r="Q68" s="94"/>
      <c r="R68" s="94"/>
      <c r="S68" s="94"/>
      <c r="T68" s="94"/>
      <c r="U68" s="94"/>
      <c r="V68" s="94"/>
      <c r="W68" s="94"/>
      <c r="X68" s="94"/>
    </row>
    <row r="69" spans="1:24" ht="15" customHeight="1" thickBot="1">
      <c r="A69" s="450"/>
      <c r="B69" s="168" t="s">
        <v>1170</v>
      </c>
      <c r="C69" s="167"/>
      <c r="D69" s="166">
        <v>120</v>
      </c>
      <c r="E69" s="165">
        <f>D69</f>
        <v>120</v>
      </c>
      <c r="F69" s="527"/>
      <c r="G69" s="528"/>
    </row>
    <row r="70" spans="1:24" ht="15" customHeight="1">
      <c r="B70" s="120"/>
      <c r="C70" s="164"/>
      <c r="D70" s="163"/>
      <c r="E70" s="163"/>
      <c r="F70" s="163"/>
    </row>
    <row r="71" spans="1:24" ht="15" customHeight="1">
      <c r="B71" s="120"/>
      <c r="C71" s="164"/>
      <c r="D71" s="163"/>
      <c r="E71" s="163"/>
      <c r="F71" s="163"/>
    </row>
    <row r="72" spans="1:24" ht="16.5">
      <c r="A72" s="93" t="s">
        <v>526</v>
      </c>
      <c r="B72" s="124" t="s">
        <v>525</v>
      </c>
      <c r="C72" s="161"/>
      <c r="D72" s="160"/>
      <c r="E72" s="160"/>
      <c r="F72" s="160"/>
      <c r="I72" s="450" t="s">
        <v>524</v>
      </c>
      <c r="J72" s="162" t="s">
        <v>523</v>
      </c>
    </row>
    <row r="73" spans="1:24" ht="15">
      <c r="B73" s="519"/>
      <c r="E73" s="160"/>
      <c r="F73" s="160"/>
    </row>
    <row r="74" spans="1:24">
      <c r="B74" s="519"/>
      <c r="C74" s="156" t="s">
        <v>522</v>
      </c>
      <c r="D74" s="156" t="s">
        <v>521</v>
      </c>
      <c r="E74" s="105" t="s">
        <v>520</v>
      </c>
      <c r="F74" s="124" t="s">
        <v>402</v>
      </c>
      <c r="G74" s="156" t="s">
        <v>494</v>
      </c>
      <c r="H74" s="93" t="s">
        <v>400</v>
      </c>
      <c r="I74" s="93" t="s">
        <v>494</v>
      </c>
      <c r="J74" s="304">
        <v>1</v>
      </c>
    </row>
    <row r="75" spans="1:24">
      <c r="B75" s="124" t="s">
        <v>519</v>
      </c>
      <c r="C75" s="349">
        <v>7576</v>
      </c>
      <c r="D75" s="156">
        <v>6565</v>
      </c>
      <c r="E75" s="156">
        <v>7701</v>
      </c>
      <c r="F75" s="93">
        <v>9542</v>
      </c>
      <c r="G75" s="93">
        <v>11147</v>
      </c>
      <c r="H75" s="93">
        <v>7611</v>
      </c>
      <c r="I75" s="93">
        <v>8801</v>
      </c>
      <c r="J75" s="93">
        <v>2</v>
      </c>
    </row>
    <row r="76" spans="1:24">
      <c r="B76" s="124" t="s">
        <v>518</v>
      </c>
      <c r="C76" s="529">
        <v>4.1700000000000001E-2</v>
      </c>
      <c r="D76" s="530">
        <v>5.0900000000000001E-2</v>
      </c>
      <c r="E76" s="530">
        <v>4.2799999999999998E-2</v>
      </c>
      <c r="F76" s="531">
        <v>0.04</v>
      </c>
      <c r="G76" s="531">
        <v>3.9600000000000003E-2</v>
      </c>
      <c r="H76" s="531">
        <v>4.1000000000000002E-2</v>
      </c>
      <c r="I76" s="531">
        <v>4.0300000000000002E-2</v>
      </c>
      <c r="J76" s="93">
        <v>3</v>
      </c>
    </row>
    <row r="77" spans="1:24">
      <c r="B77" s="124" t="s">
        <v>517</v>
      </c>
      <c r="C77" s="529">
        <v>3.39E-2</v>
      </c>
      <c r="D77" s="530">
        <v>3.8899999999999997E-2</v>
      </c>
      <c r="E77" s="530">
        <v>3.5499999999999997E-2</v>
      </c>
      <c r="F77" s="531">
        <v>3.3000000000000002E-2</v>
      </c>
      <c r="G77" s="531">
        <v>3.2899999999999999E-2</v>
      </c>
      <c r="H77" s="531">
        <v>3.2599999999999997E-2</v>
      </c>
      <c r="I77" s="531">
        <v>3.1800000000000002E-2</v>
      </c>
      <c r="J77" s="93">
        <v>4</v>
      </c>
    </row>
    <row r="78" spans="1:24">
      <c r="B78" s="124" t="s">
        <v>516</v>
      </c>
      <c r="C78" s="349">
        <v>181</v>
      </c>
      <c r="D78" s="156">
        <v>244</v>
      </c>
      <c r="E78" s="156">
        <v>207</v>
      </c>
      <c r="F78" s="93">
        <v>216</v>
      </c>
      <c r="G78" s="93">
        <v>186</v>
      </c>
      <c r="H78" s="93">
        <v>267</v>
      </c>
      <c r="I78" s="93">
        <v>266</v>
      </c>
      <c r="J78" s="93">
        <v>5</v>
      </c>
    </row>
    <row r="79" spans="1:24">
      <c r="B79" s="352" t="s">
        <v>24</v>
      </c>
      <c r="C79" s="159">
        <v>34</v>
      </c>
      <c r="D79" s="159">
        <v>34</v>
      </c>
      <c r="E79" s="159">
        <v>34</v>
      </c>
      <c r="F79" s="93">
        <v>0.33400000000000002</v>
      </c>
      <c r="G79" s="93">
        <v>0.36399999999999999</v>
      </c>
      <c r="H79" s="93">
        <v>0.25</v>
      </c>
      <c r="I79" s="93">
        <v>0.23799999999999999</v>
      </c>
      <c r="J79" s="93">
        <v>6</v>
      </c>
    </row>
    <row r="80" spans="1:24">
      <c r="B80" s="352" t="s">
        <v>515</v>
      </c>
      <c r="C80" s="159">
        <v>0.86899999999999999</v>
      </c>
      <c r="D80" s="159">
        <v>0.86899999999999999</v>
      </c>
      <c r="E80" s="159">
        <v>0.86899999999999999</v>
      </c>
      <c r="F80" s="93">
        <v>0.871</v>
      </c>
      <c r="G80" s="93">
        <v>0.876</v>
      </c>
      <c r="H80" s="93">
        <v>0.86099999999999999</v>
      </c>
      <c r="I80" s="93">
        <v>0.871</v>
      </c>
      <c r="J80" s="93">
        <v>7</v>
      </c>
    </row>
    <row r="81" spans="2:13">
      <c r="B81" s="352" t="s">
        <v>514</v>
      </c>
      <c r="C81" s="152">
        <v>580</v>
      </c>
      <c r="D81" s="158">
        <v>445</v>
      </c>
      <c r="E81" s="158">
        <v>619</v>
      </c>
      <c r="F81" s="93">
        <v>673</v>
      </c>
      <c r="G81" s="93">
        <v>690</v>
      </c>
      <c r="H81" s="93">
        <v>644</v>
      </c>
      <c r="I81" s="93">
        <v>662</v>
      </c>
      <c r="J81" s="93">
        <v>8</v>
      </c>
    </row>
    <row r="82" spans="2:13">
      <c r="B82" s="353" t="s">
        <v>392</v>
      </c>
      <c r="C82" s="152">
        <v>418</v>
      </c>
      <c r="D82" s="158">
        <f>C82</f>
        <v>418</v>
      </c>
      <c r="E82" s="158">
        <f>D82</f>
        <v>418</v>
      </c>
      <c r="F82" s="93">
        <v>419</v>
      </c>
      <c r="G82" s="93">
        <v>411</v>
      </c>
      <c r="H82" s="93">
        <v>418</v>
      </c>
      <c r="I82" s="93">
        <v>409</v>
      </c>
      <c r="J82" s="93">
        <v>9</v>
      </c>
    </row>
    <row r="83" spans="2:13">
      <c r="B83" s="352" t="s">
        <v>513</v>
      </c>
      <c r="C83" s="152">
        <v>64</v>
      </c>
      <c r="D83" s="158">
        <f>C83</f>
        <v>64</v>
      </c>
      <c r="E83" s="158">
        <f>D83</f>
        <v>64</v>
      </c>
      <c r="F83" s="93">
        <v>63</v>
      </c>
      <c r="G83" s="93">
        <v>61</v>
      </c>
      <c r="H83" s="93">
        <v>68</v>
      </c>
      <c r="I83" s="93">
        <v>63</v>
      </c>
      <c r="J83" s="93">
        <v>10</v>
      </c>
    </row>
    <row r="84" spans="2:13">
      <c r="B84" s="352" t="s">
        <v>478</v>
      </c>
      <c r="C84" s="152">
        <v>26</v>
      </c>
      <c r="D84" s="158">
        <v>24</v>
      </c>
      <c r="E84" s="158">
        <v>26</v>
      </c>
      <c r="F84" s="93">
        <v>26</v>
      </c>
      <c r="G84" s="93">
        <v>24</v>
      </c>
      <c r="H84" s="93">
        <v>26.6</v>
      </c>
      <c r="I84" s="93">
        <v>25.9</v>
      </c>
      <c r="J84" s="93">
        <v>11</v>
      </c>
    </row>
    <row r="85" spans="2:13">
      <c r="B85" s="353" t="s">
        <v>512</v>
      </c>
      <c r="C85" s="159">
        <v>26.28</v>
      </c>
      <c r="D85" s="156">
        <v>28.32</v>
      </c>
      <c r="E85" s="156">
        <v>28.28</v>
      </c>
      <c r="F85" s="93">
        <v>24.3</v>
      </c>
      <c r="G85" s="93">
        <v>22.92</v>
      </c>
      <c r="H85" s="93">
        <v>28.28</v>
      </c>
      <c r="I85" s="93">
        <v>26.85</v>
      </c>
      <c r="J85" s="93">
        <v>12</v>
      </c>
    </row>
    <row r="86" spans="2:13">
      <c r="B86" s="353" t="s">
        <v>511</v>
      </c>
      <c r="C86" s="152">
        <v>4720</v>
      </c>
      <c r="D86" s="158">
        <v>4101</v>
      </c>
      <c r="E86" s="158">
        <v>4723</v>
      </c>
      <c r="F86" s="93">
        <v>5305</v>
      </c>
      <c r="G86" s="93">
        <v>5690</v>
      </c>
      <c r="H86" s="93">
        <v>5012</v>
      </c>
      <c r="I86" s="93">
        <v>5498</v>
      </c>
      <c r="J86" s="93">
        <v>13</v>
      </c>
    </row>
    <row r="87" spans="2:13">
      <c r="B87" s="353" t="s">
        <v>510</v>
      </c>
      <c r="C87" s="152">
        <v>2180</v>
      </c>
      <c r="D87" s="158">
        <v>2054</v>
      </c>
      <c r="E87" s="158">
        <v>2494</v>
      </c>
      <c r="F87" s="93">
        <v>2522</v>
      </c>
      <c r="G87" s="93">
        <v>2760</v>
      </c>
      <c r="H87" s="93">
        <v>1419</v>
      </c>
      <c r="I87" s="93">
        <v>1539</v>
      </c>
      <c r="J87" s="93">
        <v>14</v>
      </c>
    </row>
    <row r="88" spans="2:13">
      <c r="B88" s="353" t="s">
        <v>509</v>
      </c>
      <c r="C88" s="101">
        <f>C87-C89</f>
        <v>1852</v>
      </c>
      <c r="D88" s="101">
        <f>D87-D89</f>
        <v>1784</v>
      </c>
      <c r="E88" s="101">
        <f>E87-E89</f>
        <v>2158</v>
      </c>
      <c r="F88" s="93">
        <v>1863</v>
      </c>
      <c r="G88" s="93">
        <v>1897</v>
      </c>
      <c r="H88" s="93">
        <v>1381</v>
      </c>
      <c r="I88" s="93">
        <v>1504</v>
      </c>
      <c r="J88" s="93">
        <v>15</v>
      </c>
    </row>
    <row r="89" spans="2:13">
      <c r="B89" s="353" t="s">
        <v>508</v>
      </c>
      <c r="C89" s="154">
        <v>328</v>
      </c>
      <c r="D89" s="157">
        <v>270</v>
      </c>
      <c r="E89" s="157">
        <v>336</v>
      </c>
      <c r="F89" s="350">
        <v>659</v>
      </c>
      <c r="G89" s="350">
        <v>863</v>
      </c>
      <c r="H89" s="93">
        <v>38</v>
      </c>
      <c r="I89" s="93">
        <v>35</v>
      </c>
      <c r="J89" s="93">
        <v>16</v>
      </c>
    </row>
    <row r="90" spans="2:13">
      <c r="B90" s="353" t="s">
        <v>507</v>
      </c>
      <c r="C90" s="159">
        <v>3.22</v>
      </c>
      <c r="D90" s="156">
        <v>3.43</v>
      </c>
      <c r="E90" s="156">
        <v>3.03</v>
      </c>
      <c r="F90" s="93">
        <v>3.41</v>
      </c>
      <c r="G90" s="93">
        <v>3.63</v>
      </c>
      <c r="H90" s="93">
        <v>4.4400000000000004</v>
      </c>
      <c r="I90" s="93">
        <v>4.67</v>
      </c>
      <c r="J90" s="350">
        <v>17</v>
      </c>
      <c r="M90" s="144"/>
    </row>
    <row r="91" spans="2:13">
      <c r="B91" s="353" t="s">
        <v>506</v>
      </c>
      <c r="C91" s="153">
        <f>(2.62*365)/(C75/103)</f>
        <v>13.001438753959874</v>
      </c>
      <c r="D91" s="153">
        <f>(2.45*365)/(D75/103)</f>
        <v>14.030121858339681</v>
      </c>
      <c r="E91" s="153">
        <f>(3.02*365)/(E75/103)</f>
        <v>14.743137254901962</v>
      </c>
      <c r="F91" s="350">
        <v>13.02</v>
      </c>
      <c r="G91" s="350">
        <v>12.85</v>
      </c>
      <c r="H91" s="350">
        <v>13.06</v>
      </c>
      <c r="I91" s="350">
        <v>12.7</v>
      </c>
      <c r="J91" s="93">
        <v>18</v>
      </c>
    </row>
    <row r="92" spans="2:13">
      <c r="B92" s="353" t="s">
        <v>505</v>
      </c>
      <c r="C92" s="351">
        <f t="shared" ref="C92:I92" si="1">C91*C75/103/(C87/0.86)*1000</f>
        <v>377.25596330275232</v>
      </c>
      <c r="D92" s="351">
        <f t="shared" si="1"/>
        <v>374.41820837390463</v>
      </c>
      <c r="E92" s="351">
        <f t="shared" si="1"/>
        <v>380.10344827586215</v>
      </c>
      <c r="F92" s="351">
        <f t="shared" si="1"/>
        <v>411.30741667500752</v>
      </c>
      <c r="G92" s="351">
        <f t="shared" si="1"/>
        <v>433.32452863374135</v>
      </c>
      <c r="H92" s="351">
        <f t="shared" si="1"/>
        <v>584.87590467784639</v>
      </c>
      <c r="I92" s="351">
        <f t="shared" si="1"/>
        <v>606.39882157749639</v>
      </c>
      <c r="J92" s="93">
        <v>19</v>
      </c>
    </row>
    <row r="93" spans="2:13">
      <c r="B93" s="353" t="s">
        <v>504</v>
      </c>
      <c r="C93" s="159">
        <f>C75/(C87/0.86)</f>
        <v>2.9886972477064218</v>
      </c>
      <c r="D93" s="159">
        <f>D75/(D87/0.86)</f>
        <v>2.7487341772151899</v>
      </c>
      <c r="E93" s="159">
        <f>E75/(E87/0.86)</f>
        <v>2.6555172413793104</v>
      </c>
      <c r="F93" s="159">
        <f>F75/(F87/0.86)</f>
        <v>3.253814432989691</v>
      </c>
      <c r="G93" s="159">
        <f>G75/(G87/0.84)</f>
        <v>3.3925652173913043</v>
      </c>
      <c r="H93" s="159">
        <f>H75/(H87/0.86)</f>
        <v>4.6127272727272723</v>
      </c>
      <c r="I93" s="159">
        <f>I75/(I87/0.86)</f>
        <v>4.9180376868096163</v>
      </c>
      <c r="J93" s="350">
        <v>20</v>
      </c>
    </row>
    <row r="94" spans="2:13">
      <c r="B94" s="353" t="s">
        <v>503</v>
      </c>
      <c r="C94" s="155">
        <f t="shared" ref="C94:I94" si="2">(C82-C83)/C82</f>
        <v>0.84688995215311003</v>
      </c>
      <c r="D94" s="155">
        <f t="shared" si="2"/>
        <v>0.84688995215311003</v>
      </c>
      <c r="E94" s="155">
        <f t="shared" si="2"/>
        <v>0.84688995215311003</v>
      </c>
      <c r="F94" s="155">
        <f t="shared" si="2"/>
        <v>0.84964200477326968</v>
      </c>
      <c r="G94" s="155">
        <f t="shared" si="2"/>
        <v>0.85158150851581504</v>
      </c>
      <c r="H94" s="155">
        <f t="shared" si="2"/>
        <v>0.83732057416267947</v>
      </c>
      <c r="I94" s="155">
        <f t="shared" si="2"/>
        <v>0.84596577017114916</v>
      </c>
      <c r="J94" s="350">
        <v>21</v>
      </c>
    </row>
    <row r="95" spans="2:13">
      <c r="B95" s="353" t="s">
        <v>502</v>
      </c>
      <c r="C95" s="154">
        <v>0</v>
      </c>
      <c r="D95" s="154">
        <f>C95</f>
        <v>0</v>
      </c>
      <c r="E95" s="154">
        <f>D95</f>
        <v>0</v>
      </c>
      <c r="F95" s="154">
        <f>E95</f>
        <v>0</v>
      </c>
      <c r="G95" s="154">
        <f>F95</f>
        <v>0</v>
      </c>
      <c r="H95" s="154">
        <v>10</v>
      </c>
      <c r="I95" s="154">
        <v>10</v>
      </c>
      <c r="J95" s="350">
        <v>22</v>
      </c>
    </row>
    <row r="96" spans="2:13">
      <c r="B96" s="353" t="s">
        <v>501</v>
      </c>
      <c r="C96" s="153">
        <v>1</v>
      </c>
      <c r="D96" s="153">
        <v>0.9</v>
      </c>
      <c r="E96" s="153">
        <v>1.1000000000000001</v>
      </c>
      <c r="F96" s="153">
        <f>E96</f>
        <v>1.1000000000000001</v>
      </c>
      <c r="G96" s="153">
        <v>1.2</v>
      </c>
      <c r="H96" s="153">
        <v>0</v>
      </c>
      <c r="I96" s="153">
        <f>H96</f>
        <v>0</v>
      </c>
      <c r="J96" s="93">
        <v>23</v>
      </c>
    </row>
    <row r="97" spans="1:15">
      <c r="B97" s="353" t="s">
        <v>500</v>
      </c>
      <c r="C97" s="152">
        <v>60</v>
      </c>
      <c r="D97" s="354">
        <f>C97</f>
        <v>60</v>
      </c>
      <c r="E97" s="354">
        <f>D97</f>
        <v>60</v>
      </c>
      <c r="F97" s="354">
        <f>E97</f>
        <v>60</v>
      </c>
      <c r="G97" s="354">
        <f>F97</f>
        <v>60</v>
      </c>
      <c r="H97" s="152">
        <v>90</v>
      </c>
      <c r="I97" s="354">
        <f>H97</f>
        <v>90</v>
      </c>
      <c r="J97" s="350">
        <v>24</v>
      </c>
    </row>
    <row r="98" spans="1:15" ht="15">
      <c r="B98" s="151"/>
      <c r="C98" s="150"/>
      <c r="D98" s="149"/>
      <c r="E98" s="149"/>
      <c r="F98" s="149"/>
    </row>
    <row r="99" spans="1:15" ht="15.75">
      <c r="B99" s="148"/>
      <c r="C99" s="147"/>
      <c r="D99" s="147"/>
      <c r="E99" s="147"/>
      <c r="F99" s="147"/>
    </row>
    <row r="100" spans="1:15" ht="15.75">
      <c r="B100" s="148"/>
      <c r="C100" s="147"/>
      <c r="D100" s="147"/>
      <c r="E100" s="147"/>
      <c r="F100" s="147"/>
    </row>
    <row r="101" spans="1:15" ht="15">
      <c r="A101" s="93" t="s">
        <v>499</v>
      </c>
      <c r="B101" s="2174" t="s">
        <v>498</v>
      </c>
      <c r="C101" s="2174"/>
      <c r="D101" s="2174"/>
      <c r="E101" s="2174"/>
      <c r="F101" s="2174"/>
      <c r="G101" s="120" t="s">
        <v>497</v>
      </c>
    </row>
    <row r="102" spans="1:15" ht="16.5" thickBot="1">
      <c r="B102" s="120"/>
      <c r="C102" s="142"/>
      <c r="D102" s="142"/>
      <c r="E102" s="142"/>
      <c r="F102" s="142"/>
    </row>
    <row r="103" spans="1:15">
      <c r="B103" s="352"/>
      <c r="C103" s="2185" t="s">
        <v>496</v>
      </c>
      <c r="D103" s="2186"/>
      <c r="E103" s="2186"/>
      <c r="F103" s="2187"/>
      <c r="G103" s="2185" t="s">
        <v>495</v>
      </c>
      <c r="H103" s="2186"/>
      <c r="I103" s="2186"/>
      <c r="J103" s="2187"/>
    </row>
    <row r="104" spans="1:15">
      <c r="B104" s="352"/>
      <c r="C104" s="2188" t="s">
        <v>400</v>
      </c>
      <c r="D104" s="2189"/>
      <c r="E104" s="2188" t="s">
        <v>494</v>
      </c>
      <c r="F104" s="2189"/>
      <c r="G104" s="2188" t="s">
        <v>400</v>
      </c>
      <c r="H104" s="2189"/>
      <c r="I104" s="2188" t="s">
        <v>494</v>
      </c>
      <c r="J104" s="2189"/>
      <c r="O104" s="144" t="str">
        <f>G104</f>
        <v>moyenne</v>
      </c>
    </row>
    <row r="105" spans="1:15">
      <c r="A105" s="304">
        <v>1</v>
      </c>
      <c r="B105" s="352"/>
      <c r="C105" s="146">
        <v>1</v>
      </c>
      <c r="D105" s="145">
        <v>2</v>
      </c>
      <c r="E105" s="146">
        <v>3</v>
      </c>
      <c r="F105" s="145">
        <v>4</v>
      </c>
      <c r="G105" s="146">
        <v>5</v>
      </c>
      <c r="H105" s="145">
        <v>6</v>
      </c>
      <c r="I105" s="146">
        <v>7</v>
      </c>
      <c r="J105" s="145">
        <v>8</v>
      </c>
      <c r="O105" s="144" t="str">
        <f>I104</f>
        <v>tête</v>
      </c>
    </row>
    <row r="106" spans="1:15">
      <c r="A106" s="304">
        <v>2</v>
      </c>
      <c r="B106" s="93" t="s">
        <v>493</v>
      </c>
      <c r="C106" s="143">
        <v>673</v>
      </c>
      <c r="D106" s="355"/>
      <c r="E106" s="143">
        <v>134</v>
      </c>
      <c r="F106" s="355"/>
      <c r="G106" s="143">
        <v>42</v>
      </c>
      <c r="H106" s="355"/>
      <c r="I106" s="143">
        <v>8</v>
      </c>
      <c r="J106" s="356"/>
    </row>
    <row r="107" spans="1:15">
      <c r="A107" s="304">
        <v>3</v>
      </c>
      <c r="B107" s="352" t="s">
        <v>492</v>
      </c>
      <c r="C107" s="357">
        <v>84.2</v>
      </c>
      <c r="D107" s="358"/>
      <c r="E107" s="357">
        <v>104.9</v>
      </c>
      <c r="F107" s="356"/>
      <c r="G107" s="357">
        <v>67.8</v>
      </c>
      <c r="H107" s="358"/>
      <c r="I107" s="357">
        <v>68.099999999999994</v>
      </c>
      <c r="J107" s="356"/>
    </row>
    <row r="108" spans="1:15">
      <c r="A108" s="304">
        <v>4</v>
      </c>
      <c r="B108" s="352" t="s">
        <v>491</v>
      </c>
      <c r="C108" s="357">
        <f>30.5/0.5</f>
        <v>61</v>
      </c>
      <c r="D108" s="358"/>
      <c r="E108" s="357">
        <f>40/0.5</f>
        <v>80</v>
      </c>
      <c r="F108" s="356"/>
      <c r="G108" s="357">
        <f>23.4/0.5</f>
        <v>46.8</v>
      </c>
      <c r="H108" s="358"/>
      <c r="I108" s="357">
        <f>24.4/0.5</f>
        <v>48.8</v>
      </c>
      <c r="J108" s="356"/>
    </row>
    <row r="109" spans="1:15">
      <c r="A109" s="304">
        <v>5</v>
      </c>
      <c r="B109" s="352" t="s">
        <v>490</v>
      </c>
      <c r="C109" s="359">
        <v>7814.3</v>
      </c>
      <c r="D109" s="360"/>
      <c r="E109" s="361">
        <v>10421.200000000001</v>
      </c>
      <c r="F109" s="240"/>
      <c r="G109" s="359">
        <v>4936.5</v>
      </c>
      <c r="H109" s="360"/>
      <c r="I109" s="362">
        <v>5121.8999999999996</v>
      </c>
      <c r="J109" s="360"/>
      <c r="K109" s="92"/>
    </row>
    <row r="110" spans="1:15">
      <c r="A110" s="304">
        <v>6</v>
      </c>
      <c r="B110" s="352" t="s">
        <v>489</v>
      </c>
      <c r="C110" s="143">
        <f>9087*1.03</f>
        <v>9359.61</v>
      </c>
      <c r="D110" s="363"/>
      <c r="E110" s="143">
        <f>9782*1.03</f>
        <v>10075.460000000001</v>
      </c>
      <c r="F110" s="363"/>
      <c r="G110" s="143">
        <f>7022*1.03</f>
        <v>7232.66</v>
      </c>
      <c r="H110" s="363"/>
      <c r="I110" s="143">
        <f>7553*1.03</f>
        <v>7779.59</v>
      </c>
      <c r="J110" s="358"/>
      <c r="K110" s="92"/>
    </row>
    <row r="111" spans="1:15">
      <c r="A111" s="304">
        <v>7</v>
      </c>
      <c r="B111" s="352" t="s">
        <v>488</v>
      </c>
      <c r="C111" s="364">
        <v>4.1500000000000004</v>
      </c>
      <c r="D111" s="365"/>
      <c r="E111" s="364">
        <v>4.1399999999999997</v>
      </c>
      <c r="F111" s="365"/>
      <c r="G111" s="364">
        <v>4.18</v>
      </c>
      <c r="H111" s="365"/>
      <c r="I111" s="366">
        <v>4.1500000000000004</v>
      </c>
      <c r="J111" s="358"/>
      <c r="K111" s="92"/>
    </row>
    <row r="112" spans="1:15">
      <c r="A112" s="304">
        <v>8</v>
      </c>
      <c r="B112" s="352" t="s">
        <v>487</v>
      </c>
      <c r="C112" s="364">
        <v>3.41</v>
      </c>
      <c r="D112" s="365"/>
      <c r="E112" s="364">
        <v>3.38</v>
      </c>
      <c r="F112" s="365"/>
      <c r="G112" s="364">
        <v>3.37</v>
      </c>
      <c r="H112" s="365"/>
      <c r="I112" s="366">
        <v>3.33</v>
      </c>
      <c r="J112" s="358"/>
      <c r="K112" s="92"/>
    </row>
    <row r="113" spans="1:44">
      <c r="A113" s="304">
        <v>9</v>
      </c>
      <c r="B113" s="352" t="s">
        <v>486</v>
      </c>
      <c r="C113" s="367"/>
      <c r="D113" s="368"/>
      <c r="E113" s="367"/>
      <c r="F113" s="368"/>
      <c r="G113" s="367"/>
      <c r="H113" s="368"/>
      <c r="I113" s="369"/>
      <c r="J113" s="370"/>
      <c r="K113" s="92"/>
    </row>
    <row r="114" spans="1:44">
      <c r="A114" s="304">
        <v>10</v>
      </c>
      <c r="B114" s="352" t="s">
        <v>485</v>
      </c>
      <c r="C114" s="364">
        <f>3.17*1.03</f>
        <v>3.2650999999999999</v>
      </c>
      <c r="D114" s="363"/>
      <c r="E114" s="364">
        <v>3.34</v>
      </c>
      <c r="F114" s="363"/>
      <c r="G114" s="364">
        <f>3.95*1.03</f>
        <v>4.0685000000000002</v>
      </c>
      <c r="H114" s="363"/>
      <c r="I114" s="364">
        <f>5.32*1.03</f>
        <v>5.4796000000000005</v>
      </c>
      <c r="J114" s="358"/>
      <c r="K114" s="92"/>
    </row>
    <row r="115" spans="1:44">
      <c r="A115" s="304">
        <v>11</v>
      </c>
      <c r="B115" s="352" t="s">
        <v>484</v>
      </c>
      <c r="C115" s="143">
        <v>436</v>
      </c>
      <c r="D115" s="363"/>
      <c r="E115" s="143">
        <v>419</v>
      </c>
      <c r="F115" s="355"/>
      <c r="G115" s="143">
        <v>595</v>
      </c>
      <c r="H115" s="355"/>
      <c r="I115" s="371">
        <v>601</v>
      </c>
      <c r="J115" s="358"/>
      <c r="K115" s="92"/>
    </row>
    <row r="116" spans="1:44">
      <c r="A116" s="304">
        <v>12</v>
      </c>
      <c r="B116" s="352" t="s">
        <v>483</v>
      </c>
      <c r="C116" s="372">
        <v>14.11</v>
      </c>
      <c r="D116" s="135"/>
      <c r="E116" s="372">
        <v>13.06</v>
      </c>
      <c r="F116" s="135"/>
      <c r="G116" s="372">
        <v>16.23</v>
      </c>
      <c r="H116" s="135"/>
      <c r="I116" s="373">
        <v>12.52</v>
      </c>
      <c r="J116" s="358"/>
      <c r="K116" s="92"/>
    </row>
    <row r="117" spans="1:44">
      <c r="A117" s="304">
        <v>13</v>
      </c>
      <c r="B117" s="352" t="s">
        <v>482</v>
      </c>
      <c r="C117" s="372">
        <v>12.31</v>
      </c>
      <c r="D117" s="135"/>
      <c r="E117" s="372">
        <v>10.71</v>
      </c>
      <c r="F117" s="135"/>
      <c r="G117" s="372">
        <v>15.95</v>
      </c>
      <c r="H117" s="135"/>
      <c r="I117" s="373">
        <v>14.39</v>
      </c>
      <c r="J117" s="358"/>
      <c r="K117" s="92"/>
    </row>
    <row r="118" spans="1:44">
      <c r="A118" s="304">
        <v>14</v>
      </c>
      <c r="B118" s="352" t="s">
        <v>481</v>
      </c>
      <c r="C118" s="143">
        <f>526/(C121/12)</f>
        <v>255.54655870445347</v>
      </c>
      <c r="D118" s="363"/>
      <c r="E118" s="143">
        <f>513/(E121/12)</f>
        <v>252.29508196721312</v>
      </c>
      <c r="F118" s="355"/>
      <c r="G118" s="143">
        <f>253/(G121/12)</f>
        <v>120</v>
      </c>
      <c r="H118" s="355"/>
      <c r="I118" s="143">
        <f>289/(I121/12)</f>
        <v>142.71604938271605</v>
      </c>
      <c r="J118" s="358"/>
      <c r="K118" s="92"/>
    </row>
    <row r="119" spans="1:44">
      <c r="A119" s="304">
        <v>15</v>
      </c>
      <c r="B119" s="352" t="s">
        <v>480</v>
      </c>
      <c r="C119" s="143">
        <f>1164/(C121/12)</f>
        <v>565.50607287449395</v>
      </c>
      <c r="D119" s="363"/>
      <c r="E119" s="143">
        <f>1100/(E121/12)</f>
        <v>540.98360655737713</v>
      </c>
      <c r="F119" s="355"/>
      <c r="G119" s="143">
        <f>1205/(G121/12)</f>
        <v>571.54150197628462</v>
      </c>
      <c r="H119" s="355"/>
      <c r="I119" s="143">
        <f>1126/(I121/12)</f>
        <v>556.04938271604942</v>
      </c>
      <c r="J119" s="358"/>
      <c r="K119" s="92"/>
    </row>
    <row r="120" spans="1:44">
      <c r="A120" s="304">
        <v>16</v>
      </c>
      <c r="B120" s="352" t="s">
        <v>479</v>
      </c>
      <c r="C120" s="143">
        <v>409</v>
      </c>
      <c r="D120" s="363"/>
      <c r="E120" s="143">
        <v>403</v>
      </c>
      <c r="F120" s="355"/>
      <c r="G120" s="143">
        <v>417</v>
      </c>
      <c r="H120" s="355"/>
      <c r="I120" s="371">
        <v>420</v>
      </c>
      <c r="J120" s="358"/>
      <c r="K120" s="92"/>
    </row>
    <row r="121" spans="1:44">
      <c r="A121" s="304">
        <v>17</v>
      </c>
      <c r="B121" s="352" t="s">
        <v>478</v>
      </c>
      <c r="C121" s="359">
        <v>24.7</v>
      </c>
      <c r="D121" s="363"/>
      <c r="E121" s="359">
        <v>24.4</v>
      </c>
      <c r="F121" s="363"/>
      <c r="G121" s="359">
        <v>25.3</v>
      </c>
      <c r="H121" s="363"/>
      <c r="I121" s="357">
        <v>24.3</v>
      </c>
      <c r="J121" s="358"/>
      <c r="K121" s="92"/>
    </row>
    <row r="122" spans="1:44">
      <c r="A122" s="304">
        <v>18</v>
      </c>
      <c r="B122" s="352" t="s">
        <v>477</v>
      </c>
      <c r="C122" s="374">
        <f>1-(D161/D167)</f>
        <v>7.6960532167603679E-3</v>
      </c>
      <c r="D122" s="363"/>
      <c r="E122" s="374">
        <f>1-(F161/F167)</f>
        <v>6.342287097716004E-3</v>
      </c>
      <c r="F122" s="363"/>
      <c r="G122" s="374">
        <f>1-(H161/H167)</f>
        <v>4.3073578680911662E-2</v>
      </c>
      <c r="H122" s="363"/>
      <c r="I122" s="374">
        <f>1-(J161/J167)</f>
        <v>4.2372577235755382E-2</v>
      </c>
      <c r="J122" s="358"/>
      <c r="K122" s="92"/>
    </row>
    <row r="123" spans="1:44">
      <c r="A123" s="304">
        <v>19</v>
      </c>
      <c r="B123" s="352"/>
      <c r="C123" s="517" t="s">
        <v>476</v>
      </c>
      <c r="D123" s="518" t="s">
        <v>475</v>
      </c>
      <c r="E123" s="517" t="s">
        <v>476</v>
      </c>
      <c r="F123" s="518" t="s">
        <v>475</v>
      </c>
      <c r="G123" s="517" t="s">
        <v>476</v>
      </c>
      <c r="H123" s="518" t="s">
        <v>475</v>
      </c>
      <c r="I123" s="517" t="s">
        <v>476</v>
      </c>
      <c r="J123" s="518" t="s">
        <v>475</v>
      </c>
    </row>
    <row r="124" spans="1:44" s="447" customFormat="1">
      <c r="A124" s="304">
        <v>20</v>
      </c>
      <c r="B124" s="390" t="s">
        <v>474</v>
      </c>
      <c r="C124" s="375">
        <f t="shared" ref="C124:C138" si="3">D124*C$110/103</f>
        <v>420.24242482912314</v>
      </c>
      <c r="D124" s="376">
        <v>4.6246552748885561</v>
      </c>
      <c r="E124" s="375">
        <f t="shared" ref="E124:E138" si="4">F124*E$110/103</f>
        <v>447.75966200000005</v>
      </c>
      <c r="F124" s="376">
        <v>4.5773835820895528</v>
      </c>
      <c r="G124" s="375">
        <f t="shared" ref="G124:G138" si="5">H124*G$110/103</f>
        <v>310.14719442857137</v>
      </c>
      <c r="H124" s="376">
        <v>4.4167928571428563</v>
      </c>
      <c r="I124" s="375">
        <f t="shared" ref="I124:I138" si="6">J124*I$110/103</f>
        <v>336.97426262500005</v>
      </c>
      <c r="J124" s="376">
        <v>4.4614625000000006</v>
      </c>
      <c r="K124" s="141"/>
      <c r="L124" s="140"/>
      <c r="M124" s="140"/>
      <c r="N124" s="140"/>
      <c r="O124" s="140"/>
      <c r="P124" s="140"/>
      <c r="Q124" s="140"/>
      <c r="R124" s="140"/>
      <c r="S124" s="140"/>
      <c r="T124" s="140"/>
      <c r="U124" s="140"/>
      <c r="V124" s="140"/>
      <c r="W124" s="140"/>
      <c r="X124" s="140"/>
      <c r="Y124" s="140"/>
      <c r="Z124" s="140"/>
      <c r="AA124" s="140"/>
      <c r="AB124" s="140"/>
      <c r="AC124" s="140"/>
      <c r="AD124" s="140"/>
      <c r="AE124" s="140"/>
      <c r="AF124" s="140"/>
      <c r="AG124" s="140"/>
      <c r="AH124" s="140"/>
      <c r="AI124" s="140"/>
      <c r="AJ124" s="140"/>
      <c r="AK124" s="140"/>
      <c r="AL124" s="140"/>
      <c r="AM124" s="140"/>
      <c r="AN124" s="140"/>
      <c r="AO124" s="140"/>
      <c r="AP124" s="140"/>
      <c r="AQ124" s="140"/>
      <c r="AR124" s="140"/>
    </row>
    <row r="125" spans="1:44">
      <c r="A125" s="304">
        <v>21</v>
      </c>
      <c r="B125" s="391" t="s">
        <v>473</v>
      </c>
      <c r="C125" s="375">
        <f t="shared" si="3"/>
        <v>2.5188137830609216</v>
      </c>
      <c r="D125" s="136">
        <v>2.7718870728083211E-2</v>
      </c>
      <c r="E125" s="375">
        <f t="shared" si="4"/>
        <v>1.6393610000000001</v>
      </c>
      <c r="F125" s="139">
        <v>1.6758955223880597E-2</v>
      </c>
      <c r="G125" s="375">
        <f t="shared" si="5"/>
        <v>0</v>
      </c>
      <c r="H125" s="127">
        <v>0</v>
      </c>
      <c r="I125" s="375">
        <f t="shared" si="6"/>
        <v>0</v>
      </c>
      <c r="J125" s="127">
        <v>0</v>
      </c>
    </row>
    <row r="126" spans="1:44">
      <c r="A126" s="304">
        <v>22</v>
      </c>
      <c r="B126" s="391" t="s">
        <v>472</v>
      </c>
      <c r="C126" s="375">
        <f t="shared" si="3"/>
        <v>1291.584512121842</v>
      </c>
      <c r="D126" s="136">
        <v>14.213541456166412</v>
      </c>
      <c r="E126" s="375">
        <f t="shared" si="4"/>
        <v>1278.2148890000003</v>
      </c>
      <c r="F126" s="139">
        <v>13.067009701492539</v>
      </c>
      <c r="G126" s="375">
        <f t="shared" si="5"/>
        <v>742.14648609523829</v>
      </c>
      <c r="H126" s="127">
        <v>10.568876190476193</v>
      </c>
      <c r="I126" s="375">
        <f t="shared" si="6"/>
        <v>666.24729762499999</v>
      </c>
      <c r="J126" s="127">
        <v>8.8209625000000003</v>
      </c>
    </row>
    <row r="127" spans="1:44">
      <c r="A127" s="304">
        <v>23</v>
      </c>
      <c r="B127" s="391" t="s">
        <v>471</v>
      </c>
      <c r="C127" s="375">
        <f t="shared" si="3"/>
        <v>163.81418446805341</v>
      </c>
      <c r="D127" s="136">
        <v>1.8027312035661209</v>
      </c>
      <c r="E127" s="375">
        <f t="shared" si="4"/>
        <v>175.32950200000002</v>
      </c>
      <c r="F127" s="139">
        <v>1.7923686567164179</v>
      </c>
      <c r="G127" s="375">
        <f t="shared" si="5"/>
        <v>468.91946295238097</v>
      </c>
      <c r="H127" s="127">
        <v>6.6778619047619046</v>
      </c>
      <c r="I127" s="375">
        <f t="shared" si="6"/>
        <v>366.88980737500003</v>
      </c>
      <c r="J127" s="127">
        <v>4.8575375000000003</v>
      </c>
    </row>
    <row r="128" spans="1:44">
      <c r="A128" s="304">
        <v>24</v>
      </c>
      <c r="B128" s="391" t="s">
        <v>470</v>
      </c>
      <c r="C128" s="375">
        <f t="shared" si="3"/>
        <v>1444.727858144131</v>
      </c>
      <c r="D128" s="136">
        <v>15.898842942050523</v>
      </c>
      <c r="E128" s="375">
        <f t="shared" si="4"/>
        <v>1361.4008710000001</v>
      </c>
      <c r="F128" s="139">
        <v>13.917408208955223</v>
      </c>
      <c r="G128" s="375">
        <f t="shared" si="5"/>
        <v>1430.4547966190476</v>
      </c>
      <c r="H128" s="127">
        <v>20.371045238095238</v>
      </c>
      <c r="I128" s="375">
        <f t="shared" si="6"/>
        <v>1324.4818063750001</v>
      </c>
      <c r="J128" s="127">
        <v>17.5358375</v>
      </c>
    </row>
    <row r="129" spans="1:10">
      <c r="A129" s="304">
        <v>25</v>
      </c>
      <c r="B129" s="391" t="s">
        <v>469</v>
      </c>
      <c r="C129" s="375">
        <f t="shared" si="3"/>
        <v>63.675336450222893</v>
      </c>
      <c r="D129" s="136">
        <v>0.70073001485884112</v>
      </c>
      <c r="E129" s="375">
        <f t="shared" si="4"/>
        <v>68.505098000000004</v>
      </c>
      <c r="F129" s="136">
        <v>0.70031791044776115</v>
      </c>
      <c r="G129" s="375">
        <f t="shared" si="5"/>
        <v>86.613360571428572</v>
      </c>
      <c r="H129" s="127">
        <v>1.2334571428571428</v>
      </c>
      <c r="I129" s="375">
        <f t="shared" si="6"/>
        <v>138.82319587499998</v>
      </c>
      <c r="J129" s="127">
        <v>1.8379874999999999</v>
      </c>
    </row>
    <row r="130" spans="1:10">
      <c r="A130" s="304">
        <v>26</v>
      </c>
      <c r="B130" s="391" t="s">
        <v>468</v>
      </c>
      <c r="C130" s="375">
        <f t="shared" si="3"/>
        <v>250.34864579643403</v>
      </c>
      <c r="D130" s="136">
        <v>2.7550197622585455</v>
      </c>
      <c r="E130" s="375">
        <f t="shared" si="4"/>
        <v>233.50853099999992</v>
      </c>
      <c r="F130" s="136">
        <v>2.3871246268656705</v>
      </c>
      <c r="G130" s="375">
        <f t="shared" si="5"/>
        <v>138.71676776190475</v>
      </c>
      <c r="H130" s="127">
        <v>1.9754595238095238</v>
      </c>
      <c r="I130" s="375">
        <f t="shared" si="6"/>
        <v>144.87881362499999</v>
      </c>
      <c r="J130" s="127">
        <v>1.9181625</v>
      </c>
    </row>
    <row r="131" spans="1:10">
      <c r="A131" s="304">
        <v>27</v>
      </c>
      <c r="B131" s="391" t="s">
        <v>467</v>
      </c>
      <c r="C131" s="375">
        <f t="shared" si="3"/>
        <v>141.76571990638931</v>
      </c>
      <c r="D131" s="136">
        <v>1.5600937592867756</v>
      </c>
      <c r="E131" s="375">
        <f t="shared" si="4"/>
        <v>142.12151</v>
      </c>
      <c r="F131" s="136">
        <v>1.4528880597014924</v>
      </c>
      <c r="G131" s="375">
        <f t="shared" si="5"/>
        <v>122.79538590476189</v>
      </c>
      <c r="H131" s="127">
        <v>1.7487238095238093</v>
      </c>
      <c r="I131" s="375">
        <f t="shared" si="6"/>
        <v>133.57291675000002</v>
      </c>
      <c r="J131" s="127">
        <v>1.768475</v>
      </c>
    </row>
    <row r="132" spans="1:10">
      <c r="A132" s="304">
        <v>28</v>
      </c>
      <c r="B132" s="391" t="s">
        <v>466</v>
      </c>
      <c r="C132" s="375">
        <f t="shared" si="3"/>
        <v>109.9625701292719</v>
      </c>
      <c r="D132" s="136">
        <v>1.2101086181277856</v>
      </c>
      <c r="E132" s="375">
        <f t="shared" si="4"/>
        <v>101.52628299999998</v>
      </c>
      <c r="F132" s="136">
        <v>1.037888805970149</v>
      </c>
      <c r="G132" s="375">
        <f t="shared" si="5"/>
        <v>108.77713323809522</v>
      </c>
      <c r="H132" s="127">
        <v>1.549090476190476</v>
      </c>
      <c r="I132" s="375">
        <f t="shared" si="6"/>
        <v>100.18865675000001</v>
      </c>
      <c r="J132" s="127">
        <v>1.3264750000000001</v>
      </c>
    </row>
    <row r="133" spans="1:10">
      <c r="A133" s="304">
        <v>29</v>
      </c>
      <c r="B133" s="244" t="s">
        <v>465</v>
      </c>
      <c r="C133" s="375">
        <f t="shared" si="3"/>
        <v>75.275560310549793</v>
      </c>
      <c r="D133" s="138">
        <v>0.82838736998514129</v>
      </c>
      <c r="E133" s="375">
        <f t="shared" si="4"/>
        <v>68.80505500000001</v>
      </c>
      <c r="F133" s="138">
        <v>0.70338432835820908</v>
      </c>
      <c r="G133" s="375">
        <f t="shared" si="5"/>
        <v>80.794630428571381</v>
      </c>
      <c r="H133" s="127">
        <v>1.1505928571428565</v>
      </c>
      <c r="I133" s="375">
        <f t="shared" si="6"/>
        <v>78.657886125000005</v>
      </c>
      <c r="J133" s="127">
        <v>1.0414125000000001</v>
      </c>
    </row>
    <row r="134" spans="1:10">
      <c r="A134" s="304">
        <v>30</v>
      </c>
      <c r="B134" s="244" t="s">
        <v>464</v>
      </c>
      <c r="C134" s="375">
        <f t="shared" si="3"/>
        <v>160.64445523774137</v>
      </c>
      <c r="D134" s="138">
        <v>1.7678491827637435</v>
      </c>
      <c r="E134" s="375">
        <f t="shared" si="4"/>
        <v>152.88711199999997</v>
      </c>
      <c r="F134" s="138">
        <v>1.5629432835820891</v>
      </c>
      <c r="G134" s="375">
        <f t="shared" si="5"/>
        <v>154.35258828571426</v>
      </c>
      <c r="H134" s="127">
        <v>2.1981285714285712</v>
      </c>
      <c r="I134" s="375">
        <f t="shared" si="6"/>
        <v>133.30384112499999</v>
      </c>
      <c r="J134" s="127">
        <v>1.7649124999999999</v>
      </c>
    </row>
    <row r="135" spans="1:10">
      <c r="A135" s="304">
        <v>31</v>
      </c>
      <c r="B135" s="392" t="s">
        <v>463</v>
      </c>
      <c r="C135" s="375">
        <f t="shared" si="3"/>
        <v>13.522657698365528</v>
      </c>
      <c r="D135" s="136">
        <v>0.14881322436849925</v>
      </c>
      <c r="E135" s="375">
        <f t="shared" si="4"/>
        <v>14.828927999999998</v>
      </c>
      <c r="F135" s="136">
        <v>0.15159402985074624</v>
      </c>
      <c r="G135" s="375">
        <f t="shared" si="5"/>
        <v>13.912922666666665</v>
      </c>
      <c r="H135" s="127">
        <v>0.19813333333333333</v>
      </c>
      <c r="I135" s="375">
        <f t="shared" si="6"/>
        <v>4.83392</v>
      </c>
      <c r="J135" s="127">
        <v>6.4000000000000001E-2</v>
      </c>
    </row>
    <row r="136" spans="1:10">
      <c r="A136" s="304">
        <v>32</v>
      </c>
      <c r="B136" s="393" t="s">
        <v>462</v>
      </c>
      <c r="C136" s="375">
        <f t="shared" si="3"/>
        <v>77.355889212481401</v>
      </c>
      <c r="D136" s="377">
        <v>0.85128083209509631</v>
      </c>
      <c r="E136" s="375">
        <f t="shared" si="4"/>
        <v>75.332861000000022</v>
      </c>
      <c r="F136" s="377">
        <v>0.77011716417910459</v>
      </c>
      <c r="G136" s="375">
        <f t="shared" si="5"/>
        <v>55.291395190476202</v>
      </c>
      <c r="H136" s="127">
        <v>0.78740238095238102</v>
      </c>
      <c r="I136" s="375">
        <f t="shared" si="6"/>
        <v>84.385892499999997</v>
      </c>
      <c r="J136" s="127">
        <v>1.1172500000000001</v>
      </c>
    </row>
    <row r="137" spans="1:10" ht="16.5">
      <c r="A137" s="304">
        <v>33</v>
      </c>
      <c r="B137" s="392" t="s">
        <v>461</v>
      </c>
      <c r="C137" s="131">
        <f t="shared" si="3"/>
        <v>15.794596729569095</v>
      </c>
      <c r="D137" s="137">
        <v>0.17381530460624073</v>
      </c>
      <c r="E137" s="131">
        <f t="shared" si="4"/>
        <v>8.2501680000000004</v>
      </c>
      <c r="F137" s="378">
        <v>8.4340298507462691E-2</v>
      </c>
      <c r="G137" s="131">
        <f t="shared" si="5"/>
        <v>14.796022761904762</v>
      </c>
      <c r="H137" s="130">
        <v>0.21070952380952382</v>
      </c>
      <c r="I137" s="131">
        <f t="shared" si="6"/>
        <v>3.3346495000000007</v>
      </c>
      <c r="J137" s="130">
        <v>4.4150000000000009E-2</v>
      </c>
    </row>
    <row r="138" spans="1:10">
      <c r="A138" s="304">
        <v>34</v>
      </c>
      <c r="B138" s="392" t="s">
        <v>460</v>
      </c>
      <c r="C138" s="375">
        <f t="shared" si="3"/>
        <v>4231.2333328350633</v>
      </c>
      <c r="D138" s="136">
        <v>46.563589004457612</v>
      </c>
      <c r="E138" s="375">
        <f t="shared" si="4"/>
        <v>4130.1102690000007</v>
      </c>
      <c r="F138" s="379">
        <v>42.221532089552248</v>
      </c>
      <c r="G138" s="375">
        <f t="shared" si="5"/>
        <v>3727.7169765714284</v>
      </c>
      <c r="H138" s="127">
        <v>53.086257142857143</v>
      </c>
      <c r="I138" s="375">
        <f t="shared" si="6"/>
        <v>3516.571058</v>
      </c>
      <c r="J138" s="127">
        <v>46.558599999999998</v>
      </c>
    </row>
    <row r="139" spans="1:10">
      <c r="A139" s="304">
        <v>35</v>
      </c>
      <c r="B139" s="392"/>
      <c r="C139" s="375">
        <f>SUM(C132:C133,C135:C137)</f>
        <v>291.91127408023772</v>
      </c>
      <c r="D139" s="136"/>
      <c r="E139" s="375">
        <f>SUM(E132:E133,E135:E137)</f>
        <v>268.74329499999999</v>
      </c>
      <c r="F139" s="379"/>
      <c r="G139" s="375">
        <f>SUM(G132:G133,G135:G137)</f>
        <v>273.5721042857142</v>
      </c>
      <c r="H139" s="127"/>
      <c r="I139" s="375">
        <f>SUM(I132:I133,I135:I137)</f>
        <v>271.40100487500001</v>
      </c>
      <c r="J139" s="127"/>
    </row>
    <row r="140" spans="1:10" ht="44.45" customHeight="1">
      <c r="A140" s="304">
        <v>36</v>
      </c>
      <c r="B140" s="392" t="s">
        <v>459</v>
      </c>
      <c r="C140" s="380">
        <f>D140*C$110/103</f>
        <v>172.91428163001487</v>
      </c>
      <c r="D140" s="135">
        <v>1.9028753343239226</v>
      </c>
      <c r="E140" s="380">
        <f>F140*E$110/103</f>
        <v>144.34180500000005</v>
      </c>
      <c r="F140" s="381">
        <v>1.4755858208955226</v>
      </c>
      <c r="G140" s="380">
        <f>H140*G$110/103</f>
        <v>157.9242784285714</v>
      </c>
      <c r="H140" s="134">
        <v>2.248992857142857</v>
      </c>
      <c r="I140" s="380">
        <f>J140*I$110/103</f>
        <v>153.33439712500001</v>
      </c>
      <c r="J140" s="134">
        <v>2.0301125</v>
      </c>
    </row>
    <row r="141" spans="1:10">
      <c r="A141" s="304">
        <v>37</v>
      </c>
      <c r="B141" s="392" t="s">
        <v>458</v>
      </c>
      <c r="C141" s="375">
        <f>D141*C$110/103</f>
        <v>66.758084322436844</v>
      </c>
      <c r="D141" s="136">
        <v>0.73465482912332825</v>
      </c>
      <c r="E141" s="375">
        <f>F141*E$110/103</f>
        <v>58.626591999999988</v>
      </c>
      <c r="F141" s="382">
        <v>0.59933134328358195</v>
      </c>
      <c r="G141" s="375">
        <f>H141*G$110/103</f>
        <v>75.96934609523808</v>
      </c>
      <c r="H141" s="127">
        <v>1.0818761904761902</v>
      </c>
      <c r="I141" s="375">
        <f>J141*I$110/103</f>
        <v>76.507169375000004</v>
      </c>
      <c r="J141" s="127">
        <v>1.0129375</v>
      </c>
    </row>
    <row r="142" spans="1:10">
      <c r="A142" s="304">
        <v>38</v>
      </c>
      <c r="B142" s="392" t="s">
        <v>457</v>
      </c>
      <c r="C142" s="375">
        <f>D142*C$110/103</f>
        <v>87.110682445765207</v>
      </c>
      <c r="D142" s="136">
        <v>0.95862971768202054</v>
      </c>
      <c r="E142" s="375">
        <f>F142*E$110/103</f>
        <v>95.790965000000043</v>
      </c>
      <c r="F142" s="379">
        <v>0.97925746268656744</v>
      </c>
      <c r="G142" s="375">
        <f>H142*G$110/103</f>
        <v>76.091562333333329</v>
      </c>
      <c r="H142" s="127">
        <v>1.0836166666666667</v>
      </c>
      <c r="I142" s="375">
        <f>J142*I$110/103</f>
        <v>72.430437624999996</v>
      </c>
      <c r="J142" s="127">
        <v>0.95896249999999994</v>
      </c>
    </row>
    <row r="143" spans="1:10">
      <c r="A143" s="304">
        <v>39</v>
      </c>
      <c r="B143" s="392" t="s">
        <v>456</v>
      </c>
      <c r="C143" s="375">
        <f>D143*C$110/103</f>
        <v>69.293856904903421</v>
      </c>
      <c r="D143" s="136">
        <v>0.76256032689450215</v>
      </c>
      <c r="E143" s="375">
        <f>F143*E$110/103</f>
        <v>52.513791000000005</v>
      </c>
      <c r="F143" s="382">
        <v>0.53684104477611938</v>
      </c>
      <c r="G143" s="375">
        <f>H143*G$110/103</f>
        <v>67.372077428571416</v>
      </c>
      <c r="H143" s="127">
        <v>0.95944285714285704</v>
      </c>
      <c r="I143" s="375">
        <f>J143*I$110/103</f>
        <v>71.753500000000003</v>
      </c>
      <c r="J143" s="127">
        <v>0.95</v>
      </c>
    </row>
    <row r="144" spans="1:10">
      <c r="A144" s="304">
        <v>40</v>
      </c>
      <c r="B144" s="392" t="s">
        <v>455</v>
      </c>
      <c r="C144" s="133">
        <f t="shared" ref="C144:J144" si="7">SUM(C140:C143,C147)</f>
        <v>901.8715448202081</v>
      </c>
      <c r="D144" s="132">
        <f t="shared" si="7"/>
        <v>9.9248546805349172</v>
      </c>
      <c r="E144" s="133">
        <f t="shared" si="7"/>
        <v>800.48916500000041</v>
      </c>
      <c r="F144" s="132">
        <f t="shared" si="7"/>
        <v>8.1832873134328388</v>
      </c>
      <c r="G144" s="133">
        <f t="shared" si="7"/>
        <v>866.01373014285696</v>
      </c>
      <c r="H144" s="132">
        <f t="shared" si="7"/>
        <v>12.332864285714285</v>
      </c>
      <c r="I144" s="133">
        <f t="shared" si="7"/>
        <v>757.66786549999995</v>
      </c>
      <c r="J144" s="132">
        <f t="shared" si="7"/>
        <v>10.03135</v>
      </c>
    </row>
    <row r="145" spans="1:16">
      <c r="A145" s="304">
        <v>41</v>
      </c>
      <c r="B145" s="392" t="s">
        <v>454</v>
      </c>
      <c r="C145" s="375">
        <f t="shared" ref="C145:C168" si="8">D145*C$110/103</f>
        <v>279.1125923893016</v>
      </c>
      <c r="D145" s="136">
        <v>3.0715592867756309</v>
      </c>
      <c r="E145" s="375">
        <f t="shared" ref="E145:E168" si="9">F145*E$110/103</f>
        <v>243.96322600000005</v>
      </c>
      <c r="F145" s="382">
        <v>2.494001492537314</v>
      </c>
      <c r="G145" s="375">
        <f t="shared" ref="G145:G168" si="10">H145*G$110/103</f>
        <v>243.52262561904757</v>
      </c>
      <c r="H145" s="127">
        <v>3.4679952380952375</v>
      </c>
      <c r="I145" s="375">
        <f t="shared" ref="I145:I168" si="11">J145*I$110/103</f>
        <v>179.75007049999999</v>
      </c>
      <c r="J145" s="127">
        <v>2.3798499999999998</v>
      </c>
      <c r="O145" s="304">
        <v>250</v>
      </c>
    </row>
    <row r="146" spans="1:16">
      <c r="A146" s="304">
        <v>42</v>
      </c>
      <c r="B146" s="392" t="s">
        <v>453</v>
      </c>
      <c r="C146" s="375">
        <f t="shared" si="8"/>
        <v>356.95587155572053</v>
      </c>
      <c r="D146" s="377">
        <v>3.9282037147102509</v>
      </c>
      <c r="E146" s="375">
        <f t="shared" si="9"/>
        <v>365.30287700000019</v>
      </c>
      <c r="F146" s="377">
        <v>3.7344395522388076</v>
      </c>
      <c r="G146" s="375">
        <f t="shared" si="10"/>
        <v>492.25306738095236</v>
      </c>
      <c r="H146" s="127">
        <v>7.0101547619047615</v>
      </c>
      <c r="I146" s="375">
        <f t="shared" si="11"/>
        <v>376.83238775000001</v>
      </c>
      <c r="J146" s="127">
        <v>4.9891750000000004</v>
      </c>
    </row>
    <row r="147" spans="1:16">
      <c r="A147" s="304">
        <v>43</v>
      </c>
      <c r="B147" s="392" t="s">
        <v>452</v>
      </c>
      <c r="C147" s="375">
        <f t="shared" si="8"/>
        <v>505.79463951708772</v>
      </c>
      <c r="D147" s="136">
        <v>5.5661344725111439</v>
      </c>
      <c r="E147" s="375">
        <f t="shared" si="9"/>
        <v>449.21601200000038</v>
      </c>
      <c r="F147" s="136">
        <v>4.5922716417910481</v>
      </c>
      <c r="G147" s="375">
        <f t="shared" si="10"/>
        <v>488.65646585714279</v>
      </c>
      <c r="H147" s="127">
        <v>6.9589357142857136</v>
      </c>
      <c r="I147" s="375">
        <f t="shared" si="11"/>
        <v>383.64236137499995</v>
      </c>
      <c r="J147" s="127">
        <v>5.0793374999999994</v>
      </c>
    </row>
    <row r="148" spans="1:16">
      <c r="A148" s="304">
        <v>44</v>
      </c>
      <c r="B148" s="394" t="s">
        <v>451</v>
      </c>
      <c r="C148" s="375">
        <f t="shared" si="8"/>
        <v>331.76599193759324</v>
      </c>
      <c r="D148" s="135">
        <v>3.650995839524521</v>
      </c>
      <c r="E148" s="375">
        <f t="shared" si="9"/>
        <v>264.52433300000001</v>
      </c>
      <c r="F148" s="135">
        <v>2.7041947761194027</v>
      </c>
      <c r="G148" s="375">
        <f t="shared" si="10"/>
        <v>302.64201395238092</v>
      </c>
      <c r="H148" s="127">
        <v>4.3099119047619041</v>
      </c>
      <c r="I148" s="375">
        <f t="shared" si="11"/>
        <v>175.41087200000004</v>
      </c>
      <c r="J148" s="127">
        <v>2.3224000000000005</v>
      </c>
      <c r="L148" s="304">
        <f>D16</f>
        <v>145.86000000000001</v>
      </c>
      <c r="M148" s="304">
        <f>E16*$O$145</f>
        <v>189.42500000000001</v>
      </c>
      <c r="N148" s="304">
        <f>F16*$O$145^2</f>
        <v>56.25</v>
      </c>
      <c r="P148" s="304">
        <f>L148-M148+N148</f>
        <v>12.685000000000002</v>
      </c>
    </row>
    <row r="149" spans="1:16" ht="16.5">
      <c r="A149" s="304">
        <v>45</v>
      </c>
      <c r="B149" s="395" t="s">
        <v>450</v>
      </c>
      <c r="C149" s="131">
        <f t="shared" si="8"/>
        <v>295.42697091976191</v>
      </c>
      <c r="D149" s="137">
        <v>3.2510946508172327</v>
      </c>
      <c r="E149" s="131">
        <f t="shared" si="9"/>
        <v>241.39756800000001</v>
      </c>
      <c r="F149" s="383">
        <v>2.467773134328358</v>
      </c>
      <c r="G149" s="131">
        <f t="shared" si="10"/>
        <v>338.45588585714285</v>
      </c>
      <c r="H149" s="130">
        <v>4.8199357142857142</v>
      </c>
      <c r="I149" s="131">
        <f t="shared" si="11"/>
        <v>238.74277700000002</v>
      </c>
      <c r="J149" s="130">
        <v>3.1608999999999998</v>
      </c>
      <c r="L149" s="450">
        <v>156.29</v>
      </c>
      <c r="M149" s="450">
        <v>0.48320000000000002</v>
      </c>
      <c r="N149" s="450">
        <v>2.9999999999999997E-4</v>
      </c>
    </row>
    <row r="150" spans="1:16">
      <c r="A150" s="304">
        <v>46</v>
      </c>
      <c r="B150" s="395" t="s">
        <v>449</v>
      </c>
      <c r="C150" s="375">
        <f t="shared" si="8"/>
        <v>2165.1328230980685</v>
      </c>
      <c r="D150" s="136">
        <v>23.826706537890047</v>
      </c>
      <c r="E150" s="375">
        <f t="shared" si="9"/>
        <v>1915.6777530000008</v>
      </c>
      <c r="F150" s="382">
        <v>19.583702238805976</v>
      </c>
      <c r="G150" s="375">
        <f t="shared" si="10"/>
        <v>2242.888493285714</v>
      </c>
      <c r="H150" s="127">
        <v>31.940878571428566</v>
      </c>
      <c r="I150" s="375">
        <f t="shared" si="11"/>
        <v>1728.4030286249999</v>
      </c>
      <c r="J150" s="127">
        <v>22.8836625</v>
      </c>
      <c r="L150" s="304">
        <f>L149</f>
        <v>156.29</v>
      </c>
      <c r="M150" s="304">
        <f>O145*M149</f>
        <v>120.80000000000001</v>
      </c>
      <c r="N150" s="304">
        <f>N149*$O$145^2</f>
        <v>18.75</v>
      </c>
      <c r="P150" s="304">
        <f>L150-M150+N150</f>
        <v>54.239999999999981</v>
      </c>
    </row>
    <row r="151" spans="1:16">
      <c r="A151" s="304">
        <v>47</v>
      </c>
      <c r="B151" s="395" t="s">
        <v>448</v>
      </c>
      <c r="C151" s="375">
        <f t="shared" si="8"/>
        <v>602.04994947548244</v>
      </c>
      <c r="D151" s="136">
        <v>6.6253983655274826</v>
      </c>
      <c r="E151" s="375">
        <f t="shared" si="9"/>
        <v>558.38276699999983</v>
      </c>
      <c r="F151" s="382">
        <v>5.7082679104477592</v>
      </c>
      <c r="G151" s="375">
        <f t="shared" si="10"/>
        <v>766.31102719047635</v>
      </c>
      <c r="H151" s="127">
        <v>10.913002380952383</v>
      </c>
      <c r="I151" s="375">
        <f t="shared" si="11"/>
        <v>809.10851612499994</v>
      </c>
      <c r="J151" s="127">
        <v>10.712412499999999</v>
      </c>
    </row>
    <row r="152" spans="1:16" ht="16.5">
      <c r="A152" s="304">
        <v>48</v>
      </c>
      <c r="B152" s="395" t="s">
        <v>447</v>
      </c>
      <c r="C152" s="131">
        <f t="shared" si="8"/>
        <v>53.9083777087667</v>
      </c>
      <c r="D152" s="137">
        <v>0.59324725111441279</v>
      </c>
      <c r="E152" s="131">
        <f t="shared" si="9"/>
        <v>59.117152000000011</v>
      </c>
      <c r="F152" s="383">
        <v>0.60434626865671648</v>
      </c>
      <c r="G152" s="131">
        <f t="shared" si="10"/>
        <v>37.226798619047614</v>
      </c>
      <c r="H152" s="130">
        <v>0.53014523809523806</v>
      </c>
      <c r="I152" s="131">
        <f t="shared" si="11"/>
        <v>41.389495874999994</v>
      </c>
      <c r="J152" s="130">
        <v>0.54798749999999996</v>
      </c>
    </row>
    <row r="153" spans="1:16">
      <c r="A153" s="304">
        <v>49</v>
      </c>
      <c r="B153" s="395" t="s">
        <v>446</v>
      </c>
      <c r="C153" s="375">
        <f t="shared" si="8"/>
        <v>7052.3248071708722</v>
      </c>
      <c r="D153" s="136">
        <v>77.608944725111385</v>
      </c>
      <c r="E153" s="375">
        <f t="shared" si="9"/>
        <v>6663.2879410000005</v>
      </c>
      <c r="F153" s="136">
        <v>68.117848507462682</v>
      </c>
      <c r="G153" s="375">
        <f t="shared" si="10"/>
        <v>6774.1429612857119</v>
      </c>
      <c r="H153" s="127">
        <v>96.470278571428551</v>
      </c>
      <c r="I153" s="375">
        <f t="shared" si="11"/>
        <v>6095.4711544999991</v>
      </c>
      <c r="J153" s="127">
        <v>80.702649999999991</v>
      </c>
      <c r="L153" s="304">
        <f>D17</f>
        <v>151.07499999999999</v>
      </c>
      <c r="M153" s="304">
        <f>E17*$O$145</f>
        <v>155.11250000000001</v>
      </c>
      <c r="N153" s="304">
        <f>F17*$O$145^2</f>
        <v>37.5</v>
      </c>
      <c r="P153" s="304">
        <f>L153-M153+N153</f>
        <v>33.462499999999977</v>
      </c>
    </row>
    <row r="154" spans="1:16">
      <c r="A154" s="304">
        <v>50</v>
      </c>
      <c r="B154" s="391" t="s">
        <v>445</v>
      </c>
      <c r="C154" s="375">
        <f t="shared" si="8"/>
        <v>-398.70082043536439</v>
      </c>
      <c r="D154" s="377">
        <v>-4.3875956909361102</v>
      </c>
      <c r="E154" s="375">
        <f t="shared" si="9"/>
        <v>-429.10801599999996</v>
      </c>
      <c r="F154" s="382">
        <v>-4.3867104477611933</v>
      </c>
      <c r="G154" s="375">
        <f t="shared" si="10"/>
        <v>-324.71784442857142</v>
      </c>
      <c r="H154" s="127">
        <v>-4.6242928571428568</v>
      </c>
      <c r="I154" s="375">
        <f t="shared" si="11"/>
        <v>-332.93529587499995</v>
      </c>
      <c r="J154" s="127">
        <v>-4.4079874999999991</v>
      </c>
    </row>
    <row r="155" spans="1:16">
      <c r="A155" s="304">
        <v>51</v>
      </c>
      <c r="B155" s="395" t="s">
        <v>444</v>
      </c>
      <c r="C155" s="375">
        <f t="shared" si="8"/>
        <v>178.93757190044568</v>
      </c>
      <c r="D155" s="135">
        <v>1.9691600297176812</v>
      </c>
      <c r="E155" s="375">
        <f t="shared" si="9"/>
        <v>90.469630000000024</v>
      </c>
      <c r="F155" s="135">
        <v>0.92485820895522397</v>
      </c>
      <c r="G155" s="375">
        <f t="shared" si="10"/>
        <v>111.7022978095238</v>
      </c>
      <c r="H155" s="127">
        <v>1.5907476190476189</v>
      </c>
      <c r="I155" s="375">
        <f t="shared" si="11"/>
        <v>0</v>
      </c>
      <c r="J155" s="127">
        <v>0</v>
      </c>
    </row>
    <row r="156" spans="1:16">
      <c r="A156" s="304">
        <v>52</v>
      </c>
      <c r="B156" s="391" t="s">
        <v>443</v>
      </c>
      <c r="C156" s="375">
        <f t="shared" si="8"/>
        <v>-149.80213848588429</v>
      </c>
      <c r="D156" s="136">
        <v>-1.6485323922734045</v>
      </c>
      <c r="E156" s="375">
        <f t="shared" si="9"/>
        <v>-267.77348999999998</v>
      </c>
      <c r="F156" s="136">
        <v>-2.737410447761194</v>
      </c>
      <c r="G156" s="375">
        <f t="shared" si="10"/>
        <v>-162.98747480952383</v>
      </c>
      <c r="H156" s="127">
        <v>-2.3210976190476194</v>
      </c>
      <c r="I156" s="375">
        <f t="shared" si="11"/>
        <v>-159.67986124999999</v>
      </c>
      <c r="J156" s="127">
        <v>-2.114125</v>
      </c>
    </row>
    <row r="157" spans="1:16">
      <c r="A157" s="304">
        <v>53</v>
      </c>
      <c r="B157" s="391" t="s">
        <v>442</v>
      </c>
      <c r="C157" s="375">
        <f t="shared" si="8"/>
        <v>-3.5071904353640431</v>
      </c>
      <c r="D157" s="377">
        <v>-3.8595690936106999E-2</v>
      </c>
      <c r="E157" s="375">
        <f t="shared" si="9"/>
        <v>-4.8810719999999979</v>
      </c>
      <c r="F157" s="377">
        <v>-4.9898507462686544E-2</v>
      </c>
      <c r="G157" s="375">
        <f t="shared" si="10"/>
        <v>-3.2087196190476184</v>
      </c>
      <c r="H157" s="127">
        <v>-4.5695238095238087E-2</v>
      </c>
      <c r="I157" s="375">
        <f t="shared" si="11"/>
        <v>-3.4838212500000001</v>
      </c>
      <c r="J157" s="127">
        <v>-4.6124999999999999E-2</v>
      </c>
    </row>
    <row r="158" spans="1:16" ht="16.5">
      <c r="A158" s="304">
        <v>54</v>
      </c>
      <c r="B158" s="394" t="s">
        <v>441</v>
      </c>
      <c r="C158" s="131">
        <f t="shared" si="8"/>
        <v>-53.521849404160427</v>
      </c>
      <c r="D158" s="384">
        <v>-0.58899361069836498</v>
      </c>
      <c r="E158" s="131">
        <f t="shared" si="9"/>
        <v>-54.413616000000026</v>
      </c>
      <c r="F158" s="384">
        <v>-0.55626268656716438</v>
      </c>
      <c r="G158" s="131">
        <f t="shared" si="10"/>
        <v>-57.877999047619028</v>
      </c>
      <c r="H158" s="130">
        <v>-0.82423809523809499</v>
      </c>
      <c r="I158" s="131">
        <f t="shared" si="11"/>
        <v>-50.937431999999994</v>
      </c>
      <c r="J158" s="130">
        <v>-0.67439999999999989</v>
      </c>
    </row>
    <row r="159" spans="1:16" ht="15" thickBot="1">
      <c r="A159" s="304">
        <v>55</v>
      </c>
      <c r="B159" s="391" t="s">
        <v>440</v>
      </c>
      <c r="C159" s="375">
        <f t="shared" si="8"/>
        <v>-426.5943053402674</v>
      </c>
      <c r="D159" s="377">
        <v>-4.6945560178306085</v>
      </c>
      <c r="E159" s="375">
        <f t="shared" si="9"/>
        <v>-665.70671000000016</v>
      </c>
      <c r="F159" s="379">
        <v>-6.8054253731343284</v>
      </c>
      <c r="G159" s="375">
        <f t="shared" si="10"/>
        <v>-437.09091042857125</v>
      </c>
      <c r="H159" s="127">
        <v>-6.2245928571428548</v>
      </c>
      <c r="I159" s="375">
        <f t="shared" si="11"/>
        <v>-547.03357800000003</v>
      </c>
      <c r="J159" s="127">
        <v>-7.2426000000000004</v>
      </c>
    </row>
    <row r="160" spans="1:16" ht="15" thickBot="1">
      <c r="A160" s="304">
        <v>56</v>
      </c>
      <c r="B160" s="396" t="s">
        <v>439</v>
      </c>
      <c r="C160" s="385">
        <f t="shared" si="8"/>
        <v>6625.7305018306151</v>
      </c>
      <c r="D160" s="129">
        <v>72.914388707280892</v>
      </c>
      <c r="E160" s="385">
        <f t="shared" si="9"/>
        <v>5997.5815230000017</v>
      </c>
      <c r="F160" s="386">
        <v>61.312426119402993</v>
      </c>
      <c r="G160" s="385">
        <f t="shared" si="10"/>
        <v>6337.0525524285704</v>
      </c>
      <c r="H160" s="128">
        <v>90.245692857142842</v>
      </c>
      <c r="I160" s="385">
        <f t="shared" si="11"/>
        <v>5548.4375764999995</v>
      </c>
      <c r="J160" s="128">
        <v>73.460049999999995</v>
      </c>
    </row>
    <row r="161" spans="1:19">
      <c r="A161" s="304">
        <v>57</v>
      </c>
      <c r="B161" s="391" t="s">
        <v>438</v>
      </c>
      <c r="C161" s="375">
        <f t="shared" si="8"/>
        <v>7199.7913706211129</v>
      </c>
      <c r="D161" s="377">
        <v>79.231774739970419</v>
      </c>
      <c r="E161" s="375">
        <f t="shared" si="9"/>
        <v>7746.172276999996</v>
      </c>
      <c r="F161" s="377">
        <v>79.188021641790996</v>
      </c>
      <c r="G161" s="375">
        <f t="shared" si="10"/>
        <v>6845.2398753333337</v>
      </c>
      <c r="H161" s="127">
        <v>97.482766666666677</v>
      </c>
      <c r="I161" s="375">
        <f t="shared" si="11"/>
        <v>7331.4827836249997</v>
      </c>
      <c r="J161" s="127">
        <v>97.067162499999995</v>
      </c>
    </row>
    <row r="162" spans="1:19">
      <c r="A162" s="304">
        <v>58</v>
      </c>
      <c r="B162" s="391" t="s">
        <v>437</v>
      </c>
      <c r="C162" s="375">
        <f t="shared" si="8"/>
        <v>105.39702951523418</v>
      </c>
      <c r="D162" s="136">
        <v>1.1598660670764187</v>
      </c>
      <c r="E162" s="375">
        <f t="shared" si="9"/>
        <v>124.26462242667527</v>
      </c>
      <c r="F162" s="136">
        <v>1.2703396281606549</v>
      </c>
      <c r="G162" s="375">
        <f t="shared" si="10"/>
        <v>71.209262121177403</v>
      </c>
      <c r="H162" s="127">
        <v>1.0140880393218086</v>
      </c>
      <c r="I162" s="375">
        <f t="shared" si="11"/>
        <v>97.403679587969165</v>
      </c>
      <c r="J162" s="127">
        <v>1.2896025365810826</v>
      </c>
    </row>
    <row r="163" spans="1:19">
      <c r="A163" s="304">
        <v>59</v>
      </c>
      <c r="B163" s="391" t="s">
        <v>436</v>
      </c>
      <c r="C163" s="375">
        <f t="shared" si="8"/>
        <v>574.06132786626893</v>
      </c>
      <c r="D163" s="136">
        <v>6.3173910846953776</v>
      </c>
      <c r="E163" s="375">
        <f t="shared" si="9"/>
        <v>1748.5922139999996</v>
      </c>
      <c r="F163" s="136">
        <v>17.87561044776119</v>
      </c>
      <c r="G163" s="375">
        <f t="shared" si="10"/>
        <v>508.18849323809508</v>
      </c>
      <c r="H163" s="127">
        <v>7.237090476190474</v>
      </c>
      <c r="I163" s="375">
        <f t="shared" si="11"/>
        <v>1783.0461512499999</v>
      </c>
      <c r="J163" s="127">
        <v>23.607124999999996</v>
      </c>
    </row>
    <row r="164" spans="1:19">
      <c r="A164" s="304">
        <v>60</v>
      </c>
      <c r="B164" s="391" t="s">
        <v>435</v>
      </c>
      <c r="C164" s="375">
        <f t="shared" si="8"/>
        <v>1595.3646909138185</v>
      </c>
      <c r="D164" s="136">
        <v>17.556560921248138</v>
      </c>
      <c r="E164" s="375">
        <f t="shared" si="9"/>
        <v>1449.9264380000004</v>
      </c>
      <c r="F164" s="136">
        <v>14.822392537313434</v>
      </c>
      <c r="G164" s="375">
        <f t="shared" si="10"/>
        <v>1518.3638833809523</v>
      </c>
      <c r="H164" s="127">
        <v>21.622954761904758</v>
      </c>
      <c r="I164" s="375">
        <f t="shared" si="11"/>
        <v>1340.3950332500003</v>
      </c>
      <c r="J164" s="127">
        <v>17.746525000000002</v>
      </c>
      <c r="P164" s="304">
        <v>650</v>
      </c>
      <c r="Q164" s="304">
        <v>650</v>
      </c>
    </row>
    <row r="165" spans="1:19">
      <c r="A165" s="304">
        <v>61</v>
      </c>
      <c r="B165" s="391" t="s">
        <v>434</v>
      </c>
      <c r="C165" s="375">
        <f t="shared" si="8"/>
        <v>1734.0327969940549</v>
      </c>
      <c r="D165" s="136">
        <v>19.082566270430888</v>
      </c>
      <c r="E165" s="375">
        <f t="shared" si="9"/>
        <v>1872.5635880000009</v>
      </c>
      <c r="F165" s="136">
        <v>19.142952238805979</v>
      </c>
      <c r="G165" s="375">
        <f t="shared" si="10"/>
        <v>1638.9944870000004</v>
      </c>
      <c r="H165" s="127">
        <v>23.340850000000003</v>
      </c>
      <c r="I165" s="375">
        <f t="shared" si="11"/>
        <v>1769.6707323750002</v>
      </c>
      <c r="J165" s="127">
        <v>23.430037500000001</v>
      </c>
      <c r="P165" s="304">
        <f>P164*M183</f>
        <v>624.26</v>
      </c>
      <c r="Q165" s="304">
        <f>Q164*M181</f>
        <v>650</v>
      </c>
    </row>
    <row r="166" spans="1:19">
      <c r="A166" s="304">
        <v>62</v>
      </c>
      <c r="B166" s="391" t="s">
        <v>433</v>
      </c>
      <c r="C166" s="375">
        <f t="shared" si="8"/>
        <v>138.66803856909357</v>
      </c>
      <c r="D166" s="135">
        <v>1.5260046062407124</v>
      </c>
      <c r="E166" s="375">
        <f t="shared" si="9"/>
        <v>422.63663899999989</v>
      </c>
      <c r="F166" s="135">
        <v>4.3205544776119389</v>
      </c>
      <c r="G166" s="375">
        <f t="shared" si="10"/>
        <v>120.63110519047621</v>
      </c>
      <c r="H166" s="127">
        <v>1.7179023809523812</v>
      </c>
      <c r="I166" s="375">
        <f t="shared" si="11"/>
        <v>429.27569912500002</v>
      </c>
      <c r="J166" s="127">
        <v>5.6835125</v>
      </c>
      <c r="P166" s="304">
        <v>1.3</v>
      </c>
      <c r="Q166" s="304">
        <f>P166</f>
        <v>1.3</v>
      </c>
    </row>
    <row r="167" spans="1:19">
      <c r="A167" s="304">
        <v>63</v>
      </c>
      <c r="B167" s="391" t="s">
        <v>432</v>
      </c>
      <c r="C167" s="375">
        <f t="shared" si="8"/>
        <v>7255.6310936389391</v>
      </c>
      <c r="D167" s="135">
        <v>79.846275928677656</v>
      </c>
      <c r="E167" s="375">
        <f t="shared" si="9"/>
        <v>7795.6143009999987</v>
      </c>
      <c r="F167" s="135">
        <v>79.693460447761169</v>
      </c>
      <c r="G167" s="375">
        <f t="shared" si="10"/>
        <v>7153.3607211904746</v>
      </c>
      <c r="H167" s="127">
        <v>101.87070238095237</v>
      </c>
      <c r="I167" s="375">
        <f t="shared" si="11"/>
        <v>7655.8822453750008</v>
      </c>
      <c r="J167" s="127">
        <v>101.3621375</v>
      </c>
      <c r="P167" s="304">
        <f>P165*P166</f>
        <v>811.53800000000001</v>
      </c>
      <c r="Q167" s="304">
        <f>Q165*Q166</f>
        <v>845</v>
      </c>
      <c r="R167" s="304">
        <v>30</v>
      </c>
    </row>
    <row r="168" spans="1:19" ht="15" thickBot="1">
      <c r="A168" s="304">
        <v>64</v>
      </c>
      <c r="B168" s="395" t="s">
        <v>431</v>
      </c>
      <c r="C168" s="387">
        <f t="shared" si="8"/>
        <v>1721.7865277907288</v>
      </c>
      <c r="D168" s="126">
        <v>18.947799359422568</v>
      </c>
      <c r="E168" s="387">
        <f t="shared" si="9"/>
        <v>1854.3894689280783</v>
      </c>
      <c r="F168" s="126">
        <v>18.95716079460313</v>
      </c>
      <c r="G168" s="387">
        <f t="shared" si="10"/>
        <v>1694.4245651497672</v>
      </c>
      <c r="H168" s="125">
        <v>24.130227359011212</v>
      </c>
      <c r="I168" s="387">
        <f t="shared" si="11"/>
        <v>1822.8772164019251</v>
      </c>
      <c r="J168" s="125">
        <v>24.134479232118693</v>
      </c>
      <c r="P168" s="304">
        <f>P167/R168</f>
        <v>85.42505263157895</v>
      </c>
      <c r="R168" s="304">
        <v>9.5</v>
      </c>
      <c r="S168" s="304">
        <f>R168-(Q167-P167)/P168</f>
        <v>9.1082882132444816</v>
      </c>
    </row>
    <row r="169" spans="1:19" ht="15" thickBot="1">
      <c r="A169" s="304">
        <v>65</v>
      </c>
      <c r="B169" s="124" t="s">
        <v>430</v>
      </c>
      <c r="C169" s="123">
        <v>489</v>
      </c>
      <c r="D169" s="122">
        <f>C169/(C110/103)</f>
        <v>5.381313965004952</v>
      </c>
      <c r="E169" s="123">
        <v>1568.30313527216</v>
      </c>
      <c r="F169" s="129">
        <f>E169/(E110/103)</f>
        <v>16.032540740872623</v>
      </c>
      <c r="G169" s="388">
        <v>454</v>
      </c>
      <c r="H169" s="122">
        <f>G169/(G110/103)</f>
        <v>6.4653944745086873</v>
      </c>
      <c r="I169" s="389">
        <v>1640</v>
      </c>
      <c r="J169" s="129">
        <f>I169/(I110/103)</f>
        <v>21.71322653250364</v>
      </c>
      <c r="R169" s="144">
        <f>R167/R168</f>
        <v>3.1578947368421053</v>
      </c>
      <c r="S169" s="304">
        <f>R167/S168</f>
        <v>3.2937034157940461</v>
      </c>
    </row>
    <row r="170" spans="1:19">
      <c r="B170" s="519"/>
      <c r="C170" s="121"/>
      <c r="D170" s="121"/>
      <c r="E170" s="121"/>
      <c r="F170" s="121"/>
    </row>
    <row r="171" spans="1:19" ht="15">
      <c r="B171" s="120"/>
      <c r="C171" s="514"/>
      <c r="D171" s="121"/>
      <c r="E171" s="121"/>
      <c r="F171" s="93" t="str">
        <f>Lait!I94</f>
        <v>Moyenne</v>
      </c>
      <c r="H171" s="110">
        <f>Lait!I93</f>
        <v>33</v>
      </c>
      <c r="I171" s="91"/>
    </row>
    <row r="172" spans="1:19" ht="15">
      <c r="B172" s="120"/>
      <c r="C172" s="121"/>
      <c r="D172" s="121"/>
      <c r="E172" s="121"/>
    </row>
    <row r="173" spans="1:19" ht="15">
      <c r="A173" s="93" t="s">
        <v>429</v>
      </c>
      <c r="B173" s="120" t="s">
        <v>428</v>
      </c>
      <c r="C173" s="119"/>
      <c r="D173" s="119"/>
      <c r="E173" s="119"/>
      <c r="F173" s="109">
        <f>INDEX($C$176:$G$193,MATCH(H171,$B$176:$B$193,0),MATCH(F171,$C$175:$G$175,0))</f>
        <v>2.0808000000000004E-2</v>
      </c>
      <c r="I173" s="304" t="s">
        <v>903</v>
      </c>
      <c r="J173" s="120" t="s">
        <v>904</v>
      </c>
      <c r="K173" s="119"/>
      <c r="L173" s="119"/>
      <c r="M173" s="119"/>
      <c r="P173" s="109" t="e">
        <f>INDEX($C$176:$G$193,MATCH(O171,$B$176:$B$193,0),MATCH(M171,$C$175:$G$175,0))</f>
        <v>#N/A</v>
      </c>
    </row>
    <row r="174" spans="1:19">
      <c r="B174" s="118" t="s">
        <v>427</v>
      </c>
      <c r="C174" s="105" t="s">
        <v>426</v>
      </c>
      <c r="D174" s="107"/>
      <c r="E174" s="107"/>
      <c r="F174" s="107"/>
      <c r="J174" s="118" t="s">
        <v>427</v>
      </c>
      <c r="K174" s="105" t="s">
        <v>426</v>
      </c>
      <c r="L174" s="107"/>
      <c r="M174" s="107"/>
      <c r="N174" s="107"/>
    </row>
    <row r="175" spans="1:19">
      <c r="B175" s="118" t="s">
        <v>425</v>
      </c>
      <c r="C175" s="110" t="s">
        <v>424</v>
      </c>
      <c r="D175" s="110" t="s">
        <v>423</v>
      </c>
      <c r="E175" s="110" t="s">
        <v>382</v>
      </c>
      <c r="F175" s="110" t="s">
        <v>422</v>
      </c>
      <c r="G175" s="110" t="s">
        <v>421</v>
      </c>
      <c r="J175" s="118" t="s">
        <v>425</v>
      </c>
      <c r="K175" s="110" t="s">
        <v>424</v>
      </c>
      <c r="L175" s="110" t="s">
        <v>423</v>
      </c>
      <c r="M175" s="110" t="s">
        <v>382</v>
      </c>
      <c r="N175" s="110" t="s">
        <v>422</v>
      </c>
      <c r="O175" s="110" t="s">
        <v>421</v>
      </c>
    </row>
    <row r="176" spans="1:19">
      <c r="B176" s="116">
        <v>28</v>
      </c>
      <c r="C176" s="115">
        <f t="shared" ref="C176:D193" si="12">D176*1.05</f>
        <v>2.5328518971666627E-2</v>
      </c>
      <c r="D176" s="115">
        <f t="shared" si="12"/>
        <v>2.4122399020634882E-2</v>
      </c>
      <c r="E176" s="115">
        <f t="shared" ref="E176:E182" si="13">E177*1.02</f>
        <v>2.2973713352985602E-2</v>
      </c>
      <c r="F176" s="114">
        <f t="shared" ref="F176:G193" si="14">E176*0.95</f>
        <v>2.1825027685336323E-2</v>
      </c>
      <c r="G176" s="114">
        <f t="shared" si="14"/>
        <v>2.0733776301069505E-2</v>
      </c>
      <c r="J176" s="116">
        <v>28</v>
      </c>
      <c r="K176" s="515">
        <f t="shared" ref="K176:L193" si="15">L176*1.05</f>
        <v>1.2473775547119137</v>
      </c>
      <c r="L176" s="515">
        <f t="shared" si="15"/>
        <v>1.1879786235351559</v>
      </c>
      <c r="M176" s="515">
        <f>M177*1.025</f>
        <v>1.1314082128906247</v>
      </c>
      <c r="N176" s="516">
        <f t="shared" ref="N176:O193" si="16">M176*0.95</f>
        <v>1.0748378022460934</v>
      </c>
      <c r="O176" s="516">
        <f t="shared" si="16"/>
        <v>1.0210959121337886</v>
      </c>
    </row>
    <row r="177" spans="2:23">
      <c r="B177" s="116">
        <v>29</v>
      </c>
      <c r="C177" s="115">
        <f t="shared" si="12"/>
        <v>2.4831881344771205E-2</v>
      </c>
      <c r="D177" s="115">
        <f t="shared" si="12"/>
        <v>2.3649410804544004E-2</v>
      </c>
      <c r="E177" s="115">
        <f t="shared" si="13"/>
        <v>2.2523248385280002E-2</v>
      </c>
      <c r="F177" s="114">
        <f t="shared" si="14"/>
        <v>2.1397085966016E-2</v>
      </c>
      <c r="G177" s="114">
        <f t="shared" si="14"/>
        <v>2.03272316677152E-2</v>
      </c>
      <c r="J177" s="116">
        <v>29</v>
      </c>
      <c r="K177" s="515">
        <f t="shared" si="15"/>
        <v>1.2169537119140623</v>
      </c>
      <c r="L177" s="515">
        <f t="shared" si="15"/>
        <v>1.1590035351562498</v>
      </c>
      <c r="M177" s="515">
        <f>M178*1.025</f>
        <v>1.1038128906249998</v>
      </c>
      <c r="N177" s="516">
        <f t="shared" si="16"/>
        <v>1.0486222460937498</v>
      </c>
      <c r="O177" s="516">
        <f t="shared" si="16"/>
        <v>0.99619113378906221</v>
      </c>
    </row>
    <row r="178" spans="2:23">
      <c r="B178" s="116">
        <v>30</v>
      </c>
      <c r="C178" s="115">
        <f t="shared" si="12"/>
        <v>2.4344981710560001E-2</v>
      </c>
      <c r="D178" s="115">
        <f t="shared" si="12"/>
        <v>2.3185696867200001E-2</v>
      </c>
      <c r="E178" s="115">
        <f t="shared" si="13"/>
        <v>2.2081616064000002E-2</v>
      </c>
      <c r="F178" s="114">
        <f t="shared" si="14"/>
        <v>2.0977535260800002E-2</v>
      </c>
      <c r="G178" s="114">
        <f t="shared" si="14"/>
        <v>1.9928658497760002E-2</v>
      </c>
      <c r="J178" s="116">
        <v>30</v>
      </c>
      <c r="K178" s="515">
        <f t="shared" si="15"/>
        <v>1.1872719140624999</v>
      </c>
      <c r="L178" s="515">
        <f t="shared" si="15"/>
        <v>1.1307351562499999</v>
      </c>
      <c r="M178" s="515">
        <f>M179*1.025</f>
        <v>1.0768906249999999</v>
      </c>
      <c r="N178" s="516">
        <f t="shared" si="16"/>
        <v>1.0230460937499999</v>
      </c>
      <c r="O178" s="516">
        <f t="shared" si="16"/>
        <v>0.97189378906249979</v>
      </c>
    </row>
    <row r="179" spans="2:23">
      <c r="B179" s="116">
        <v>31</v>
      </c>
      <c r="C179" s="115">
        <f t="shared" si="12"/>
        <v>2.3867629128000004E-2</v>
      </c>
      <c r="D179" s="115">
        <f t="shared" si="12"/>
        <v>2.2731075360000002E-2</v>
      </c>
      <c r="E179" s="115">
        <f t="shared" si="13"/>
        <v>2.1648643200000001E-2</v>
      </c>
      <c r="F179" s="114">
        <f t="shared" si="14"/>
        <v>2.0566211040000001E-2</v>
      </c>
      <c r="G179" s="114">
        <f t="shared" si="14"/>
        <v>1.9537900487999998E-2</v>
      </c>
      <c r="J179" s="116">
        <v>31</v>
      </c>
      <c r="K179" s="515">
        <f t="shared" si="15"/>
        <v>1.1583140625000001</v>
      </c>
      <c r="L179" s="515">
        <f t="shared" si="15"/>
        <v>1.1031562500000001</v>
      </c>
      <c r="M179" s="515">
        <f>M180*1.025</f>
        <v>1.0506249999999999</v>
      </c>
      <c r="N179" s="516">
        <f t="shared" si="16"/>
        <v>0.99809374999999989</v>
      </c>
      <c r="O179" s="516">
        <f t="shared" si="16"/>
        <v>0.9481890624999999</v>
      </c>
    </row>
    <row r="180" spans="2:23">
      <c r="B180" s="116">
        <v>32</v>
      </c>
      <c r="C180" s="115">
        <f t="shared" si="12"/>
        <v>2.3399636400000003E-2</v>
      </c>
      <c r="D180" s="115">
        <f t="shared" si="12"/>
        <v>2.2285368000000003E-2</v>
      </c>
      <c r="E180" s="115">
        <f t="shared" si="13"/>
        <v>2.1224160000000002E-2</v>
      </c>
      <c r="F180" s="114">
        <f t="shared" si="14"/>
        <v>2.0162952000000001E-2</v>
      </c>
      <c r="G180" s="114">
        <f t="shared" si="14"/>
        <v>1.9154804399999999E-2</v>
      </c>
      <c r="J180" s="116">
        <v>32</v>
      </c>
      <c r="K180" s="515">
        <f t="shared" si="15"/>
        <v>1.1300625</v>
      </c>
      <c r="L180" s="515">
        <f t="shared" si="15"/>
        <v>1.0762499999999999</v>
      </c>
      <c r="M180" s="515">
        <f>M181*1.025</f>
        <v>1.0249999999999999</v>
      </c>
      <c r="N180" s="516">
        <f t="shared" si="16"/>
        <v>0.97374999999999989</v>
      </c>
      <c r="O180" s="516">
        <f t="shared" si="16"/>
        <v>0.9250624999999999</v>
      </c>
    </row>
    <row r="181" spans="2:23">
      <c r="B181" s="116">
        <v>33</v>
      </c>
      <c r="C181" s="115">
        <f t="shared" si="12"/>
        <v>2.2940820000000004E-2</v>
      </c>
      <c r="D181" s="115">
        <f t="shared" si="12"/>
        <v>2.1848400000000004E-2</v>
      </c>
      <c r="E181" s="115">
        <f t="shared" si="13"/>
        <v>2.0808000000000004E-2</v>
      </c>
      <c r="F181" s="114">
        <f t="shared" si="14"/>
        <v>1.9767600000000003E-2</v>
      </c>
      <c r="G181" s="114">
        <f t="shared" si="14"/>
        <v>1.8779220000000003E-2</v>
      </c>
      <c r="J181" s="116">
        <v>33</v>
      </c>
      <c r="K181" s="515">
        <f t="shared" si="15"/>
        <v>1.1025</v>
      </c>
      <c r="L181" s="515">
        <f t="shared" si="15"/>
        <v>1.05</v>
      </c>
      <c r="M181" s="515">
        <v>1</v>
      </c>
      <c r="N181" s="516">
        <f t="shared" si="16"/>
        <v>0.95</v>
      </c>
      <c r="O181" s="516">
        <f t="shared" si="16"/>
        <v>0.90249999999999997</v>
      </c>
    </row>
    <row r="182" spans="2:23">
      <c r="B182" s="116">
        <v>34</v>
      </c>
      <c r="C182" s="115">
        <f t="shared" si="12"/>
        <v>2.2491000000000004E-2</v>
      </c>
      <c r="D182" s="115">
        <f t="shared" si="12"/>
        <v>2.1420000000000002E-2</v>
      </c>
      <c r="E182" s="115">
        <f t="shared" si="13"/>
        <v>2.0400000000000001E-2</v>
      </c>
      <c r="F182" s="114">
        <f t="shared" si="14"/>
        <v>1.9380000000000001E-2</v>
      </c>
      <c r="G182" s="114">
        <f t="shared" si="14"/>
        <v>1.8411E-2</v>
      </c>
      <c r="J182" s="116">
        <v>34</v>
      </c>
      <c r="K182" s="515">
        <f t="shared" si="15"/>
        <v>1.0804499999999999</v>
      </c>
      <c r="L182" s="515">
        <f t="shared" si="15"/>
        <v>1.0289999999999999</v>
      </c>
      <c r="M182" s="515">
        <f>M181*0.98</f>
        <v>0.98</v>
      </c>
      <c r="N182" s="516">
        <f t="shared" si="16"/>
        <v>0.93099999999999994</v>
      </c>
      <c r="O182" s="516">
        <f t="shared" si="16"/>
        <v>0.88444999999999985</v>
      </c>
      <c r="W182" s="304">
        <v>30</v>
      </c>
    </row>
    <row r="183" spans="2:23">
      <c r="B183" s="116">
        <v>35</v>
      </c>
      <c r="C183" s="115">
        <f t="shared" si="12"/>
        <v>2.2050000000000004E-2</v>
      </c>
      <c r="D183" s="115">
        <f t="shared" si="12"/>
        <v>2.1000000000000001E-2</v>
      </c>
      <c r="E183" s="117">
        <v>0.02</v>
      </c>
      <c r="F183" s="114">
        <f t="shared" si="14"/>
        <v>1.9E-2</v>
      </c>
      <c r="G183" s="114">
        <f t="shared" si="14"/>
        <v>1.805E-2</v>
      </c>
      <c r="J183" s="116">
        <v>35</v>
      </c>
      <c r="K183" s="515">
        <f t="shared" si="15"/>
        <v>1.0588409999999999</v>
      </c>
      <c r="L183" s="515">
        <f t="shared" si="15"/>
        <v>1.0084199999999999</v>
      </c>
      <c r="M183" s="515">
        <f>M182*0.98</f>
        <v>0.96039999999999992</v>
      </c>
      <c r="N183" s="516">
        <f t="shared" si="16"/>
        <v>0.91237999999999986</v>
      </c>
      <c r="O183" s="516">
        <f t="shared" si="16"/>
        <v>0.86676099999999978</v>
      </c>
    </row>
    <row r="184" spans="2:23">
      <c r="B184" s="116">
        <v>36</v>
      </c>
      <c r="C184" s="115">
        <f t="shared" si="12"/>
        <v>2.1609000000000003E-2</v>
      </c>
      <c r="D184" s="115">
        <f t="shared" si="12"/>
        <v>2.0580000000000001E-2</v>
      </c>
      <c r="E184" s="115">
        <f t="shared" ref="E184:E193" si="17">E183*0.98</f>
        <v>1.9599999999999999E-2</v>
      </c>
      <c r="F184" s="114">
        <f t="shared" si="14"/>
        <v>1.8619999999999998E-2</v>
      </c>
      <c r="G184" s="114">
        <f t="shared" si="14"/>
        <v>1.7688999999999996E-2</v>
      </c>
      <c r="J184" s="116">
        <v>36</v>
      </c>
      <c r="K184" s="515">
        <f t="shared" si="15"/>
        <v>1.0376641800000002</v>
      </c>
      <c r="L184" s="515">
        <f t="shared" si="15"/>
        <v>0.98825160000000001</v>
      </c>
      <c r="M184" s="515">
        <f t="shared" ref="M184:M193" si="18">M183*0.98</f>
        <v>0.94119199999999992</v>
      </c>
      <c r="N184" s="516">
        <f t="shared" si="16"/>
        <v>0.89413239999999983</v>
      </c>
      <c r="O184" s="516">
        <f t="shared" si="16"/>
        <v>0.8494257799999998</v>
      </c>
    </row>
    <row r="185" spans="2:23">
      <c r="B185" s="116">
        <v>37</v>
      </c>
      <c r="C185" s="115">
        <f t="shared" si="12"/>
        <v>2.1176819999999999E-2</v>
      </c>
      <c r="D185" s="115">
        <f t="shared" si="12"/>
        <v>2.01684E-2</v>
      </c>
      <c r="E185" s="115">
        <f t="shared" si="17"/>
        <v>1.9207999999999999E-2</v>
      </c>
      <c r="F185" s="114">
        <f t="shared" si="14"/>
        <v>1.8247599999999999E-2</v>
      </c>
      <c r="G185" s="114">
        <f t="shared" si="14"/>
        <v>1.7335219999999998E-2</v>
      </c>
      <c r="J185" s="116">
        <v>37</v>
      </c>
      <c r="K185" s="515">
        <f t="shared" si="15"/>
        <v>1.0169108964</v>
      </c>
      <c r="L185" s="515">
        <f t="shared" si="15"/>
        <v>0.96848656799999988</v>
      </c>
      <c r="M185" s="515">
        <f t="shared" si="18"/>
        <v>0.92236815999999988</v>
      </c>
      <c r="N185" s="516">
        <f t="shared" si="16"/>
        <v>0.87624975199999988</v>
      </c>
      <c r="O185" s="516">
        <f t="shared" si="16"/>
        <v>0.83243726439999988</v>
      </c>
    </row>
    <row r="186" spans="2:23">
      <c r="B186" s="116">
        <v>38</v>
      </c>
      <c r="C186" s="115">
        <f t="shared" si="12"/>
        <v>2.0753283599999998E-2</v>
      </c>
      <c r="D186" s="115">
        <f t="shared" si="12"/>
        <v>1.9765031999999998E-2</v>
      </c>
      <c r="E186" s="115">
        <f t="shared" si="17"/>
        <v>1.8823839999999998E-2</v>
      </c>
      <c r="F186" s="114">
        <f t="shared" si="14"/>
        <v>1.7882647999999998E-2</v>
      </c>
      <c r="G186" s="114">
        <f t="shared" si="14"/>
        <v>1.6988515599999997E-2</v>
      </c>
      <c r="J186" s="116">
        <v>38</v>
      </c>
      <c r="K186" s="515">
        <f t="shared" si="15"/>
        <v>0.99657267847199982</v>
      </c>
      <c r="L186" s="515">
        <f t="shared" si="15"/>
        <v>0.94911683663999979</v>
      </c>
      <c r="M186" s="515">
        <f t="shared" si="18"/>
        <v>0.90392079679999982</v>
      </c>
      <c r="N186" s="516">
        <f t="shared" si="16"/>
        <v>0.85872475695999984</v>
      </c>
      <c r="O186" s="516">
        <f t="shared" si="16"/>
        <v>0.81578851911199979</v>
      </c>
    </row>
    <row r="187" spans="2:23">
      <c r="B187" s="116">
        <v>39</v>
      </c>
      <c r="C187" s="115">
        <f t="shared" si="12"/>
        <v>2.0338217927999998E-2</v>
      </c>
      <c r="D187" s="115">
        <f t="shared" si="12"/>
        <v>1.9369731359999996E-2</v>
      </c>
      <c r="E187" s="115">
        <f t="shared" si="17"/>
        <v>1.8447363199999997E-2</v>
      </c>
      <c r="F187" s="114">
        <f t="shared" si="14"/>
        <v>1.7524995039999998E-2</v>
      </c>
      <c r="G187" s="114">
        <f t="shared" si="14"/>
        <v>1.6648745287999998E-2</v>
      </c>
      <c r="J187" s="116">
        <v>39</v>
      </c>
      <c r="K187" s="515">
        <f t="shared" si="15"/>
        <v>0.97664122490255989</v>
      </c>
      <c r="L187" s="515">
        <f t="shared" si="15"/>
        <v>0.93013449990719987</v>
      </c>
      <c r="M187" s="515">
        <f t="shared" si="18"/>
        <v>0.8858423808639998</v>
      </c>
      <c r="N187" s="516">
        <f t="shared" si="16"/>
        <v>0.84155026182079973</v>
      </c>
      <c r="O187" s="516">
        <f t="shared" si="16"/>
        <v>0.79947274872975971</v>
      </c>
    </row>
    <row r="188" spans="2:23">
      <c r="B188" s="116">
        <v>40</v>
      </c>
      <c r="C188" s="115">
        <f t="shared" si="12"/>
        <v>1.9931453569439997E-2</v>
      </c>
      <c r="D188" s="115">
        <f t="shared" si="12"/>
        <v>1.8982336732799997E-2</v>
      </c>
      <c r="E188" s="115">
        <f t="shared" si="17"/>
        <v>1.8078415935999997E-2</v>
      </c>
      <c r="F188" s="114">
        <f t="shared" si="14"/>
        <v>1.7174495139199997E-2</v>
      </c>
      <c r="G188" s="114">
        <f t="shared" si="14"/>
        <v>1.6315770382239997E-2</v>
      </c>
      <c r="J188" s="116">
        <v>40</v>
      </c>
      <c r="K188" s="515">
        <f t="shared" si="15"/>
        <v>0.95710840040450862</v>
      </c>
      <c r="L188" s="515">
        <f t="shared" si="15"/>
        <v>0.9115318099090558</v>
      </c>
      <c r="M188" s="515">
        <f t="shared" si="18"/>
        <v>0.86812553324671982</v>
      </c>
      <c r="N188" s="516">
        <f t="shared" si="16"/>
        <v>0.82471925658438383</v>
      </c>
      <c r="O188" s="516">
        <f t="shared" si="16"/>
        <v>0.78348329375516457</v>
      </c>
    </row>
    <row r="189" spans="2:23">
      <c r="B189" s="116">
        <v>41</v>
      </c>
      <c r="C189" s="115">
        <f t="shared" si="12"/>
        <v>1.9532824498051198E-2</v>
      </c>
      <c r="D189" s="115">
        <f t="shared" si="12"/>
        <v>1.8602689998143997E-2</v>
      </c>
      <c r="E189" s="115">
        <f t="shared" si="17"/>
        <v>1.7716847617279995E-2</v>
      </c>
      <c r="F189" s="114">
        <f t="shared" si="14"/>
        <v>1.6831005236415994E-2</v>
      </c>
      <c r="G189" s="114">
        <f t="shared" si="14"/>
        <v>1.5989454974595193E-2</v>
      </c>
      <c r="J189" s="116">
        <v>41</v>
      </c>
      <c r="K189" s="515">
        <f t="shared" si="15"/>
        <v>0.93796623239641852</v>
      </c>
      <c r="L189" s="515">
        <f t="shared" si="15"/>
        <v>0.8933011737108747</v>
      </c>
      <c r="M189" s="515">
        <f t="shared" si="18"/>
        <v>0.85076302258178538</v>
      </c>
      <c r="N189" s="516">
        <f t="shared" si="16"/>
        <v>0.80822487145269606</v>
      </c>
      <c r="O189" s="516">
        <f t="shared" si="16"/>
        <v>0.76781362788006124</v>
      </c>
      <c r="Q189" s="304">
        <v>1</v>
      </c>
    </row>
    <row r="190" spans="2:23">
      <c r="B190" s="116">
        <v>42</v>
      </c>
      <c r="C190" s="115">
        <f t="shared" si="12"/>
        <v>1.9142168008090172E-2</v>
      </c>
      <c r="D190" s="115">
        <f t="shared" si="12"/>
        <v>1.8230636198181115E-2</v>
      </c>
      <c r="E190" s="115">
        <f t="shared" si="17"/>
        <v>1.7362510664934393E-2</v>
      </c>
      <c r="F190" s="114">
        <f t="shared" si="14"/>
        <v>1.6494385131687671E-2</v>
      </c>
      <c r="G190" s="114">
        <f t="shared" si="14"/>
        <v>1.5669665875103288E-2</v>
      </c>
      <c r="J190" s="116">
        <v>42</v>
      </c>
      <c r="K190" s="515">
        <f t="shared" si="15"/>
        <v>0.91920690774849012</v>
      </c>
      <c r="L190" s="515">
        <f t="shared" si="15"/>
        <v>0.87543515023665719</v>
      </c>
      <c r="M190" s="515">
        <f t="shared" si="18"/>
        <v>0.83374776213014967</v>
      </c>
      <c r="N190" s="516">
        <f t="shared" si="16"/>
        <v>0.79206037402364216</v>
      </c>
      <c r="O190" s="516">
        <f t="shared" si="16"/>
        <v>0.75245735532246005</v>
      </c>
    </row>
    <row r="191" spans="2:23">
      <c r="B191" s="116">
        <v>43</v>
      </c>
      <c r="C191" s="115">
        <f t="shared" si="12"/>
        <v>1.8759324647928365E-2</v>
      </c>
      <c r="D191" s="115">
        <f t="shared" si="12"/>
        <v>1.786602347421749E-2</v>
      </c>
      <c r="E191" s="115">
        <f t="shared" si="17"/>
        <v>1.7015260451635705E-2</v>
      </c>
      <c r="F191" s="114">
        <f t="shared" si="14"/>
        <v>1.6164497429053921E-2</v>
      </c>
      <c r="G191" s="114">
        <f t="shared" si="14"/>
        <v>1.5356272557601225E-2</v>
      </c>
      <c r="J191" s="116">
        <v>43</v>
      </c>
      <c r="K191" s="515">
        <f t="shared" si="15"/>
        <v>0.90082276959352026</v>
      </c>
      <c r="L191" s="515">
        <f t="shared" si="15"/>
        <v>0.85792644723192402</v>
      </c>
      <c r="M191" s="515">
        <f t="shared" si="18"/>
        <v>0.81707280688754669</v>
      </c>
      <c r="N191" s="516">
        <f t="shared" si="16"/>
        <v>0.77621916654316936</v>
      </c>
      <c r="O191" s="516">
        <f t="shared" si="16"/>
        <v>0.73740820821601083</v>
      </c>
    </row>
    <row r="192" spans="2:23">
      <c r="B192" s="116">
        <v>44</v>
      </c>
      <c r="C192" s="115">
        <f t="shared" si="12"/>
        <v>1.8384138154969799E-2</v>
      </c>
      <c r="D192" s="115">
        <f t="shared" si="12"/>
        <v>1.7508703004733141E-2</v>
      </c>
      <c r="E192" s="115">
        <f t="shared" si="17"/>
        <v>1.6674955242602992E-2</v>
      </c>
      <c r="F192" s="114">
        <f t="shared" si="14"/>
        <v>1.5841207480472842E-2</v>
      </c>
      <c r="G192" s="114">
        <f t="shared" si="14"/>
        <v>1.5049147106449199E-2</v>
      </c>
      <c r="J192" s="116">
        <v>44</v>
      </c>
      <c r="K192" s="515">
        <f t="shared" si="15"/>
        <v>0.8828063142016499</v>
      </c>
      <c r="L192" s="515">
        <f t="shared" si="15"/>
        <v>0.84076791828728559</v>
      </c>
      <c r="M192" s="515">
        <f t="shared" si="18"/>
        <v>0.80073135074979573</v>
      </c>
      <c r="N192" s="516">
        <f t="shared" si="16"/>
        <v>0.76069478321230588</v>
      </c>
      <c r="O192" s="516">
        <f t="shared" si="16"/>
        <v>0.7226600440516906</v>
      </c>
    </row>
    <row r="193" spans="1:15">
      <c r="B193" s="116">
        <v>45</v>
      </c>
      <c r="C193" s="115">
        <f t="shared" si="12"/>
        <v>1.8016455391870405E-2</v>
      </c>
      <c r="D193" s="115">
        <f t="shared" si="12"/>
        <v>1.7158528944638481E-2</v>
      </c>
      <c r="E193" s="115">
        <f t="shared" si="17"/>
        <v>1.6341456137750933E-2</v>
      </c>
      <c r="F193" s="114">
        <f t="shared" si="14"/>
        <v>1.5524383330863386E-2</v>
      </c>
      <c r="G193" s="114">
        <f t="shared" si="14"/>
        <v>1.4748164164320217E-2</v>
      </c>
      <c r="J193" s="116">
        <v>45</v>
      </c>
      <c r="K193" s="515">
        <f t="shared" si="15"/>
        <v>0.86515018791761689</v>
      </c>
      <c r="L193" s="515">
        <f t="shared" si="15"/>
        <v>0.82395255992153982</v>
      </c>
      <c r="M193" s="515">
        <f t="shared" si="18"/>
        <v>0.78471672373479984</v>
      </c>
      <c r="N193" s="516">
        <f t="shared" si="16"/>
        <v>0.74548088754805986</v>
      </c>
      <c r="O193" s="516">
        <f t="shared" si="16"/>
        <v>0.70820684317065685</v>
      </c>
    </row>
    <row r="194" spans="1:15">
      <c r="B194" s="107"/>
      <c r="C194" s="107"/>
      <c r="D194" s="107"/>
      <c r="E194" s="107"/>
      <c r="F194" s="107"/>
    </row>
    <row r="195" spans="1:15">
      <c r="B195" s="107"/>
      <c r="C195" s="107"/>
      <c r="D195" s="107"/>
      <c r="E195" s="107"/>
      <c r="F195" s="107"/>
    </row>
    <row r="196" spans="1:15">
      <c r="B196" s="107"/>
      <c r="C196" s="107"/>
      <c r="D196" s="107"/>
      <c r="E196" s="107"/>
      <c r="F196" s="107"/>
    </row>
    <row r="197" spans="1:15">
      <c r="A197" s="93" t="s">
        <v>420</v>
      </c>
      <c r="B197" s="107"/>
      <c r="C197" s="105" t="s">
        <v>419</v>
      </c>
      <c r="D197" s="107"/>
      <c r="G197" s="105" t="s">
        <v>416</v>
      </c>
      <c r="H197" s="107"/>
      <c r="J197" s="93" t="s">
        <v>960</v>
      </c>
    </row>
    <row r="198" spans="1:15">
      <c r="B198" s="107"/>
      <c r="C198" s="107"/>
      <c r="D198" s="107"/>
      <c r="G198" s="107"/>
      <c r="H198" s="107"/>
      <c r="J198" s="113"/>
      <c r="L198" s="112"/>
    </row>
    <row r="199" spans="1:15">
      <c r="C199" s="304" t="s">
        <v>384</v>
      </c>
      <c r="D199" s="304" t="s">
        <v>418</v>
      </c>
      <c r="G199" s="304" t="s">
        <v>384</v>
      </c>
      <c r="H199" s="304" t="s">
        <v>418</v>
      </c>
      <c r="J199" s="533"/>
      <c r="K199" s="533" t="s">
        <v>384</v>
      </c>
      <c r="L199" s="533" t="s">
        <v>418</v>
      </c>
    </row>
    <row r="200" spans="1:15">
      <c r="B200" s="93" t="s">
        <v>385</v>
      </c>
      <c r="C200" s="102">
        <f>1.1*E178</f>
        <v>2.4289777670400005E-2</v>
      </c>
      <c r="D200" s="102">
        <f>C200*0.9</f>
        <v>2.1860799903360005E-2</v>
      </c>
      <c r="F200" s="93" t="s">
        <v>385</v>
      </c>
      <c r="G200" s="111">
        <f t="shared" ref="G200:H202" si="19">C200*0.95</f>
        <v>2.3075288786880005E-2</v>
      </c>
      <c r="H200" s="111">
        <f t="shared" si="19"/>
        <v>2.0767759908192004E-2</v>
      </c>
      <c r="J200" s="93" t="s">
        <v>385</v>
      </c>
      <c r="K200" s="744">
        <f>C200/$C$200</f>
        <v>1</v>
      </c>
      <c r="L200" s="744">
        <f>D200/$C$200</f>
        <v>0.9</v>
      </c>
    </row>
    <row r="201" spans="1:15">
      <c r="B201" s="93" t="s">
        <v>417</v>
      </c>
      <c r="C201" s="102">
        <f>1*E180</f>
        <v>2.1224160000000002E-2</v>
      </c>
      <c r="D201" s="102">
        <f>0.9*C201</f>
        <v>1.9101744000000004E-2</v>
      </c>
      <c r="F201" s="93" t="s">
        <v>417</v>
      </c>
      <c r="G201" s="111">
        <f t="shared" si="19"/>
        <v>2.0162952000000001E-2</v>
      </c>
      <c r="H201" s="111">
        <f t="shared" si="19"/>
        <v>1.8146656800000004E-2</v>
      </c>
      <c r="J201" s="93" t="s">
        <v>417</v>
      </c>
      <c r="K201" s="744">
        <f>C201/$C$200</f>
        <v>0.87378980112544113</v>
      </c>
      <c r="L201" s="744">
        <f>D201/$C$200</f>
        <v>0.78641082101289717</v>
      </c>
    </row>
    <row r="202" spans="1:15">
      <c r="B202" s="93" t="s">
        <v>415</v>
      </c>
      <c r="C202" s="102">
        <f>0.85*E182</f>
        <v>1.7340000000000001E-2</v>
      </c>
      <c r="D202" s="102">
        <f>C202*0.95</f>
        <v>1.6473000000000002E-2</v>
      </c>
      <c r="F202" s="93" t="s">
        <v>415</v>
      </c>
      <c r="G202" s="111">
        <f t="shared" si="19"/>
        <v>1.6473000000000002E-2</v>
      </c>
      <c r="H202" s="111">
        <f t="shared" si="19"/>
        <v>1.5649349999999999E-2</v>
      </c>
      <c r="J202" s="93" t="s">
        <v>415</v>
      </c>
      <c r="K202" s="744">
        <v>0.65</v>
      </c>
      <c r="L202" s="744">
        <v>0.5</v>
      </c>
    </row>
    <row r="203" spans="1:15">
      <c r="D203" s="93"/>
      <c r="E203" s="107"/>
      <c r="F203" s="107"/>
    </row>
    <row r="204" spans="1:15">
      <c r="E204" s="107"/>
      <c r="F204" s="107"/>
    </row>
    <row r="205" spans="1:15">
      <c r="E205" s="107"/>
      <c r="F205" s="107"/>
    </row>
    <row r="206" spans="1:15">
      <c r="A206" s="93" t="s">
        <v>414</v>
      </c>
      <c r="E206" s="107"/>
      <c r="F206" s="107"/>
      <c r="G206" s="93" t="s">
        <v>413</v>
      </c>
      <c r="L206" s="93" t="str">
        <f>H207</f>
        <v>lactoduc</v>
      </c>
      <c r="N206" s="110">
        <v>120</v>
      </c>
    </row>
    <row r="207" spans="1:15">
      <c r="B207" s="304">
        <v>0</v>
      </c>
      <c r="C207" s="93" t="s">
        <v>398</v>
      </c>
      <c r="D207" s="93" t="s">
        <v>412</v>
      </c>
      <c r="E207" s="93" t="s">
        <v>411</v>
      </c>
      <c r="F207" s="107"/>
      <c r="H207" s="93" t="s">
        <v>398</v>
      </c>
      <c r="I207" s="93" t="s">
        <v>412</v>
      </c>
      <c r="J207" s="93" t="s">
        <v>411</v>
      </c>
    </row>
    <row r="208" spans="1:15">
      <c r="B208" s="304">
        <v>0</v>
      </c>
      <c r="C208" s="108">
        <v>14.5</v>
      </c>
      <c r="D208" s="108">
        <v>7.7</v>
      </c>
      <c r="E208" s="108">
        <v>12.6</v>
      </c>
      <c r="F208" s="107"/>
      <c r="G208" s="304">
        <v>49</v>
      </c>
      <c r="H208" s="108">
        <f t="shared" ref="H208:J210" si="20">C208/2</f>
        <v>7.25</v>
      </c>
      <c r="I208" s="108">
        <f t="shared" si="20"/>
        <v>3.85</v>
      </c>
      <c r="J208" s="108">
        <f t="shared" si="20"/>
        <v>6.3</v>
      </c>
      <c r="L208" s="109">
        <f>INDEX($C$208:$E$210,MATCH(N206,$B$208:$B$210,1),MATCH(L206,$C$207:$E$207,0))</f>
        <v>11</v>
      </c>
    </row>
    <row r="209" spans="1:10">
      <c r="B209" s="304">
        <v>50</v>
      </c>
      <c r="C209" s="108">
        <v>12.1</v>
      </c>
      <c r="D209" s="108">
        <v>7.7</v>
      </c>
      <c r="E209" s="108">
        <v>11.2</v>
      </c>
      <c r="F209" s="107"/>
      <c r="G209" s="304">
        <v>100</v>
      </c>
      <c r="H209" s="108">
        <f t="shared" si="20"/>
        <v>6.05</v>
      </c>
      <c r="I209" s="108">
        <f t="shared" si="20"/>
        <v>3.85</v>
      </c>
      <c r="J209" s="108">
        <f t="shared" si="20"/>
        <v>5.6</v>
      </c>
    </row>
    <row r="210" spans="1:10">
      <c r="B210" s="304">
        <v>100</v>
      </c>
      <c r="C210" s="108">
        <v>11</v>
      </c>
      <c r="D210" s="108">
        <v>7.2</v>
      </c>
      <c r="E210" s="108">
        <v>9.1</v>
      </c>
      <c r="F210" s="107"/>
      <c r="G210" s="304">
        <v>1000</v>
      </c>
      <c r="H210" s="108">
        <f t="shared" si="20"/>
        <v>5.5</v>
      </c>
      <c r="I210" s="108">
        <f t="shared" si="20"/>
        <v>3.6</v>
      </c>
      <c r="J210" s="108">
        <f t="shared" si="20"/>
        <v>4.55</v>
      </c>
    </row>
    <row r="211" spans="1:10">
      <c r="D211" s="107"/>
      <c r="E211" s="107"/>
      <c r="F211" s="107"/>
    </row>
    <row r="212" spans="1:10">
      <c r="D212" s="107"/>
      <c r="E212" s="107"/>
      <c r="F212" s="107"/>
    </row>
    <row r="213" spans="1:10">
      <c r="B213" s="107"/>
      <c r="C213" s="107"/>
      <c r="D213" s="107"/>
      <c r="E213" s="107"/>
      <c r="F213" s="107"/>
    </row>
    <row r="214" spans="1:10">
      <c r="A214" s="93" t="s">
        <v>410</v>
      </c>
      <c r="D214" s="107"/>
      <c r="E214" s="107"/>
      <c r="F214" s="107"/>
    </row>
    <row r="215" spans="1:10">
      <c r="D215" s="107"/>
      <c r="E215" s="107"/>
      <c r="F215" s="107"/>
    </row>
    <row r="216" spans="1:10">
      <c r="B216" s="105" t="s">
        <v>409</v>
      </c>
      <c r="C216" s="107">
        <v>5900</v>
      </c>
      <c r="D216" s="107"/>
      <c r="E216" s="107"/>
      <c r="F216" s="107"/>
    </row>
    <row r="217" spans="1:10">
      <c r="B217" s="93" t="s">
        <v>408</v>
      </c>
      <c r="C217" s="304">
        <v>3100</v>
      </c>
      <c r="D217" s="107"/>
      <c r="E217" s="107"/>
      <c r="F217" s="107"/>
    </row>
    <row r="218" spans="1:10">
      <c r="B218" s="105" t="s">
        <v>407</v>
      </c>
      <c r="C218" s="107">
        <f>C216*0.5</f>
        <v>2950</v>
      </c>
      <c r="D218" s="107"/>
      <c r="E218" s="107"/>
      <c r="F218" s="107"/>
    </row>
    <row r="219" spans="1:10">
      <c r="B219" s="105" t="s">
        <v>406</v>
      </c>
      <c r="C219" s="107">
        <v>1180</v>
      </c>
      <c r="D219" s="107"/>
      <c r="E219" s="107"/>
      <c r="F219" s="107"/>
    </row>
    <row r="220" spans="1:10">
      <c r="B220" s="105" t="s">
        <v>405</v>
      </c>
      <c r="C220" s="107">
        <v>250</v>
      </c>
      <c r="D220" s="107"/>
      <c r="E220" s="107"/>
      <c r="F220" s="107"/>
    </row>
    <row r="221" spans="1:10">
      <c r="B221" s="107"/>
      <c r="C221" s="107"/>
      <c r="D221" s="107"/>
      <c r="E221" s="107"/>
      <c r="F221" s="107"/>
    </row>
    <row r="222" spans="1:10">
      <c r="A222" s="304" t="s">
        <v>905</v>
      </c>
    </row>
    <row r="224" spans="1:10">
      <c r="B224" s="304" t="s">
        <v>906</v>
      </c>
      <c r="C224" s="304">
        <v>24000</v>
      </c>
    </row>
    <row r="227" spans="1:3">
      <c r="A227" s="304" t="s">
        <v>962</v>
      </c>
    </row>
    <row r="228" spans="1:3" ht="15" thickBot="1">
      <c r="B228" s="1454" t="s">
        <v>963</v>
      </c>
      <c r="C228" s="1454" t="s">
        <v>961</v>
      </c>
    </row>
    <row r="229" spans="1:3" ht="15" thickTop="1">
      <c r="B229" s="454"/>
      <c r="C229" s="445"/>
    </row>
    <row r="230" spans="1:3">
      <c r="B230" s="1455" t="s">
        <v>802</v>
      </c>
      <c r="C230" s="1455" t="s">
        <v>1345</v>
      </c>
    </row>
    <row r="231" spans="1:3">
      <c r="B231" s="1455" t="s">
        <v>793</v>
      </c>
      <c r="C231" s="1455" t="s">
        <v>1346</v>
      </c>
    </row>
    <row r="232" spans="1:3">
      <c r="B232" s="1455" t="s">
        <v>794</v>
      </c>
      <c r="C232" s="1455" t="s">
        <v>1347</v>
      </c>
    </row>
    <row r="233" spans="1:3">
      <c r="B233" s="1455" t="s">
        <v>795</v>
      </c>
      <c r="C233" s="1455" t="s">
        <v>1348</v>
      </c>
    </row>
    <row r="234" spans="1:3">
      <c r="B234" s="1455" t="s">
        <v>796</v>
      </c>
      <c r="C234" s="1455" t="s">
        <v>1349</v>
      </c>
    </row>
    <row r="235" spans="1:3">
      <c r="B235" s="1455" t="s">
        <v>1355</v>
      </c>
      <c r="C235" s="1455" t="s">
        <v>1358</v>
      </c>
    </row>
    <row r="236" spans="1:3">
      <c r="B236" s="1455" t="s">
        <v>1359</v>
      </c>
      <c r="C236" s="1455" t="s">
        <v>1360</v>
      </c>
    </row>
    <row r="237" spans="1:3">
      <c r="B237" s="1455" t="s">
        <v>797</v>
      </c>
      <c r="C237" s="1455" t="s">
        <v>1350</v>
      </c>
    </row>
    <row r="238" spans="1:3">
      <c r="B238" s="1455" t="s">
        <v>798</v>
      </c>
      <c r="C238" s="1455" t="s">
        <v>1351</v>
      </c>
    </row>
    <row r="239" spans="1:3">
      <c r="B239" s="1455" t="s">
        <v>1361</v>
      </c>
      <c r="C239" s="1455" t="s">
        <v>1362</v>
      </c>
    </row>
    <row r="240" spans="1:3" s="1390" customFormat="1">
      <c r="B240" s="1455" t="s">
        <v>1363</v>
      </c>
      <c r="C240" s="1455" t="s">
        <v>1364</v>
      </c>
    </row>
    <row r="241" spans="2:3">
      <c r="B241" s="1455" t="s">
        <v>799</v>
      </c>
      <c r="C241" s="1455" t="s">
        <v>1352</v>
      </c>
    </row>
    <row r="242" spans="2:3">
      <c r="B242" s="1455" t="s">
        <v>800</v>
      </c>
      <c r="C242" s="1455" t="s">
        <v>1353</v>
      </c>
    </row>
    <row r="243" spans="2:3">
      <c r="B243" s="1455" t="s">
        <v>801</v>
      </c>
      <c r="C243" s="1455" t="s">
        <v>1354</v>
      </c>
    </row>
    <row r="244" spans="2:3" s="1390" customFormat="1">
      <c r="B244" s="1455" t="s">
        <v>1356</v>
      </c>
      <c r="C244" s="1455" t="s">
        <v>1357</v>
      </c>
    </row>
    <row r="245" spans="2:3">
      <c r="B245" s="1455" t="str">
        <f>"Coût de production du "&amp;nAutre1</f>
        <v>Coût de production du Autre #1</v>
      </c>
      <c r="C245" s="1455" t="str">
        <f>"Prix net du "&amp;nAutre1</f>
        <v>Prix net du Autre #1</v>
      </c>
    </row>
    <row r="246" spans="2:3">
      <c r="B246" s="1455" t="str">
        <f>"Coût de production du "&amp;nAutre2</f>
        <v>Coût de production du Autre #2</v>
      </c>
      <c r="C246" s="1455" t="str">
        <f>"Prix net du "&amp;nAutre2</f>
        <v>Prix net du Autre #2</v>
      </c>
    </row>
    <row r="247" spans="2:3">
      <c r="B247" s="1455" t="str">
        <f>"Coût de production du "&amp;nAutre3</f>
        <v>Coût de production du Autre #3</v>
      </c>
      <c r="C247" s="1455" t="str">
        <f>"Prix net du "&amp;nAutre3</f>
        <v>Prix net du Autre #3</v>
      </c>
    </row>
  </sheetData>
  <sheetProtection sheet="1" objects="1" scenarios="1"/>
  <mergeCells count="12">
    <mergeCell ref="C103:F103"/>
    <mergeCell ref="G103:J103"/>
    <mergeCell ref="C104:D104"/>
    <mergeCell ref="E104:F104"/>
    <mergeCell ref="G104:H104"/>
    <mergeCell ref="I104:J104"/>
    <mergeCell ref="B101:F101"/>
    <mergeCell ref="G15:H16"/>
    <mergeCell ref="I15:J16"/>
    <mergeCell ref="K15:L16"/>
    <mergeCell ref="D40:F40"/>
    <mergeCell ref="B49:F49"/>
  </mergeCells>
  <conditionalFormatting sqref="K119 I119 M119 O119 Q119">
    <cfRule type="colorScale" priority="1">
      <colorScale>
        <cfvo type="formula" val="$H$17"/>
        <cfvo type="percentile" val="50"/>
        <cfvo type="max"/>
        <color rgb="FFF8696B"/>
        <color rgb="FFFFEB84"/>
        <color rgb="FF63BE7B"/>
      </colorScale>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Champs">
    <tabColor theme="5"/>
  </sheetPr>
  <dimension ref="A1:XFC466"/>
  <sheetViews>
    <sheetView showGridLines="0" topLeftCell="C1" workbookViewId="0">
      <pane xSplit="3" ySplit="2" topLeftCell="F3" activePane="bottomRight" state="frozen"/>
      <selection activeCell="C1" sqref="C1"/>
      <selection pane="topRight" activeCell="F1" sqref="F1"/>
      <selection pane="bottomLeft" activeCell="C3" sqref="C3"/>
      <selection pane="bottomRight" activeCell="D4" sqref="D4"/>
    </sheetView>
  </sheetViews>
  <sheetFormatPr baseColWidth="10" defaultColWidth="11.42578125" defaultRowHeight="14.25"/>
  <cols>
    <col min="1" max="1" width="4.42578125" style="409" hidden="1" customWidth="1"/>
    <col min="2" max="2" width="6.28515625" style="412" hidden="1" customWidth="1"/>
    <col min="3" max="3" width="4.140625" style="15" customWidth="1"/>
    <col min="4" max="4" width="32.28515625" style="15" customWidth="1"/>
    <col min="5" max="5" width="17.5703125" style="1348" customWidth="1"/>
    <col min="6" max="6" width="3.5703125" style="1958" hidden="1" customWidth="1"/>
    <col min="7" max="7" width="19.5703125" style="644" hidden="1" customWidth="1"/>
    <col min="8" max="8" width="8" style="39" customWidth="1"/>
    <col min="9" max="9" width="16.28515625" style="97" customWidth="1"/>
    <col min="10" max="10" width="8" style="39" customWidth="1"/>
    <col min="11" max="11" width="17.5703125" style="97" customWidth="1"/>
    <col min="12" max="12" width="8" style="39" customWidth="1"/>
    <col min="13" max="13" width="17.5703125" style="97" customWidth="1"/>
    <col min="14" max="14" width="8" style="39" customWidth="1"/>
    <col min="15" max="15" width="17.5703125" style="97" customWidth="1"/>
    <col min="16" max="16" width="8" style="39" customWidth="1"/>
    <col min="17" max="17" width="17.5703125" style="97" customWidth="1"/>
    <col min="18" max="18" width="6.42578125" style="17" customWidth="1"/>
    <col min="19" max="19" width="14.5703125" style="97" customWidth="1"/>
    <col min="20" max="16384" width="11.42578125" style="15"/>
  </cols>
  <sheetData>
    <row r="1" spans="1:19" s="1543" customFormat="1" ht="24.75" thickBot="1">
      <c r="A1" s="1535"/>
      <c r="B1" s="1536"/>
      <c r="C1" s="1537" t="s">
        <v>1129</v>
      </c>
      <c r="D1" s="1538"/>
      <c r="E1" s="1539"/>
      <c r="F1" s="2015">
        <v>0</v>
      </c>
      <c r="G1" s="2016">
        <v>0</v>
      </c>
      <c r="H1" s="1540">
        <v>1</v>
      </c>
      <c r="I1" s="1541">
        <v>1</v>
      </c>
      <c r="J1" s="1540">
        <v>2</v>
      </c>
      <c r="K1" s="1541">
        <v>2</v>
      </c>
      <c r="L1" s="1540">
        <v>3</v>
      </c>
      <c r="M1" s="1541">
        <v>3</v>
      </c>
      <c r="N1" s="1540">
        <v>4</v>
      </c>
      <c r="O1" s="1541">
        <v>4</v>
      </c>
      <c r="P1" s="1540">
        <v>5</v>
      </c>
      <c r="Q1" s="1541">
        <v>5</v>
      </c>
      <c r="R1" s="1690"/>
      <c r="S1" s="1542"/>
    </row>
    <row r="2" spans="1:19" s="1546" customFormat="1" ht="29.25" customHeight="1" thickTop="1">
      <c r="A2" s="1544" t="s">
        <v>294</v>
      </c>
      <c r="B2" s="1545"/>
      <c r="D2" s="1547" t="s">
        <v>1203</v>
      </c>
      <c r="E2" s="1548"/>
      <c r="F2" s="2196" t="s">
        <v>295</v>
      </c>
      <c r="G2" s="2196"/>
      <c r="H2" s="2195">
        <f>scenario1</f>
        <v>0</v>
      </c>
      <c r="I2" s="2195"/>
      <c r="J2" s="2195" t="str">
        <f>scenario2</f>
        <v>Transition 1</v>
      </c>
      <c r="K2" s="2195"/>
      <c r="L2" s="2195" t="str">
        <f>scenario3</f>
        <v>Transition 2</v>
      </c>
      <c r="M2" s="2195"/>
      <c r="N2" s="2195" t="str">
        <f>scenario4</f>
        <v>Pré-certification</v>
      </c>
      <c r="O2" s="2195"/>
      <c r="P2" s="2195" t="str">
        <f>scenario5</f>
        <v>Certification</v>
      </c>
      <c r="Q2" s="2195"/>
      <c r="R2" s="1691"/>
      <c r="S2" s="1549" t="s">
        <v>216</v>
      </c>
    </row>
    <row r="3" spans="1:19">
      <c r="C3" s="2088" t="s">
        <v>276</v>
      </c>
      <c r="D3" s="1285" t="s">
        <v>175</v>
      </c>
      <c r="F3" s="1913"/>
      <c r="G3" s="1914"/>
      <c r="H3" s="2193">
        <f>descrS1</f>
        <v>0</v>
      </c>
      <c r="I3" s="2193"/>
      <c r="J3" s="2193">
        <f>descrS2</f>
        <v>0</v>
      </c>
      <c r="K3" s="2193"/>
      <c r="L3" s="2193">
        <f>descrS3</f>
        <v>0</v>
      </c>
      <c r="M3" s="2193"/>
      <c r="N3" s="2193">
        <f>descrS4</f>
        <v>0</v>
      </c>
      <c r="O3" s="2193"/>
      <c r="P3" s="2193">
        <f>descrS5</f>
        <v>0</v>
      </c>
      <c r="Q3" s="2193"/>
      <c r="R3" s="16"/>
      <c r="S3" s="16"/>
    </row>
    <row r="4" spans="1:19">
      <c r="C4" s="783"/>
      <c r="D4" s="2095" t="s">
        <v>15</v>
      </c>
      <c r="E4" s="2191" t="s">
        <v>1315</v>
      </c>
      <c r="F4" s="1915"/>
      <c r="G4" s="1915"/>
      <c r="H4" s="2193"/>
      <c r="I4" s="2193"/>
      <c r="J4" s="2193"/>
      <c r="K4" s="2193"/>
      <c r="L4" s="2193"/>
      <c r="M4" s="2193"/>
      <c r="N4" s="2193"/>
      <c r="O4" s="2193"/>
      <c r="P4" s="2193"/>
      <c r="Q4" s="2193"/>
      <c r="R4" s="16"/>
      <c r="S4" s="18"/>
    </row>
    <row r="5" spans="1:19">
      <c r="C5" s="783"/>
      <c r="D5" s="2095" t="s">
        <v>8</v>
      </c>
      <c r="E5" s="2192"/>
      <c r="F5" s="1915"/>
      <c r="G5" s="1915"/>
      <c r="H5" s="2193"/>
      <c r="I5" s="2193"/>
      <c r="J5" s="2193"/>
      <c r="K5" s="2193"/>
      <c r="L5" s="2193"/>
      <c r="M5" s="2193"/>
      <c r="N5" s="2193"/>
      <c r="O5" s="2193"/>
      <c r="P5" s="2193"/>
      <c r="Q5" s="2193"/>
      <c r="R5" s="16"/>
      <c r="S5" s="18"/>
    </row>
    <row r="6" spans="1:19">
      <c r="A6" s="409" t="s">
        <v>297</v>
      </c>
      <c r="C6" s="783"/>
      <c r="D6" s="2096" t="s">
        <v>318</v>
      </c>
      <c r="E6" s="2192"/>
      <c r="F6" s="1915"/>
      <c r="G6" s="1915"/>
      <c r="H6" s="2193"/>
      <c r="I6" s="2193"/>
      <c r="J6" s="2193"/>
      <c r="K6" s="2193"/>
      <c r="L6" s="2193"/>
      <c r="M6" s="2193"/>
      <c r="N6" s="2193"/>
      <c r="O6" s="2193"/>
      <c r="P6" s="2193"/>
      <c r="Q6" s="2193"/>
      <c r="R6" s="16"/>
      <c r="S6" s="18"/>
    </row>
    <row r="7" spans="1:19">
      <c r="A7" s="409" t="s">
        <v>297</v>
      </c>
      <c r="C7" s="783"/>
      <c r="D7" s="2095" t="s">
        <v>860</v>
      </c>
      <c r="E7" s="2192"/>
      <c r="F7" s="1915"/>
      <c r="G7" s="1915"/>
      <c r="H7" s="2193"/>
      <c r="I7" s="2193"/>
      <c r="J7" s="2193"/>
      <c r="K7" s="2193"/>
      <c r="L7" s="2193"/>
      <c r="M7" s="2193"/>
      <c r="N7" s="2193"/>
      <c r="O7" s="2193"/>
      <c r="P7" s="2193"/>
      <c r="Q7" s="2193"/>
      <c r="R7" s="16"/>
      <c r="S7" s="18"/>
    </row>
    <row r="8" spans="1:19" s="97" customFormat="1">
      <c r="A8" s="409"/>
      <c r="B8" s="412"/>
      <c r="C8" s="783"/>
      <c r="D8" s="2095" t="s">
        <v>257</v>
      </c>
      <c r="E8" s="2192"/>
      <c r="F8" s="1915"/>
      <c r="G8" s="1915"/>
      <c r="H8" s="2193"/>
      <c r="I8" s="2193"/>
      <c r="J8" s="2193"/>
      <c r="K8" s="2193"/>
      <c r="L8" s="2193"/>
      <c r="M8" s="2193"/>
      <c r="N8" s="2193"/>
      <c r="O8" s="2193"/>
      <c r="P8" s="2193"/>
      <c r="Q8" s="2193"/>
      <c r="R8" s="16"/>
      <c r="S8" s="18"/>
    </row>
    <row r="9" spans="1:19" s="97" customFormat="1">
      <c r="A9" s="409"/>
      <c r="B9" s="412"/>
      <c r="C9" s="783"/>
      <c r="D9" s="2095" t="s">
        <v>287</v>
      </c>
      <c r="E9" s="2192"/>
      <c r="F9" s="1915"/>
      <c r="G9" s="1915"/>
      <c r="H9" s="2193"/>
      <c r="I9" s="2193"/>
      <c r="J9" s="2193"/>
      <c r="K9" s="2193"/>
      <c r="L9" s="2193"/>
      <c r="M9" s="2193"/>
      <c r="N9" s="2193"/>
      <c r="O9" s="2193"/>
      <c r="P9" s="2193"/>
      <c r="Q9" s="2193"/>
      <c r="R9" s="16"/>
      <c r="S9" s="18"/>
    </row>
    <row r="10" spans="1:19" s="97" customFormat="1">
      <c r="A10" s="409"/>
      <c r="B10" s="412"/>
      <c r="C10" s="783"/>
      <c r="D10" s="2095" t="s">
        <v>282</v>
      </c>
      <c r="E10" s="2192"/>
      <c r="F10" s="1915"/>
      <c r="G10" s="1915"/>
      <c r="H10" s="2193"/>
      <c r="I10" s="2193"/>
      <c r="J10" s="2193"/>
      <c r="K10" s="2193"/>
      <c r="L10" s="2193"/>
      <c r="M10" s="2193"/>
      <c r="N10" s="2193"/>
      <c r="O10" s="2193"/>
      <c r="P10" s="2193"/>
      <c r="Q10" s="2193"/>
      <c r="R10" s="16"/>
      <c r="S10" s="18"/>
    </row>
    <row r="11" spans="1:19">
      <c r="B11" s="412" t="s">
        <v>2</v>
      </c>
      <c r="C11" s="783"/>
      <c r="D11" s="2095" t="s">
        <v>281</v>
      </c>
      <c r="E11" s="2192"/>
      <c r="F11" s="1915"/>
      <c r="G11" s="1915"/>
      <c r="H11" s="2193"/>
      <c r="I11" s="2193"/>
      <c r="J11" s="2193"/>
      <c r="K11" s="2193"/>
      <c r="L11" s="2193"/>
      <c r="M11" s="2193"/>
      <c r="N11" s="2193"/>
      <c r="O11" s="2193"/>
      <c r="P11" s="2193"/>
      <c r="Q11" s="2193"/>
      <c r="R11" s="16"/>
      <c r="S11" s="18"/>
    </row>
    <row r="12" spans="1:19">
      <c r="C12" s="783"/>
      <c r="D12" s="2095" t="s">
        <v>10</v>
      </c>
      <c r="E12" s="2192"/>
      <c r="F12" s="1915"/>
      <c r="G12" s="1915"/>
      <c r="H12" s="2193"/>
      <c r="I12" s="2193"/>
      <c r="J12" s="2193"/>
      <c r="K12" s="2193"/>
      <c r="L12" s="2193"/>
      <c r="M12" s="2193"/>
      <c r="N12" s="2193"/>
      <c r="O12" s="2193"/>
      <c r="P12" s="2193"/>
      <c r="Q12" s="2193"/>
      <c r="R12" s="16"/>
      <c r="S12" s="18"/>
    </row>
    <row r="13" spans="1:19">
      <c r="C13" s="783"/>
      <c r="D13" s="2095" t="s">
        <v>261</v>
      </c>
      <c r="E13" s="2192"/>
      <c r="F13" s="1915"/>
      <c r="G13" s="1915"/>
      <c r="H13" s="2193"/>
      <c r="I13" s="2193"/>
      <c r="J13" s="2193"/>
      <c r="K13" s="2193"/>
      <c r="L13" s="2193"/>
      <c r="M13" s="2193"/>
      <c r="N13" s="2193"/>
      <c r="O13" s="2193"/>
      <c r="P13" s="2193"/>
      <c r="Q13" s="2193"/>
      <c r="R13" s="16"/>
    </row>
    <row r="14" spans="1:19">
      <c r="C14" s="783"/>
      <c r="D14" s="2095" t="s">
        <v>280</v>
      </c>
      <c r="E14" s="2192"/>
      <c r="F14" s="1915"/>
      <c r="G14" s="1915"/>
      <c r="H14" s="2193"/>
      <c r="I14" s="2193"/>
      <c r="J14" s="2193"/>
      <c r="K14" s="2193"/>
      <c r="L14" s="2193"/>
      <c r="M14" s="2193"/>
      <c r="N14" s="2193"/>
      <c r="O14" s="2193"/>
      <c r="P14" s="2193"/>
      <c r="Q14" s="2193"/>
      <c r="R14" s="16"/>
      <c r="S14" s="20"/>
    </row>
    <row r="15" spans="1:19">
      <c r="C15" s="783"/>
      <c r="D15" s="2095" t="s">
        <v>866</v>
      </c>
      <c r="E15" s="2192"/>
      <c r="F15" s="1916"/>
      <c r="G15" s="1917"/>
      <c r="H15" s="2193"/>
      <c r="I15" s="2193"/>
      <c r="J15" s="2193"/>
      <c r="K15" s="2193"/>
      <c r="L15" s="2193"/>
      <c r="M15" s="2193"/>
      <c r="N15" s="2193"/>
      <c r="O15" s="2193"/>
      <c r="P15" s="2193"/>
      <c r="Q15" s="2193"/>
      <c r="R15" s="16"/>
      <c r="S15" s="20"/>
    </row>
    <row r="16" spans="1:19" ht="15" thickBot="1">
      <c r="C16" s="783"/>
      <c r="D16" s="2097" t="s">
        <v>867</v>
      </c>
      <c r="E16" s="2192"/>
      <c r="F16" s="1916"/>
      <c r="G16" s="1917"/>
      <c r="H16" s="2194"/>
      <c r="I16" s="2194"/>
      <c r="J16" s="2194"/>
      <c r="K16" s="2194"/>
      <c r="L16" s="2194"/>
      <c r="M16" s="2194"/>
      <c r="N16" s="2194"/>
      <c r="O16" s="2194"/>
      <c r="P16" s="2194"/>
      <c r="Q16" s="2194"/>
      <c r="R16" s="16"/>
      <c r="S16" s="20"/>
    </row>
    <row r="17" spans="1:16383" s="97" customFormat="1">
      <c r="A17" s="409"/>
      <c r="B17" s="412"/>
      <c r="C17" s="449"/>
      <c r="D17"/>
      <c r="E17" s="1348"/>
      <c r="F17" s="1916"/>
      <c r="G17" s="1917"/>
      <c r="H17" s="1037"/>
      <c r="I17" s="1036"/>
      <c r="J17" s="1037"/>
      <c r="K17" s="1036"/>
      <c r="L17" s="1037"/>
      <c r="M17" s="1036"/>
      <c r="N17" s="1037"/>
      <c r="O17" s="1036"/>
      <c r="P17" s="1037"/>
      <c r="Q17" s="1036"/>
      <c r="R17" s="16"/>
      <c r="S17" s="20"/>
    </row>
    <row r="18" spans="1:16383" s="97" customFormat="1">
      <c r="A18" s="409"/>
      <c r="B18" s="412"/>
      <c r="C18"/>
      <c r="D18"/>
      <c r="E18" s="1349"/>
      <c r="F18" s="1916"/>
      <c r="G18" s="1917"/>
      <c r="I18" s="97" t="s">
        <v>176</v>
      </c>
      <c r="K18" s="97" t="s">
        <v>255</v>
      </c>
      <c r="M18" s="97" t="s">
        <v>255</v>
      </c>
      <c r="O18" s="97" t="s">
        <v>1168</v>
      </c>
      <c r="Q18" s="97" t="s">
        <v>177</v>
      </c>
      <c r="R18" s="1692"/>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c r="IW18"/>
      <c r="IX18"/>
      <c r="IY18"/>
      <c r="IZ18"/>
      <c r="JA18"/>
      <c r="JB18"/>
      <c r="JC18"/>
      <c r="JD18"/>
      <c r="JE18"/>
      <c r="JF18"/>
      <c r="JG18"/>
      <c r="JH18"/>
      <c r="JI18"/>
      <c r="JJ18"/>
      <c r="JK18"/>
      <c r="JL18"/>
      <c r="JM18"/>
      <c r="JN18"/>
      <c r="JO18"/>
      <c r="JP18"/>
      <c r="JQ18"/>
      <c r="JR18"/>
      <c r="JS18"/>
      <c r="JT18"/>
      <c r="JU18"/>
      <c r="JV18"/>
      <c r="JW18"/>
      <c r="JX18"/>
      <c r="JY18"/>
      <c r="JZ18"/>
      <c r="KA18"/>
      <c r="KB18"/>
      <c r="KC18"/>
      <c r="KD18"/>
      <c r="KE18"/>
      <c r="KF18"/>
      <c r="KG18"/>
      <c r="KH18"/>
      <c r="KI18"/>
      <c r="KJ18"/>
      <c r="KK18"/>
      <c r="KL18"/>
      <c r="KM18"/>
      <c r="KN18"/>
      <c r="KO18"/>
      <c r="KP18"/>
      <c r="KQ18"/>
      <c r="KR18"/>
      <c r="KS18"/>
      <c r="KT18"/>
      <c r="KU18"/>
      <c r="KV18"/>
      <c r="KW18"/>
      <c r="KX18"/>
      <c r="KY18"/>
      <c r="KZ18"/>
      <c r="LA18"/>
      <c r="LB18"/>
      <c r="LC18"/>
      <c r="LD18"/>
      <c r="LE18"/>
      <c r="LF18"/>
      <c r="LG18"/>
      <c r="LH18"/>
      <c r="LI18"/>
      <c r="LJ18"/>
      <c r="LK18"/>
      <c r="LL18"/>
      <c r="LM18"/>
      <c r="LN18"/>
      <c r="LO18"/>
      <c r="LP18"/>
      <c r="LQ18"/>
      <c r="LR18"/>
      <c r="LS18"/>
      <c r="LT18"/>
      <c r="LU18"/>
      <c r="LV18"/>
      <c r="LW18"/>
      <c r="LX18"/>
      <c r="LY18"/>
      <c r="LZ18"/>
      <c r="MA18"/>
      <c r="MB18"/>
      <c r="MC18"/>
      <c r="MD18"/>
      <c r="ME18"/>
      <c r="MF18"/>
      <c r="MG18"/>
      <c r="MH18"/>
      <c r="MI18"/>
      <c r="MJ18"/>
      <c r="MK18"/>
      <c r="ML18"/>
      <c r="MM18"/>
      <c r="MN18"/>
      <c r="MO18"/>
      <c r="MP18"/>
      <c r="MQ18"/>
      <c r="MR18"/>
      <c r="MS18"/>
      <c r="MT18"/>
      <c r="MU18"/>
      <c r="MV18"/>
      <c r="MW18"/>
      <c r="MX18"/>
      <c r="MY18"/>
      <c r="MZ18"/>
      <c r="NA18"/>
      <c r="NB18"/>
      <c r="NC18"/>
      <c r="ND18"/>
      <c r="NE18"/>
      <c r="NF18"/>
      <c r="NG18"/>
      <c r="NH18"/>
      <c r="NI18"/>
      <c r="NJ18"/>
      <c r="NK18"/>
      <c r="NL18"/>
      <c r="NM18"/>
      <c r="NN18"/>
      <c r="NO18"/>
      <c r="NP18"/>
      <c r="NQ18"/>
      <c r="NR18"/>
      <c r="NS18"/>
      <c r="NT18"/>
      <c r="NU18"/>
      <c r="NV18"/>
      <c r="NW18"/>
      <c r="NX18"/>
      <c r="NY18"/>
      <c r="NZ18"/>
      <c r="OA18"/>
      <c r="OB18"/>
      <c r="OC18"/>
      <c r="OD18"/>
      <c r="OE18"/>
      <c r="OF18"/>
      <c r="OG18"/>
      <c r="OH18"/>
      <c r="OI18"/>
      <c r="OJ18"/>
      <c r="OK18"/>
      <c r="OL18"/>
      <c r="OM18"/>
      <c r="ON18"/>
      <c r="OO18"/>
      <c r="OP18"/>
      <c r="OQ18"/>
      <c r="OR18"/>
      <c r="OS18"/>
      <c r="OT18"/>
      <c r="OU18"/>
      <c r="OV18"/>
      <c r="OW18"/>
      <c r="OX18"/>
      <c r="OY18"/>
      <c r="OZ18"/>
      <c r="PA18"/>
      <c r="PB18"/>
      <c r="PC18"/>
      <c r="PD18"/>
      <c r="PE18"/>
      <c r="PF18"/>
      <c r="PG18"/>
      <c r="PH18"/>
      <c r="PI18"/>
      <c r="PJ18"/>
      <c r="PK18"/>
      <c r="PL18"/>
      <c r="PM18"/>
      <c r="PN18"/>
      <c r="PO18"/>
      <c r="PP18"/>
      <c r="PQ18"/>
      <c r="PR18"/>
      <c r="PS18"/>
      <c r="PT18"/>
      <c r="PU18"/>
      <c r="PV18"/>
      <c r="PW18"/>
      <c r="PX18"/>
      <c r="PY18"/>
      <c r="PZ18"/>
      <c r="QA18"/>
      <c r="QB18"/>
      <c r="QC18"/>
      <c r="QD18"/>
      <c r="QE18"/>
      <c r="QF18"/>
      <c r="QG18"/>
      <c r="QH18"/>
      <c r="QI18"/>
      <c r="QJ18"/>
      <c r="QK18"/>
      <c r="QL18"/>
      <c r="QM18"/>
      <c r="QN18"/>
      <c r="QO18"/>
      <c r="QP18"/>
      <c r="QQ18"/>
      <c r="QR18"/>
      <c r="QS18"/>
      <c r="QT18"/>
      <c r="QU18"/>
      <c r="QV18"/>
      <c r="QW18"/>
      <c r="QX18"/>
      <c r="QY18"/>
      <c r="QZ18"/>
      <c r="RA18"/>
      <c r="RB18"/>
      <c r="RC18"/>
      <c r="RD18"/>
      <c r="RE18"/>
      <c r="RF18"/>
      <c r="RG18"/>
      <c r="RH18"/>
      <c r="RI18"/>
      <c r="RJ18"/>
      <c r="RK18"/>
      <c r="RL18"/>
      <c r="RM18"/>
      <c r="RN18"/>
      <c r="RO18"/>
      <c r="RP18"/>
      <c r="RQ18"/>
      <c r="RR18"/>
      <c r="RS18"/>
      <c r="RT18"/>
      <c r="RU18"/>
      <c r="RV18"/>
      <c r="RW18"/>
      <c r="RX18"/>
      <c r="RY18"/>
      <c r="RZ18"/>
      <c r="SA18"/>
      <c r="SB18"/>
      <c r="SC18"/>
      <c r="SD18"/>
      <c r="SE18"/>
      <c r="SF18"/>
      <c r="SG18"/>
      <c r="SH18"/>
      <c r="SI18"/>
      <c r="SJ18"/>
      <c r="SK18"/>
      <c r="SL18"/>
      <c r="SM18"/>
      <c r="SN18"/>
      <c r="SO18"/>
      <c r="SP18"/>
      <c r="SQ18"/>
      <c r="SR18"/>
      <c r="SS18"/>
      <c r="ST18"/>
      <c r="SU18"/>
      <c r="SV18"/>
      <c r="SW18"/>
      <c r="SX18"/>
      <c r="SY18"/>
      <c r="SZ18"/>
      <c r="TA18"/>
      <c r="TB18"/>
      <c r="TC18"/>
      <c r="TD18"/>
      <c r="TE18"/>
      <c r="TF18"/>
      <c r="TG18"/>
      <c r="TH18"/>
      <c r="TI18"/>
      <c r="TJ18"/>
      <c r="TK18"/>
      <c r="TL18"/>
      <c r="TM18"/>
      <c r="TN18"/>
      <c r="TO18"/>
      <c r="TP18"/>
      <c r="TQ18"/>
      <c r="TR18"/>
      <c r="TS18"/>
      <c r="TT18"/>
      <c r="TU18"/>
      <c r="TV18"/>
      <c r="TW18"/>
      <c r="TX18"/>
      <c r="TY18"/>
      <c r="TZ18"/>
      <c r="UA18"/>
      <c r="UB18"/>
      <c r="UC18"/>
      <c r="UD18"/>
      <c r="UE18"/>
      <c r="UF18"/>
      <c r="UG18"/>
      <c r="UH18"/>
      <c r="UI18"/>
      <c r="UJ18"/>
      <c r="UK18"/>
      <c r="UL18"/>
      <c r="UM18"/>
      <c r="UN18"/>
      <c r="UO18"/>
      <c r="UP18"/>
      <c r="UQ18"/>
      <c r="UR18"/>
      <c r="US18"/>
      <c r="UT18"/>
      <c r="UU18"/>
      <c r="UV18"/>
      <c r="UW18"/>
      <c r="UX18"/>
      <c r="UY18"/>
      <c r="UZ18"/>
      <c r="VA18"/>
      <c r="VB18"/>
      <c r="VC18"/>
      <c r="VD18"/>
      <c r="VE18"/>
      <c r="VF18"/>
      <c r="VG18"/>
      <c r="VH18"/>
      <c r="VI18"/>
      <c r="VJ18"/>
      <c r="VK18"/>
      <c r="VL18"/>
      <c r="VM18"/>
      <c r="VN18"/>
      <c r="VO18"/>
      <c r="VP18"/>
      <c r="VQ18"/>
      <c r="VR18"/>
      <c r="VS18"/>
      <c r="VT18"/>
      <c r="VU18"/>
      <c r="VV18"/>
      <c r="VW18"/>
      <c r="VX18"/>
      <c r="VY18"/>
      <c r="VZ18"/>
      <c r="WA18"/>
      <c r="WB18"/>
      <c r="WC18"/>
      <c r="WD18"/>
      <c r="WE18"/>
      <c r="WF18"/>
      <c r="WG18"/>
      <c r="WH18"/>
      <c r="WI18"/>
      <c r="WJ18"/>
      <c r="WK18"/>
      <c r="WL18"/>
      <c r="WM18"/>
      <c r="WN18"/>
      <c r="WO18"/>
      <c r="WP18"/>
      <c r="WQ18"/>
      <c r="WR18"/>
      <c r="WS18"/>
      <c r="WT18"/>
      <c r="WU18"/>
      <c r="WV18"/>
      <c r="WW18"/>
      <c r="WX18"/>
      <c r="WY18"/>
      <c r="WZ18"/>
      <c r="XA18"/>
      <c r="XB18"/>
      <c r="XC18"/>
      <c r="XD18"/>
      <c r="XE18"/>
      <c r="XF18"/>
      <c r="XG18"/>
      <c r="XH18"/>
      <c r="XI18"/>
      <c r="XJ18"/>
      <c r="XK18"/>
      <c r="XL18"/>
      <c r="XM18"/>
      <c r="XN18"/>
      <c r="XO18"/>
      <c r="XP18"/>
      <c r="XQ18"/>
      <c r="XR18"/>
      <c r="XS18"/>
      <c r="XT18"/>
      <c r="XU18"/>
      <c r="XV18"/>
      <c r="XW18"/>
      <c r="XX18"/>
      <c r="XY18"/>
      <c r="XZ18"/>
      <c r="YA18"/>
      <c r="YB18"/>
      <c r="YC18"/>
      <c r="YD18"/>
      <c r="YE18"/>
      <c r="YF18"/>
      <c r="YG18"/>
      <c r="YH18"/>
      <c r="YI18"/>
      <c r="YJ18"/>
      <c r="YK18"/>
      <c r="YL18"/>
      <c r="YM18"/>
      <c r="YN18"/>
      <c r="YO18"/>
      <c r="YP18"/>
      <c r="YQ18"/>
      <c r="YR18"/>
      <c r="YS18"/>
      <c r="YT18"/>
      <c r="YU18"/>
      <c r="YV18"/>
      <c r="YW18"/>
      <c r="YX18"/>
      <c r="YY18"/>
      <c r="YZ18"/>
      <c r="ZA18"/>
      <c r="ZB18"/>
      <c r="ZC18"/>
      <c r="ZD18"/>
      <c r="ZE18"/>
      <c r="ZF18"/>
      <c r="ZG18"/>
      <c r="ZH18"/>
      <c r="ZI18"/>
      <c r="ZJ18"/>
      <c r="ZK18"/>
      <c r="ZL18"/>
      <c r="ZM18"/>
      <c r="ZN18"/>
      <c r="ZO18"/>
      <c r="ZP18"/>
      <c r="ZQ18"/>
      <c r="ZR18"/>
      <c r="ZS18"/>
      <c r="ZT18"/>
      <c r="ZU18"/>
      <c r="ZV18"/>
      <c r="ZW18"/>
      <c r="ZX18"/>
      <c r="ZY18"/>
      <c r="ZZ18"/>
      <c r="AAA18"/>
      <c r="AAB18"/>
      <c r="AAC18"/>
      <c r="AAD18"/>
      <c r="AAE18"/>
      <c r="AAF18"/>
      <c r="AAG18"/>
      <c r="AAH18"/>
      <c r="AAI18"/>
      <c r="AAJ18"/>
      <c r="AAK18"/>
      <c r="AAL18"/>
      <c r="AAM18"/>
      <c r="AAN18"/>
      <c r="AAO18"/>
      <c r="AAP18"/>
      <c r="AAQ18"/>
      <c r="AAR18"/>
      <c r="AAS18"/>
      <c r="AAT18"/>
      <c r="AAU18"/>
      <c r="AAV18"/>
      <c r="AAW18"/>
      <c r="AAX18"/>
      <c r="AAY18"/>
      <c r="AAZ18"/>
      <c r="ABA18"/>
      <c r="ABB18"/>
      <c r="ABC18"/>
      <c r="ABD18"/>
      <c r="ABE18"/>
      <c r="ABF18"/>
      <c r="ABG18"/>
      <c r="ABH18"/>
      <c r="ABI18"/>
      <c r="ABJ18"/>
      <c r="ABK18"/>
      <c r="ABL18"/>
      <c r="ABM18"/>
      <c r="ABN18"/>
      <c r="ABO18"/>
      <c r="ABP18"/>
      <c r="ABQ18"/>
      <c r="ABR18"/>
      <c r="ABS18"/>
      <c r="ABT18"/>
      <c r="ABU18"/>
      <c r="ABV18"/>
      <c r="ABW18"/>
      <c r="ABX18"/>
      <c r="ABY18"/>
      <c r="ABZ18"/>
      <c r="ACA18"/>
      <c r="ACB18"/>
      <c r="ACC18"/>
      <c r="ACD18"/>
      <c r="ACE18"/>
      <c r="ACF18"/>
      <c r="ACG18"/>
      <c r="ACH18"/>
      <c r="ACI18"/>
      <c r="ACJ18"/>
      <c r="ACK18"/>
      <c r="ACL18"/>
      <c r="ACM18"/>
      <c r="ACN18"/>
      <c r="ACO18"/>
      <c r="ACP18"/>
      <c r="ACQ18"/>
      <c r="ACR18"/>
      <c r="ACS18"/>
      <c r="ACT18"/>
      <c r="ACU18"/>
      <c r="ACV18"/>
      <c r="ACW18"/>
      <c r="ACX18"/>
      <c r="ACY18"/>
      <c r="ACZ18"/>
      <c r="ADA18"/>
      <c r="ADB18"/>
      <c r="ADC18"/>
      <c r="ADD18"/>
      <c r="ADE18"/>
      <c r="ADF18"/>
      <c r="ADG18"/>
      <c r="ADH18"/>
      <c r="ADI18"/>
      <c r="ADJ18"/>
      <c r="ADK18"/>
      <c r="ADL18"/>
      <c r="ADM18"/>
      <c r="ADN18"/>
      <c r="ADO18"/>
      <c r="ADP18"/>
      <c r="ADQ18"/>
      <c r="ADR18"/>
      <c r="ADS18"/>
      <c r="ADT18"/>
      <c r="ADU18"/>
      <c r="ADV18"/>
      <c r="ADW18"/>
      <c r="ADX18"/>
      <c r="ADY18"/>
      <c r="ADZ18"/>
      <c r="AEA18"/>
      <c r="AEB18"/>
      <c r="AEC18"/>
      <c r="AED18"/>
      <c r="AEE18"/>
      <c r="AEF18"/>
      <c r="AEG18"/>
      <c r="AEH18"/>
      <c r="AEI18"/>
      <c r="AEJ18"/>
      <c r="AEK18"/>
      <c r="AEL18"/>
      <c r="AEM18"/>
      <c r="AEN18"/>
      <c r="AEO18"/>
      <c r="AEP18"/>
      <c r="AEQ18"/>
      <c r="AER18"/>
      <c r="AES18"/>
      <c r="AET18"/>
      <c r="AEU18"/>
      <c r="AEV18"/>
      <c r="AEW18"/>
      <c r="AEX18"/>
      <c r="AEY18"/>
      <c r="AEZ18"/>
      <c r="AFA18"/>
      <c r="AFB18"/>
      <c r="AFC18"/>
      <c r="AFD18"/>
      <c r="AFE18"/>
      <c r="AFF18"/>
      <c r="AFG18"/>
      <c r="AFH18"/>
      <c r="AFI18"/>
      <c r="AFJ18"/>
      <c r="AFK18"/>
      <c r="AFL18"/>
      <c r="AFM18"/>
      <c r="AFN18"/>
      <c r="AFO18"/>
      <c r="AFP18"/>
      <c r="AFQ18"/>
      <c r="AFR18"/>
      <c r="AFS18"/>
      <c r="AFT18"/>
      <c r="AFU18"/>
      <c r="AFV18"/>
      <c r="AFW18"/>
      <c r="AFX18"/>
      <c r="AFY18"/>
      <c r="AFZ18"/>
      <c r="AGA18"/>
      <c r="AGB18"/>
      <c r="AGC18"/>
      <c r="AGD18"/>
      <c r="AGE18"/>
      <c r="AGF18"/>
      <c r="AGG18"/>
      <c r="AGH18"/>
      <c r="AGI18"/>
      <c r="AGJ18"/>
      <c r="AGK18"/>
      <c r="AGL18"/>
      <c r="AGM18"/>
      <c r="AGN18"/>
      <c r="AGO18"/>
      <c r="AGP18"/>
      <c r="AGQ18"/>
      <c r="AGR18"/>
      <c r="AGS18"/>
      <c r="AGT18"/>
      <c r="AGU18"/>
      <c r="AGV18"/>
      <c r="AGW18"/>
      <c r="AGX18"/>
      <c r="AGY18"/>
      <c r="AGZ18"/>
      <c r="AHA18"/>
      <c r="AHB18"/>
      <c r="AHC18"/>
      <c r="AHD18"/>
      <c r="AHE18"/>
      <c r="AHF18"/>
      <c r="AHG18"/>
      <c r="AHH18"/>
      <c r="AHI18"/>
      <c r="AHJ18"/>
      <c r="AHK18"/>
      <c r="AHL18"/>
      <c r="AHM18"/>
      <c r="AHN18"/>
      <c r="AHO18"/>
      <c r="AHP18"/>
      <c r="AHQ18"/>
      <c r="AHR18"/>
      <c r="AHS18"/>
      <c r="AHT18"/>
      <c r="AHU18"/>
      <c r="AHV18"/>
      <c r="AHW18"/>
      <c r="AHX18"/>
      <c r="AHY18"/>
      <c r="AHZ18"/>
      <c r="AIA18"/>
      <c r="AIB18"/>
      <c r="AIC18"/>
      <c r="AID18"/>
      <c r="AIE18"/>
      <c r="AIF18"/>
      <c r="AIG18"/>
      <c r="AIH18"/>
      <c r="AII18"/>
      <c r="AIJ18"/>
      <c r="AIK18"/>
      <c r="AIL18"/>
      <c r="AIM18"/>
      <c r="AIN18"/>
      <c r="AIO18"/>
      <c r="AIP18"/>
      <c r="AIQ18"/>
      <c r="AIR18"/>
      <c r="AIS18"/>
      <c r="AIT18"/>
      <c r="AIU18"/>
      <c r="AIV18"/>
      <c r="AIW18"/>
      <c r="AIX18"/>
      <c r="AIY18"/>
      <c r="AIZ18"/>
      <c r="AJA18"/>
      <c r="AJB18"/>
      <c r="AJC18"/>
      <c r="AJD18"/>
      <c r="AJE18"/>
      <c r="AJF18"/>
      <c r="AJG18"/>
      <c r="AJH18"/>
      <c r="AJI18"/>
      <c r="AJJ18"/>
      <c r="AJK18"/>
      <c r="AJL18"/>
      <c r="AJM18"/>
      <c r="AJN18"/>
      <c r="AJO18"/>
      <c r="AJP18"/>
      <c r="AJQ18"/>
      <c r="AJR18"/>
      <c r="AJS18"/>
      <c r="AJT18"/>
      <c r="AJU18"/>
      <c r="AJV18"/>
      <c r="AJW18"/>
      <c r="AJX18"/>
      <c r="AJY18"/>
      <c r="AJZ18"/>
      <c r="AKA18"/>
      <c r="AKB18"/>
      <c r="AKC18"/>
      <c r="AKD18"/>
      <c r="AKE18"/>
      <c r="AKF18"/>
      <c r="AKG18"/>
      <c r="AKH18"/>
      <c r="AKI18"/>
      <c r="AKJ18"/>
      <c r="AKK18"/>
      <c r="AKL18"/>
      <c r="AKM18"/>
      <c r="AKN18"/>
      <c r="AKO18"/>
      <c r="AKP18"/>
      <c r="AKQ18"/>
      <c r="AKR18"/>
      <c r="AKS18"/>
      <c r="AKT18"/>
      <c r="AKU18"/>
      <c r="AKV18"/>
      <c r="AKW18"/>
      <c r="AKX18"/>
      <c r="AKY18"/>
      <c r="AKZ18"/>
      <c r="ALA18"/>
      <c r="ALB18"/>
      <c r="ALC18"/>
      <c r="ALD18"/>
      <c r="ALE18"/>
      <c r="ALF18"/>
      <c r="ALG18"/>
      <c r="ALH18"/>
      <c r="ALI18"/>
      <c r="ALJ18"/>
      <c r="ALK18"/>
      <c r="ALL18"/>
      <c r="ALM18"/>
      <c r="ALN18"/>
      <c r="ALO18"/>
      <c r="ALP18"/>
      <c r="ALQ18"/>
      <c r="ALR18"/>
      <c r="ALS18"/>
      <c r="ALT18"/>
      <c r="ALU18"/>
      <c r="ALV18"/>
      <c r="ALW18"/>
      <c r="ALX18"/>
      <c r="ALY18"/>
      <c r="ALZ18"/>
      <c r="AMA18"/>
      <c r="AMB18"/>
      <c r="AMC18"/>
      <c r="AMD18"/>
      <c r="AME18"/>
      <c r="AMF18"/>
      <c r="AMG18"/>
      <c r="AMH18"/>
      <c r="AMI18"/>
      <c r="AMJ18"/>
      <c r="AMK18"/>
      <c r="AML18"/>
      <c r="AMM18"/>
      <c r="AMN18"/>
      <c r="AMO18"/>
      <c r="AMP18"/>
      <c r="AMQ18"/>
      <c r="AMR18"/>
      <c r="AMS18"/>
      <c r="AMT18"/>
      <c r="AMU18"/>
      <c r="AMV18"/>
      <c r="AMW18"/>
      <c r="AMX18"/>
      <c r="AMY18"/>
      <c r="AMZ18"/>
      <c r="ANA18"/>
      <c r="ANB18"/>
      <c r="ANC18"/>
      <c r="AND18"/>
      <c r="ANE18"/>
      <c r="ANF18"/>
      <c r="ANG18"/>
      <c r="ANH18"/>
      <c r="ANI18"/>
      <c r="ANJ18"/>
      <c r="ANK18"/>
      <c r="ANL18"/>
      <c r="ANM18"/>
      <c r="ANN18"/>
      <c r="ANO18"/>
      <c r="ANP18"/>
      <c r="ANQ18"/>
      <c r="ANR18"/>
      <c r="ANS18"/>
      <c r="ANT18"/>
      <c r="ANU18"/>
      <c r="ANV18"/>
      <c r="ANW18"/>
      <c r="ANX18"/>
      <c r="ANY18"/>
      <c r="ANZ18"/>
      <c r="AOA18"/>
      <c r="AOB18"/>
      <c r="AOC18"/>
      <c r="AOD18"/>
      <c r="AOE18"/>
      <c r="AOF18"/>
      <c r="AOG18"/>
      <c r="AOH18"/>
      <c r="AOI18"/>
      <c r="AOJ18"/>
      <c r="AOK18"/>
      <c r="AOL18"/>
      <c r="AOM18"/>
      <c r="AON18"/>
      <c r="AOO18"/>
      <c r="AOP18"/>
      <c r="AOQ18"/>
      <c r="AOR18"/>
      <c r="AOS18"/>
      <c r="AOT18"/>
      <c r="AOU18"/>
      <c r="AOV18"/>
      <c r="AOW18"/>
      <c r="AOX18"/>
      <c r="AOY18"/>
      <c r="AOZ18"/>
      <c r="APA18"/>
      <c r="APB18"/>
      <c r="APC18"/>
      <c r="APD18"/>
      <c r="APE18"/>
      <c r="APF18"/>
      <c r="APG18"/>
      <c r="APH18"/>
      <c r="API18"/>
      <c r="APJ18"/>
      <c r="APK18"/>
      <c r="APL18"/>
      <c r="APM18"/>
      <c r="APN18"/>
      <c r="APO18"/>
      <c r="APP18"/>
      <c r="APQ18"/>
      <c r="APR18"/>
      <c r="APS18"/>
      <c r="APT18"/>
      <c r="APU18"/>
      <c r="APV18"/>
      <c r="APW18"/>
      <c r="APX18"/>
      <c r="APY18"/>
      <c r="APZ18"/>
      <c r="AQA18"/>
      <c r="AQB18"/>
      <c r="AQC18"/>
      <c r="AQD18"/>
      <c r="AQE18"/>
      <c r="AQF18"/>
      <c r="AQG18"/>
      <c r="AQH18"/>
      <c r="AQI18"/>
      <c r="AQJ18"/>
      <c r="AQK18"/>
      <c r="AQL18"/>
      <c r="AQM18"/>
      <c r="AQN18"/>
      <c r="AQO18"/>
      <c r="AQP18"/>
      <c r="AQQ18"/>
      <c r="AQR18"/>
      <c r="AQS18"/>
      <c r="AQT18"/>
      <c r="AQU18"/>
      <c r="AQV18"/>
      <c r="AQW18"/>
      <c r="AQX18"/>
      <c r="AQY18"/>
      <c r="AQZ18"/>
      <c r="ARA18"/>
      <c r="ARB18"/>
      <c r="ARC18"/>
      <c r="ARD18"/>
      <c r="ARE18"/>
      <c r="ARF18"/>
      <c r="ARG18"/>
      <c r="ARH18"/>
      <c r="ARI18"/>
      <c r="ARJ18"/>
      <c r="ARK18"/>
      <c r="ARL18"/>
      <c r="ARM18"/>
      <c r="ARN18"/>
      <c r="ARO18"/>
      <c r="ARP18"/>
      <c r="ARQ18"/>
      <c r="ARR18"/>
      <c r="ARS18"/>
      <c r="ART18"/>
      <c r="ARU18"/>
      <c r="ARV18"/>
      <c r="ARW18"/>
      <c r="ARX18"/>
      <c r="ARY18"/>
      <c r="ARZ18"/>
      <c r="ASA18"/>
      <c r="ASB18"/>
      <c r="ASC18"/>
      <c r="ASD18"/>
      <c r="ASE18"/>
      <c r="ASF18"/>
      <c r="ASG18"/>
      <c r="ASH18"/>
      <c r="ASI18"/>
      <c r="ASJ18"/>
      <c r="ASK18"/>
      <c r="ASL18"/>
      <c r="ASM18"/>
      <c r="ASN18"/>
      <c r="ASO18"/>
      <c r="ASP18"/>
      <c r="ASQ18"/>
      <c r="ASR18"/>
      <c r="ASS18"/>
      <c r="AST18"/>
      <c r="ASU18"/>
      <c r="ASV18"/>
      <c r="ASW18"/>
      <c r="ASX18"/>
      <c r="ASY18"/>
      <c r="ASZ18"/>
      <c r="ATA18"/>
      <c r="ATB18"/>
      <c r="ATC18"/>
      <c r="ATD18"/>
      <c r="ATE18"/>
      <c r="ATF18"/>
      <c r="ATG18"/>
      <c r="ATH18"/>
      <c r="ATI18"/>
      <c r="ATJ18"/>
      <c r="ATK18"/>
      <c r="ATL18"/>
      <c r="ATM18"/>
      <c r="ATN18"/>
      <c r="ATO18"/>
      <c r="ATP18"/>
      <c r="ATQ18"/>
      <c r="ATR18"/>
      <c r="ATS18"/>
      <c r="ATT18"/>
      <c r="ATU18"/>
      <c r="ATV18"/>
      <c r="ATW18"/>
      <c r="ATX18"/>
      <c r="ATY18"/>
      <c r="ATZ18"/>
      <c r="AUA18"/>
      <c r="AUB18"/>
      <c r="AUC18"/>
      <c r="AUD18"/>
      <c r="AUE18"/>
      <c r="AUF18"/>
      <c r="AUG18"/>
      <c r="AUH18"/>
      <c r="AUI18"/>
      <c r="AUJ18"/>
      <c r="AUK18"/>
      <c r="AUL18"/>
      <c r="AUM18"/>
      <c r="AUN18"/>
      <c r="AUO18"/>
      <c r="AUP18"/>
      <c r="AUQ18"/>
      <c r="AUR18"/>
      <c r="AUS18"/>
      <c r="AUT18"/>
      <c r="AUU18"/>
      <c r="AUV18"/>
      <c r="AUW18"/>
      <c r="AUX18"/>
      <c r="AUY18"/>
      <c r="AUZ18"/>
      <c r="AVA18"/>
      <c r="AVB18"/>
      <c r="AVC18"/>
      <c r="AVD18"/>
      <c r="AVE18"/>
      <c r="AVF18"/>
      <c r="AVG18"/>
      <c r="AVH18"/>
      <c r="AVI18"/>
      <c r="AVJ18"/>
      <c r="AVK18"/>
      <c r="AVL18"/>
      <c r="AVM18"/>
      <c r="AVN18"/>
      <c r="AVO18"/>
      <c r="AVP18"/>
      <c r="AVQ18"/>
      <c r="AVR18"/>
      <c r="AVS18"/>
      <c r="AVT18"/>
      <c r="AVU18"/>
      <c r="AVV18"/>
      <c r="AVW18"/>
      <c r="AVX18"/>
      <c r="AVY18"/>
      <c r="AVZ18"/>
      <c r="AWA18"/>
      <c r="AWB18"/>
      <c r="AWC18"/>
      <c r="AWD18"/>
      <c r="AWE18"/>
      <c r="AWF18"/>
      <c r="AWG18"/>
      <c r="AWH18"/>
      <c r="AWI18"/>
      <c r="AWJ18"/>
      <c r="AWK18"/>
      <c r="AWL18"/>
      <c r="AWM18"/>
      <c r="AWN18"/>
      <c r="AWO18"/>
      <c r="AWP18"/>
      <c r="AWQ18"/>
      <c r="AWR18"/>
      <c r="AWS18"/>
      <c r="AWT18"/>
      <c r="AWU18"/>
      <c r="AWV18"/>
      <c r="AWW18"/>
      <c r="AWX18"/>
      <c r="AWY18"/>
      <c r="AWZ18"/>
      <c r="AXA18"/>
      <c r="AXB18"/>
      <c r="AXC18"/>
      <c r="AXD18"/>
      <c r="AXE18"/>
      <c r="AXF18"/>
      <c r="AXG18"/>
      <c r="AXH18"/>
      <c r="AXI18"/>
      <c r="AXJ18"/>
      <c r="AXK18"/>
      <c r="AXL18"/>
      <c r="AXM18"/>
      <c r="AXN18"/>
      <c r="AXO18"/>
      <c r="AXP18"/>
      <c r="AXQ18"/>
      <c r="AXR18"/>
      <c r="AXS18"/>
      <c r="AXT18"/>
      <c r="AXU18"/>
      <c r="AXV18"/>
      <c r="AXW18"/>
      <c r="AXX18"/>
      <c r="AXY18"/>
      <c r="AXZ18"/>
      <c r="AYA18"/>
      <c r="AYB18"/>
      <c r="AYC18"/>
      <c r="AYD18"/>
      <c r="AYE18"/>
      <c r="AYF18"/>
      <c r="AYG18"/>
      <c r="AYH18"/>
      <c r="AYI18"/>
      <c r="AYJ18"/>
      <c r="AYK18"/>
      <c r="AYL18"/>
      <c r="AYM18"/>
      <c r="AYN18"/>
      <c r="AYO18"/>
      <c r="AYP18"/>
      <c r="AYQ18"/>
      <c r="AYR18"/>
      <c r="AYS18"/>
      <c r="AYT18"/>
      <c r="AYU18"/>
      <c r="AYV18"/>
      <c r="AYW18"/>
      <c r="AYX18"/>
      <c r="AYY18"/>
      <c r="AYZ18"/>
      <c r="AZA18"/>
      <c r="AZB18"/>
      <c r="AZC18"/>
      <c r="AZD18"/>
      <c r="AZE18"/>
      <c r="AZF18"/>
      <c r="AZG18"/>
      <c r="AZH18"/>
      <c r="AZI18"/>
      <c r="AZJ18"/>
      <c r="AZK18"/>
      <c r="AZL18"/>
      <c r="AZM18"/>
      <c r="AZN18"/>
      <c r="AZO18"/>
      <c r="AZP18"/>
      <c r="AZQ18"/>
      <c r="AZR18"/>
      <c r="AZS18"/>
      <c r="AZT18"/>
      <c r="AZU18"/>
      <c r="AZV18"/>
      <c r="AZW18"/>
      <c r="AZX18"/>
      <c r="AZY18"/>
      <c r="AZZ18"/>
      <c r="BAA18"/>
      <c r="BAB18"/>
      <c r="BAC18"/>
      <c r="BAD18"/>
      <c r="BAE18"/>
      <c r="BAF18"/>
      <c r="BAG18"/>
      <c r="BAH18"/>
      <c r="BAI18"/>
      <c r="BAJ18"/>
      <c r="BAK18"/>
      <c r="BAL18"/>
      <c r="BAM18"/>
      <c r="BAN18"/>
      <c r="BAO18"/>
      <c r="BAP18"/>
      <c r="BAQ18"/>
      <c r="BAR18"/>
      <c r="BAS18"/>
      <c r="BAT18"/>
      <c r="BAU18"/>
      <c r="BAV18"/>
      <c r="BAW18"/>
      <c r="BAX18"/>
      <c r="BAY18"/>
      <c r="BAZ18"/>
      <c r="BBA18"/>
      <c r="BBB18"/>
      <c r="BBC18"/>
      <c r="BBD18"/>
      <c r="BBE18"/>
      <c r="BBF18"/>
      <c r="BBG18"/>
      <c r="BBH18"/>
      <c r="BBI18"/>
      <c r="BBJ18"/>
      <c r="BBK18"/>
      <c r="BBL18"/>
      <c r="BBM18"/>
      <c r="BBN18"/>
      <c r="BBO18"/>
      <c r="BBP18"/>
      <c r="BBQ18"/>
      <c r="BBR18"/>
      <c r="BBS18"/>
      <c r="BBT18"/>
      <c r="BBU18"/>
      <c r="BBV18"/>
      <c r="BBW18"/>
      <c r="BBX18"/>
      <c r="BBY18"/>
      <c r="BBZ18"/>
      <c r="BCA18"/>
      <c r="BCB18"/>
      <c r="BCC18"/>
      <c r="BCD18"/>
      <c r="BCE18"/>
      <c r="BCF18"/>
      <c r="BCG18"/>
      <c r="BCH18"/>
      <c r="BCI18"/>
      <c r="BCJ18"/>
      <c r="BCK18"/>
      <c r="BCL18"/>
      <c r="BCM18"/>
      <c r="BCN18"/>
      <c r="BCO18"/>
      <c r="BCP18"/>
      <c r="BCQ18"/>
      <c r="BCR18"/>
      <c r="BCS18"/>
      <c r="BCT18"/>
      <c r="BCU18"/>
      <c r="BCV18"/>
      <c r="BCW18"/>
      <c r="BCX18"/>
      <c r="BCY18"/>
      <c r="BCZ18"/>
      <c r="BDA18"/>
      <c r="BDB18"/>
      <c r="BDC18"/>
      <c r="BDD18"/>
      <c r="BDE18"/>
      <c r="BDF18"/>
      <c r="BDG18"/>
      <c r="BDH18"/>
      <c r="BDI18"/>
      <c r="BDJ18"/>
      <c r="BDK18"/>
      <c r="BDL18"/>
      <c r="BDM18"/>
      <c r="BDN18"/>
      <c r="BDO18"/>
      <c r="BDP18"/>
      <c r="BDQ18"/>
      <c r="BDR18"/>
      <c r="BDS18"/>
      <c r="BDT18"/>
      <c r="BDU18"/>
      <c r="BDV18"/>
      <c r="BDW18"/>
      <c r="BDX18"/>
      <c r="BDY18"/>
      <c r="BDZ18"/>
      <c r="BEA18"/>
      <c r="BEB18"/>
      <c r="BEC18"/>
      <c r="BED18"/>
      <c r="BEE18"/>
      <c r="BEF18"/>
      <c r="BEG18"/>
      <c r="BEH18"/>
      <c r="BEI18"/>
      <c r="BEJ18"/>
      <c r="BEK18"/>
      <c r="BEL18"/>
      <c r="BEM18"/>
      <c r="BEN18"/>
      <c r="BEO18"/>
      <c r="BEP18"/>
      <c r="BEQ18"/>
      <c r="BER18"/>
      <c r="BES18"/>
      <c r="BET18"/>
      <c r="BEU18"/>
      <c r="BEV18"/>
      <c r="BEW18"/>
      <c r="BEX18"/>
      <c r="BEY18"/>
      <c r="BEZ18"/>
      <c r="BFA18"/>
      <c r="BFB18"/>
      <c r="BFC18"/>
      <c r="BFD18"/>
      <c r="BFE18"/>
      <c r="BFF18"/>
      <c r="BFG18"/>
      <c r="BFH18"/>
      <c r="BFI18"/>
      <c r="BFJ18"/>
      <c r="BFK18"/>
      <c r="BFL18"/>
      <c r="BFM18"/>
      <c r="BFN18"/>
      <c r="BFO18"/>
      <c r="BFP18"/>
      <c r="BFQ18"/>
      <c r="BFR18"/>
      <c r="BFS18"/>
      <c r="BFT18"/>
      <c r="BFU18"/>
      <c r="BFV18"/>
      <c r="BFW18"/>
      <c r="BFX18"/>
      <c r="BFY18"/>
      <c r="BFZ18"/>
      <c r="BGA18"/>
      <c r="BGB18"/>
      <c r="BGC18"/>
      <c r="BGD18"/>
      <c r="BGE18"/>
      <c r="BGF18"/>
      <c r="BGG18"/>
      <c r="BGH18"/>
      <c r="BGI18"/>
      <c r="BGJ18"/>
      <c r="BGK18"/>
      <c r="BGL18"/>
      <c r="BGM18"/>
      <c r="BGN18"/>
      <c r="BGO18"/>
      <c r="BGP18"/>
      <c r="BGQ18"/>
      <c r="BGR18"/>
      <c r="BGS18"/>
      <c r="BGT18"/>
      <c r="BGU18"/>
      <c r="BGV18"/>
      <c r="BGW18"/>
      <c r="BGX18"/>
      <c r="BGY18"/>
      <c r="BGZ18"/>
      <c r="BHA18"/>
      <c r="BHB18"/>
      <c r="BHC18"/>
      <c r="BHD18"/>
      <c r="BHE18"/>
      <c r="BHF18"/>
      <c r="BHG18"/>
      <c r="BHH18"/>
      <c r="BHI18"/>
      <c r="BHJ18"/>
      <c r="BHK18"/>
      <c r="BHL18"/>
      <c r="BHM18"/>
      <c r="BHN18"/>
      <c r="BHO18"/>
      <c r="BHP18"/>
      <c r="BHQ18"/>
      <c r="BHR18"/>
      <c r="BHS18"/>
      <c r="BHT18"/>
      <c r="BHU18"/>
      <c r="BHV18"/>
      <c r="BHW18"/>
      <c r="BHX18"/>
      <c r="BHY18"/>
      <c r="BHZ18"/>
      <c r="BIA18"/>
      <c r="BIB18"/>
      <c r="BIC18"/>
      <c r="BID18"/>
      <c r="BIE18"/>
      <c r="BIF18"/>
      <c r="BIG18"/>
      <c r="BIH18"/>
      <c r="BII18"/>
      <c r="BIJ18"/>
      <c r="BIK18"/>
      <c r="BIL18"/>
      <c r="BIM18"/>
      <c r="BIN18"/>
      <c r="BIO18"/>
      <c r="BIP18"/>
      <c r="BIQ18"/>
      <c r="BIR18"/>
      <c r="BIS18"/>
      <c r="BIT18"/>
      <c r="BIU18"/>
      <c r="BIV18"/>
      <c r="BIW18"/>
      <c r="BIX18"/>
      <c r="BIY18"/>
      <c r="BIZ18"/>
      <c r="BJA18"/>
      <c r="BJB18"/>
      <c r="BJC18"/>
      <c r="BJD18"/>
      <c r="BJE18"/>
      <c r="BJF18"/>
      <c r="BJG18"/>
      <c r="BJH18"/>
      <c r="BJI18"/>
      <c r="BJJ18"/>
      <c r="BJK18"/>
      <c r="BJL18"/>
      <c r="BJM18"/>
      <c r="BJN18"/>
      <c r="BJO18"/>
      <c r="BJP18"/>
      <c r="BJQ18"/>
      <c r="BJR18"/>
      <c r="BJS18"/>
      <c r="BJT18"/>
      <c r="BJU18"/>
      <c r="BJV18"/>
      <c r="BJW18"/>
      <c r="BJX18"/>
      <c r="BJY18"/>
      <c r="BJZ18"/>
      <c r="BKA18"/>
      <c r="BKB18"/>
      <c r="BKC18"/>
      <c r="BKD18"/>
      <c r="BKE18"/>
      <c r="BKF18"/>
      <c r="BKG18"/>
      <c r="BKH18"/>
      <c r="BKI18"/>
      <c r="BKJ18"/>
      <c r="BKK18"/>
      <c r="BKL18"/>
      <c r="BKM18"/>
      <c r="BKN18"/>
      <c r="BKO18"/>
      <c r="BKP18"/>
      <c r="BKQ18"/>
      <c r="BKR18"/>
      <c r="BKS18"/>
      <c r="BKT18"/>
      <c r="BKU18"/>
      <c r="BKV18"/>
      <c r="BKW18"/>
      <c r="BKX18"/>
      <c r="BKY18"/>
      <c r="BKZ18"/>
      <c r="BLA18"/>
      <c r="BLB18"/>
      <c r="BLC18"/>
      <c r="BLD18"/>
      <c r="BLE18"/>
      <c r="BLF18"/>
      <c r="BLG18"/>
      <c r="BLH18"/>
      <c r="BLI18"/>
      <c r="BLJ18"/>
      <c r="BLK18"/>
      <c r="BLL18"/>
      <c r="BLM18"/>
      <c r="BLN18"/>
      <c r="BLO18"/>
      <c r="BLP18"/>
      <c r="BLQ18"/>
      <c r="BLR18"/>
      <c r="BLS18"/>
      <c r="BLT18"/>
      <c r="BLU18"/>
      <c r="BLV18"/>
      <c r="BLW18"/>
      <c r="BLX18"/>
      <c r="BLY18"/>
      <c r="BLZ18"/>
      <c r="BMA18"/>
      <c r="BMB18"/>
      <c r="BMC18"/>
      <c r="BMD18"/>
      <c r="BME18"/>
      <c r="BMF18"/>
      <c r="BMG18"/>
      <c r="BMH18"/>
      <c r="BMI18"/>
      <c r="BMJ18"/>
      <c r="BMK18"/>
      <c r="BML18"/>
      <c r="BMM18"/>
      <c r="BMN18"/>
      <c r="BMO18"/>
      <c r="BMP18"/>
      <c r="BMQ18"/>
      <c r="BMR18"/>
      <c r="BMS18"/>
      <c r="BMT18"/>
      <c r="BMU18"/>
      <c r="BMV18"/>
      <c r="BMW18"/>
      <c r="BMX18"/>
      <c r="BMY18"/>
      <c r="BMZ18"/>
      <c r="BNA18"/>
      <c r="BNB18"/>
      <c r="BNC18"/>
      <c r="BND18"/>
      <c r="BNE18"/>
      <c r="BNF18"/>
      <c r="BNG18"/>
      <c r="BNH18"/>
      <c r="BNI18"/>
      <c r="BNJ18"/>
      <c r="BNK18"/>
      <c r="BNL18"/>
      <c r="BNM18"/>
      <c r="BNN18"/>
      <c r="BNO18"/>
      <c r="BNP18"/>
      <c r="BNQ18"/>
      <c r="BNR18"/>
      <c r="BNS18"/>
      <c r="BNT18"/>
      <c r="BNU18"/>
      <c r="BNV18"/>
      <c r="BNW18"/>
      <c r="BNX18"/>
      <c r="BNY18"/>
      <c r="BNZ18"/>
      <c r="BOA18"/>
      <c r="BOB18"/>
      <c r="BOC18"/>
      <c r="BOD18"/>
      <c r="BOE18"/>
      <c r="BOF18"/>
      <c r="BOG18"/>
      <c r="BOH18"/>
      <c r="BOI18"/>
      <c r="BOJ18"/>
      <c r="BOK18"/>
      <c r="BOL18"/>
      <c r="BOM18"/>
      <c r="BON18"/>
      <c r="BOO18"/>
      <c r="BOP18"/>
      <c r="BOQ18"/>
      <c r="BOR18"/>
      <c r="BOS18"/>
      <c r="BOT18"/>
      <c r="BOU18"/>
      <c r="BOV18"/>
      <c r="BOW18"/>
      <c r="BOX18"/>
      <c r="BOY18"/>
      <c r="BOZ18"/>
      <c r="BPA18"/>
      <c r="BPB18"/>
      <c r="BPC18"/>
      <c r="BPD18"/>
      <c r="BPE18"/>
      <c r="BPF18"/>
      <c r="BPG18"/>
      <c r="BPH18"/>
      <c r="BPI18"/>
      <c r="BPJ18"/>
      <c r="BPK18"/>
      <c r="BPL18"/>
      <c r="BPM18"/>
      <c r="BPN18"/>
      <c r="BPO18"/>
      <c r="BPP18"/>
      <c r="BPQ18"/>
      <c r="BPR18"/>
      <c r="BPS18"/>
      <c r="BPT18"/>
      <c r="BPU18"/>
      <c r="BPV18"/>
      <c r="BPW18"/>
      <c r="BPX18"/>
      <c r="BPY18"/>
      <c r="BPZ18"/>
      <c r="BQA18"/>
      <c r="BQB18"/>
      <c r="BQC18"/>
      <c r="BQD18"/>
      <c r="BQE18"/>
      <c r="BQF18"/>
      <c r="BQG18"/>
      <c r="BQH18"/>
      <c r="BQI18"/>
      <c r="BQJ18"/>
      <c r="BQK18"/>
      <c r="BQL18"/>
      <c r="BQM18"/>
      <c r="BQN18"/>
      <c r="BQO18"/>
      <c r="BQP18"/>
      <c r="BQQ18"/>
      <c r="BQR18"/>
      <c r="BQS18"/>
      <c r="BQT18"/>
      <c r="BQU18"/>
      <c r="BQV18"/>
      <c r="BQW18"/>
      <c r="BQX18"/>
      <c r="BQY18"/>
      <c r="BQZ18"/>
      <c r="BRA18"/>
      <c r="BRB18"/>
      <c r="BRC18"/>
      <c r="BRD18"/>
      <c r="BRE18"/>
      <c r="BRF18"/>
      <c r="BRG18"/>
      <c r="BRH18"/>
      <c r="BRI18"/>
      <c r="BRJ18"/>
      <c r="BRK18"/>
      <c r="BRL18"/>
      <c r="BRM18"/>
      <c r="BRN18"/>
      <c r="BRO18"/>
      <c r="BRP18"/>
      <c r="BRQ18"/>
      <c r="BRR18"/>
      <c r="BRS18"/>
      <c r="BRT18"/>
      <c r="BRU18"/>
      <c r="BRV18"/>
      <c r="BRW18"/>
      <c r="BRX18"/>
      <c r="BRY18"/>
      <c r="BRZ18"/>
      <c r="BSA18"/>
      <c r="BSB18"/>
      <c r="BSC18"/>
      <c r="BSD18"/>
      <c r="BSE18"/>
      <c r="BSF18"/>
      <c r="BSG18"/>
      <c r="BSH18"/>
      <c r="BSI18"/>
      <c r="BSJ18"/>
      <c r="BSK18"/>
      <c r="BSL18"/>
      <c r="BSM18"/>
      <c r="BSN18"/>
      <c r="BSO18"/>
      <c r="BSP18"/>
      <c r="BSQ18"/>
      <c r="BSR18"/>
      <c r="BSS18"/>
      <c r="BST18"/>
      <c r="BSU18"/>
      <c r="BSV18"/>
      <c r="BSW18"/>
      <c r="BSX18"/>
      <c r="BSY18"/>
      <c r="BSZ18"/>
      <c r="BTA18"/>
      <c r="BTB18"/>
      <c r="BTC18"/>
      <c r="BTD18"/>
      <c r="BTE18"/>
      <c r="BTF18"/>
      <c r="BTG18"/>
      <c r="BTH18"/>
      <c r="BTI18"/>
      <c r="BTJ18"/>
      <c r="BTK18"/>
      <c r="BTL18"/>
      <c r="BTM18"/>
      <c r="BTN18"/>
      <c r="BTO18"/>
      <c r="BTP18"/>
      <c r="BTQ18"/>
      <c r="BTR18"/>
      <c r="BTS18"/>
      <c r="BTT18"/>
      <c r="BTU18"/>
      <c r="BTV18"/>
      <c r="BTW18"/>
      <c r="BTX18"/>
      <c r="BTY18"/>
      <c r="BTZ18"/>
      <c r="BUA18"/>
      <c r="BUB18"/>
      <c r="BUC18"/>
      <c r="BUD18"/>
      <c r="BUE18"/>
      <c r="BUF18"/>
      <c r="BUG18"/>
      <c r="BUH18"/>
      <c r="BUI18"/>
      <c r="BUJ18"/>
      <c r="BUK18"/>
      <c r="BUL18"/>
      <c r="BUM18"/>
      <c r="BUN18"/>
      <c r="BUO18"/>
      <c r="BUP18"/>
      <c r="BUQ18"/>
      <c r="BUR18"/>
      <c r="BUS18"/>
      <c r="BUT18"/>
      <c r="BUU18"/>
      <c r="BUV18"/>
      <c r="BUW18"/>
      <c r="BUX18"/>
      <c r="BUY18"/>
      <c r="BUZ18"/>
      <c r="BVA18"/>
      <c r="BVB18"/>
      <c r="BVC18"/>
      <c r="BVD18"/>
      <c r="BVE18"/>
      <c r="BVF18"/>
      <c r="BVG18"/>
      <c r="BVH18"/>
      <c r="BVI18"/>
      <c r="BVJ18"/>
      <c r="BVK18"/>
      <c r="BVL18"/>
      <c r="BVM18"/>
      <c r="BVN18"/>
      <c r="BVO18"/>
      <c r="BVP18"/>
      <c r="BVQ18"/>
      <c r="BVR18"/>
      <c r="BVS18"/>
      <c r="BVT18"/>
      <c r="BVU18"/>
      <c r="BVV18"/>
      <c r="BVW18"/>
      <c r="BVX18"/>
      <c r="BVY18"/>
      <c r="BVZ18"/>
      <c r="BWA18"/>
      <c r="BWB18"/>
      <c r="BWC18"/>
      <c r="BWD18"/>
      <c r="BWE18"/>
      <c r="BWF18"/>
      <c r="BWG18"/>
      <c r="BWH18"/>
      <c r="BWI18"/>
      <c r="BWJ18"/>
      <c r="BWK18"/>
      <c r="BWL18"/>
      <c r="BWM18"/>
      <c r="BWN18"/>
      <c r="BWO18"/>
      <c r="BWP18"/>
      <c r="BWQ18"/>
      <c r="BWR18"/>
      <c r="BWS18"/>
      <c r="BWT18"/>
      <c r="BWU18"/>
      <c r="BWV18"/>
      <c r="BWW18"/>
      <c r="BWX18"/>
      <c r="BWY18"/>
      <c r="BWZ18"/>
      <c r="BXA18"/>
      <c r="BXB18"/>
      <c r="BXC18"/>
      <c r="BXD18"/>
      <c r="BXE18"/>
      <c r="BXF18"/>
      <c r="BXG18"/>
      <c r="BXH18"/>
      <c r="BXI18"/>
      <c r="BXJ18"/>
      <c r="BXK18"/>
      <c r="BXL18"/>
      <c r="BXM18"/>
      <c r="BXN18"/>
      <c r="BXO18"/>
      <c r="BXP18"/>
      <c r="BXQ18"/>
      <c r="BXR18"/>
      <c r="BXS18"/>
      <c r="BXT18"/>
      <c r="BXU18"/>
      <c r="BXV18"/>
      <c r="BXW18"/>
      <c r="BXX18"/>
      <c r="BXY18"/>
      <c r="BXZ18"/>
      <c r="BYA18"/>
      <c r="BYB18"/>
      <c r="BYC18"/>
      <c r="BYD18"/>
      <c r="BYE18"/>
      <c r="BYF18"/>
      <c r="BYG18"/>
      <c r="BYH18"/>
      <c r="BYI18"/>
      <c r="BYJ18"/>
      <c r="BYK18"/>
      <c r="BYL18"/>
      <c r="BYM18"/>
      <c r="BYN18"/>
      <c r="BYO18"/>
      <c r="BYP18"/>
      <c r="BYQ18"/>
      <c r="BYR18"/>
      <c r="BYS18"/>
      <c r="BYT18"/>
      <c r="BYU18"/>
      <c r="BYV18"/>
      <c r="BYW18"/>
      <c r="BYX18"/>
      <c r="BYY18"/>
      <c r="BYZ18"/>
      <c r="BZA18"/>
      <c r="BZB18"/>
      <c r="BZC18"/>
      <c r="BZD18"/>
      <c r="BZE18"/>
      <c r="BZF18"/>
      <c r="BZG18"/>
      <c r="BZH18"/>
      <c r="BZI18"/>
      <c r="BZJ18"/>
      <c r="BZK18"/>
      <c r="BZL18"/>
      <c r="BZM18"/>
      <c r="BZN18"/>
      <c r="BZO18"/>
      <c r="BZP18"/>
      <c r="BZQ18"/>
      <c r="BZR18"/>
      <c r="BZS18"/>
      <c r="BZT18"/>
      <c r="BZU18"/>
      <c r="BZV18"/>
      <c r="BZW18"/>
      <c r="BZX18"/>
      <c r="BZY18"/>
      <c r="BZZ18"/>
      <c r="CAA18"/>
      <c r="CAB18"/>
      <c r="CAC18"/>
      <c r="CAD18"/>
      <c r="CAE18"/>
      <c r="CAF18"/>
      <c r="CAG18"/>
      <c r="CAH18"/>
      <c r="CAI18"/>
      <c r="CAJ18"/>
      <c r="CAK18"/>
      <c r="CAL18"/>
      <c r="CAM18"/>
      <c r="CAN18"/>
      <c r="CAO18"/>
      <c r="CAP18"/>
      <c r="CAQ18"/>
      <c r="CAR18"/>
      <c r="CAS18"/>
      <c r="CAT18"/>
      <c r="CAU18"/>
      <c r="CAV18"/>
      <c r="CAW18"/>
      <c r="CAX18"/>
      <c r="CAY18"/>
      <c r="CAZ18"/>
      <c r="CBA18"/>
      <c r="CBB18"/>
      <c r="CBC18"/>
      <c r="CBD18"/>
      <c r="CBE18"/>
      <c r="CBF18"/>
      <c r="CBG18"/>
      <c r="CBH18"/>
      <c r="CBI18"/>
      <c r="CBJ18"/>
      <c r="CBK18"/>
      <c r="CBL18"/>
      <c r="CBM18"/>
      <c r="CBN18"/>
      <c r="CBO18"/>
      <c r="CBP18"/>
      <c r="CBQ18"/>
      <c r="CBR18"/>
      <c r="CBS18"/>
      <c r="CBT18"/>
      <c r="CBU18"/>
      <c r="CBV18"/>
      <c r="CBW18"/>
      <c r="CBX18"/>
      <c r="CBY18"/>
      <c r="CBZ18"/>
      <c r="CCA18"/>
      <c r="CCB18"/>
      <c r="CCC18"/>
      <c r="CCD18"/>
      <c r="CCE18"/>
      <c r="CCF18"/>
      <c r="CCG18"/>
      <c r="CCH18"/>
      <c r="CCI18"/>
      <c r="CCJ18"/>
      <c r="CCK18"/>
      <c r="CCL18"/>
      <c r="CCM18"/>
      <c r="CCN18"/>
      <c r="CCO18"/>
      <c r="CCP18"/>
      <c r="CCQ18"/>
      <c r="CCR18"/>
      <c r="CCS18"/>
      <c r="CCT18"/>
      <c r="CCU18"/>
      <c r="CCV18"/>
      <c r="CCW18"/>
      <c r="CCX18"/>
      <c r="CCY18"/>
      <c r="CCZ18"/>
      <c r="CDA18"/>
      <c r="CDB18"/>
      <c r="CDC18"/>
      <c r="CDD18"/>
      <c r="CDE18"/>
      <c r="CDF18"/>
      <c r="CDG18"/>
      <c r="CDH18"/>
      <c r="CDI18"/>
      <c r="CDJ18"/>
      <c r="CDK18"/>
      <c r="CDL18"/>
      <c r="CDM18"/>
      <c r="CDN18"/>
      <c r="CDO18"/>
      <c r="CDP18"/>
      <c r="CDQ18"/>
      <c r="CDR18"/>
      <c r="CDS18"/>
      <c r="CDT18"/>
      <c r="CDU18"/>
      <c r="CDV18"/>
      <c r="CDW18"/>
      <c r="CDX18"/>
      <c r="CDY18"/>
      <c r="CDZ18"/>
      <c r="CEA18"/>
      <c r="CEB18"/>
      <c r="CEC18"/>
      <c r="CED18"/>
      <c r="CEE18"/>
      <c r="CEF18"/>
      <c r="CEG18"/>
      <c r="CEH18"/>
      <c r="CEI18"/>
      <c r="CEJ18"/>
      <c r="CEK18"/>
      <c r="CEL18"/>
      <c r="CEM18"/>
      <c r="CEN18"/>
      <c r="CEO18"/>
      <c r="CEP18"/>
      <c r="CEQ18"/>
      <c r="CER18"/>
      <c r="CES18"/>
      <c r="CET18"/>
      <c r="CEU18"/>
      <c r="CEV18"/>
      <c r="CEW18"/>
      <c r="CEX18"/>
      <c r="CEY18"/>
      <c r="CEZ18"/>
      <c r="CFA18"/>
      <c r="CFB18"/>
      <c r="CFC18"/>
      <c r="CFD18"/>
      <c r="CFE18"/>
      <c r="CFF18"/>
      <c r="CFG18"/>
      <c r="CFH18"/>
      <c r="CFI18"/>
      <c r="CFJ18"/>
      <c r="CFK18"/>
      <c r="CFL18"/>
      <c r="CFM18"/>
      <c r="CFN18"/>
      <c r="CFO18"/>
      <c r="CFP18"/>
      <c r="CFQ18"/>
      <c r="CFR18"/>
      <c r="CFS18"/>
      <c r="CFT18"/>
      <c r="CFU18"/>
      <c r="CFV18"/>
      <c r="CFW18"/>
      <c r="CFX18"/>
      <c r="CFY18"/>
      <c r="CFZ18"/>
      <c r="CGA18"/>
      <c r="CGB18"/>
      <c r="CGC18"/>
      <c r="CGD18"/>
      <c r="CGE18"/>
      <c r="CGF18"/>
      <c r="CGG18"/>
      <c r="CGH18"/>
      <c r="CGI18"/>
      <c r="CGJ18"/>
      <c r="CGK18"/>
      <c r="CGL18"/>
      <c r="CGM18"/>
      <c r="CGN18"/>
      <c r="CGO18"/>
      <c r="CGP18"/>
      <c r="CGQ18"/>
      <c r="CGR18"/>
      <c r="CGS18"/>
      <c r="CGT18"/>
      <c r="CGU18"/>
      <c r="CGV18"/>
      <c r="CGW18"/>
      <c r="CGX18"/>
      <c r="CGY18"/>
      <c r="CGZ18"/>
      <c r="CHA18"/>
      <c r="CHB18"/>
      <c r="CHC18"/>
      <c r="CHD18"/>
      <c r="CHE18"/>
      <c r="CHF18"/>
      <c r="CHG18"/>
      <c r="CHH18"/>
      <c r="CHI18"/>
      <c r="CHJ18"/>
      <c r="CHK18"/>
      <c r="CHL18"/>
      <c r="CHM18"/>
      <c r="CHN18"/>
      <c r="CHO18"/>
      <c r="CHP18"/>
      <c r="CHQ18"/>
      <c r="CHR18"/>
      <c r="CHS18"/>
      <c r="CHT18"/>
      <c r="CHU18"/>
      <c r="CHV18"/>
      <c r="CHW18"/>
      <c r="CHX18"/>
      <c r="CHY18"/>
      <c r="CHZ18"/>
      <c r="CIA18"/>
      <c r="CIB18"/>
      <c r="CIC18"/>
      <c r="CID18"/>
      <c r="CIE18"/>
      <c r="CIF18"/>
      <c r="CIG18"/>
      <c r="CIH18"/>
      <c r="CII18"/>
      <c r="CIJ18"/>
      <c r="CIK18"/>
      <c r="CIL18"/>
      <c r="CIM18"/>
      <c r="CIN18"/>
      <c r="CIO18"/>
      <c r="CIP18"/>
      <c r="CIQ18"/>
      <c r="CIR18"/>
      <c r="CIS18"/>
      <c r="CIT18"/>
      <c r="CIU18"/>
      <c r="CIV18"/>
      <c r="CIW18"/>
      <c r="CIX18"/>
      <c r="CIY18"/>
      <c r="CIZ18"/>
      <c r="CJA18"/>
      <c r="CJB18"/>
      <c r="CJC18"/>
      <c r="CJD18"/>
      <c r="CJE18"/>
      <c r="CJF18"/>
      <c r="CJG18"/>
      <c r="CJH18"/>
      <c r="CJI18"/>
      <c r="CJJ18"/>
      <c r="CJK18"/>
      <c r="CJL18"/>
      <c r="CJM18"/>
      <c r="CJN18"/>
      <c r="CJO18"/>
      <c r="CJP18"/>
      <c r="CJQ18"/>
      <c r="CJR18"/>
      <c r="CJS18"/>
      <c r="CJT18"/>
      <c r="CJU18"/>
      <c r="CJV18"/>
      <c r="CJW18"/>
      <c r="CJX18"/>
      <c r="CJY18"/>
      <c r="CJZ18"/>
      <c r="CKA18"/>
      <c r="CKB18"/>
      <c r="CKC18"/>
      <c r="CKD18"/>
      <c r="CKE18"/>
      <c r="CKF18"/>
      <c r="CKG18"/>
      <c r="CKH18"/>
      <c r="CKI18"/>
      <c r="CKJ18"/>
      <c r="CKK18"/>
      <c r="CKL18"/>
      <c r="CKM18"/>
      <c r="CKN18"/>
      <c r="CKO18"/>
      <c r="CKP18"/>
      <c r="CKQ18"/>
      <c r="CKR18"/>
      <c r="CKS18"/>
      <c r="CKT18"/>
      <c r="CKU18"/>
      <c r="CKV18"/>
      <c r="CKW18"/>
      <c r="CKX18"/>
      <c r="CKY18"/>
      <c r="CKZ18"/>
      <c r="CLA18"/>
      <c r="CLB18"/>
      <c r="CLC18"/>
      <c r="CLD18"/>
      <c r="CLE18"/>
      <c r="CLF18"/>
      <c r="CLG18"/>
      <c r="CLH18"/>
      <c r="CLI18"/>
      <c r="CLJ18"/>
      <c r="CLK18"/>
      <c r="CLL18"/>
      <c r="CLM18"/>
      <c r="CLN18"/>
      <c r="CLO18"/>
      <c r="CLP18"/>
      <c r="CLQ18"/>
      <c r="CLR18"/>
      <c r="CLS18"/>
      <c r="CLT18"/>
      <c r="CLU18"/>
      <c r="CLV18"/>
      <c r="CLW18"/>
      <c r="CLX18"/>
      <c r="CLY18"/>
      <c r="CLZ18"/>
      <c r="CMA18"/>
      <c r="CMB18"/>
      <c r="CMC18"/>
      <c r="CMD18"/>
      <c r="CME18"/>
      <c r="CMF18"/>
      <c r="CMG18"/>
      <c r="CMH18"/>
      <c r="CMI18"/>
      <c r="CMJ18"/>
      <c r="CMK18"/>
      <c r="CML18"/>
      <c r="CMM18"/>
      <c r="CMN18"/>
      <c r="CMO18"/>
      <c r="CMP18"/>
      <c r="CMQ18"/>
      <c r="CMR18"/>
      <c r="CMS18"/>
      <c r="CMT18"/>
      <c r="CMU18"/>
      <c r="CMV18"/>
      <c r="CMW18"/>
      <c r="CMX18"/>
      <c r="CMY18"/>
      <c r="CMZ18"/>
      <c r="CNA18"/>
      <c r="CNB18"/>
      <c r="CNC18"/>
      <c r="CND18"/>
      <c r="CNE18"/>
      <c r="CNF18"/>
      <c r="CNG18"/>
      <c r="CNH18"/>
      <c r="CNI18"/>
      <c r="CNJ18"/>
      <c r="CNK18"/>
      <c r="CNL18"/>
      <c r="CNM18"/>
      <c r="CNN18"/>
      <c r="CNO18"/>
      <c r="CNP18"/>
      <c r="CNQ18"/>
      <c r="CNR18"/>
      <c r="CNS18"/>
      <c r="CNT18"/>
      <c r="CNU18"/>
      <c r="CNV18"/>
      <c r="CNW18"/>
      <c r="CNX18"/>
      <c r="CNY18"/>
      <c r="CNZ18"/>
      <c r="COA18"/>
      <c r="COB18"/>
      <c r="COC18"/>
      <c r="COD18"/>
      <c r="COE18"/>
      <c r="COF18"/>
      <c r="COG18"/>
      <c r="COH18"/>
      <c r="COI18"/>
      <c r="COJ18"/>
      <c r="COK18"/>
      <c r="COL18"/>
      <c r="COM18"/>
      <c r="CON18"/>
      <c r="COO18"/>
      <c r="COP18"/>
      <c r="COQ18"/>
      <c r="COR18"/>
      <c r="COS18"/>
      <c r="COT18"/>
      <c r="COU18"/>
      <c r="COV18"/>
      <c r="COW18"/>
      <c r="COX18"/>
      <c r="COY18"/>
      <c r="COZ18"/>
      <c r="CPA18"/>
      <c r="CPB18"/>
      <c r="CPC18"/>
      <c r="CPD18"/>
      <c r="CPE18"/>
      <c r="CPF18"/>
      <c r="CPG18"/>
      <c r="CPH18"/>
      <c r="CPI18"/>
      <c r="CPJ18"/>
      <c r="CPK18"/>
      <c r="CPL18"/>
      <c r="CPM18"/>
      <c r="CPN18"/>
      <c r="CPO18"/>
      <c r="CPP18"/>
      <c r="CPQ18"/>
      <c r="CPR18"/>
      <c r="CPS18"/>
      <c r="CPT18"/>
      <c r="CPU18"/>
      <c r="CPV18"/>
      <c r="CPW18"/>
      <c r="CPX18"/>
      <c r="CPY18"/>
      <c r="CPZ18"/>
      <c r="CQA18"/>
      <c r="CQB18"/>
      <c r="CQC18"/>
      <c r="CQD18"/>
      <c r="CQE18"/>
      <c r="CQF18"/>
      <c r="CQG18"/>
      <c r="CQH18"/>
      <c r="CQI18"/>
      <c r="CQJ18"/>
      <c r="CQK18"/>
      <c r="CQL18"/>
      <c r="CQM18"/>
      <c r="CQN18"/>
      <c r="CQO18"/>
      <c r="CQP18"/>
      <c r="CQQ18"/>
      <c r="CQR18"/>
      <c r="CQS18"/>
      <c r="CQT18"/>
      <c r="CQU18"/>
      <c r="CQV18"/>
      <c r="CQW18"/>
      <c r="CQX18"/>
      <c r="CQY18"/>
      <c r="CQZ18"/>
      <c r="CRA18"/>
      <c r="CRB18"/>
      <c r="CRC18"/>
      <c r="CRD18"/>
      <c r="CRE18"/>
      <c r="CRF18"/>
      <c r="CRG18"/>
      <c r="CRH18"/>
      <c r="CRI18"/>
      <c r="CRJ18"/>
      <c r="CRK18"/>
      <c r="CRL18"/>
      <c r="CRM18"/>
      <c r="CRN18"/>
      <c r="CRO18"/>
      <c r="CRP18"/>
      <c r="CRQ18"/>
      <c r="CRR18"/>
      <c r="CRS18"/>
      <c r="CRT18"/>
      <c r="CRU18"/>
      <c r="CRV18"/>
      <c r="CRW18"/>
      <c r="CRX18"/>
      <c r="CRY18"/>
      <c r="CRZ18"/>
      <c r="CSA18"/>
      <c r="CSB18"/>
      <c r="CSC18"/>
      <c r="CSD18"/>
      <c r="CSE18"/>
      <c r="CSF18"/>
      <c r="CSG18"/>
      <c r="CSH18"/>
      <c r="CSI18"/>
      <c r="CSJ18"/>
      <c r="CSK18"/>
      <c r="CSL18"/>
      <c r="CSM18"/>
      <c r="CSN18"/>
      <c r="CSO18"/>
      <c r="CSP18"/>
      <c r="CSQ18"/>
      <c r="CSR18"/>
      <c r="CSS18"/>
      <c r="CST18"/>
      <c r="CSU18"/>
      <c r="CSV18"/>
      <c r="CSW18"/>
      <c r="CSX18"/>
      <c r="CSY18"/>
      <c r="CSZ18"/>
      <c r="CTA18"/>
      <c r="CTB18"/>
      <c r="CTC18"/>
      <c r="CTD18"/>
      <c r="CTE18"/>
      <c r="CTF18"/>
      <c r="CTG18"/>
      <c r="CTH18"/>
      <c r="CTI18"/>
      <c r="CTJ18"/>
      <c r="CTK18"/>
      <c r="CTL18"/>
      <c r="CTM18"/>
      <c r="CTN18"/>
      <c r="CTO18"/>
      <c r="CTP18"/>
      <c r="CTQ18"/>
      <c r="CTR18"/>
      <c r="CTS18"/>
      <c r="CTT18"/>
      <c r="CTU18"/>
      <c r="CTV18"/>
      <c r="CTW18"/>
      <c r="CTX18"/>
      <c r="CTY18"/>
      <c r="CTZ18"/>
      <c r="CUA18"/>
      <c r="CUB18"/>
      <c r="CUC18"/>
      <c r="CUD18"/>
      <c r="CUE18"/>
      <c r="CUF18"/>
      <c r="CUG18"/>
      <c r="CUH18"/>
      <c r="CUI18"/>
      <c r="CUJ18"/>
      <c r="CUK18"/>
      <c r="CUL18"/>
      <c r="CUM18"/>
      <c r="CUN18"/>
      <c r="CUO18"/>
      <c r="CUP18"/>
      <c r="CUQ18"/>
      <c r="CUR18"/>
      <c r="CUS18"/>
      <c r="CUT18"/>
      <c r="CUU18"/>
      <c r="CUV18"/>
      <c r="CUW18"/>
      <c r="CUX18"/>
      <c r="CUY18"/>
      <c r="CUZ18"/>
      <c r="CVA18"/>
      <c r="CVB18"/>
      <c r="CVC18"/>
      <c r="CVD18"/>
      <c r="CVE18"/>
      <c r="CVF18"/>
      <c r="CVG18"/>
      <c r="CVH18"/>
      <c r="CVI18"/>
      <c r="CVJ18"/>
      <c r="CVK18"/>
      <c r="CVL18"/>
      <c r="CVM18"/>
      <c r="CVN18"/>
      <c r="CVO18"/>
      <c r="CVP18"/>
      <c r="CVQ18"/>
      <c r="CVR18"/>
      <c r="CVS18"/>
      <c r="CVT18"/>
      <c r="CVU18"/>
      <c r="CVV18"/>
      <c r="CVW18"/>
      <c r="CVX18"/>
      <c r="CVY18"/>
      <c r="CVZ18"/>
      <c r="CWA18"/>
      <c r="CWB18"/>
      <c r="CWC18"/>
      <c r="CWD18"/>
      <c r="CWE18"/>
      <c r="CWF18"/>
      <c r="CWG18"/>
      <c r="CWH18"/>
      <c r="CWI18"/>
      <c r="CWJ18"/>
      <c r="CWK18"/>
      <c r="CWL18"/>
      <c r="CWM18"/>
      <c r="CWN18"/>
      <c r="CWO18"/>
      <c r="CWP18"/>
      <c r="CWQ18"/>
      <c r="CWR18"/>
      <c r="CWS18"/>
      <c r="CWT18"/>
      <c r="CWU18"/>
      <c r="CWV18"/>
      <c r="CWW18"/>
      <c r="CWX18"/>
      <c r="CWY18"/>
      <c r="CWZ18"/>
      <c r="CXA18"/>
      <c r="CXB18"/>
      <c r="CXC18"/>
      <c r="CXD18"/>
      <c r="CXE18"/>
      <c r="CXF18"/>
      <c r="CXG18"/>
      <c r="CXH18"/>
      <c r="CXI18"/>
      <c r="CXJ18"/>
      <c r="CXK18"/>
      <c r="CXL18"/>
      <c r="CXM18"/>
      <c r="CXN18"/>
      <c r="CXO18"/>
      <c r="CXP18"/>
      <c r="CXQ18"/>
      <c r="CXR18"/>
      <c r="CXS18"/>
      <c r="CXT18"/>
      <c r="CXU18"/>
      <c r="CXV18"/>
      <c r="CXW18"/>
      <c r="CXX18"/>
      <c r="CXY18"/>
      <c r="CXZ18"/>
      <c r="CYA18"/>
      <c r="CYB18"/>
      <c r="CYC18"/>
      <c r="CYD18"/>
      <c r="CYE18"/>
      <c r="CYF18"/>
      <c r="CYG18"/>
      <c r="CYH18"/>
      <c r="CYI18"/>
      <c r="CYJ18"/>
      <c r="CYK18"/>
      <c r="CYL18"/>
      <c r="CYM18"/>
      <c r="CYN18"/>
      <c r="CYO18"/>
      <c r="CYP18"/>
      <c r="CYQ18"/>
      <c r="CYR18"/>
      <c r="CYS18"/>
      <c r="CYT18"/>
      <c r="CYU18"/>
      <c r="CYV18"/>
      <c r="CYW18"/>
      <c r="CYX18"/>
      <c r="CYY18"/>
      <c r="CYZ18"/>
      <c r="CZA18"/>
      <c r="CZB18"/>
      <c r="CZC18"/>
      <c r="CZD18"/>
      <c r="CZE18"/>
      <c r="CZF18"/>
      <c r="CZG18"/>
      <c r="CZH18"/>
      <c r="CZI18"/>
      <c r="CZJ18"/>
      <c r="CZK18"/>
      <c r="CZL18"/>
      <c r="CZM18"/>
      <c r="CZN18"/>
      <c r="CZO18"/>
      <c r="CZP18"/>
      <c r="CZQ18"/>
      <c r="CZR18"/>
      <c r="CZS18"/>
      <c r="CZT18"/>
      <c r="CZU18"/>
      <c r="CZV18"/>
      <c r="CZW18"/>
      <c r="CZX18"/>
      <c r="CZY18"/>
      <c r="CZZ18"/>
      <c r="DAA18"/>
      <c r="DAB18"/>
      <c r="DAC18"/>
      <c r="DAD18"/>
      <c r="DAE18"/>
      <c r="DAF18"/>
      <c r="DAG18"/>
      <c r="DAH18"/>
      <c r="DAI18"/>
      <c r="DAJ18"/>
      <c r="DAK18"/>
      <c r="DAL18"/>
      <c r="DAM18"/>
      <c r="DAN18"/>
      <c r="DAO18"/>
      <c r="DAP18"/>
      <c r="DAQ18"/>
      <c r="DAR18"/>
      <c r="DAS18"/>
      <c r="DAT18"/>
      <c r="DAU18"/>
      <c r="DAV18"/>
      <c r="DAW18"/>
      <c r="DAX18"/>
      <c r="DAY18"/>
      <c r="DAZ18"/>
      <c r="DBA18"/>
      <c r="DBB18"/>
      <c r="DBC18"/>
      <c r="DBD18"/>
      <c r="DBE18"/>
      <c r="DBF18"/>
      <c r="DBG18"/>
      <c r="DBH18"/>
      <c r="DBI18"/>
      <c r="DBJ18"/>
      <c r="DBK18"/>
      <c r="DBL18"/>
      <c r="DBM18"/>
      <c r="DBN18"/>
      <c r="DBO18"/>
      <c r="DBP18"/>
      <c r="DBQ18"/>
      <c r="DBR18"/>
      <c r="DBS18"/>
      <c r="DBT18"/>
      <c r="DBU18"/>
      <c r="DBV18"/>
      <c r="DBW18"/>
      <c r="DBX18"/>
      <c r="DBY18"/>
      <c r="DBZ18"/>
      <c r="DCA18"/>
      <c r="DCB18"/>
      <c r="DCC18"/>
      <c r="DCD18"/>
      <c r="DCE18"/>
      <c r="DCF18"/>
      <c r="DCG18"/>
      <c r="DCH18"/>
      <c r="DCI18"/>
      <c r="DCJ18"/>
      <c r="DCK18"/>
      <c r="DCL18"/>
      <c r="DCM18"/>
      <c r="DCN18"/>
      <c r="DCO18"/>
      <c r="DCP18"/>
      <c r="DCQ18"/>
      <c r="DCR18"/>
      <c r="DCS18"/>
      <c r="DCT18"/>
      <c r="DCU18"/>
      <c r="DCV18"/>
      <c r="DCW18"/>
      <c r="DCX18"/>
      <c r="DCY18"/>
      <c r="DCZ18"/>
      <c r="DDA18"/>
      <c r="DDB18"/>
      <c r="DDC18"/>
      <c r="DDD18"/>
      <c r="DDE18"/>
      <c r="DDF18"/>
      <c r="DDG18"/>
      <c r="DDH18"/>
      <c r="DDI18"/>
      <c r="DDJ18"/>
      <c r="DDK18"/>
      <c r="DDL18"/>
      <c r="DDM18"/>
      <c r="DDN18"/>
      <c r="DDO18"/>
      <c r="DDP18"/>
      <c r="DDQ18"/>
      <c r="DDR18"/>
      <c r="DDS18"/>
      <c r="DDT18"/>
      <c r="DDU18"/>
      <c r="DDV18"/>
      <c r="DDW18"/>
      <c r="DDX18"/>
      <c r="DDY18"/>
      <c r="DDZ18"/>
      <c r="DEA18"/>
      <c r="DEB18"/>
      <c r="DEC18"/>
      <c r="DED18"/>
      <c r="DEE18"/>
      <c r="DEF18"/>
      <c r="DEG18"/>
      <c r="DEH18"/>
      <c r="DEI18"/>
      <c r="DEJ18"/>
      <c r="DEK18"/>
      <c r="DEL18"/>
      <c r="DEM18"/>
      <c r="DEN18"/>
      <c r="DEO18"/>
      <c r="DEP18"/>
      <c r="DEQ18"/>
      <c r="DER18"/>
      <c r="DES18"/>
      <c r="DET18"/>
      <c r="DEU18"/>
      <c r="DEV18"/>
      <c r="DEW18"/>
      <c r="DEX18"/>
      <c r="DEY18"/>
      <c r="DEZ18"/>
      <c r="DFA18"/>
      <c r="DFB18"/>
      <c r="DFC18"/>
      <c r="DFD18"/>
      <c r="DFE18"/>
      <c r="DFF18"/>
      <c r="DFG18"/>
      <c r="DFH18"/>
      <c r="DFI18"/>
      <c r="DFJ18"/>
      <c r="DFK18"/>
      <c r="DFL18"/>
      <c r="DFM18"/>
      <c r="DFN18"/>
      <c r="DFO18"/>
      <c r="DFP18"/>
      <c r="DFQ18"/>
      <c r="DFR18"/>
      <c r="DFS18"/>
      <c r="DFT18"/>
      <c r="DFU18"/>
      <c r="DFV18"/>
      <c r="DFW18"/>
      <c r="DFX18"/>
      <c r="DFY18"/>
      <c r="DFZ18"/>
      <c r="DGA18"/>
      <c r="DGB18"/>
      <c r="DGC18"/>
      <c r="DGD18"/>
      <c r="DGE18"/>
      <c r="DGF18"/>
      <c r="DGG18"/>
      <c r="DGH18"/>
      <c r="DGI18"/>
      <c r="DGJ18"/>
      <c r="DGK18"/>
      <c r="DGL18"/>
      <c r="DGM18"/>
      <c r="DGN18"/>
      <c r="DGO18"/>
      <c r="DGP18"/>
      <c r="DGQ18"/>
      <c r="DGR18"/>
      <c r="DGS18"/>
      <c r="DGT18"/>
      <c r="DGU18"/>
      <c r="DGV18"/>
      <c r="DGW18"/>
      <c r="DGX18"/>
      <c r="DGY18"/>
      <c r="DGZ18"/>
      <c r="DHA18"/>
      <c r="DHB18"/>
      <c r="DHC18"/>
      <c r="DHD18"/>
      <c r="DHE18"/>
      <c r="DHF18"/>
      <c r="DHG18"/>
      <c r="DHH18"/>
      <c r="DHI18"/>
      <c r="DHJ18"/>
      <c r="DHK18"/>
      <c r="DHL18"/>
      <c r="DHM18"/>
      <c r="DHN18"/>
      <c r="DHO18"/>
      <c r="DHP18"/>
      <c r="DHQ18"/>
      <c r="DHR18"/>
      <c r="DHS18"/>
      <c r="DHT18"/>
      <c r="DHU18"/>
      <c r="DHV18"/>
      <c r="DHW18"/>
      <c r="DHX18"/>
      <c r="DHY18"/>
      <c r="DHZ18"/>
      <c r="DIA18"/>
      <c r="DIB18"/>
      <c r="DIC18"/>
      <c r="DID18"/>
      <c r="DIE18"/>
      <c r="DIF18"/>
      <c r="DIG18"/>
      <c r="DIH18"/>
      <c r="DII18"/>
      <c r="DIJ18"/>
      <c r="DIK18"/>
      <c r="DIL18"/>
      <c r="DIM18"/>
      <c r="DIN18"/>
      <c r="DIO18"/>
      <c r="DIP18"/>
      <c r="DIQ18"/>
      <c r="DIR18"/>
      <c r="DIS18"/>
      <c r="DIT18"/>
      <c r="DIU18"/>
      <c r="DIV18"/>
      <c r="DIW18"/>
      <c r="DIX18"/>
      <c r="DIY18"/>
      <c r="DIZ18"/>
      <c r="DJA18"/>
      <c r="DJB18"/>
      <c r="DJC18"/>
      <c r="DJD18"/>
      <c r="DJE18"/>
      <c r="DJF18"/>
      <c r="DJG18"/>
      <c r="DJH18"/>
      <c r="DJI18"/>
      <c r="DJJ18"/>
      <c r="DJK18"/>
      <c r="DJL18"/>
      <c r="DJM18"/>
      <c r="DJN18"/>
      <c r="DJO18"/>
      <c r="DJP18"/>
      <c r="DJQ18"/>
      <c r="DJR18"/>
      <c r="DJS18"/>
      <c r="DJT18"/>
      <c r="DJU18"/>
      <c r="DJV18"/>
      <c r="DJW18"/>
      <c r="DJX18"/>
      <c r="DJY18"/>
      <c r="DJZ18"/>
      <c r="DKA18"/>
      <c r="DKB18"/>
      <c r="DKC18"/>
      <c r="DKD18"/>
      <c r="DKE18"/>
      <c r="DKF18"/>
      <c r="DKG18"/>
      <c r="DKH18"/>
      <c r="DKI18"/>
      <c r="DKJ18"/>
      <c r="DKK18"/>
      <c r="DKL18"/>
      <c r="DKM18"/>
      <c r="DKN18"/>
      <c r="DKO18"/>
      <c r="DKP18"/>
      <c r="DKQ18"/>
      <c r="DKR18"/>
      <c r="DKS18"/>
      <c r="DKT18"/>
      <c r="DKU18"/>
      <c r="DKV18"/>
      <c r="DKW18"/>
      <c r="DKX18"/>
      <c r="DKY18"/>
      <c r="DKZ18"/>
      <c r="DLA18"/>
      <c r="DLB18"/>
      <c r="DLC18"/>
      <c r="DLD18"/>
      <c r="DLE18"/>
      <c r="DLF18"/>
      <c r="DLG18"/>
      <c r="DLH18"/>
      <c r="DLI18"/>
      <c r="DLJ18"/>
      <c r="DLK18"/>
      <c r="DLL18"/>
      <c r="DLM18"/>
      <c r="DLN18"/>
      <c r="DLO18"/>
      <c r="DLP18"/>
      <c r="DLQ18"/>
      <c r="DLR18"/>
      <c r="DLS18"/>
      <c r="DLT18"/>
      <c r="DLU18"/>
      <c r="DLV18"/>
      <c r="DLW18"/>
      <c r="DLX18"/>
      <c r="DLY18"/>
      <c r="DLZ18"/>
      <c r="DMA18"/>
      <c r="DMB18"/>
      <c r="DMC18"/>
      <c r="DMD18"/>
      <c r="DME18"/>
      <c r="DMF18"/>
      <c r="DMG18"/>
      <c r="DMH18"/>
      <c r="DMI18"/>
      <c r="DMJ18"/>
      <c r="DMK18"/>
      <c r="DML18"/>
      <c r="DMM18"/>
      <c r="DMN18"/>
      <c r="DMO18"/>
      <c r="DMP18"/>
      <c r="DMQ18"/>
      <c r="DMR18"/>
      <c r="DMS18"/>
      <c r="DMT18"/>
      <c r="DMU18"/>
      <c r="DMV18"/>
      <c r="DMW18"/>
      <c r="DMX18"/>
      <c r="DMY18"/>
      <c r="DMZ18"/>
      <c r="DNA18"/>
      <c r="DNB18"/>
      <c r="DNC18"/>
      <c r="DND18"/>
      <c r="DNE18"/>
      <c r="DNF18"/>
      <c r="DNG18"/>
      <c r="DNH18"/>
      <c r="DNI18"/>
      <c r="DNJ18"/>
      <c r="DNK18"/>
      <c r="DNL18"/>
      <c r="DNM18"/>
      <c r="DNN18"/>
      <c r="DNO18"/>
      <c r="DNP18"/>
      <c r="DNQ18"/>
      <c r="DNR18"/>
      <c r="DNS18"/>
      <c r="DNT18"/>
      <c r="DNU18"/>
      <c r="DNV18"/>
      <c r="DNW18"/>
      <c r="DNX18"/>
      <c r="DNY18"/>
      <c r="DNZ18"/>
      <c r="DOA18"/>
      <c r="DOB18"/>
      <c r="DOC18"/>
      <c r="DOD18"/>
      <c r="DOE18"/>
      <c r="DOF18"/>
      <c r="DOG18"/>
      <c r="DOH18"/>
      <c r="DOI18"/>
      <c r="DOJ18"/>
      <c r="DOK18"/>
      <c r="DOL18"/>
      <c r="DOM18"/>
      <c r="DON18"/>
      <c r="DOO18"/>
      <c r="DOP18"/>
      <c r="DOQ18"/>
      <c r="DOR18"/>
      <c r="DOS18"/>
      <c r="DOT18"/>
      <c r="DOU18"/>
      <c r="DOV18"/>
      <c r="DOW18"/>
      <c r="DOX18"/>
      <c r="DOY18"/>
      <c r="DOZ18"/>
      <c r="DPA18"/>
      <c r="DPB18"/>
      <c r="DPC18"/>
      <c r="DPD18"/>
      <c r="DPE18"/>
      <c r="DPF18"/>
      <c r="DPG18"/>
      <c r="DPH18"/>
      <c r="DPI18"/>
      <c r="DPJ18"/>
      <c r="DPK18"/>
      <c r="DPL18"/>
      <c r="DPM18"/>
      <c r="DPN18"/>
      <c r="DPO18"/>
      <c r="DPP18"/>
      <c r="DPQ18"/>
      <c r="DPR18"/>
      <c r="DPS18"/>
      <c r="DPT18"/>
      <c r="DPU18"/>
      <c r="DPV18"/>
      <c r="DPW18"/>
      <c r="DPX18"/>
      <c r="DPY18"/>
      <c r="DPZ18"/>
      <c r="DQA18"/>
      <c r="DQB18"/>
      <c r="DQC18"/>
      <c r="DQD18"/>
      <c r="DQE18"/>
      <c r="DQF18"/>
      <c r="DQG18"/>
      <c r="DQH18"/>
      <c r="DQI18"/>
      <c r="DQJ18"/>
      <c r="DQK18"/>
      <c r="DQL18"/>
      <c r="DQM18"/>
      <c r="DQN18"/>
      <c r="DQO18"/>
      <c r="DQP18"/>
      <c r="DQQ18"/>
      <c r="DQR18"/>
      <c r="DQS18"/>
      <c r="DQT18"/>
      <c r="DQU18"/>
      <c r="DQV18"/>
      <c r="DQW18"/>
      <c r="DQX18"/>
      <c r="DQY18"/>
      <c r="DQZ18"/>
      <c r="DRA18"/>
      <c r="DRB18"/>
      <c r="DRC18"/>
      <c r="DRD18"/>
      <c r="DRE18"/>
      <c r="DRF18"/>
      <c r="DRG18"/>
      <c r="DRH18"/>
      <c r="DRI18"/>
      <c r="DRJ18"/>
      <c r="DRK18"/>
      <c r="DRL18"/>
      <c r="DRM18"/>
      <c r="DRN18"/>
      <c r="DRO18"/>
      <c r="DRP18"/>
      <c r="DRQ18"/>
      <c r="DRR18"/>
      <c r="DRS18"/>
      <c r="DRT18"/>
      <c r="DRU18"/>
      <c r="DRV18"/>
      <c r="DRW18"/>
      <c r="DRX18"/>
      <c r="DRY18"/>
      <c r="DRZ18"/>
      <c r="DSA18"/>
      <c r="DSB18"/>
      <c r="DSC18"/>
      <c r="DSD18"/>
      <c r="DSE18"/>
      <c r="DSF18"/>
      <c r="DSG18"/>
      <c r="DSH18"/>
      <c r="DSI18"/>
      <c r="DSJ18"/>
      <c r="DSK18"/>
      <c r="DSL18"/>
      <c r="DSM18"/>
      <c r="DSN18"/>
      <c r="DSO18"/>
      <c r="DSP18"/>
      <c r="DSQ18"/>
      <c r="DSR18"/>
      <c r="DSS18"/>
      <c r="DST18"/>
      <c r="DSU18"/>
      <c r="DSV18"/>
      <c r="DSW18"/>
      <c r="DSX18"/>
      <c r="DSY18"/>
      <c r="DSZ18"/>
      <c r="DTA18"/>
      <c r="DTB18"/>
      <c r="DTC18"/>
      <c r="DTD18"/>
      <c r="DTE18"/>
      <c r="DTF18"/>
      <c r="DTG18"/>
      <c r="DTH18"/>
      <c r="DTI18"/>
      <c r="DTJ18"/>
      <c r="DTK18"/>
      <c r="DTL18"/>
      <c r="DTM18"/>
      <c r="DTN18"/>
      <c r="DTO18"/>
      <c r="DTP18"/>
      <c r="DTQ18"/>
      <c r="DTR18"/>
      <c r="DTS18"/>
      <c r="DTT18"/>
      <c r="DTU18"/>
      <c r="DTV18"/>
      <c r="DTW18"/>
      <c r="DTX18"/>
      <c r="DTY18"/>
      <c r="DTZ18"/>
      <c r="DUA18"/>
      <c r="DUB18"/>
      <c r="DUC18"/>
      <c r="DUD18"/>
      <c r="DUE18"/>
      <c r="DUF18"/>
      <c r="DUG18"/>
      <c r="DUH18"/>
      <c r="DUI18"/>
      <c r="DUJ18"/>
      <c r="DUK18"/>
      <c r="DUL18"/>
      <c r="DUM18"/>
      <c r="DUN18"/>
      <c r="DUO18"/>
      <c r="DUP18"/>
      <c r="DUQ18"/>
      <c r="DUR18"/>
      <c r="DUS18"/>
      <c r="DUT18"/>
      <c r="DUU18"/>
      <c r="DUV18"/>
      <c r="DUW18"/>
      <c r="DUX18"/>
      <c r="DUY18"/>
      <c r="DUZ18"/>
      <c r="DVA18"/>
      <c r="DVB18"/>
      <c r="DVC18"/>
      <c r="DVD18"/>
      <c r="DVE18"/>
      <c r="DVF18"/>
      <c r="DVG18"/>
      <c r="DVH18"/>
      <c r="DVI18"/>
      <c r="DVJ18"/>
      <c r="DVK18"/>
      <c r="DVL18"/>
      <c r="DVM18"/>
      <c r="DVN18"/>
      <c r="DVO18"/>
      <c r="DVP18"/>
      <c r="DVQ18"/>
      <c r="DVR18"/>
      <c r="DVS18"/>
      <c r="DVT18"/>
      <c r="DVU18"/>
      <c r="DVV18"/>
      <c r="DVW18"/>
      <c r="DVX18"/>
      <c r="DVY18"/>
      <c r="DVZ18"/>
      <c r="DWA18"/>
      <c r="DWB18"/>
      <c r="DWC18"/>
      <c r="DWD18"/>
      <c r="DWE18"/>
      <c r="DWF18"/>
      <c r="DWG18"/>
      <c r="DWH18"/>
      <c r="DWI18"/>
      <c r="DWJ18"/>
      <c r="DWK18"/>
      <c r="DWL18"/>
      <c r="DWM18"/>
      <c r="DWN18"/>
      <c r="DWO18"/>
      <c r="DWP18"/>
      <c r="DWQ18"/>
      <c r="DWR18"/>
      <c r="DWS18"/>
      <c r="DWT18"/>
      <c r="DWU18"/>
      <c r="DWV18"/>
      <c r="DWW18"/>
      <c r="DWX18"/>
      <c r="DWY18"/>
      <c r="DWZ18"/>
      <c r="DXA18"/>
      <c r="DXB18"/>
      <c r="DXC18"/>
      <c r="DXD18"/>
      <c r="DXE18"/>
      <c r="DXF18"/>
      <c r="DXG18"/>
      <c r="DXH18"/>
      <c r="DXI18"/>
      <c r="DXJ18"/>
      <c r="DXK18"/>
      <c r="DXL18"/>
      <c r="DXM18"/>
      <c r="DXN18"/>
      <c r="DXO18"/>
      <c r="DXP18"/>
      <c r="DXQ18"/>
      <c r="DXR18"/>
      <c r="DXS18"/>
      <c r="DXT18"/>
      <c r="DXU18"/>
      <c r="DXV18"/>
      <c r="DXW18"/>
      <c r="DXX18"/>
      <c r="DXY18"/>
      <c r="DXZ18"/>
      <c r="DYA18"/>
      <c r="DYB18"/>
      <c r="DYC18"/>
      <c r="DYD18"/>
      <c r="DYE18"/>
      <c r="DYF18"/>
      <c r="DYG18"/>
      <c r="DYH18"/>
      <c r="DYI18"/>
      <c r="DYJ18"/>
      <c r="DYK18"/>
      <c r="DYL18"/>
      <c r="DYM18"/>
      <c r="DYN18"/>
      <c r="DYO18"/>
      <c r="DYP18"/>
      <c r="DYQ18"/>
      <c r="DYR18"/>
      <c r="DYS18"/>
      <c r="DYT18"/>
      <c r="DYU18"/>
      <c r="DYV18"/>
      <c r="DYW18"/>
      <c r="DYX18"/>
      <c r="DYY18"/>
      <c r="DYZ18"/>
      <c r="DZA18"/>
      <c r="DZB18"/>
      <c r="DZC18"/>
      <c r="DZD18"/>
      <c r="DZE18"/>
      <c r="DZF18"/>
      <c r="DZG18"/>
      <c r="DZH18"/>
      <c r="DZI18"/>
      <c r="DZJ18"/>
      <c r="DZK18"/>
      <c r="DZL18"/>
      <c r="DZM18"/>
      <c r="DZN18"/>
      <c r="DZO18"/>
      <c r="DZP18"/>
      <c r="DZQ18"/>
      <c r="DZR18"/>
      <c r="DZS18"/>
      <c r="DZT18"/>
      <c r="DZU18"/>
      <c r="DZV18"/>
      <c r="DZW18"/>
      <c r="DZX18"/>
      <c r="DZY18"/>
      <c r="DZZ18"/>
      <c r="EAA18"/>
      <c r="EAB18"/>
      <c r="EAC18"/>
      <c r="EAD18"/>
      <c r="EAE18"/>
      <c r="EAF18"/>
      <c r="EAG18"/>
      <c r="EAH18"/>
      <c r="EAI18"/>
      <c r="EAJ18"/>
      <c r="EAK18"/>
      <c r="EAL18"/>
      <c r="EAM18"/>
      <c r="EAN18"/>
      <c r="EAO18"/>
      <c r="EAP18"/>
      <c r="EAQ18"/>
      <c r="EAR18"/>
      <c r="EAS18"/>
      <c r="EAT18"/>
      <c r="EAU18"/>
      <c r="EAV18"/>
      <c r="EAW18"/>
      <c r="EAX18"/>
      <c r="EAY18"/>
      <c r="EAZ18"/>
      <c r="EBA18"/>
      <c r="EBB18"/>
      <c r="EBC18"/>
      <c r="EBD18"/>
      <c r="EBE18"/>
      <c r="EBF18"/>
      <c r="EBG18"/>
      <c r="EBH18"/>
      <c r="EBI18"/>
      <c r="EBJ18"/>
      <c r="EBK18"/>
      <c r="EBL18"/>
      <c r="EBM18"/>
      <c r="EBN18"/>
      <c r="EBO18"/>
      <c r="EBP18"/>
      <c r="EBQ18"/>
      <c r="EBR18"/>
      <c r="EBS18"/>
      <c r="EBT18"/>
      <c r="EBU18"/>
      <c r="EBV18"/>
      <c r="EBW18"/>
      <c r="EBX18"/>
      <c r="EBY18"/>
      <c r="EBZ18"/>
      <c r="ECA18"/>
      <c r="ECB18"/>
      <c r="ECC18"/>
      <c r="ECD18"/>
      <c r="ECE18"/>
      <c r="ECF18"/>
      <c r="ECG18"/>
      <c r="ECH18"/>
      <c r="ECI18"/>
      <c r="ECJ18"/>
      <c r="ECK18"/>
      <c r="ECL18"/>
      <c r="ECM18"/>
      <c r="ECN18"/>
      <c r="ECO18"/>
      <c r="ECP18"/>
      <c r="ECQ18"/>
      <c r="ECR18"/>
      <c r="ECS18"/>
      <c r="ECT18"/>
      <c r="ECU18"/>
      <c r="ECV18"/>
      <c r="ECW18"/>
      <c r="ECX18"/>
      <c r="ECY18"/>
      <c r="ECZ18"/>
      <c r="EDA18"/>
      <c r="EDB18"/>
      <c r="EDC18"/>
      <c r="EDD18"/>
      <c r="EDE18"/>
      <c r="EDF18"/>
      <c r="EDG18"/>
      <c r="EDH18"/>
      <c r="EDI18"/>
      <c r="EDJ18"/>
      <c r="EDK18"/>
      <c r="EDL18"/>
      <c r="EDM18"/>
      <c r="EDN18"/>
      <c r="EDO18"/>
      <c r="EDP18"/>
      <c r="EDQ18"/>
      <c r="EDR18"/>
      <c r="EDS18"/>
      <c r="EDT18"/>
      <c r="EDU18"/>
      <c r="EDV18"/>
      <c r="EDW18"/>
      <c r="EDX18"/>
      <c r="EDY18"/>
      <c r="EDZ18"/>
      <c r="EEA18"/>
      <c r="EEB18"/>
      <c r="EEC18"/>
      <c r="EED18"/>
      <c r="EEE18"/>
      <c r="EEF18"/>
      <c r="EEG18"/>
      <c r="EEH18"/>
      <c r="EEI18"/>
      <c r="EEJ18"/>
      <c r="EEK18"/>
      <c r="EEL18"/>
      <c r="EEM18"/>
      <c r="EEN18"/>
      <c r="EEO18"/>
      <c r="EEP18"/>
      <c r="EEQ18"/>
      <c r="EER18"/>
      <c r="EES18"/>
      <c r="EET18"/>
      <c r="EEU18"/>
      <c r="EEV18"/>
      <c r="EEW18"/>
      <c r="EEX18"/>
      <c r="EEY18"/>
      <c r="EEZ18"/>
      <c r="EFA18"/>
      <c r="EFB18"/>
      <c r="EFC18"/>
      <c r="EFD18"/>
      <c r="EFE18"/>
      <c r="EFF18"/>
      <c r="EFG18"/>
      <c r="EFH18"/>
      <c r="EFI18"/>
      <c r="EFJ18"/>
      <c r="EFK18"/>
      <c r="EFL18"/>
      <c r="EFM18"/>
      <c r="EFN18"/>
      <c r="EFO18"/>
      <c r="EFP18"/>
      <c r="EFQ18"/>
      <c r="EFR18"/>
      <c r="EFS18"/>
      <c r="EFT18"/>
      <c r="EFU18"/>
      <c r="EFV18"/>
      <c r="EFW18"/>
      <c r="EFX18"/>
      <c r="EFY18"/>
      <c r="EFZ18"/>
      <c r="EGA18"/>
      <c r="EGB18"/>
      <c r="EGC18"/>
      <c r="EGD18"/>
      <c r="EGE18"/>
      <c r="EGF18"/>
      <c r="EGG18"/>
      <c r="EGH18"/>
      <c r="EGI18"/>
      <c r="EGJ18"/>
      <c r="EGK18"/>
      <c r="EGL18"/>
      <c r="EGM18"/>
      <c r="EGN18"/>
      <c r="EGO18"/>
      <c r="EGP18"/>
      <c r="EGQ18"/>
      <c r="EGR18"/>
      <c r="EGS18"/>
      <c r="EGT18"/>
      <c r="EGU18"/>
      <c r="EGV18"/>
      <c r="EGW18"/>
      <c r="EGX18"/>
      <c r="EGY18"/>
      <c r="EGZ18"/>
      <c r="EHA18"/>
      <c r="EHB18"/>
      <c r="EHC18"/>
      <c r="EHD18"/>
      <c r="EHE18"/>
      <c r="EHF18"/>
      <c r="EHG18"/>
      <c r="EHH18"/>
      <c r="EHI18"/>
      <c r="EHJ18"/>
      <c r="EHK18"/>
      <c r="EHL18"/>
      <c r="EHM18"/>
      <c r="EHN18"/>
      <c r="EHO18"/>
      <c r="EHP18"/>
      <c r="EHQ18"/>
      <c r="EHR18"/>
      <c r="EHS18"/>
      <c r="EHT18"/>
      <c r="EHU18"/>
      <c r="EHV18"/>
      <c r="EHW18"/>
      <c r="EHX18"/>
      <c r="EHY18"/>
      <c r="EHZ18"/>
      <c r="EIA18"/>
      <c r="EIB18"/>
      <c r="EIC18"/>
      <c r="EID18"/>
      <c r="EIE18"/>
      <c r="EIF18"/>
      <c r="EIG18"/>
      <c r="EIH18"/>
      <c r="EII18"/>
      <c r="EIJ18"/>
      <c r="EIK18"/>
      <c r="EIL18"/>
      <c r="EIM18"/>
      <c r="EIN18"/>
      <c r="EIO18"/>
      <c r="EIP18"/>
      <c r="EIQ18"/>
      <c r="EIR18"/>
      <c r="EIS18"/>
      <c r="EIT18"/>
      <c r="EIU18"/>
      <c r="EIV18"/>
      <c r="EIW18"/>
      <c r="EIX18"/>
      <c r="EIY18"/>
      <c r="EIZ18"/>
      <c r="EJA18"/>
      <c r="EJB18"/>
      <c r="EJC18"/>
      <c r="EJD18"/>
      <c r="EJE18"/>
      <c r="EJF18"/>
      <c r="EJG18"/>
      <c r="EJH18"/>
      <c r="EJI18"/>
      <c r="EJJ18"/>
      <c r="EJK18"/>
      <c r="EJL18"/>
      <c r="EJM18"/>
      <c r="EJN18"/>
      <c r="EJO18"/>
      <c r="EJP18"/>
      <c r="EJQ18"/>
      <c r="EJR18"/>
      <c r="EJS18"/>
      <c r="EJT18"/>
      <c r="EJU18"/>
      <c r="EJV18"/>
      <c r="EJW18"/>
      <c r="EJX18"/>
      <c r="EJY18"/>
      <c r="EJZ18"/>
      <c r="EKA18"/>
      <c r="EKB18"/>
      <c r="EKC18"/>
      <c r="EKD18"/>
      <c r="EKE18"/>
      <c r="EKF18"/>
      <c r="EKG18"/>
      <c r="EKH18"/>
      <c r="EKI18"/>
      <c r="EKJ18"/>
      <c r="EKK18"/>
      <c r="EKL18"/>
      <c r="EKM18"/>
      <c r="EKN18"/>
      <c r="EKO18"/>
      <c r="EKP18"/>
      <c r="EKQ18"/>
      <c r="EKR18"/>
      <c r="EKS18"/>
      <c r="EKT18"/>
      <c r="EKU18"/>
      <c r="EKV18"/>
      <c r="EKW18"/>
      <c r="EKX18"/>
      <c r="EKY18"/>
      <c r="EKZ18"/>
      <c r="ELA18"/>
      <c r="ELB18"/>
      <c r="ELC18"/>
      <c r="ELD18"/>
      <c r="ELE18"/>
      <c r="ELF18"/>
      <c r="ELG18"/>
      <c r="ELH18"/>
      <c r="ELI18"/>
      <c r="ELJ18"/>
      <c r="ELK18"/>
      <c r="ELL18"/>
      <c r="ELM18"/>
      <c r="ELN18"/>
      <c r="ELO18"/>
      <c r="ELP18"/>
      <c r="ELQ18"/>
      <c r="ELR18"/>
      <c r="ELS18"/>
      <c r="ELT18"/>
      <c r="ELU18"/>
      <c r="ELV18"/>
      <c r="ELW18"/>
      <c r="ELX18"/>
      <c r="ELY18"/>
      <c r="ELZ18"/>
      <c r="EMA18"/>
      <c r="EMB18"/>
      <c r="EMC18"/>
      <c r="EMD18"/>
      <c r="EME18"/>
      <c r="EMF18"/>
      <c r="EMG18"/>
      <c r="EMH18"/>
      <c r="EMI18"/>
      <c r="EMJ18"/>
      <c r="EMK18"/>
      <c r="EML18"/>
      <c r="EMM18"/>
      <c r="EMN18"/>
      <c r="EMO18"/>
      <c r="EMP18"/>
      <c r="EMQ18"/>
      <c r="EMR18"/>
      <c r="EMS18"/>
      <c r="EMT18"/>
      <c r="EMU18"/>
      <c r="EMV18"/>
      <c r="EMW18"/>
      <c r="EMX18"/>
      <c r="EMY18"/>
      <c r="EMZ18"/>
      <c r="ENA18"/>
      <c r="ENB18"/>
      <c r="ENC18"/>
      <c r="END18"/>
      <c r="ENE18"/>
      <c r="ENF18"/>
      <c r="ENG18"/>
      <c r="ENH18"/>
      <c r="ENI18"/>
      <c r="ENJ18"/>
      <c r="ENK18"/>
      <c r="ENL18"/>
      <c r="ENM18"/>
      <c r="ENN18"/>
      <c r="ENO18"/>
      <c r="ENP18"/>
      <c r="ENQ18"/>
      <c r="ENR18"/>
      <c r="ENS18"/>
      <c r="ENT18"/>
      <c r="ENU18"/>
      <c r="ENV18"/>
      <c r="ENW18"/>
      <c r="ENX18"/>
      <c r="ENY18"/>
      <c r="ENZ18"/>
      <c r="EOA18"/>
      <c r="EOB18"/>
      <c r="EOC18"/>
      <c r="EOD18"/>
      <c r="EOE18"/>
      <c r="EOF18"/>
      <c r="EOG18"/>
      <c r="EOH18"/>
      <c r="EOI18"/>
      <c r="EOJ18"/>
      <c r="EOK18"/>
      <c r="EOL18"/>
      <c r="EOM18"/>
      <c r="EON18"/>
      <c r="EOO18"/>
      <c r="EOP18"/>
      <c r="EOQ18"/>
      <c r="EOR18"/>
      <c r="EOS18"/>
      <c r="EOT18"/>
      <c r="EOU18"/>
      <c r="EOV18"/>
      <c r="EOW18"/>
      <c r="EOX18"/>
      <c r="EOY18"/>
      <c r="EOZ18"/>
      <c r="EPA18"/>
      <c r="EPB18"/>
      <c r="EPC18"/>
      <c r="EPD18"/>
      <c r="EPE18"/>
      <c r="EPF18"/>
      <c r="EPG18"/>
      <c r="EPH18"/>
      <c r="EPI18"/>
      <c r="EPJ18"/>
      <c r="EPK18"/>
      <c r="EPL18"/>
      <c r="EPM18"/>
      <c r="EPN18"/>
      <c r="EPO18"/>
      <c r="EPP18"/>
      <c r="EPQ18"/>
      <c r="EPR18"/>
      <c r="EPS18"/>
      <c r="EPT18"/>
      <c r="EPU18"/>
      <c r="EPV18"/>
      <c r="EPW18"/>
      <c r="EPX18"/>
      <c r="EPY18"/>
      <c r="EPZ18"/>
      <c r="EQA18"/>
      <c r="EQB18"/>
      <c r="EQC18"/>
      <c r="EQD18"/>
      <c r="EQE18"/>
      <c r="EQF18"/>
      <c r="EQG18"/>
      <c r="EQH18"/>
      <c r="EQI18"/>
      <c r="EQJ18"/>
      <c r="EQK18"/>
      <c r="EQL18"/>
      <c r="EQM18"/>
      <c r="EQN18"/>
      <c r="EQO18"/>
      <c r="EQP18"/>
      <c r="EQQ18"/>
      <c r="EQR18"/>
      <c r="EQS18"/>
      <c r="EQT18"/>
      <c r="EQU18"/>
      <c r="EQV18"/>
      <c r="EQW18"/>
      <c r="EQX18"/>
      <c r="EQY18"/>
      <c r="EQZ18"/>
      <c r="ERA18"/>
      <c r="ERB18"/>
      <c r="ERC18"/>
      <c r="ERD18"/>
      <c r="ERE18"/>
      <c r="ERF18"/>
      <c r="ERG18"/>
      <c r="ERH18"/>
      <c r="ERI18"/>
      <c r="ERJ18"/>
      <c r="ERK18"/>
      <c r="ERL18"/>
      <c r="ERM18"/>
      <c r="ERN18"/>
      <c r="ERO18"/>
      <c r="ERP18"/>
      <c r="ERQ18"/>
      <c r="ERR18"/>
      <c r="ERS18"/>
      <c r="ERT18"/>
      <c r="ERU18"/>
      <c r="ERV18"/>
      <c r="ERW18"/>
      <c r="ERX18"/>
      <c r="ERY18"/>
      <c r="ERZ18"/>
      <c r="ESA18"/>
      <c r="ESB18"/>
      <c r="ESC18"/>
      <c r="ESD18"/>
      <c r="ESE18"/>
      <c r="ESF18"/>
      <c r="ESG18"/>
      <c r="ESH18"/>
      <c r="ESI18"/>
      <c r="ESJ18"/>
      <c r="ESK18"/>
      <c r="ESL18"/>
      <c r="ESM18"/>
      <c r="ESN18"/>
      <c r="ESO18"/>
      <c r="ESP18"/>
      <c r="ESQ18"/>
      <c r="ESR18"/>
      <c r="ESS18"/>
      <c r="EST18"/>
      <c r="ESU18"/>
      <c r="ESV18"/>
      <c r="ESW18"/>
      <c r="ESX18"/>
      <c r="ESY18"/>
      <c r="ESZ18"/>
      <c r="ETA18"/>
      <c r="ETB18"/>
      <c r="ETC18"/>
      <c r="ETD18"/>
      <c r="ETE18"/>
      <c r="ETF18"/>
      <c r="ETG18"/>
      <c r="ETH18"/>
      <c r="ETI18"/>
      <c r="ETJ18"/>
      <c r="ETK18"/>
      <c r="ETL18"/>
      <c r="ETM18"/>
      <c r="ETN18"/>
      <c r="ETO18"/>
      <c r="ETP18"/>
      <c r="ETQ18"/>
      <c r="ETR18"/>
      <c r="ETS18"/>
      <c r="ETT18"/>
      <c r="ETU18"/>
      <c r="ETV18"/>
      <c r="ETW18"/>
      <c r="ETX18"/>
      <c r="ETY18"/>
      <c r="ETZ18"/>
      <c r="EUA18"/>
      <c r="EUB18"/>
      <c r="EUC18"/>
      <c r="EUD18"/>
      <c r="EUE18"/>
      <c r="EUF18"/>
      <c r="EUG18"/>
      <c r="EUH18"/>
      <c r="EUI18"/>
      <c r="EUJ18"/>
      <c r="EUK18"/>
      <c r="EUL18"/>
      <c r="EUM18"/>
      <c r="EUN18"/>
      <c r="EUO18"/>
      <c r="EUP18"/>
      <c r="EUQ18"/>
      <c r="EUR18"/>
      <c r="EUS18"/>
      <c r="EUT18"/>
      <c r="EUU18"/>
      <c r="EUV18"/>
      <c r="EUW18"/>
      <c r="EUX18"/>
      <c r="EUY18"/>
      <c r="EUZ18"/>
      <c r="EVA18"/>
      <c r="EVB18"/>
      <c r="EVC18"/>
      <c r="EVD18"/>
      <c r="EVE18"/>
      <c r="EVF18"/>
      <c r="EVG18"/>
      <c r="EVH18"/>
      <c r="EVI18"/>
      <c r="EVJ18"/>
      <c r="EVK18"/>
      <c r="EVL18"/>
      <c r="EVM18"/>
      <c r="EVN18"/>
      <c r="EVO18"/>
      <c r="EVP18"/>
      <c r="EVQ18"/>
      <c r="EVR18"/>
      <c r="EVS18"/>
      <c r="EVT18"/>
      <c r="EVU18"/>
      <c r="EVV18"/>
      <c r="EVW18"/>
      <c r="EVX18"/>
      <c r="EVY18"/>
      <c r="EVZ18"/>
      <c r="EWA18"/>
      <c r="EWB18"/>
      <c r="EWC18"/>
      <c r="EWD18"/>
      <c r="EWE18"/>
      <c r="EWF18"/>
      <c r="EWG18"/>
      <c r="EWH18"/>
      <c r="EWI18"/>
      <c r="EWJ18"/>
      <c r="EWK18"/>
      <c r="EWL18"/>
      <c r="EWM18"/>
      <c r="EWN18"/>
      <c r="EWO18"/>
      <c r="EWP18"/>
      <c r="EWQ18"/>
      <c r="EWR18"/>
      <c r="EWS18"/>
      <c r="EWT18"/>
      <c r="EWU18"/>
      <c r="EWV18"/>
      <c r="EWW18"/>
      <c r="EWX18"/>
      <c r="EWY18"/>
      <c r="EWZ18"/>
      <c r="EXA18"/>
      <c r="EXB18"/>
      <c r="EXC18"/>
      <c r="EXD18"/>
      <c r="EXE18"/>
      <c r="EXF18"/>
      <c r="EXG18"/>
      <c r="EXH18"/>
      <c r="EXI18"/>
      <c r="EXJ18"/>
      <c r="EXK18"/>
      <c r="EXL18"/>
      <c r="EXM18"/>
      <c r="EXN18"/>
      <c r="EXO18"/>
      <c r="EXP18"/>
      <c r="EXQ18"/>
      <c r="EXR18"/>
      <c r="EXS18"/>
      <c r="EXT18"/>
      <c r="EXU18"/>
      <c r="EXV18"/>
      <c r="EXW18"/>
      <c r="EXX18"/>
      <c r="EXY18"/>
      <c r="EXZ18"/>
      <c r="EYA18"/>
      <c r="EYB18"/>
      <c r="EYC18"/>
      <c r="EYD18"/>
      <c r="EYE18"/>
      <c r="EYF18"/>
      <c r="EYG18"/>
      <c r="EYH18"/>
      <c r="EYI18"/>
      <c r="EYJ18"/>
      <c r="EYK18"/>
      <c r="EYL18"/>
      <c r="EYM18"/>
      <c r="EYN18"/>
      <c r="EYO18"/>
      <c r="EYP18"/>
      <c r="EYQ18"/>
      <c r="EYR18"/>
      <c r="EYS18"/>
      <c r="EYT18"/>
      <c r="EYU18"/>
      <c r="EYV18"/>
      <c r="EYW18"/>
      <c r="EYX18"/>
      <c r="EYY18"/>
      <c r="EYZ18"/>
      <c r="EZA18"/>
      <c r="EZB18"/>
      <c r="EZC18"/>
      <c r="EZD18"/>
      <c r="EZE18"/>
      <c r="EZF18"/>
      <c r="EZG18"/>
      <c r="EZH18"/>
      <c r="EZI18"/>
      <c r="EZJ18"/>
      <c r="EZK18"/>
      <c r="EZL18"/>
      <c r="EZM18"/>
      <c r="EZN18"/>
      <c r="EZO18"/>
      <c r="EZP18"/>
      <c r="EZQ18"/>
      <c r="EZR18"/>
      <c r="EZS18"/>
      <c r="EZT18"/>
      <c r="EZU18"/>
      <c r="EZV18"/>
      <c r="EZW18"/>
      <c r="EZX18"/>
      <c r="EZY18"/>
      <c r="EZZ18"/>
      <c r="FAA18"/>
      <c r="FAB18"/>
      <c r="FAC18"/>
      <c r="FAD18"/>
      <c r="FAE18"/>
      <c r="FAF18"/>
      <c r="FAG18"/>
      <c r="FAH18"/>
      <c r="FAI18"/>
      <c r="FAJ18"/>
      <c r="FAK18"/>
      <c r="FAL18"/>
      <c r="FAM18"/>
      <c r="FAN18"/>
      <c r="FAO18"/>
      <c r="FAP18"/>
      <c r="FAQ18"/>
      <c r="FAR18"/>
      <c r="FAS18"/>
      <c r="FAT18"/>
      <c r="FAU18"/>
      <c r="FAV18"/>
      <c r="FAW18"/>
      <c r="FAX18"/>
      <c r="FAY18"/>
      <c r="FAZ18"/>
      <c r="FBA18"/>
      <c r="FBB18"/>
      <c r="FBC18"/>
      <c r="FBD18"/>
      <c r="FBE18"/>
      <c r="FBF18"/>
      <c r="FBG18"/>
      <c r="FBH18"/>
      <c r="FBI18"/>
      <c r="FBJ18"/>
      <c r="FBK18"/>
      <c r="FBL18"/>
      <c r="FBM18"/>
      <c r="FBN18"/>
      <c r="FBO18"/>
      <c r="FBP18"/>
      <c r="FBQ18"/>
      <c r="FBR18"/>
      <c r="FBS18"/>
      <c r="FBT18"/>
      <c r="FBU18"/>
      <c r="FBV18"/>
      <c r="FBW18"/>
      <c r="FBX18"/>
      <c r="FBY18"/>
      <c r="FBZ18"/>
      <c r="FCA18"/>
      <c r="FCB18"/>
      <c r="FCC18"/>
      <c r="FCD18"/>
      <c r="FCE18"/>
      <c r="FCF18"/>
      <c r="FCG18"/>
      <c r="FCH18"/>
      <c r="FCI18"/>
      <c r="FCJ18"/>
      <c r="FCK18"/>
      <c r="FCL18"/>
      <c r="FCM18"/>
      <c r="FCN18"/>
      <c r="FCO18"/>
      <c r="FCP18"/>
      <c r="FCQ18"/>
      <c r="FCR18"/>
      <c r="FCS18"/>
      <c r="FCT18"/>
      <c r="FCU18"/>
      <c r="FCV18"/>
      <c r="FCW18"/>
      <c r="FCX18"/>
      <c r="FCY18"/>
      <c r="FCZ18"/>
      <c r="FDA18"/>
      <c r="FDB18"/>
      <c r="FDC18"/>
      <c r="FDD18"/>
      <c r="FDE18"/>
      <c r="FDF18"/>
      <c r="FDG18"/>
      <c r="FDH18"/>
      <c r="FDI18"/>
      <c r="FDJ18"/>
      <c r="FDK18"/>
      <c r="FDL18"/>
      <c r="FDM18"/>
      <c r="FDN18"/>
      <c r="FDO18"/>
      <c r="FDP18"/>
      <c r="FDQ18"/>
      <c r="FDR18"/>
      <c r="FDS18"/>
      <c r="FDT18"/>
      <c r="FDU18"/>
      <c r="FDV18"/>
      <c r="FDW18"/>
      <c r="FDX18"/>
      <c r="FDY18"/>
      <c r="FDZ18"/>
      <c r="FEA18"/>
      <c r="FEB18"/>
      <c r="FEC18"/>
      <c r="FED18"/>
      <c r="FEE18"/>
      <c r="FEF18"/>
      <c r="FEG18"/>
      <c r="FEH18"/>
      <c r="FEI18"/>
      <c r="FEJ18"/>
      <c r="FEK18"/>
      <c r="FEL18"/>
      <c r="FEM18"/>
      <c r="FEN18"/>
      <c r="FEO18"/>
      <c r="FEP18"/>
      <c r="FEQ18"/>
      <c r="FER18"/>
      <c r="FES18"/>
      <c r="FET18"/>
      <c r="FEU18"/>
      <c r="FEV18"/>
      <c r="FEW18"/>
      <c r="FEX18"/>
      <c r="FEY18"/>
      <c r="FEZ18"/>
      <c r="FFA18"/>
      <c r="FFB18"/>
      <c r="FFC18"/>
      <c r="FFD18"/>
      <c r="FFE18"/>
      <c r="FFF18"/>
      <c r="FFG18"/>
      <c r="FFH18"/>
      <c r="FFI18"/>
      <c r="FFJ18"/>
      <c r="FFK18"/>
      <c r="FFL18"/>
      <c r="FFM18"/>
      <c r="FFN18"/>
      <c r="FFO18"/>
      <c r="FFP18"/>
      <c r="FFQ18"/>
      <c r="FFR18"/>
      <c r="FFS18"/>
      <c r="FFT18"/>
      <c r="FFU18"/>
      <c r="FFV18"/>
      <c r="FFW18"/>
      <c r="FFX18"/>
      <c r="FFY18"/>
      <c r="FFZ18"/>
      <c r="FGA18"/>
      <c r="FGB18"/>
      <c r="FGC18"/>
      <c r="FGD18"/>
      <c r="FGE18"/>
      <c r="FGF18"/>
      <c r="FGG18"/>
      <c r="FGH18"/>
      <c r="FGI18"/>
      <c r="FGJ18"/>
      <c r="FGK18"/>
      <c r="FGL18"/>
      <c r="FGM18"/>
      <c r="FGN18"/>
      <c r="FGO18"/>
      <c r="FGP18"/>
      <c r="FGQ18"/>
      <c r="FGR18"/>
      <c r="FGS18"/>
      <c r="FGT18"/>
      <c r="FGU18"/>
      <c r="FGV18"/>
      <c r="FGW18"/>
      <c r="FGX18"/>
      <c r="FGY18"/>
      <c r="FGZ18"/>
      <c r="FHA18"/>
      <c r="FHB18"/>
      <c r="FHC18"/>
      <c r="FHD18"/>
      <c r="FHE18"/>
      <c r="FHF18"/>
      <c r="FHG18"/>
      <c r="FHH18"/>
      <c r="FHI18"/>
      <c r="FHJ18"/>
      <c r="FHK18"/>
      <c r="FHL18"/>
      <c r="FHM18"/>
      <c r="FHN18"/>
      <c r="FHO18"/>
      <c r="FHP18"/>
      <c r="FHQ18"/>
      <c r="FHR18"/>
      <c r="FHS18"/>
      <c r="FHT18"/>
      <c r="FHU18"/>
      <c r="FHV18"/>
      <c r="FHW18"/>
      <c r="FHX18"/>
      <c r="FHY18"/>
      <c r="FHZ18"/>
      <c r="FIA18"/>
      <c r="FIB18"/>
      <c r="FIC18"/>
      <c r="FID18"/>
      <c r="FIE18"/>
      <c r="FIF18"/>
      <c r="FIG18"/>
      <c r="FIH18"/>
      <c r="FII18"/>
      <c r="FIJ18"/>
      <c r="FIK18"/>
      <c r="FIL18"/>
      <c r="FIM18"/>
      <c r="FIN18"/>
      <c r="FIO18"/>
      <c r="FIP18"/>
      <c r="FIQ18"/>
      <c r="FIR18"/>
      <c r="FIS18"/>
      <c r="FIT18"/>
      <c r="FIU18"/>
      <c r="FIV18"/>
      <c r="FIW18"/>
      <c r="FIX18"/>
      <c r="FIY18"/>
      <c r="FIZ18"/>
      <c r="FJA18"/>
      <c r="FJB18"/>
      <c r="FJC18"/>
      <c r="FJD18"/>
      <c r="FJE18"/>
      <c r="FJF18"/>
      <c r="FJG18"/>
      <c r="FJH18"/>
      <c r="FJI18"/>
      <c r="FJJ18"/>
      <c r="FJK18"/>
      <c r="FJL18"/>
      <c r="FJM18"/>
      <c r="FJN18"/>
      <c r="FJO18"/>
      <c r="FJP18"/>
      <c r="FJQ18"/>
      <c r="FJR18"/>
      <c r="FJS18"/>
      <c r="FJT18"/>
      <c r="FJU18"/>
      <c r="FJV18"/>
      <c r="FJW18"/>
      <c r="FJX18"/>
      <c r="FJY18"/>
      <c r="FJZ18"/>
      <c r="FKA18"/>
      <c r="FKB18"/>
      <c r="FKC18"/>
      <c r="FKD18"/>
      <c r="FKE18"/>
      <c r="FKF18"/>
      <c r="FKG18"/>
      <c r="FKH18"/>
      <c r="FKI18"/>
      <c r="FKJ18"/>
      <c r="FKK18"/>
      <c r="FKL18"/>
      <c r="FKM18"/>
      <c r="FKN18"/>
      <c r="FKO18"/>
      <c r="FKP18"/>
      <c r="FKQ18"/>
      <c r="FKR18"/>
      <c r="FKS18"/>
      <c r="FKT18"/>
      <c r="FKU18"/>
      <c r="FKV18"/>
      <c r="FKW18"/>
      <c r="FKX18"/>
      <c r="FKY18"/>
      <c r="FKZ18"/>
      <c r="FLA18"/>
      <c r="FLB18"/>
      <c r="FLC18"/>
      <c r="FLD18"/>
      <c r="FLE18"/>
      <c r="FLF18"/>
      <c r="FLG18"/>
      <c r="FLH18"/>
      <c r="FLI18"/>
      <c r="FLJ18"/>
      <c r="FLK18"/>
      <c r="FLL18"/>
      <c r="FLM18"/>
      <c r="FLN18"/>
      <c r="FLO18"/>
      <c r="FLP18"/>
      <c r="FLQ18"/>
      <c r="FLR18"/>
      <c r="FLS18"/>
      <c r="FLT18"/>
      <c r="FLU18"/>
      <c r="FLV18"/>
      <c r="FLW18"/>
      <c r="FLX18"/>
      <c r="FLY18"/>
      <c r="FLZ18"/>
      <c r="FMA18"/>
      <c r="FMB18"/>
      <c r="FMC18"/>
      <c r="FMD18"/>
      <c r="FME18"/>
      <c r="FMF18"/>
      <c r="FMG18"/>
      <c r="FMH18"/>
      <c r="FMI18"/>
      <c r="FMJ18"/>
      <c r="FMK18"/>
      <c r="FML18"/>
      <c r="FMM18"/>
      <c r="FMN18"/>
      <c r="FMO18"/>
      <c r="FMP18"/>
      <c r="FMQ18"/>
      <c r="FMR18"/>
      <c r="FMS18"/>
      <c r="FMT18"/>
      <c r="FMU18"/>
      <c r="FMV18"/>
      <c r="FMW18"/>
      <c r="FMX18"/>
      <c r="FMY18"/>
      <c r="FMZ18"/>
      <c r="FNA18"/>
      <c r="FNB18"/>
      <c r="FNC18"/>
      <c r="FND18"/>
      <c r="FNE18"/>
      <c r="FNF18"/>
      <c r="FNG18"/>
      <c r="FNH18"/>
      <c r="FNI18"/>
      <c r="FNJ18"/>
      <c r="FNK18"/>
      <c r="FNL18"/>
      <c r="FNM18"/>
      <c r="FNN18"/>
      <c r="FNO18"/>
      <c r="FNP18"/>
      <c r="FNQ18"/>
      <c r="FNR18"/>
      <c r="FNS18"/>
      <c r="FNT18"/>
      <c r="FNU18"/>
      <c r="FNV18"/>
      <c r="FNW18"/>
      <c r="FNX18"/>
      <c r="FNY18"/>
      <c r="FNZ18"/>
      <c r="FOA18"/>
      <c r="FOB18"/>
      <c r="FOC18"/>
      <c r="FOD18"/>
      <c r="FOE18"/>
      <c r="FOF18"/>
      <c r="FOG18"/>
      <c r="FOH18"/>
      <c r="FOI18"/>
      <c r="FOJ18"/>
      <c r="FOK18"/>
      <c r="FOL18"/>
      <c r="FOM18"/>
      <c r="FON18"/>
      <c r="FOO18"/>
      <c r="FOP18"/>
      <c r="FOQ18"/>
      <c r="FOR18"/>
      <c r="FOS18"/>
      <c r="FOT18"/>
      <c r="FOU18"/>
      <c r="FOV18"/>
      <c r="FOW18"/>
      <c r="FOX18"/>
      <c r="FOY18"/>
      <c r="FOZ18"/>
      <c r="FPA18"/>
      <c r="FPB18"/>
      <c r="FPC18"/>
      <c r="FPD18"/>
      <c r="FPE18"/>
      <c r="FPF18"/>
      <c r="FPG18"/>
      <c r="FPH18"/>
      <c r="FPI18"/>
      <c r="FPJ18"/>
      <c r="FPK18"/>
      <c r="FPL18"/>
      <c r="FPM18"/>
      <c r="FPN18"/>
      <c r="FPO18"/>
      <c r="FPP18"/>
      <c r="FPQ18"/>
      <c r="FPR18"/>
      <c r="FPS18"/>
      <c r="FPT18"/>
      <c r="FPU18"/>
      <c r="FPV18"/>
      <c r="FPW18"/>
      <c r="FPX18"/>
      <c r="FPY18"/>
      <c r="FPZ18"/>
      <c r="FQA18"/>
      <c r="FQB18"/>
      <c r="FQC18"/>
      <c r="FQD18"/>
      <c r="FQE18"/>
      <c r="FQF18"/>
      <c r="FQG18"/>
      <c r="FQH18"/>
      <c r="FQI18"/>
      <c r="FQJ18"/>
      <c r="FQK18"/>
      <c r="FQL18"/>
      <c r="FQM18"/>
      <c r="FQN18"/>
      <c r="FQO18"/>
      <c r="FQP18"/>
      <c r="FQQ18"/>
      <c r="FQR18"/>
      <c r="FQS18"/>
      <c r="FQT18"/>
      <c r="FQU18"/>
      <c r="FQV18"/>
      <c r="FQW18"/>
      <c r="FQX18"/>
      <c r="FQY18"/>
      <c r="FQZ18"/>
      <c r="FRA18"/>
      <c r="FRB18"/>
      <c r="FRC18"/>
      <c r="FRD18"/>
      <c r="FRE18"/>
      <c r="FRF18"/>
      <c r="FRG18"/>
      <c r="FRH18"/>
      <c r="FRI18"/>
      <c r="FRJ18"/>
      <c r="FRK18"/>
      <c r="FRL18"/>
      <c r="FRM18"/>
      <c r="FRN18"/>
      <c r="FRO18"/>
      <c r="FRP18"/>
      <c r="FRQ18"/>
      <c r="FRR18"/>
      <c r="FRS18"/>
      <c r="FRT18"/>
      <c r="FRU18"/>
      <c r="FRV18"/>
      <c r="FRW18"/>
      <c r="FRX18"/>
      <c r="FRY18"/>
      <c r="FRZ18"/>
      <c r="FSA18"/>
      <c r="FSB18"/>
      <c r="FSC18"/>
      <c r="FSD18"/>
      <c r="FSE18"/>
      <c r="FSF18"/>
      <c r="FSG18"/>
      <c r="FSH18"/>
      <c r="FSI18"/>
      <c r="FSJ18"/>
      <c r="FSK18"/>
      <c r="FSL18"/>
      <c r="FSM18"/>
      <c r="FSN18"/>
      <c r="FSO18"/>
      <c r="FSP18"/>
      <c r="FSQ18"/>
      <c r="FSR18"/>
      <c r="FSS18"/>
      <c r="FST18"/>
      <c r="FSU18"/>
      <c r="FSV18"/>
      <c r="FSW18"/>
      <c r="FSX18"/>
      <c r="FSY18"/>
      <c r="FSZ18"/>
      <c r="FTA18"/>
      <c r="FTB18"/>
      <c r="FTC18"/>
      <c r="FTD18"/>
      <c r="FTE18"/>
      <c r="FTF18"/>
      <c r="FTG18"/>
      <c r="FTH18"/>
      <c r="FTI18"/>
      <c r="FTJ18"/>
      <c r="FTK18"/>
      <c r="FTL18"/>
      <c r="FTM18"/>
      <c r="FTN18"/>
      <c r="FTO18"/>
      <c r="FTP18"/>
      <c r="FTQ18"/>
      <c r="FTR18"/>
      <c r="FTS18"/>
      <c r="FTT18"/>
      <c r="FTU18"/>
      <c r="FTV18"/>
      <c r="FTW18"/>
      <c r="FTX18"/>
      <c r="FTY18"/>
      <c r="FTZ18"/>
      <c r="FUA18"/>
      <c r="FUB18"/>
      <c r="FUC18"/>
      <c r="FUD18"/>
      <c r="FUE18"/>
      <c r="FUF18"/>
      <c r="FUG18"/>
      <c r="FUH18"/>
      <c r="FUI18"/>
      <c r="FUJ18"/>
      <c r="FUK18"/>
      <c r="FUL18"/>
      <c r="FUM18"/>
      <c r="FUN18"/>
      <c r="FUO18"/>
      <c r="FUP18"/>
      <c r="FUQ18"/>
      <c r="FUR18"/>
      <c r="FUS18"/>
      <c r="FUT18"/>
      <c r="FUU18"/>
      <c r="FUV18"/>
      <c r="FUW18"/>
      <c r="FUX18"/>
      <c r="FUY18"/>
      <c r="FUZ18"/>
      <c r="FVA18"/>
      <c r="FVB18"/>
      <c r="FVC18"/>
      <c r="FVD18"/>
      <c r="FVE18"/>
      <c r="FVF18"/>
      <c r="FVG18"/>
      <c r="FVH18"/>
      <c r="FVI18"/>
      <c r="FVJ18"/>
      <c r="FVK18"/>
      <c r="FVL18"/>
      <c r="FVM18"/>
      <c r="FVN18"/>
      <c r="FVO18"/>
      <c r="FVP18"/>
      <c r="FVQ18"/>
      <c r="FVR18"/>
      <c r="FVS18"/>
      <c r="FVT18"/>
      <c r="FVU18"/>
      <c r="FVV18"/>
      <c r="FVW18"/>
      <c r="FVX18"/>
      <c r="FVY18"/>
      <c r="FVZ18"/>
      <c r="FWA18"/>
      <c r="FWB18"/>
      <c r="FWC18"/>
      <c r="FWD18"/>
      <c r="FWE18"/>
      <c r="FWF18"/>
      <c r="FWG18"/>
      <c r="FWH18"/>
      <c r="FWI18"/>
      <c r="FWJ18"/>
      <c r="FWK18"/>
      <c r="FWL18"/>
      <c r="FWM18"/>
      <c r="FWN18"/>
      <c r="FWO18"/>
      <c r="FWP18"/>
      <c r="FWQ18"/>
      <c r="FWR18"/>
      <c r="FWS18"/>
      <c r="FWT18"/>
      <c r="FWU18"/>
      <c r="FWV18"/>
      <c r="FWW18"/>
      <c r="FWX18"/>
      <c r="FWY18"/>
      <c r="FWZ18"/>
      <c r="FXA18"/>
      <c r="FXB18"/>
      <c r="FXC18"/>
      <c r="FXD18"/>
      <c r="FXE18"/>
      <c r="FXF18"/>
      <c r="FXG18"/>
      <c r="FXH18"/>
      <c r="FXI18"/>
      <c r="FXJ18"/>
      <c r="FXK18"/>
      <c r="FXL18"/>
      <c r="FXM18"/>
      <c r="FXN18"/>
      <c r="FXO18"/>
      <c r="FXP18"/>
      <c r="FXQ18"/>
      <c r="FXR18"/>
      <c r="FXS18"/>
      <c r="FXT18"/>
      <c r="FXU18"/>
      <c r="FXV18"/>
      <c r="FXW18"/>
      <c r="FXX18"/>
      <c r="FXY18"/>
      <c r="FXZ18"/>
      <c r="FYA18"/>
      <c r="FYB18"/>
      <c r="FYC18"/>
      <c r="FYD18"/>
      <c r="FYE18"/>
      <c r="FYF18"/>
      <c r="FYG18"/>
      <c r="FYH18"/>
      <c r="FYI18"/>
      <c r="FYJ18"/>
      <c r="FYK18"/>
      <c r="FYL18"/>
      <c r="FYM18"/>
      <c r="FYN18"/>
      <c r="FYO18"/>
      <c r="FYP18"/>
      <c r="FYQ18"/>
      <c r="FYR18"/>
      <c r="FYS18"/>
      <c r="FYT18"/>
      <c r="FYU18"/>
      <c r="FYV18"/>
      <c r="FYW18"/>
      <c r="FYX18"/>
      <c r="FYY18"/>
      <c r="FYZ18"/>
      <c r="FZA18"/>
      <c r="FZB18"/>
      <c r="FZC18"/>
      <c r="FZD18"/>
      <c r="FZE18"/>
      <c r="FZF18"/>
      <c r="FZG18"/>
      <c r="FZH18"/>
      <c r="FZI18"/>
      <c r="FZJ18"/>
      <c r="FZK18"/>
      <c r="FZL18"/>
      <c r="FZM18"/>
      <c r="FZN18"/>
      <c r="FZO18"/>
      <c r="FZP18"/>
      <c r="FZQ18"/>
      <c r="FZR18"/>
      <c r="FZS18"/>
      <c r="FZT18"/>
      <c r="FZU18"/>
      <c r="FZV18"/>
      <c r="FZW18"/>
      <c r="FZX18"/>
      <c r="FZY18"/>
      <c r="FZZ18"/>
      <c r="GAA18"/>
      <c r="GAB18"/>
      <c r="GAC18"/>
      <c r="GAD18"/>
      <c r="GAE18"/>
      <c r="GAF18"/>
      <c r="GAG18"/>
      <c r="GAH18"/>
      <c r="GAI18"/>
      <c r="GAJ18"/>
      <c r="GAK18"/>
      <c r="GAL18"/>
      <c r="GAM18"/>
      <c r="GAN18"/>
      <c r="GAO18"/>
      <c r="GAP18"/>
      <c r="GAQ18"/>
      <c r="GAR18"/>
      <c r="GAS18"/>
      <c r="GAT18"/>
      <c r="GAU18"/>
      <c r="GAV18"/>
      <c r="GAW18"/>
      <c r="GAX18"/>
      <c r="GAY18"/>
      <c r="GAZ18"/>
      <c r="GBA18"/>
      <c r="GBB18"/>
      <c r="GBC18"/>
      <c r="GBD18"/>
      <c r="GBE18"/>
      <c r="GBF18"/>
      <c r="GBG18"/>
      <c r="GBH18"/>
      <c r="GBI18"/>
      <c r="GBJ18"/>
      <c r="GBK18"/>
      <c r="GBL18"/>
      <c r="GBM18"/>
      <c r="GBN18"/>
      <c r="GBO18"/>
      <c r="GBP18"/>
      <c r="GBQ18"/>
      <c r="GBR18"/>
      <c r="GBS18"/>
      <c r="GBT18"/>
      <c r="GBU18"/>
      <c r="GBV18"/>
      <c r="GBW18"/>
      <c r="GBX18"/>
      <c r="GBY18"/>
      <c r="GBZ18"/>
      <c r="GCA18"/>
      <c r="GCB18"/>
      <c r="GCC18"/>
      <c r="GCD18"/>
      <c r="GCE18"/>
      <c r="GCF18"/>
      <c r="GCG18"/>
      <c r="GCH18"/>
      <c r="GCI18"/>
      <c r="GCJ18"/>
      <c r="GCK18"/>
      <c r="GCL18"/>
      <c r="GCM18"/>
      <c r="GCN18"/>
      <c r="GCO18"/>
      <c r="GCP18"/>
      <c r="GCQ18"/>
      <c r="GCR18"/>
      <c r="GCS18"/>
      <c r="GCT18"/>
      <c r="GCU18"/>
      <c r="GCV18"/>
      <c r="GCW18"/>
      <c r="GCX18"/>
      <c r="GCY18"/>
      <c r="GCZ18"/>
      <c r="GDA18"/>
      <c r="GDB18"/>
      <c r="GDC18"/>
      <c r="GDD18"/>
      <c r="GDE18"/>
      <c r="GDF18"/>
      <c r="GDG18"/>
      <c r="GDH18"/>
      <c r="GDI18"/>
      <c r="GDJ18"/>
      <c r="GDK18"/>
      <c r="GDL18"/>
      <c r="GDM18"/>
      <c r="GDN18"/>
      <c r="GDO18"/>
      <c r="GDP18"/>
      <c r="GDQ18"/>
      <c r="GDR18"/>
      <c r="GDS18"/>
      <c r="GDT18"/>
      <c r="GDU18"/>
      <c r="GDV18"/>
      <c r="GDW18"/>
      <c r="GDX18"/>
      <c r="GDY18"/>
      <c r="GDZ18"/>
      <c r="GEA18"/>
      <c r="GEB18"/>
      <c r="GEC18"/>
      <c r="GED18"/>
      <c r="GEE18"/>
      <c r="GEF18"/>
      <c r="GEG18"/>
      <c r="GEH18"/>
      <c r="GEI18"/>
      <c r="GEJ18"/>
      <c r="GEK18"/>
      <c r="GEL18"/>
      <c r="GEM18"/>
      <c r="GEN18"/>
      <c r="GEO18"/>
      <c r="GEP18"/>
      <c r="GEQ18"/>
      <c r="GER18"/>
      <c r="GES18"/>
      <c r="GET18"/>
      <c r="GEU18"/>
      <c r="GEV18"/>
      <c r="GEW18"/>
      <c r="GEX18"/>
      <c r="GEY18"/>
      <c r="GEZ18"/>
      <c r="GFA18"/>
      <c r="GFB18"/>
      <c r="GFC18"/>
      <c r="GFD18"/>
      <c r="GFE18"/>
      <c r="GFF18"/>
      <c r="GFG18"/>
      <c r="GFH18"/>
      <c r="GFI18"/>
      <c r="GFJ18"/>
      <c r="GFK18"/>
      <c r="GFL18"/>
      <c r="GFM18"/>
      <c r="GFN18"/>
      <c r="GFO18"/>
      <c r="GFP18"/>
      <c r="GFQ18"/>
      <c r="GFR18"/>
      <c r="GFS18"/>
      <c r="GFT18"/>
      <c r="GFU18"/>
      <c r="GFV18"/>
      <c r="GFW18"/>
      <c r="GFX18"/>
      <c r="GFY18"/>
      <c r="GFZ18"/>
      <c r="GGA18"/>
      <c r="GGB18"/>
      <c r="GGC18"/>
      <c r="GGD18"/>
      <c r="GGE18"/>
      <c r="GGF18"/>
      <c r="GGG18"/>
      <c r="GGH18"/>
      <c r="GGI18"/>
      <c r="GGJ18"/>
      <c r="GGK18"/>
      <c r="GGL18"/>
      <c r="GGM18"/>
      <c r="GGN18"/>
      <c r="GGO18"/>
      <c r="GGP18"/>
      <c r="GGQ18"/>
      <c r="GGR18"/>
      <c r="GGS18"/>
      <c r="GGT18"/>
      <c r="GGU18"/>
      <c r="GGV18"/>
      <c r="GGW18"/>
      <c r="GGX18"/>
      <c r="GGY18"/>
      <c r="GGZ18"/>
      <c r="GHA18"/>
      <c r="GHB18"/>
      <c r="GHC18"/>
      <c r="GHD18"/>
      <c r="GHE18"/>
      <c r="GHF18"/>
      <c r="GHG18"/>
      <c r="GHH18"/>
      <c r="GHI18"/>
      <c r="GHJ18"/>
      <c r="GHK18"/>
      <c r="GHL18"/>
      <c r="GHM18"/>
      <c r="GHN18"/>
      <c r="GHO18"/>
      <c r="GHP18"/>
      <c r="GHQ18"/>
      <c r="GHR18"/>
      <c r="GHS18"/>
      <c r="GHT18"/>
      <c r="GHU18"/>
      <c r="GHV18"/>
      <c r="GHW18"/>
      <c r="GHX18"/>
      <c r="GHY18"/>
      <c r="GHZ18"/>
      <c r="GIA18"/>
      <c r="GIB18"/>
      <c r="GIC18"/>
      <c r="GID18"/>
      <c r="GIE18"/>
      <c r="GIF18"/>
      <c r="GIG18"/>
      <c r="GIH18"/>
      <c r="GII18"/>
      <c r="GIJ18"/>
      <c r="GIK18"/>
      <c r="GIL18"/>
      <c r="GIM18"/>
      <c r="GIN18"/>
      <c r="GIO18"/>
      <c r="GIP18"/>
      <c r="GIQ18"/>
      <c r="GIR18"/>
      <c r="GIS18"/>
      <c r="GIT18"/>
      <c r="GIU18"/>
      <c r="GIV18"/>
      <c r="GIW18"/>
      <c r="GIX18"/>
      <c r="GIY18"/>
      <c r="GIZ18"/>
      <c r="GJA18"/>
      <c r="GJB18"/>
      <c r="GJC18"/>
      <c r="GJD18"/>
      <c r="GJE18"/>
      <c r="GJF18"/>
      <c r="GJG18"/>
      <c r="GJH18"/>
      <c r="GJI18"/>
      <c r="GJJ18"/>
      <c r="GJK18"/>
      <c r="GJL18"/>
      <c r="GJM18"/>
      <c r="GJN18"/>
      <c r="GJO18"/>
      <c r="GJP18"/>
      <c r="GJQ18"/>
      <c r="GJR18"/>
      <c r="GJS18"/>
      <c r="GJT18"/>
      <c r="GJU18"/>
      <c r="GJV18"/>
      <c r="GJW18"/>
      <c r="GJX18"/>
      <c r="GJY18"/>
      <c r="GJZ18"/>
      <c r="GKA18"/>
      <c r="GKB18"/>
      <c r="GKC18"/>
      <c r="GKD18"/>
      <c r="GKE18"/>
      <c r="GKF18"/>
      <c r="GKG18"/>
      <c r="GKH18"/>
      <c r="GKI18"/>
      <c r="GKJ18"/>
      <c r="GKK18"/>
      <c r="GKL18"/>
      <c r="GKM18"/>
      <c r="GKN18"/>
      <c r="GKO18"/>
      <c r="GKP18"/>
      <c r="GKQ18"/>
      <c r="GKR18"/>
      <c r="GKS18"/>
      <c r="GKT18"/>
      <c r="GKU18"/>
      <c r="GKV18"/>
      <c r="GKW18"/>
      <c r="GKX18"/>
      <c r="GKY18"/>
      <c r="GKZ18"/>
      <c r="GLA18"/>
      <c r="GLB18"/>
      <c r="GLC18"/>
      <c r="GLD18"/>
      <c r="GLE18"/>
      <c r="GLF18"/>
      <c r="GLG18"/>
      <c r="GLH18"/>
      <c r="GLI18"/>
      <c r="GLJ18"/>
      <c r="GLK18"/>
      <c r="GLL18"/>
      <c r="GLM18"/>
      <c r="GLN18"/>
      <c r="GLO18"/>
      <c r="GLP18"/>
      <c r="GLQ18"/>
      <c r="GLR18"/>
      <c r="GLS18"/>
      <c r="GLT18"/>
      <c r="GLU18"/>
      <c r="GLV18"/>
      <c r="GLW18"/>
      <c r="GLX18"/>
      <c r="GLY18"/>
      <c r="GLZ18"/>
      <c r="GMA18"/>
      <c r="GMB18"/>
      <c r="GMC18"/>
      <c r="GMD18"/>
      <c r="GME18"/>
      <c r="GMF18"/>
      <c r="GMG18"/>
      <c r="GMH18"/>
      <c r="GMI18"/>
      <c r="GMJ18"/>
      <c r="GMK18"/>
      <c r="GML18"/>
      <c r="GMM18"/>
      <c r="GMN18"/>
      <c r="GMO18"/>
      <c r="GMP18"/>
      <c r="GMQ18"/>
      <c r="GMR18"/>
      <c r="GMS18"/>
      <c r="GMT18"/>
      <c r="GMU18"/>
      <c r="GMV18"/>
      <c r="GMW18"/>
      <c r="GMX18"/>
      <c r="GMY18"/>
      <c r="GMZ18"/>
      <c r="GNA18"/>
      <c r="GNB18"/>
      <c r="GNC18"/>
      <c r="GND18"/>
      <c r="GNE18"/>
      <c r="GNF18"/>
      <c r="GNG18"/>
      <c r="GNH18"/>
      <c r="GNI18"/>
      <c r="GNJ18"/>
      <c r="GNK18"/>
      <c r="GNL18"/>
      <c r="GNM18"/>
      <c r="GNN18"/>
      <c r="GNO18"/>
      <c r="GNP18"/>
      <c r="GNQ18"/>
      <c r="GNR18"/>
      <c r="GNS18"/>
      <c r="GNT18"/>
      <c r="GNU18"/>
      <c r="GNV18"/>
      <c r="GNW18"/>
      <c r="GNX18"/>
      <c r="GNY18"/>
      <c r="GNZ18"/>
      <c r="GOA18"/>
      <c r="GOB18"/>
      <c r="GOC18"/>
      <c r="GOD18"/>
      <c r="GOE18"/>
      <c r="GOF18"/>
      <c r="GOG18"/>
      <c r="GOH18"/>
      <c r="GOI18"/>
      <c r="GOJ18"/>
      <c r="GOK18"/>
      <c r="GOL18"/>
      <c r="GOM18"/>
      <c r="GON18"/>
      <c r="GOO18"/>
      <c r="GOP18"/>
      <c r="GOQ18"/>
      <c r="GOR18"/>
      <c r="GOS18"/>
      <c r="GOT18"/>
      <c r="GOU18"/>
      <c r="GOV18"/>
      <c r="GOW18"/>
      <c r="GOX18"/>
      <c r="GOY18"/>
      <c r="GOZ18"/>
      <c r="GPA18"/>
      <c r="GPB18"/>
      <c r="GPC18"/>
      <c r="GPD18"/>
      <c r="GPE18"/>
      <c r="GPF18"/>
      <c r="GPG18"/>
      <c r="GPH18"/>
      <c r="GPI18"/>
      <c r="GPJ18"/>
      <c r="GPK18"/>
      <c r="GPL18"/>
      <c r="GPM18"/>
      <c r="GPN18"/>
      <c r="GPO18"/>
      <c r="GPP18"/>
      <c r="GPQ18"/>
      <c r="GPR18"/>
      <c r="GPS18"/>
      <c r="GPT18"/>
      <c r="GPU18"/>
      <c r="GPV18"/>
      <c r="GPW18"/>
      <c r="GPX18"/>
      <c r="GPY18"/>
      <c r="GPZ18"/>
      <c r="GQA18"/>
      <c r="GQB18"/>
      <c r="GQC18"/>
      <c r="GQD18"/>
      <c r="GQE18"/>
      <c r="GQF18"/>
      <c r="GQG18"/>
      <c r="GQH18"/>
      <c r="GQI18"/>
      <c r="GQJ18"/>
      <c r="GQK18"/>
      <c r="GQL18"/>
      <c r="GQM18"/>
      <c r="GQN18"/>
      <c r="GQO18"/>
      <c r="GQP18"/>
      <c r="GQQ18"/>
      <c r="GQR18"/>
      <c r="GQS18"/>
      <c r="GQT18"/>
      <c r="GQU18"/>
      <c r="GQV18"/>
      <c r="GQW18"/>
      <c r="GQX18"/>
      <c r="GQY18"/>
      <c r="GQZ18"/>
      <c r="GRA18"/>
      <c r="GRB18"/>
      <c r="GRC18"/>
      <c r="GRD18"/>
      <c r="GRE18"/>
      <c r="GRF18"/>
      <c r="GRG18"/>
      <c r="GRH18"/>
      <c r="GRI18"/>
      <c r="GRJ18"/>
      <c r="GRK18"/>
      <c r="GRL18"/>
      <c r="GRM18"/>
      <c r="GRN18"/>
      <c r="GRO18"/>
      <c r="GRP18"/>
      <c r="GRQ18"/>
      <c r="GRR18"/>
      <c r="GRS18"/>
      <c r="GRT18"/>
      <c r="GRU18"/>
      <c r="GRV18"/>
      <c r="GRW18"/>
      <c r="GRX18"/>
      <c r="GRY18"/>
      <c r="GRZ18"/>
      <c r="GSA18"/>
      <c r="GSB18"/>
      <c r="GSC18"/>
      <c r="GSD18"/>
      <c r="GSE18"/>
      <c r="GSF18"/>
      <c r="GSG18"/>
      <c r="GSH18"/>
      <c r="GSI18"/>
      <c r="GSJ18"/>
      <c r="GSK18"/>
      <c r="GSL18"/>
      <c r="GSM18"/>
      <c r="GSN18"/>
      <c r="GSO18"/>
      <c r="GSP18"/>
      <c r="GSQ18"/>
      <c r="GSR18"/>
      <c r="GSS18"/>
      <c r="GST18"/>
      <c r="GSU18"/>
      <c r="GSV18"/>
      <c r="GSW18"/>
      <c r="GSX18"/>
      <c r="GSY18"/>
      <c r="GSZ18"/>
      <c r="GTA18"/>
      <c r="GTB18"/>
      <c r="GTC18"/>
      <c r="GTD18"/>
      <c r="GTE18"/>
      <c r="GTF18"/>
      <c r="GTG18"/>
      <c r="GTH18"/>
      <c r="GTI18"/>
      <c r="GTJ18"/>
      <c r="GTK18"/>
      <c r="GTL18"/>
      <c r="GTM18"/>
      <c r="GTN18"/>
      <c r="GTO18"/>
      <c r="GTP18"/>
      <c r="GTQ18"/>
      <c r="GTR18"/>
      <c r="GTS18"/>
      <c r="GTT18"/>
      <c r="GTU18"/>
      <c r="GTV18"/>
      <c r="GTW18"/>
      <c r="GTX18"/>
      <c r="GTY18"/>
      <c r="GTZ18"/>
      <c r="GUA18"/>
      <c r="GUB18"/>
      <c r="GUC18"/>
      <c r="GUD18"/>
      <c r="GUE18"/>
      <c r="GUF18"/>
      <c r="GUG18"/>
      <c r="GUH18"/>
      <c r="GUI18"/>
      <c r="GUJ18"/>
      <c r="GUK18"/>
      <c r="GUL18"/>
      <c r="GUM18"/>
      <c r="GUN18"/>
      <c r="GUO18"/>
      <c r="GUP18"/>
      <c r="GUQ18"/>
      <c r="GUR18"/>
      <c r="GUS18"/>
      <c r="GUT18"/>
      <c r="GUU18"/>
      <c r="GUV18"/>
      <c r="GUW18"/>
      <c r="GUX18"/>
      <c r="GUY18"/>
      <c r="GUZ18"/>
      <c r="GVA18"/>
      <c r="GVB18"/>
      <c r="GVC18"/>
      <c r="GVD18"/>
      <c r="GVE18"/>
      <c r="GVF18"/>
      <c r="GVG18"/>
      <c r="GVH18"/>
      <c r="GVI18"/>
      <c r="GVJ18"/>
      <c r="GVK18"/>
      <c r="GVL18"/>
      <c r="GVM18"/>
      <c r="GVN18"/>
      <c r="GVO18"/>
      <c r="GVP18"/>
      <c r="GVQ18"/>
      <c r="GVR18"/>
      <c r="GVS18"/>
      <c r="GVT18"/>
      <c r="GVU18"/>
      <c r="GVV18"/>
      <c r="GVW18"/>
      <c r="GVX18"/>
      <c r="GVY18"/>
      <c r="GVZ18"/>
      <c r="GWA18"/>
      <c r="GWB18"/>
      <c r="GWC18"/>
      <c r="GWD18"/>
      <c r="GWE18"/>
      <c r="GWF18"/>
      <c r="GWG18"/>
      <c r="GWH18"/>
      <c r="GWI18"/>
      <c r="GWJ18"/>
      <c r="GWK18"/>
      <c r="GWL18"/>
      <c r="GWM18"/>
      <c r="GWN18"/>
      <c r="GWO18"/>
      <c r="GWP18"/>
      <c r="GWQ18"/>
      <c r="GWR18"/>
      <c r="GWS18"/>
      <c r="GWT18"/>
      <c r="GWU18"/>
      <c r="GWV18"/>
      <c r="GWW18"/>
      <c r="GWX18"/>
      <c r="GWY18"/>
      <c r="GWZ18"/>
      <c r="GXA18"/>
      <c r="GXB18"/>
      <c r="GXC18"/>
      <c r="GXD18"/>
      <c r="GXE18"/>
      <c r="GXF18"/>
      <c r="GXG18"/>
      <c r="GXH18"/>
      <c r="GXI18"/>
      <c r="GXJ18"/>
      <c r="GXK18"/>
      <c r="GXL18"/>
      <c r="GXM18"/>
      <c r="GXN18"/>
      <c r="GXO18"/>
      <c r="GXP18"/>
      <c r="GXQ18"/>
      <c r="GXR18"/>
      <c r="GXS18"/>
      <c r="GXT18"/>
      <c r="GXU18"/>
      <c r="GXV18"/>
      <c r="GXW18"/>
      <c r="GXX18"/>
      <c r="GXY18"/>
      <c r="GXZ18"/>
      <c r="GYA18"/>
      <c r="GYB18"/>
      <c r="GYC18"/>
      <c r="GYD18"/>
      <c r="GYE18"/>
      <c r="GYF18"/>
      <c r="GYG18"/>
      <c r="GYH18"/>
      <c r="GYI18"/>
      <c r="GYJ18"/>
      <c r="GYK18"/>
      <c r="GYL18"/>
      <c r="GYM18"/>
      <c r="GYN18"/>
      <c r="GYO18"/>
      <c r="GYP18"/>
      <c r="GYQ18"/>
      <c r="GYR18"/>
      <c r="GYS18"/>
      <c r="GYT18"/>
      <c r="GYU18"/>
      <c r="GYV18"/>
      <c r="GYW18"/>
      <c r="GYX18"/>
      <c r="GYY18"/>
      <c r="GYZ18"/>
      <c r="GZA18"/>
      <c r="GZB18"/>
      <c r="GZC18"/>
      <c r="GZD18"/>
      <c r="GZE18"/>
      <c r="GZF18"/>
      <c r="GZG18"/>
      <c r="GZH18"/>
      <c r="GZI18"/>
      <c r="GZJ18"/>
      <c r="GZK18"/>
      <c r="GZL18"/>
      <c r="GZM18"/>
      <c r="GZN18"/>
      <c r="GZO18"/>
      <c r="GZP18"/>
      <c r="GZQ18"/>
      <c r="GZR18"/>
      <c r="GZS18"/>
      <c r="GZT18"/>
      <c r="GZU18"/>
      <c r="GZV18"/>
      <c r="GZW18"/>
      <c r="GZX18"/>
      <c r="GZY18"/>
      <c r="GZZ18"/>
      <c r="HAA18"/>
      <c r="HAB18"/>
      <c r="HAC18"/>
      <c r="HAD18"/>
      <c r="HAE18"/>
      <c r="HAF18"/>
      <c r="HAG18"/>
      <c r="HAH18"/>
      <c r="HAI18"/>
      <c r="HAJ18"/>
      <c r="HAK18"/>
      <c r="HAL18"/>
      <c r="HAM18"/>
      <c r="HAN18"/>
      <c r="HAO18"/>
      <c r="HAP18"/>
      <c r="HAQ18"/>
      <c r="HAR18"/>
      <c r="HAS18"/>
      <c r="HAT18"/>
      <c r="HAU18"/>
      <c r="HAV18"/>
      <c r="HAW18"/>
      <c r="HAX18"/>
      <c r="HAY18"/>
      <c r="HAZ18"/>
      <c r="HBA18"/>
      <c r="HBB18"/>
      <c r="HBC18"/>
      <c r="HBD18"/>
      <c r="HBE18"/>
      <c r="HBF18"/>
      <c r="HBG18"/>
      <c r="HBH18"/>
      <c r="HBI18"/>
      <c r="HBJ18"/>
      <c r="HBK18"/>
      <c r="HBL18"/>
      <c r="HBM18"/>
      <c r="HBN18"/>
      <c r="HBO18"/>
      <c r="HBP18"/>
      <c r="HBQ18"/>
      <c r="HBR18"/>
      <c r="HBS18"/>
      <c r="HBT18"/>
      <c r="HBU18"/>
      <c r="HBV18"/>
      <c r="HBW18"/>
      <c r="HBX18"/>
      <c r="HBY18"/>
      <c r="HBZ18"/>
      <c r="HCA18"/>
      <c r="HCB18"/>
      <c r="HCC18"/>
      <c r="HCD18"/>
      <c r="HCE18"/>
      <c r="HCF18"/>
      <c r="HCG18"/>
      <c r="HCH18"/>
      <c r="HCI18"/>
      <c r="HCJ18"/>
      <c r="HCK18"/>
      <c r="HCL18"/>
      <c r="HCM18"/>
      <c r="HCN18"/>
      <c r="HCO18"/>
      <c r="HCP18"/>
      <c r="HCQ18"/>
      <c r="HCR18"/>
      <c r="HCS18"/>
      <c r="HCT18"/>
      <c r="HCU18"/>
      <c r="HCV18"/>
      <c r="HCW18"/>
      <c r="HCX18"/>
      <c r="HCY18"/>
      <c r="HCZ18"/>
      <c r="HDA18"/>
      <c r="HDB18"/>
      <c r="HDC18"/>
      <c r="HDD18"/>
      <c r="HDE18"/>
      <c r="HDF18"/>
      <c r="HDG18"/>
      <c r="HDH18"/>
      <c r="HDI18"/>
      <c r="HDJ18"/>
      <c r="HDK18"/>
      <c r="HDL18"/>
      <c r="HDM18"/>
      <c r="HDN18"/>
      <c r="HDO18"/>
      <c r="HDP18"/>
      <c r="HDQ18"/>
      <c r="HDR18"/>
      <c r="HDS18"/>
      <c r="HDT18"/>
      <c r="HDU18"/>
      <c r="HDV18"/>
      <c r="HDW18"/>
      <c r="HDX18"/>
      <c r="HDY18"/>
      <c r="HDZ18"/>
      <c r="HEA18"/>
      <c r="HEB18"/>
      <c r="HEC18"/>
      <c r="HED18"/>
      <c r="HEE18"/>
      <c r="HEF18"/>
      <c r="HEG18"/>
      <c r="HEH18"/>
      <c r="HEI18"/>
      <c r="HEJ18"/>
      <c r="HEK18"/>
      <c r="HEL18"/>
      <c r="HEM18"/>
      <c r="HEN18"/>
      <c r="HEO18"/>
      <c r="HEP18"/>
      <c r="HEQ18"/>
      <c r="HER18"/>
      <c r="HES18"/>
      <c r="HET18"/>
      <c r="HEU18"/>
      <c r="HEV18"/>
      <c r="HEW18"/>
      <c r="HEX18"/>
      <c r="HEY18"/>
      <c r="HEZ18"/>
      <c r="HFA18"/>
      <c r="HFB18"/>
      <c r="HFC18"/>
      <c r="HFD18"/>
      <c r="HFE18"/>
      <c r="HFF18"/>
      <c r="HFG18"/>
      <c r="HFH18"/>
      <c r="HFI18"/>
      <c r="HFJ18"/>
      <c r="HFK18"/>
      <c r="HFL18"/>
      <c r="HFM18"/>
      <c r="HFN18"/>
      <c r="HFO18"/>
      <c r="HFP18"/>
      <c r="HFQ18"/>
      <c r="HFR18"/>
      <c r="HFS18"/>
      <c r="HFT18"/>
      <c r="HFU18"/>
      <c r="HFV18"/>
      <c r="HFW18"/>
      <c r="HFX18"/>
      <c r="HFY18"/>
      <c r="HFZ18"/>
      <c r="HGA18"/>
      <c r="HGB18"/>
      <c r="HGC18"/>
      <c r="HGD18"/>
      <c r="HGE18"/>
      <c r="HGF18"/>
      <c r="HGG18"/>
      <c r="HGH18"/>
      <c r="HGI18"/>
      <c r="HGJ18"/>
      <c r="HGK18"/>
      <c r="HGL18"/>
      <c r="HGM18"/>
      <c r="HGN18"/>
      <c r="HGO18"/>
      <c r="HGP18"/>
      <c r="HGQ18"/>
      <c r="HGR18"/>
      <c r="HGS18"/>
      <c r="HGT18"/>
      <c r="HGU18"/>
      <c r="HGV18"/>
      <c r="HGW18"/>
      <c r="HGX18"/>
      <c r="HGY18"/>
      <c r="HGZ18"/>
      <c r="HHA18"/>
      <c r="HHB18"/>
      <c r="HHC18"/>
      <c r="HHD18"/>
      <c r="HHE18"/>
      <c r="HHF18"/>
      <c r="HHG18"/>
      <c r="HHH18"/>
      <c r="HHI18"/>
      <c r="HHJ18"/>
      <c r="HHK18"/>
      <c r="HHL18"/>
      <c r="HHM18"/>
      <c r="HHN18"/>
      <c r="HHO18"/>
      <c r="HHP18"/>
      <c r="HHQ18"/>
      <c r="HHR18"/>
      <c r="HHS18"/>
      <c r="HHT18"/>
      <c r="HHU18"/>
      <c r="HHV18"/>
      <c r="HHW18"/>
      <c r="HHX18"/>
      <c r="HHY18"/>
      <c r="HHZ18"/>
      <c r="HIA18"/>
      <c r="HIB18"/>
      <c r="HIC18"/>
      <c r="HID18"/>
      <c r="HIE18"/>
      <c r="HIF18"/>
      <c r="HIG18"/>
      <c r="HIH18"/>
      <c r="HII18"/>
      <c r="HIJ18"/>
      <c r="HIK18"/>
      <c r="HIL18"/>
      <c r="HIM18"/>
      <c r="HIN18"/>
      <c r="HIO18"/>
      <c r="HIP18"/>
      <c r="HIQ18"/>
      <c r="HIR18"/>
      <c r="HIS18"/>
      <c r="HIT18"/>
      <c r="HIU18"/>
      <c r="HIV18"/>
      <c r="HIW18"/>
      <c r="HIX18"/>
      <c r="HIY18"/>
      <c r="HIZ18"/>
      <c r="HJA18"/>
      <c r="HJB18"/>
      <c r="HJC18"/>
      <c r="HJD18"/>
      <c r="HJE18"/>
      <c r="HJF18"/>
      <c r="HJG18"/>
      <c r="HJH18"/>
      <c r="HJI18"/>
      <c r="HJJ18"/>
      <c r="HJK18"/>
      <c r="HJL18"/>
      <c r="HJM18"/>
      <c r="HJN18"/>
      <c r="HJO18"/>
      <c r="HJP18"/>
      <c r="HJQ18"/>
      <c r="HJR18"/>
      <c r="HJS18"/>
      <c r="HJT18"/>
      <c r="HJU18"/>
      <c r="HJV18"/>
      <c r="HJW18"/>
      <c r="HJX18"/>
      <c r="HJY18"/>
      <c r="HJZ18"/>
      <c r="HKA18"/>
      <c r="HKB18"/>
      <c r="HKC18"/>
      <c r="HKD18"/>
      <c r="HKE18"/>
      <c r="HKF18"/>
      <c r="HKG18"/>
      <c r="HKH18"/>
      <c r="HKI18"/>
      <c r="HKJ18"/>
      <c r="HKK18"/>
      <c r="HKL18"/>
      <c r="HKM18"/>
      <c r="HKN18"/>
      <c r="HKO18"/>
      <c r="HKP18"/>
      <c r="HKQ18"/>
      <c r="HKR18"/>
      <c r="HKS18"/>
      <c r="HKT18"/>
      <c r="HKU18"/>
      <c r="HKV18"/>
      <c r="HKW18"/>
      <c r="HKX18"/>
      <c r="HKY18"/>
      <c r="HKZ18"/>
      <c r="HLA18"/>
      <c r="HLB18"/>
      <c r="HLC18"/>
      <c r="HLD18"/>
      <c r="HLE18"/>
      <c r="HLF18"/>
      <c r="HLG18"/>
      <c r="HLH18"/>
      <c r="HLI18"/>
      <c r="HLJ18"/>
      <c r="HLK18"/>
      <c r="HLL18"/>
      <c r="HLM18"/>
      <c r="HLN18"/>
      <c r="HLO18"/>
      <c r="HLP18"/>
      <c r="HLQ18"/>
      <c r="HLR18"/>
      <c r="HLS18"/>
      <c r="HLT18"/>
      <c r="HLU18"/>
      <c r="HLV18"/>
      <c r="HLW18"/>
      <c r="HLX18"/>
      <c r="HLY18"/>
      <c r="HLZ18"/>
      <c r="HMA18"/>
      <c r="HMB18"/>
      <c r="HMC18"/>
      <c r="HMD18"/>
      <c r="HME18"/>
      <c r="HMF18"/>
      <c r="HMG18"/>
      <c r="HMH18"/>
      <c r="HMI18"/>
      <c r="HMJ18"/>
      <c r="HMK18"/>
      <c r="HML18"/>
      <c r="HMM18"/>
      <c r="HMN18"/>
      <c r="HMO18"/>
      <c r="HMP18"/>
      <c r="HMQ18"/>
      <c r="HMR18"/>
      <c r="HMS18"/>
      <c r="HMT18"/>
      <c r="HMU18"/>
      <c r="HMV18"/>
      <c r="HMW18"/>
      <c r="HMX18"/>
      <c r="HMY18"/>
      <c r="HMZ18"/>
      <c r="HNA18"/>
      <c r="HNB18"/>
      <c r="HNC18"/>
      <c r="HND18"/>
      <c r="HNE18"/>
      <c r="HNF18"/>
      <c r="HNG18"/>
      <c r="HNH18"/>
      <c r="HNI18"/>
      <c r="HNJ18"/>
      <c r="HNK18"/>
      <c r="HNL18"/>
      <c r="HNM18"/>
      <c r="HNN18"/>
      <c r="HNO18"/>
      <c r="HNP18"/>
      <c r="HNQ18"/>
      <c r="HNR18"/>
      <c r="HNS18"/>
      <c r="HNT18"/>
      <c r="HNU18"/>
      <c r="HNV18"/>
      <c r="HNW18"/>
      <c r="HNX18"/>
      <c r="HNY18"/>
      <c r="HNZ18"/>
      <c r="HOA18"/>
      <c r="HOB18"/>
      <c r="HOC18"/>
      <c r="HOD18"/>
      <c r="HOE18"/>
      <c r="HOF18"/>
      <c r="HOG18"/>
      <c r="HOH18"/>
      <c r="HOI18"/>
      <c r="HOJ18"/>
      <c r="HOK18"/>
      <c r="HOL18"/>
      <c r="HOM18"/>
      <c r="HON18"/>
      <c r="HOO18"/>
      <c r="HOP18"/>
      <c r="HOQ18"/>
      <c r="HOR18"/>
      <c r="HOS18"/>
      <c r="HOT18"/>
      <c r="HOU18"/>
      <c r="HOV18"/>
      <c r="HOW18"/>
      <c r="HOX18"/>
      <c r="HOY18"/>
      <c r="HOZ18"/>
      <c r="HPA18"/>
      <c r="HPB18"/>
      <c r="HPC18"/>
      <c r="HPD18"/>
      <c r="HPE18"/>
      <c r="HPF18"/>
      <c r="HPG18"/>
      <c r="HPH18"/>
      <c r="HPI18"/>
      <c r="HPJ18"/>
      <c r="HPK18"/>
      <c r="HPL18"/>
      <c r="HPM18"/>
      <c r="HPN18"/>
      <c r="HPO18"/>
      <c r="HPP18"/>
      <c r="HPQ18"/>
      <c r="HPR18"/>
      <c r="HPS18"/>
      <c r="HPT18"/>
      <c r="HPU18"/>
      <c r="HPV18"/>
      <c r="HPW18"/>
      <c r="HPX18"/>
      <c r="HPY18"/>
      <c r="HPZ18"/>
      <c r="HQA18"/>
      <c r="HQB18"/>
      <c r="HQC18"/>
      <c r="HQD18"/>
      <c r="HQE18"/>
      <c r="HQF18"/>
      <c r="HQG18"/>
      <c r="HQH18"/>
      <c r="HQI18"/>
      <c r="HQJ18"/>
      <c r="HQK18"/>
      <c r="HQL18"/>
      <c r="HQM18"/>
      <c r="HQN18"/>
      <c r="HQO18"/>
      <c r="HQP18"/>
      <c r="HQQ18"/>
      <c r="HQR18"/>
      <c r="HQS18"/>
      <c r="HQT18"/>
      <c r="HQU18"/>
      <c r="HQV18"/>
      <c r="HQW18"/>
      <c r="HQX18"/>
      <c r="HQY18"/>
      <c r="HQZ18"/>
      <c r="HRA18"/>
      <c r="HRB18"/>
      <c r="HRC18"/>
      <c r="HRD18"/>
      <c r="HRE18"/>
      <c r="HRF18"/>
      <c r="HRG18"/>
      <c r="HRH18"/>
      <c r="HRI18"/>
      <c r="HRJ18"/>
      <c r="HRK18"/>
      <c r="HRL18"/>
      <c r="HRM18"/>
      <c r="HRN18"/>
      <c r="HRO18"/>
      <c r="HRP18"/>
      <c r="HRQ18"/>
      <c r="HRR18"/>
      <c r="HRS18"/>
      <c r="HRT18"/>
      <c r="HRU18"/>
      <c r="HRV18"/>
      <c r="HRW18"/>
      <c r="HRX18"/>
      <c r="HRY18"/>
      <c r="HRZ18"/>
      <c r="HSA18"/>
      <c r="HSB18"/>
      <c r="HSC18"/>
      <c r="HSD18"/>
      <c r="HSE18"/>
      <c r="HSF18"/>
      <c r="HSG18"/>
      <c r="HSH18"/>
      <c r="HSI18"/>
      <c r="HSJ18"/>
      <c r="HSK18"/>
      <c r="HSL18"/>
      <c r="HSM18"/>
      <c r="HSN18"/>
      <c r="HSO18"/>
      <c r="HSP18"/>
      <c r="HSQ18"/>
      <c r="HSR18"/>
      <c r="HSS18"/>
      <c r="HST18"/>
      <c r="HSU18"/>
      <c r="HSV18"/>
      <c r="HSW18"/>
      <c r="HSX18"/>
      <c r="HSY18"/>
      <c r="HSZ18"/>
      <c r="HTA18"/>
      <c r="HTB18"/>
      <c r="HTC18"/>
      <c r="HTD18"/>
      <c r="HTE18"/>
      <c r="HTF18"/>
      <c r="HTG18"/>
      <c r="HTH18"/>
      <c r="HTI18"/>
      <c r="HTJ18"/>
      <c r="HTK18"/>
      <c r="HTL18"/>
      <c r="HTM18"/>
      <c r="HTN18"/>
      <c r="HTO18"/>
      <c r="HTP18"/>
      <c r="HTQ18"/>
      <c r="HTR18"/>
      <c r="HTS18"/>
      <c r="HTT18"/>
      <c r="HTU18"/>
      <c r="HTV18"/>
      <c r="HTW18"/>
      <c r="HTX18"/>
      <c r="HTY18"/>
      <c r="HTZ18"/>
      <c r="HUA18"/>
      <c r="HUB18"/>
      <c r="HUC18"/>
      <c r="HUD18"/>
      <c r="HUE18"/>
      <c r="HUF18"/>
      <c r="HUG18"/>
      <c r="HUH18"/>
      <c r="HUI18"/>
      <c r="HUJ18"/>
      <c r="HUK18"/>
      <c r="HUL18"/>
      <c r="HUM18"/>
      <c r="HUN18"/>
      <c r="HUO18"/>
      <c r="HUP18"/>
      <c r="HUQ18"/>
      <c r="HUR18"/>
      <c r="HUS18"/>
      <c r="HUT18"/>
      <c r="HUU18"/>
      <c r="HUV18"/>
      <c r="HUW18"/>
      <c r="HUX18"/>
      <c r="HUY18"/>
      <c r="HUZ18"/>
      <c r="HVA18"/>
      <c r="HVB18"/>
      <c r="HVC18"/>
      <c r="HVD18"/>
      <c r="HVE18"/>
      <c r="HVF18"/>
      <c r="HVG18"/>
      <c r="HVH18"/>
      <c r="HVI18"/>
      <c r="HVJ18"/>
      <c r="HVK18"/>
      <c r="HVL18"/>
      <c r="HVM18"/>
      <c r="HVN18"/>
      <c r="HVO18"/>
      <c r="HVP18"/>
      <c r="HVQ18"/>
      <c r="HVR18"/>
      <c r="HVS18"/>
      <c r="HVT18"/>
      <c r="HVU18"/>
      <c r="HVV18"/>
      <c r="HVW18"/>
      <c r="HVX18"/>
      <c r="HVY18"/>
      <c r="HVZ18"/>
      <c r="HWA18"/>
      <c r="HWB18"/>
      <c r="HWC18"/>
      <c r="HWD18"/>
      <c r="HWE18"/>
      <c r="HWF18"/>
      <c r="HWG18"/>
      <c r="HWH18"/>
      <c r="HWI18"/>
      <c r="HWJ18"/>
      <c r="HWK18"/>
      <c r="HWL18"/>
      <c r="HWM18"/>
      <c r="HWN18"/>
      <c r="HWO18"/>
      <c r="HWP18"/>
      <c r="HWQ18"/>
      <c r="HWR18"/>
      <c r="HWS18"/>
      <c r="HWT18"/>
      <c r="HWU18"/>
      <c r="HWV18"/>
      <c r="HWW18"/>
      <c r="HWX18"/>
      <c r="HWY18"/>
      <c r="HWZ18"/>
      <c r="HXA18"/>
      <c r="HXB18"/>
      <c r="HXC18"/>
      <c r="HXD18"/>
      <c r="HXE18"/>
      <c r="HXF18"/>
      <c r="HXG18"/>
      <c r="HXH18"/>
      <c r="HXI18"/>
      <c r="HXJ18"/>
      <c r="HXK18"/>
      <c r="HXL18"/>
      <c r="HXM18"/>
      <c r="HXN18"/>
      <c r="HXO18"/>
      <c r="HXP18"/>
      <c r="HXQ18"/>
      <c r="HXR18"/>
      <c r="HXS18"/>
      <c r="HXT18"/>
      <c r="HXU18"/>
      <c r="HXV18"/>
      <c r="HXW18"/>
      <c r="HXX18"/>
      <c r="HXY18"/>
      <c r="HXZ18"/>
      <c r="HYA18"/>
      <c r="HYB18"/>
      <c r="HYC18"/>
      <c r="HYD18"/>
      <c r="HYE18"/>
      <c r="HYF18"/>
      <c r="HYG18"/>
      <c r="HYH18"/>
      <c r="HYI18"/>
      <c r="HYJ18"/>
      <c r="HYK18"/>
      <c r="HYL18"/>
      <c r="HYM18"/>
      <c r="HYN18"/>
      <c r="HYO18"/>
      <c r="HYP18"/>
      <c r="HYQ18"/>
      <c r="HYR18"/>
      <c r="HYS18"/>
      <c r="HYT18"/>
      <c r="HYU18"/>
      <c r="HYV18"/>
      <c r="HYW18"/>
      <c r="HYX18"/>
      <c r="HYY18"/>
      <c r="HYZ18"/>
      <c r="HZA18"/>
      <c r="HZB18"/>
      <c r="HZC18"/>
      <c r="HZD18"/>
      <c r="HZE18"/>
      <c r="HZF18"/>
      <c r="HZG18"/>
      <c r="HZH18"/>
      <c r="HZI18"/>
      <c r="HZJ18"/>
      <c r="HZK18"/>
      <c r="HZL18"/>
      <c r="HZM18"/>
      <c r="HZN18"/>
      <c r="HZO18"/>
      <c r="HZP18"/>
      <c r="HZQ18"/>
      <c r="HZR18"/>
      <c r="HZS18"/>
      <c r="HZT18"/>
      <c r="HZU18"/>
      <c r="HZV18"/>
      <c r="HZW18"/>
      <c r="HZX18"/>
      <c r="HZY18"/>
      <c r="HZZ18"/>
      <c r="IAA18"/>
      <c r="IAB18"/>
      <c r="IAC18"/>
      <c r="IAD18"/>
      <c r="IAE18"/>
      <c r="IAF18"/>
      <c r="IAG18"/>
      <c r="IAH18"/>
      <c r="IAI18"/>
      <c r="IAJ18"/>
      <c r="IAK18"/>
      <c r="IAL18"/>
      <c r="IAM18"/>
      <c r="IAN18"/>
      <c r="IAO18"/>
      <c r="IAP18"/>
      <c r="IAQ18"/>
      <c r="IAR18"/>
      <c r="IAS18"/>
      <c r="IAT18"/>
      <c r="IAU18"/>
      <c r="IAV18"/>
      <c r="IAW18"/>
      <c r="IAX18"/>
      <c r="IAY18"/>
      <c r="IAZ18"/>
      <c r="IBA18"/>
      <c r="IBB18"/>
      <c r="IBC18"/>
      <c r="IBD18"/>
      <c r="IBE18"/>
      <c r="IBF18"/>
      <c r="IBG18"/>
      <c r="IBH18"/>
      <c r="IBI18"/>
      <c r="IBJ18"/>
      <c r="IBK18"/>
      <c r="IBL18"/>
      <c r="IBM18"/>
      <c r="IBN18"/>
      <c r="IBO18"/>
      <c r="IBP18"/>
      <c r="IBQ18"/>
      <c r="IBR18"/>
      <c r="IBS18"/>
      <c r="IBT18"/>
      <c r="IBU18"/>
      <c r="IBV18"/>
      <c r="IBW18"/>
      <c r="IBX18"/>
      <c r="IBY18"/>
      <c r="IBZ18"/>
      <c r="ICA18"/>
      <c r="ICB18"/>
      <c r="ICC18"/>
      <c r="ICD18"/>
      <c r="ICE18"/>
      <c r="ICF18"/>
      <c r="ICG18"/>
      <c r="ICH18"/>
      <c r="ICI18"/>
      <c r="ICJ18"/>
      <c r="ICK18"/>
      <c r="ICL18"/>
      <c r="ICM18"/>
      <c r="ICN18"/>
      <c r="ICO18"/>
      <c r="ICP18"/>
      <c r="ICQ18"/>
      <c r="ICR18"/>
      <c r="ICS18"/>
      <c r="ICT18"/>
      <c r="ICU18"/>
      <c r="ICV18"/>
      <c r="ICW18"/>
      <c r="ICX18"/>
      <c r="ICY18"/>
      <c r="ICZ18"/>
      <c r="IDA18"/>
      <c r="IDB18"/>
      <c r="IDC18"/>
      <c r="IDD18"/>
      <c r="IDE18"/>
      <c r="IDF18"/>
      <c r="IDG18"/>
      <c r="IDH18"/>
      <c r="IDI18"/>
      <c r="IDJ18"/>
      <c r="IDK18"/>
      <c r="IDL18"/>
      <c r="IDM18"/>
      <c r="IDN18"/>
      <c r="IDO18"/>
      <c r="IDP18"/>
      <c r="IDQ18"/>
      <c r="IDR18"/>
      <c r="IDS18"/>
      <c r="IDT18"/>
      <c r="IDU18"/>
      <c r="IDV18"/>
      <c r="IDW18"/>
      <c r="IDX18"/>
      <c r="IDY18"/>
      <c r="IDZ18"/>
      <c r="IEA18"/>
      <c r="IEB18"/>
      <c r="IEC18"/>
      <c r="IED18"/>
      <c r="IEE18"/>
      <c r="IEF18"/>
      <c r="IEG18"/>
      <c r="IEH18"/>
      <c r="IEI18"/>
      <c r="IEJ18"/>
      <c r="IEK18"/>
      <c r="IEL18"/>
      <c r="IEM18"/>
      <c r="IEN18"/>
      <c r="IEO18"/>
      <c r="IEP18"/>
      <c r="IEQ18"/>
      <c r="IER18"/>
      <c r="IES18"/>
      <c r="IET18"/>
      <c r="IEU18"/>
      <c r="IEV18"/>
      <c r="IEW18"/>
      <c r="IEX18"/>
      <c r="IEY18"/>
      <c r="IEZ18"/>
      <c r="IFA18"/>
      <c r="IFB18"/>
      <c r="IFC18"/>
      <c r="IFD18"/>
      <c r="IFE18"/>
      <c r="IFF18"/>
      <c r="IFG18"/>
      <c r="IFH18"/>
      <c r="IFI18"/>
      <c r="IFJ18"/>
      <c r="IFK18"/>
      <c r="IFL18"/>
      <c r="IFM18"/>
      <c r="IFN18"/>
      <c r="IFO18"/>
      <c r="IFP18"/>
      <c r="IFQ18"/>
      <c r="IFR18"/>
      <c r="IFS18"/>
      <c r="IFT18"/>
      <c r="IFU18"/>
      <c r="IFV18"/>
      <c r="IFW18"/>
      <c r="IFX18"/>
      <c r="IFY18"/>
      <c r="IFZ18"/>
      <c r="IGA18"/>
      <c r="IGB18"/>
      <c r="IGC18"/>
      <c r="IGD18"/>
      <c r="IGE18"/>
      <c r="IGF18"/>
      <c r="IGG18"/>
      <c r="IGH18"/>
      <c r="IGI18"/>
      <c r="IGJ18"/>
      <c r="IGK18"/>
      <c r="IGL18"/>
      <c r="IGM18"/>
      <c r="IGN18"/>
      <c r="IGO18"/>
      <c r="IGP18"/>
      <c r="IGQ18"/>
      <c r="IGR18"/>
      <c r="IGS18"/>
      <c r="IGT18"/>
      <c r="IGU18"/>
      <c r="IGV18"/>
      <c r="IGW18"/>
      <c r="IGX18"/>
      <c r="IGY18"/>
      <c r="IGZ18"/>
      <c r="IHA18"/>
      <c r="IHB18"/>
      <c r="IHC18"/>
      <c r="IHD18"/>
      <c r="IHE18"/>
      <c r="IHF18"/>
      <c r="IHG18"/>
      <c r="IHH18"/>
      <c r="IHI18"/>
      <c r="IHJ18"/>
      <c r="IHK18"/>
      <c r="IHL18"/>
      <c r="IHM18"/>
      <c r="IHN18"/>
      <c r="IHO18"/>
      <c r="IHP18"/>
      <c r="IHQ18"/>
      <c r="IHR18"/>
      <c r="IHS18"/>
      <c r="IHT18"/>
      <c r="IHU18"/>
      <c r="IHV18"/>
      <c r="IHW18"/>
      <c r="IHX18"/>
      <c r="IHY18"/>
      <c r="IHZ18"/>
      <c r="IIA18"/>
      <c r="IIB18"/>
      <c r="IIC18"/>
      <c r="IID18"/>
      <c r="IIE18"/>
      <c r="IIF18"/>
      <c r="IIG18"/>
      <c r="IIH18"/>
      <c r="III18"/>
      <c r="IIJ18"/>
      <c r="IIK18"/>
      <c r="IIL18"/>
      <c r="IIM18"/>
      <c r="IIN18"/>
      <c r="IIO18"/>
      <c r="IIP18"/>
      <c r="IIQ18"/>
      <c r="IIR18"/>
      <c r="IIS18"/>
      <c r="IIT18"/>
      <c r="IIU18"/>
      <c r="IIV18"/>
      <c r="IIW18"/>
      <c r="IIX18"/>
      <c r="IIY18"/>
      <c r="IIZ18"/>
      <c r="IJA18"/>
      <c r="IJB18"/>
      <c r="IJC18"/>
      <c r="IJD18"/>
      <c r="IJE18"/>
      <c r="IJF18"/>
      <c r="IJG18"/>
      <c r="IJH18"/>
      <c r="IJI18"/>
      <c r="IJJ18"/>
      <c r="IJK18"/>
      <c r="IJL18"/>
      <c r="IJM18"/>
      <c r="IJN18"/>
      <c r="IJO18"/>
      <c r="IJP18"/>
      <c r="IJQ18"/>
      <c r="IJR18"/>
      <c r="IJS18"/>
      <c r="IJT18"/>
      <c r="IJU18"/>
      <c r="IJV18"/>
      <c r="IJW18"/>
      <c r="IJX18"/>
      <c r="IJY18"/>
      <c r="IJZ18"/>
      <c r="IKA18"/>
      <c r="IKB18"/>
      <c r="IKC18"/>
      <c r="IKD18"/>
      <c r="IKE18"/>
      <c r="IKF18"/>
      <c r="IKG18"/>
      <c r="IKH18"/>
      <c r="IKI18"/>
      <c r="IKJ18"/>
      <c r="IKK18"/>
      <c r="IKL18"/>
      <c r="IKM18"/>
      <c r="IKN18"/>
      <c r="IKO18"/>
      <c r="IKP18"/>
      <c r="IKQ18"/>
      <c r="IKR18"/>
      <c r="IKS18"/>
      <c r="IKT18"/>
      <c r="IKU18"/>
      <c r="IKV18"/>
      <c r="IKW18"/>
      <c r="IKX18"/>
      <c r="IKY18"/>
      <c r="IKZ18"/>
      <c r="ILA18"/>
      <c r="ILB18"/>
      <c r="ILC18"/>
      <c r="ILD18"/>
      <c r="ILE18"/>
      <c r="ILF18"/>
      <c r="ILG18"/>
      <c r="ILH18"/>
      <c r="ILI18"/>
      <c r="ILJ18"/>
      <c r="ILK18"/>
      <c r="ILL18"/>
      <c r="ILM18"/>
      <c r="ILN18"/>
      <c r="ILO18"/>
      <c r="ILP18"/>
      <c r="ILQ18"/>
      <c r="ILR18"/>
      <c r="ILS18"/>
      <c r="ILT18"/>
      <c r="ILU18"/>
      <c r="ILV18"/>
      <c r="ILW18"/>
      <c r="ILX18"/>
      <c r="ILY18"/>
      <c r="ILZ18"/>
      <c r="IMA18"/>
      <c r="IMB18"/>
      <c r="IMC18"/>
      <c r="IMD18"/>
      <c r="IME18"/>
      <c r="IMF18"/>
      <c r="IMG18"/>
      <c r="IMH18"/>
      <c r="IMI18"/>
      <c r="IMJ18"/>
      <c r="IMK18"/>
      <c r="IML18"/>
      <c r="IMM18"/>
      <c r="IMN18"/>
      <c r="IMO18"/>
      <c r="IMP18"/>
      <c r="IMQ18"/>
      <c r="IMR18"/>
      <c r="IMS18"/>
      <c r="IMT18"/>
      <c r="IMU18"/>
      <c r="IMV18"/>
      <c r="IMW18"/>
      <c r="IMX18"/>
      <c r="IMY18"/>
      <c r="IMZ18"/>
      <c r="INA18"/>
      <c r="INB18"/>
      <c r="INC18"/>
      <c r="IND18"/>
      <c r="INE18"/>
      <c r="INF18"/>
      <c r="ING18"/>
      <c r="INH18"/>
      <c r="INI18"/>
      <c r="INJ18"/>
      <c r="INK18"/>
      <c r="INL18"/>
      <c r="INM18"/>
      <c r="INN18"/>
      <c r="INO18"/>
      <c r="INP18"/>
      <c r="INQ18"/>
      <c r="INR18"/>
      <c r="INS18"/>
      <c r="INT18"/>
      <c r="INU18"/>
      <c r="INV18"/>
      <c r="INW18"/>
      <c r="INX18"/>
      <c r="INY18"/>
      <c r="INZ18"/>
      <c r="IOA18"/>
      <c r="IOB18"/>
      <c r="IOC18"/>
      <c r="IOD18"/>
      <c r="IOE18"/>
      <c r="IOF18"/>
      <c r="IOG18"/>
      <c r="IOH18"/>
      <c r="IOI18"/>
      <c r="IOJ18"/>
      <c r="IOK18"/>
      <c r="IOL18"/>
      <c r="IOM18"/>
      <c r="ION18"/>
      <c r="IOO18"/>
      <c r="IOP18"/>
      <c r="IOQ18"/>
      <c r="IOR18"/>
      <c r="IOS18"/>
      <c r="IOT18"/>
      <c r="IOU18"/>
      <c r="IOV18"/>
      <c r="IOW18"/>
      <c r="IOX18"/>
      <c r="IOY18"/>
      <c r="IOZ18"/>
      <c r="IPA18"/>
      <c r="IPB18"/>
      <c r="IPC18"/>
      <c r="IPD18"/>
      <c r="IPE18"/>
      <c r="IPF18"/>
      <c r="IPG18"/>
      <c r="IPH18"/>
      <c r="IPI18"/>
      <c r="IPJ18"/>
      <c r="IPK18"/>
      <c r="IPL18"/>
      <c r="IPM18"/>
      <c r="IPN18"/>
      <c r="IPO18"/>
      <c r="IPP18"/>
      <c r="IPQ18"/>
      <c r="IPR18"/>
      <c r="IPS18"/>
      <c r="IPT18"/>
      <c r="IPU18"/>
      <c r="IPV18"/>
      <c r="IPW18"/>
      <c r="IPX18"/>
      <c r="IPY18"/>
      <c r="IPZ18"/>
      <c r="IQA18"/>
      <c r="IQB18"/>
      <c r="IQC18"/>
      <c r="IQD18"/>
      <c r="IQE18"/>
      <c r="IQF18"/>
      <c r="IQG18"/>
      <c r="IQH18"/>
      <c r="IQI18"/>
      <c r="IQJ18"/>
      <c r="IQK18"/>
      <c r="IQL18"/>
      <c r="IQM18"/>
      <c r="IQN18"/>
      <c r="IQO18"/>
      <c r="IQP18"/>
      <c r="IQQ18"/>
      <c r="IQR18"/>
      <c r="IQS18"/>
      <c r="IQT18"/>
      <c r="IQU18"/>
      <c r="IQV18"/>
      <c r="IQW18"/>
      <c r="IQX18"/>
      <c r="IQY18"/>
      <c r="IQZ18"/>
      <c r="IRA18"/>
      <c r="IRB18"/>
      <c r="IRC18"/>
      <c r="IRD18"/>
      <c r="IRE18"/>
      <c r="IRF18"/>
      <c r="IRG18"/>
      <c r="IRH18"/>
      <c r="IRI18"/>
      <c r="IRJ18"/>
      <c r="IRK18"/>
      <c r="IRL18"/>
      <c r="IRM18"/>
      <c r="IRN18"/>
      <c r="IRO18"/>
      <c r="IRP18"/>
      <c r="IRQ18"/>
      <c r="IRR18"/>
      <c r="IRS18"/>
      <c r="IRT18"/>
      <c r="IRU18"/>
      <c r="IRV18"/>
      <c r="IRW18"/>
      <c r="IRX18"/>
      <c r="IRY18"/>
      <c r="IRZ18"/>
      <c r="ISA18"/>
      <c r="ISB18"/>
      <c r="ISC18"/>
      <c r="ISD18"/>
      <c r="ISE18"/>
      <c r="ISF18"/>
      <c r="ISG18"/>
      <c r="ISH18"/>
      <c r="ISI18"/>
      <c r="ISJ18"/>
      <c r="ISK18"/>
      <c r="ISL18"/>
      <c r="ISM18"/>
      <c r="ISN18"/>
      <c r="ISO18"/>
      <c r="ISP18"/>
      <c r="ISQ18"/>
      <c r="ISR18"/>
      <c r="ISS18"/>
      <c r="IST18"/>
      <c r="ISU18"/>
      <c r="ISV18"/>
      <c r="ISW18"/>
      <c r="ISX18"/>
      <c r="ISY18"/>
      <c r="ISZ18"/>
      <c r="ITA18"/>
      <c r="ITB18"/>
      <c r="ITC18"/>
      <c r="ITD18"/>
      <c r="ITE18"/>
      <c r="ITF18"/>
      <c r="ITG18"/>
      <c r="ITH18"/>
      <c r="ITI18"/>
      <c r="ITJ18"/>
      <c r="ITK18"/>
      <c r="ITL18"/>
      <c r="ITM18"/>
      <c r="ITN18"/>
      <c r="ITO18"/>
      <c r="ITP18"/>
      <c r="ITQ18"/>
      <c r="ITR18"/>
      <c r="ITS18"/>
      <c r="ITT18"/>
      <c r="ITU18"/>
      <c r="ITV18"/>
      <c r="ITW18"/>
      <c r="ITX18"/>
      <c r="ITY18"/>
      <c r="ITZ18"/>
      <c r="IUA18"/>
      <c r="IUB18"/>
      <c r="IUC18"/>
      <c r="IUD18"/>
      <c r="IUE18"/>
      <c r="IUF18"/>
      <c r="IUG18"/>
      <c r="IUH18"/>
      <c r="IUI18"/>
      <c r="IUJ18"/>
      <c r="IUK18"/>
      <c r="IUL18"/>
      <c r="IUM18"/>
      <c r="IUN18"/>
      <c r="IUO18"/>
      <c r="IUP18"/>
      <c r="IUQ18"/>
      <c r="IUR18"/>
      <c r="IUS18"/>
      <c r="IUT18"/>
      <c r="IUU18"/>
      <c r="IUV18"/>
      <c r="IUW18"/>
      <c r="IUX18"/>
      <c r="IUY18"/>
      <c r="IUZ18"/>
      <c r="IVA18"/>
      <c r="IVB18"/>
      <c r="IVC18"/>
      <c r="IVD18"/>
      <c r="IVE18"/>
      <c r="IVF18"/>
      <c r="IVG18"/>
      <c r="IVH18"/>
      <c r="IVI18"/>
      <c r="IVJ18"/>
      <c r="IVK18"/>
      <c r="IVL18"/>
      <c r="IVM18"/>
      <c r="IVN18"/>
      <c r="IVO18"/>
      <c r="IVP18"/>
      <c r="IVQ18"/>
      <c r="IVR18"/>
      <c r="IVS18"/>
      <c r="IVT18"/>
      <c r="IVU18"/>
      <c r="IVV18"/>
      <c r="IVW18"/>
      <c r="IVX18"/>
      <c r="IVY18"/>
      <c r="IVZ18"/>
      <c r="IWA18"/>
      <c r="IWB18"/>
      <c r="IWC18"/>
      <c r="IWD18"/>
      <c r="IWE18"/>
      <c r="IWF18"/>
      <c r="IWG18"/>
      <c r="IWH18"/>
      <c r="IWI18"/>
      <c r="IWJ18"/>
      <c r="IWK18"/>
      <c r="IWL18"/>
      <c r="IWM18"/>
      <c r="IWN18"/>
      <c r="IWO18"/>
      <c r="IWP18"/>
      <c r="IWQ18"/>
      <c r="IWR18"/>
      <c r="IWS18"/>
      <c r="IWT18"/>
      <c r="IWU18"/>
      <c r="IWV18"/>
      <c r="IWW18"/>
      <c r="IWX18"/>
      <c r="IWY18"/>
      <c r="IWZ18"/>
      <c r="IXA18"/>
      <c r="IXB18"/>
      <c r="IXC18"/>
      <c r="IXD18"/>
      <c r="IXE18"/>
      <c r="IXF18"/>
      <c r="IXG18"/>
      <c r="IXH18"/>
      <c r="IXI18"/>
      <c r="IXJ18"/>
      <c r="IXK18"/>
      <c r="IXL18"/>
      <c r="IXM18"/>
      <c r="IXN18"/>
      <c r="IXO18"/>
      <c r="IXP18"/>
      <c r="IXQ18"/>
      <c r="IXR18"/>
      <c r="IXS18"/>
      <c r="IXT18"/>
      <c r="IXU18"/>
      <c r="IXV18"/>
      <c r="IXW18"/>
      <c r="IXX18"/>
      <c r="IXY18"/>
      <c r="IXZ18"/>
      <c r="IYA18"/>
      <c r="IYB18"/>
      <c r="IYC18"/>
      <c r="IYD18"/>
      <c r="IYE18"/>
      <c r="IYF18"/>
      <c r="IYG18"/>
      <c r="IYH18"/>
      <c r="IYI18"/>
      <c r="IYJ18"/>
      <c r="IYK18"/>
      <c r="IYL18"/>
      <c r="IYM18"/>
      <c r="IYN18"/>
      <c r="IYO18"/>
      <c r="IYP18"/>
      <c r="IYQ18"/>
      <c r="IYR18"/>
      <c r="IYS18"/>
      <c r="IYT18"/>
      <c r="IYU18"/>
      <c r="IYV18"/>
      <c r="IYW18"/>
      <c r="IYX18"/>
      <c r="IYY18"/>
      <c r="IYZ18"/>
      <c r="IZA18"/>
      <c r="IZB18"/>
      <c r="IZC18"/>
      <c r="IZD18"/>
      <c r="IZE18"/>
      <c r="IZF18"/>
      <c r="IZG18"/>
      <c r="IZH18"/>
      <c r="IZI18"/>
      <c r="IZJ18"/>
      <c r="IZK18"/>
      <c r="IZL18"/>
      <c r="IZM18"/>
      <c r="IZN18"/>
      <c r="IZO18"/>
      <c r="IZP18"/>
      <c r="IZQ18"/>
      <c r="IZR18"/>
      <c r="IZS18"/>
      <c r="IZT18"/>
      <c r="IZU18"/>
      <c r="IZV18"/>
      <c r="IZW18"/>
      <c r="IZX18"/>
      <c r="IZY18"/>
      <c r="IZZ18"/>
      <c r="JAA18"/>
      <c r="JAB18"/>
      <c r="JAC18"/>
      <c r="JAD18"/>
      <c r="JAE18"/>
      <c r="JAF18"/>
      <c r="JAG18"/>
      <c r="JAH18"/>
      <c r="JAI18"/>
      <c r="JAJ18"/>
      <c r="JAK18"/>
      <c r="JAL18"/>
      <c r="JAM18"/>
      <c r="JAN18"/>
      <c r="JAO18"/>
      <c r="JAP18"/>
      <c r="JAQ18"/>
      <c r="JAR18"/>
      <c r="JAS18"/>
      <c r="JAT18"/>
      <c r="JAU18"/>
      <c r="JAV18"/>
      <c r="JAW18"/>
      <c r="JAX18"/>
      <c r="JAY18"/>
      <c r="JAZ18"/>
      <c r="JBA18"/>
      <c r="JBB18"/>
      <c r="JBC18"/>
      <c r="JBD18"/>
      <c r="JBE18"/>
      <c r="JBF18"/>
      <c r="JBG18"/>
      <c r="JBH18"/>
      <c r="JBI18"/>
      <c r="JBJ18"/>
      <c r="JBK18"/>
      <c r="JBL18"/>
      <c r="JBM18"/>
      <c r="JBN18"/>
      <c r="JBO18"/>
      <c r="JBP18"/>
      <c r="JBQ18"/>
      <c r="JBR18"/>
      <c r="JBS18"/>
      <c r="JBT18"/>
      <c r="JBU18"/>
      <c r="JBV18"/>
      <c r="JBW18"/>
      <c r="JBX18"/>
      <c r="JBY18"/>
      <c r="JBZ18"/>
      <c r="JCA18"/>
      <c r="JCB18"/>
      <c r="JCC18"/>
      <c r="JCD18"/>
      <c r="JCE18"/>
      <c r="JCF18"/>
      <c r="JCG18"/>
      <c r="JCH18"/>
      <c r="JCI18"/>
      <c r="JCJ18"/>
      <c r="JCK18"/>
      <c r="JCL18"/>
      <c r="JCM18"/>
      <c r="JCN18"/>
      <c r="JCO18"/>
      <c r="JCP18"/>
      <c r="JCQ18"/>
      <c r="JCR18"/>
      <c r="JCS18"/>
      <c r="JCT18"/>
      <c r="JCU18"/>
      <c r="JCV18"/>
      <c r="JCW18"/>
      <c r="JCX18"/>
      <c r="JCY18"/>
      <c r="JCZ18"/>
      <c r="JDA18"/>
      <c r="JDB18"/>
      <c r="JDC18"/>
      <c r="JDD18"/>
      <c r="JDE18"/>
      <c r="JDF18"/>
      <c r="JDG18"/>
      <c r="JDH18"/>
      <c r="JDI18"/>
      <c r="JDJ18"/>
      <c r="JDK18"/>
      <c r="JDL18"/>
      <c r="JDM18"/>
      <c r="JDN18"/>
      <c r="JDO18"/>
      <c r="JDP18"/>
      <c r="JDQ18"/>
      <c r="JDR18"/>
      <c r="JDS18"/>
      <c r="JDT18"/>
      <c r="JDU18"/>
      <c r="JDV18"/>
      <c r="JDW18"/>
      <c r="JDX18"/>
      <c r="JDY18"/>
      <c r="JDZ18"/>
      <c r="JEA18"/>
      <c r="JEB18"/>
      <c r="JEC18"/>
      <c r="JED18"/>
      <c r="JEE18"/>
      <c r="JEF18"/>
      <c r="JEG18"/>
      <c r="JEH18"/>
      <c r="JEI18"/>
      <c r="JEJ18"/>
      <c r="JEK18"/>
      <c r="JEL18"/>
      <c r="JEM18"/>
      <c r="JEN18"/>
      <c r="JEO18"/>
      <c r="JEP18"/>
      <c r="JEQ18"/>
      <c r="JER18"/>
      <c r="JES18"/>
      <c r="JET18"/>
      <c r="JEU18"/>
      <c r="JEV18"/>
      <c r="JEW18"/>
      <c r="JEX18"/>
      <c r="JEY18"/>
      <c r="JEZ18"/>
      <c r="JFA18"/>
      <c r="JFB18"/>
      <c r="JFC18"/>
      <c r="JFD18"/>
      <c r="JFE18"/>
      <c r="JFF18"/>
      <c r="JFG18"/>
      <c r="JFH18"/>
      <c r="JFI18"/>
      <c r="JFJ18"/>
      <c r="JFK18"/>
      <c r="JFL18"/>
      <c r="JFM18"/>
      <c r="JFN18"/>
      <c r="JFO18"/>
      <c r="JFP18"/>
      <c r="JFQ18"/>
      <c r="JFR18"/>
      <c r="JFS18"/>
      <c r="JFT18"/>
      <c r="JFU18"/>
      <c r="JFV18"/>
      <c r="JFW18"/>
      <c r="JFX18"/>
      <c r="JFY18"/>
      <c r="JFZ18"/>
      <c r="JGA18"/>
      <c r="JGB18"/>
      <c r="JGC18"/>
      <c r="JGD18"/>
      <c r="JGE18"/>
      <c r="JGF18"/>
      <c r="JGG18"/>
      <c r="JGH18"/>
      <c r="JGI18"/>
      <c r="JGJ18"/>
      <c r="JGK18"/>
      <c r="JGL18"/>
      <c r="JGM18"/>
      <c r="JGN18"/>
      <c r="JGO18"/>
      <c r="JGP18"/>
      <c r="JGQ18"/>
      <c r="JGR18"/>
      <c r="JGS18"/>
      <c r="JGT18"/>
      <c r="JGU18"/>
      <c r="JGV18"/>
      <c r="JGW18"/>
      <c r="JGX18"/>
      <c r="JGY18"/>
      <c r="JGZ18"/>
      <c r="JHA18"/>
      <c r="JHB18"/>
      <c r="JHC18"/>
      <c r="JHD18"/>
      <c r="JHE18"/>
      <c r="JHF18"/>
      <c r="JHG18"/>
      <c r="JHH18"/>
      <c r="JHI18"/>
      <c r="JHJ18"/>
      <c r="JHK18"/>
      <c r="JHL18"/>
      <c r="JHM18"/>
      <c r="JHN18"/>
      <c r="JHO18"/>
      <c r="JHP18"/>
      <c r="JHQ18"/>
      <c r="JHR18"/>
      <c r="JHS18"/>
      <c r="JHT18"/>
      <c r="JHU18"/>
      <c r="JHV18"/>
      <c r="JHW18"/>
      <c r="JHX18"/>
      <c r="JHY18"/>
      <c r="JHZ18"/>
      <c r="JIA18"/>
      <c r="JIB18"/>
      <c r="JIC18"/>
      <c r="JID18"/>
      <c r="JIE18"/>
      <c r="JIF18"/>
      <c r="JIG18"/>
      <c r="JIH18"/>
      <c r="JII18"/>
      <c r="JIJ18"/>
      <c r="JIK18"/>
      <c r="JIL18"/>
      <c r="JIM18"/>
      <c r="JIN18"/>
      <c r="JIO18"/>
      <c r="JIP18"/>
      <c r="JIQ18"/>
      <c r="JIR18"/>
      <c r="JIS18"/>
      <c r="JIT18"/>
      <c r="JIU18"/>
      <c r="JIV18"/>
      <c r="JIW18"/>
      <c r="JIX18"/>
      <c r="JIY18"/>
      <c r="JIZ18"/>
      <c r="JJA18"/>
      <c r="JJB18"/>
      <c r="JJC18"/>
      <c r="JJD18"/>
      <c r="JJE18"/>
      <c r="JJF18"/>
      <c r="JJG18"/>
      <c r="JJH18"/>
      <c r="JJI18"/>
      <c r="JJJ18"/>
      <c r="JJK18"/>
      <c r="JJL18"/>
      <c r="JJM18"/>
      <c r="JJN18"/>
      <c r="JJO18"/>
      <c r="JJP18"/>
      <c r="JJQ18"/>
      <c r="JJR18"/>
      <c r="JJS18"/>
      <c r="JJT18"/>
      <c r="JJU18"/>
      <c r="JJV18"/>
      <c r="JJW18"/>
      <c r="JJX18"/>
      <c r="JJY18"/>
      <c r="JJZ18"/>
      <c r="JKA18"/>
      <c r="JKB18"/>
      <c r="JKC18"/>
      <c r="JKD18"/>
      <c r="JKE18"/>
      <c r="JKF18"/>
      <c r="JKG18"/>
      <c r="JKH18"/>
      <c r="JKI18"/>
      <c r="JKJ18"/>
      <c r="JKK18"/>
      <c r="JKL18"/>
      <c r="JKM18"/>
      <c r="JKN18"/>
      <c r="JKO18"/>
      <c r="JKP18"/>
      <c r="JKQ18"/>
      <c r="JKR18"/>
      <c r="JKS18"/>
      <c r="JKT18"/>
      <c r="JKU18"/>
      <c r="JKV18"/>
      <c r="JKW18"/>
      <c r="JKX18"/>
      <c r="JKY18"/>
      <c r="JKZ18"/>
      <c r="JLA18"/>
      <c r="JLB18"/>
      <c r="JLC18"/>
      <c r="JLD18"/>
      <c r="JLE18"/>
      <c r="JLF18"/>
      <c r="JLG18"/>
      <c r="JLH18"/>
      <c r="JLI18"/>
      <c r="JLJ18"/>
      <c r="JLK18"/>
      <c r="JLL18"/>
      <c r="JLM18"/>
      <c r="JLN18"/>
      <c r="JLO18"/>
      <c r="JLP18"/>
      <c r="JLQ18"/>
      <c r="JLR18"/>
      <c r="JLS18"/>
      <c r="JLT18"/>
      <c r="JLU18"/>
      <c r="JLV18"/>
      <c r="JLW18"/>
      <c r="JLX18"/>
      <c r="JLY18"/>
      <c r="JLZ18"/>
      <c r="JMA18"/>
      <c r="JMB18"/>
      <c r="JMC18"/>
      <c r="JMD18"/>
      <c r="JME18"/>
      <c r="JMF18"/>
      <c r="JMG18"/>
      <c r="JMH18"/>
      <c r="JMI18"/>
      <c r="JMJ18"/>
      <c r="JMK18"/>
      <c r="JML18"/>
      <c r="JMM18"/>
      <c r="JMN18"/>
      <c r="JMO18"/>
      <c r="JMP18"/>
      <c r="JMQ18"/>
      <c r="JMR18"/>
      <c r="JMS18"/>
      <c r="JMT18"/>
      <c r="JMU18"/>
      <c r="JMV18"/>
      <c r="JMW18"/>
      <c r="JMX18"/>
      <c r="JMY18"/>
      <c r="JMZ18"/>
      <c r="JNA18"/>
      <c r="JNB18"/>
      <c r="JNC18"/>
      <c r="JND18"/>
      <c r="JNE18"/>
      <c r="JNF18"/>
      <c r="JNG18"/>
      <c r="JNH18"/>
      <c r="JNI18"/>
      <c r="JNJ18"/>
      <c r="JNK18"/>
      <c r="JNL18"/>
      <c r="JNM18"/>
      <c r="JNN18"/>
      <c r="JNO18"/>
      <c r="JNP18"/>
      <c r="JNQ18"/>
      <c r="JNR18"/>
      <c r="JNS18"/>
      <c r="JNT18"/>
      <c r="JNU18"/>
      <c r="JNV18"/>
      <c r="JNW18"/>
      <c r="JNX18"/>
      <c r="JNY18"/>
      <c r="JNZ18"/>
      <c r="JOA18"/>
      <c r="JOB18"/>
      <c r="JOC18"/>
      <c r="JOD18"/>
      <c r="JOE18"/>
      <c r="JOF18"/>
      <c r="JOG18"/>
      <c r="JOH18"/>
      <c r="JOI18"/>
      <c r="JOJ18"/>
      <c r="JOK18"/>
      <c r="JOL18"/>
      <c r="JOM18"/>
      <c r="JON18"/>
      <c r="JOO18"/>
      <c r="JOP18"/>
      <c r="JOQ18"/>
      <c r="JOR18"/>
      <c r="JOS18"/>
      <c r="JOT18"/>
      <c r="JOU18"/>
      <c r="JOV18"/>
      <c r="JOW18"/>
      <c r="JOX18"/>
      <c r="JOY18"/>
      <c r="JOZ18"/>
      <c r="JPA18"/>
      <c r="JPB18"/>
      <c r="JPC18"/>
      <c r="JPD18"/>
      <c r="JPE18"/>
      <c r="JPF18"/>
      <c r="JPG18"/>
      <c r="JPH18"/>
      <c r="JPI18"/>
      <c r="JPJ18"/>
      <c r="JPK18"/>
      <c r="JPL18"/>
      <c r="JPM18"/>
      <c r="JPN18"/>
      <c r="JPO18"/>
      <c r="JPP18"/>
      <c r="JPQ18"/>
      <c r="JPR18"/>
      <c r="JPS18"/>
      <c r="JPT18"/>
      <c r="JPU18"/>
      <c r="JPV18"/>
      <c r="JPW18"/>
      <c r="JPX18"/>
      <c r="JPY18"/>
      <c r="JPZ18"/>
      <c r="JQA18"/>
      <c r="JQB18"/>
      <c r="JQC18"/>
      <c r="JQD18"/>
      <c r="JQE18"/>
      <c r="JQF18"/>
      <c r="JQG18"/>
      <c r="JQH18"/>
      <c r="JQI18"/>
      <c r="JQJ18"/>
      <c r="JQK18"/>
      <c r="JQL18"/>
      <c r="JQM18"/>
      <c r="JQN18"/>
      <c r="JQO18"/>
      <c r="JQP18"/>
      <c r="JQQ18"/>
      <c r="JQR18"/>
      <c r="JQS18"/>
      <c r="JQT18"/>
      <c r="JQU18"/>
      <c r="JQV18"/>
      <c r="JQW18"/>
      <c r="JQX18"/>
      <c r="JQY18"/>
      <c r="JQZ18"/>
      <c r="JRA18"/>
      <c r="JRB18"/>
      <c r="JRC18"/>
      <c r="JRD18"/>
      <c r="JRE18"/>
      <c r="JRF18"/>
      <c r="JRG18"/>
      <c r="JRH18"/>
      <c r="JRI18"/>
      <c r="JRJ18"/>
      <c r="JRK18"/>
      <c r="JRL18"/>
      <c r="JRM18"/>
      <c r="JRN18"/>
      <c r="JRO18"/>
      <c r="JRP18"/>
      <c r="JRQ18"/>
      <c r="JRR18"/>
      <c r="JRS18"/>
      <c r="JRT18"/>
      <c r="JRU18"/>
      <c r="JRV18"/>
      <c r="JRW18"/>
      <c r="JRX18"/>
      <c r="JRY18"/>
      <c r="JRZ18"/>
      <c r="JSA18"/>
      <c r="JSB18"/>
      <c r="JSC18"/>
      <c r="JSD18"/>
      <c r="JSE18"/>
      <c r="JSF18"/>
      <c r="JSG18"/>
      <c r="JSH18"/>
      <c r="JSI18"/>
      <c r="JSJ18"/>
      <c r="JSK18"/>
      <c r="JSL18"/>
      <c r="JSM18"/>
      <c r="JSN18"/>
      <c r="JSO18"/>
      <c r="JSP18"/>
      <c r="JSQ18"/>
      <c r="JSR18"/>
      <c r="JSS18"/>
      <c r="JST18"/>
      <c r="JSU18"/>
      <c r="JSV18"/>
      <c r="JSW18"/>
      <c r="JSX18"/>
      <c r="JSY18"/>
      <c r="JSZ18"/>
      <c r="JTA18"/>
      <c r="JTB18"/>
      <c r="JTC18"/>
      <c r="JTD18"/>
      <c r="JTE18"/>
      <c r="JTF18"/>
      <c r="JTG18"/>
      <c r="JTH18"/>
      <c r="JTI18"/>
      <c r="JTJ18"/>
      <c r="JTK18"/>
      <c r="JTL18"/>
      <c r="JTM18"/>
      <c r="JTN18"/>
      <c r="JTO18"/>
      <c r="JTP18"/>
      <c r="JTQ18"/>
      <c r="JTR18"/>
      <c r="JTS18"/>
      <c r="JTT18"/>
      <c r="JTU18"/>
      <c r="JTV18"/>
      <c r="JTW18"/>
      <c r="JTX18"/>
      <c r="JTY18"/>
      <c r="JTZ18"/>
      <c r="JUA18"/>
      <c r="JUB18"/>
      <c r="JUC18"/>
      <c r="JUD18"/>
      <c r="JUE18"/>
      <c r="JUF18"/>
      <c r="JUG18"/>
      <c r="JUH18"/>
      <c r="JUI18"/>
      <c r="JUJ18"/>
      <c r="JUK18"/>
      <c r="JUL18"/>
      <c r="JUM18"/>
      <c r="JUN18"/>
      <c r="JUO18"/>
      <c r="JUP18"/>
      <c r="JUQ18"/>
      <c r="JUR18"/>
      <c r="JUS18"/>
      <c r="JUT18"/>
      <c r="JUU18"/>
      <c r="JUV18"/>
      <c r="JUW18"/>
      <c r="JUX18"/>
      <c r="JUY18"/>
      <c r="JUZ18"/>
      <c r="JVA18"/>
      <c r="JVB18"/>
      <c r="JVC18"/>
      <c r="JVD18"/>
      <c r="JVE18"/>
      <c r="JVF18"/>
      <c r="JVG18"/>
      <c r="JVH18"/>
      <c r="JVI18"/>
      <c r="JVJ18"/>
      <c r="JVK18"/>
      <c r="JVL18"/>
      <c r="JVM18"/>
      <c r="JVN18"/>
      <c r="JVO18"/>
      <c r="JVP18"/>
      <c r="JVQ18"/>
      <c r="JVR18"/>
      <c r="JVS18"/>
      <c r="JVT18"/>
      <c r="JVU18"/>
      <c r="JVV18"/>
      <c r="JVW18"/>
      <c r="JVX18"/>
      <c r="JVY18"/>
      <c r="JVZ18"/>
      <c r="JWA18"/>
      <c r="JWB18"/>
      <c r="JWC18"/>
      <c r="JWD18"/>
      <c r="JWE18"/>
      <c r="JWF18"/>
      <c r="JWG18"/>
      <c r="JWH18"/>
      <c r="JWI18"/>
      <c r="JWJ18"/>
      <c r="JWK18"/>
      <c r="JWL18"/>
      <c r="JWM18"/>
      <c r="JWN18"/>
      <c r="JWO18"/>
      <c r="JWP18"/>
      <c r="JWQ18"/>
      <c r="JWR18"/>
      <c r="JWS18"/>
      <c r="JWT18"/>
      <c r="JWU18"/>
      <c r="JWV18"/>
      <c r="JWW18"/>
      <c r="JWX18"/>
      <c r="JWY18"/>
      <c r="JWZ18"/>
      <c r="JXA18"/>
      <c r="JXB18"/>
      <c r="JXC18"/>
      <c r="JXD18"/>
      <c r="JXE18"/>
      <c r="JXF18"/>
      <c r="JXG18"/>
      <c r="JXH18"/>
      <c r="JXI18"/>
      <c r="JXJ18"/>
      <c r="JXK18"/>
      <c r="JXL18"/>
      <c r="JXM18"/>
      <c r="JXN18"/>
      <c r="JXO18"/>
      <c r="JXP18"/>
      <c r="JXQ18"/>
      <c r="JXR18"/>
      <c r="JXS18"/>
      <c r="JXT18"/>
      <c r="JXU18"/>
      <c r="JXV18"/>
      <c r="JXW18"/>
      <c r="JXX18"/>
      <c r="JXY18"/>
      <c r="JXZ18"/>
      <c r="JYA18"/>
      <c r="JYB18"/>
      <c r="JYC18"/>
      <c r="JYD18"/>
      <c r="JYE18"/>
      <c r="JYF18"/>
      <c r="JYG18"/>
      <c r="JYH18"/>
      <c r="JYI18"/>
      <c r="JYJ18"/>
      <c r="JYK18"/>
      <c r="JYL18"/>
      <c r="JYM18"/>
      <c r="JYN18"/>
      <c r="JYO18"/>
      <c r="JYP18"/>
      <c r="JYQ18"/>
      <c r="JYR18"/>
      <c r="JYS18"/>
      <c r="JYT18"/>
      <c r="JYU18"/>
      <c r="JYV18"/>
      <c r="JYW18"/>
      <c r="JYX18"/>
      <c r="JYY18"/>
      <c r="JYZ18"/>
      <c r="JZA18"/>
      <c r="JZB18"/>
      <c r="JZC18"/>
      <c r="JZD18"/>
      <c r="JZE18"/>
      <c r="JZF18"/>
      <c r="JZG18"/>
      <c r="JZH18"/>
      <c r="JZI18"/>
      <c r="JZJ18"/>
      <c r="JZK18"/>
      <c r="JZL18"/>
      <c r="JZM18"/>
      <c r="JZN18"/>
      <c r="JZO18"/>
      <c r="JZP18"/>
      <c r="JZQ18"/>
      <c r="JZR18"/>
      <c r="JZS18"/>
      <c r="JZT18"/>
      <c r="JZU18"/>
      <c r="JZV18"/>
      <c r="JZW18"/>
      <c r="JZX18"/>
      <c r="JZY18"/>
      <c r="JZZ18"/>
      <c r="KAA18"/>
      <c r="KAB18"/>
      <c r="KAC18"/>
      <c r="KAD18"/>
      <c r="KAE18"/>
      <c r="KAF18"/>
      <c r="KAG18"/>
      <c r="KAH18"/>
      <c r="KAI18"/>
      <c r="KAJ18"/>
      <c r="KAK18"/>
      <c r="KAL18"/>
      <c r="KAM18"/>
      <c r="KAN18"/>
      <c r="KAO18"/>
      <c r="KAP18"/>
      <c r="KAQ18"/>
      <c r="KAR18"/>
      <c r="KAS18"/>
      <c r="KAT18"/>
      <c r="KAU18"/>
      <c r="KAV18"/>
      <c r="KAW18"/>
      <c r="KAX18"/>
      <c r="KAY18"/>
      <c r="KAZ18"/>
      <c r="KBA18"/>
      <c r="KBB18"/>
      <c r="KBC18"/>
      <c r="KBD18"/>
      <c r="KBE18"/>
      <c r="KBF18"/>
      <c r="KBG18"/>
      <c r="KBH18"/>
      <c r="KBI18"/>
      <c r="KBJ18"/>
      <c r="KBK18"/>
      <c r="KBL18"/>
      <c r="KBM18"/>
      <c r="KBN18"/>
      <c r="KBO18"/>
      <c r="KBP18"/>
      <c r="KBQ18"/>
      <c r="KBR18"/>
      <c r="KBS18"/>
      <c r="KBT18"/>
      <c r="KBU18"/>
      <c r="KBV18"/>
      <c r="KBW18"/>
      <c r="KBX18"/>
      <c r="KBY18"/>
      <c r="KBZ18"/>
      <c r="KCA18"/>
      <c r="KCB18"/>
      <c r="KCC18"/>
      <c r="KCD18"/>
      <c r="KCE18"/>
      <c r="KCF18"/>
      <c r="KCG18"/>
      <c r="KCH18"/>
      <c r="KCI18"/>
      <c r="KCJ18"/>
      <c r="KCK18"/>
      <c r="KCL18"/>
      <c r="KCM18"/>
      <c r="KCN18"/>
      <c r="KCO18"/>
      <c r="KCP18"/>
      <c r="KCQ18"/>
      <c r="KCR18"/>
      <c r="KCS18"/>
      <c r="KCT18"/>
      <c r="KCU18"/>
      <c r="KCV18"/>
      <c r="KCW18"/>
      <c r="KCX18"/>
      <c r="KCY18"/>
      <c r="KCZ18"/>
      <c r="KDA18"/>
      <c r="KDB18"/>
      <c r="KDC18"/>
      <c r="KDD18"/>
      <c r="KDE18"/>
      <c r="KDF18"/>
      <c r="KDG18"/>
      <c r="KDH18"/>
      <c r="KDI18"/>
      <c r="KDJ18"/>
      <c r="KDK18"/>
      <c r="KDL18"/>
      <c r="KDM18"/>
      <c r="KDN18"/>
      <c r="KDO18"/>
      <c r="KDP18"/>
      <c r="KDQ18"/>
      <c r="KDR18"/>
      <c r="KDS18"/>
      <c r="KDT18"/>
      <c r="KDU18"/>
      <c r="KDV18"/>
      <c r="KDW18"/>
      <c r="KDX18"/>
      <c r="KDY18"/>
      <c r="KDZ18"/>
      <c r="KEA18"/>
      <c r="KEB18"/>
      <c r="KEC18"/>
      <c r="KED18"/>
      <c r="KEE18"/>
      <c r="KEF18"/>
      <c r="KEG18"/>
      <c r="KEH18"/>
      <c r="KEI18"/>
      <c r="KEJ18"/>
      <c r="KEK18"/>
      <c r="KEL18"/>
      <c r="KEM18"/>
      <c r="KEN18"/>
      <c r="KEO18"/>
      <c r="KEP18"/>
      <c r="KEQ18"/>
      <c r="KER18"/>
      <c r="KES18"/>
      <c r="KET18"/>
      <c r="KEU18"/>
      <c r="KEV18"/>
      <c r="KEW18"/>
      <c r="KEX18"/>
      <c r="KEY18"/>
      <c r="KEZ18"/>
      <c r="KFA18"/>
      <c r="KFB18"/>
      <c r="KFC18"/>
      <c r="KFD18"/>
      <c r="KFE18"/>
      <c r="KFF18"/>
      <c r="KFG18"/>
      <c r="KFH18"/>
      <c r="KFI18"/>
      <c r="KFJ18"/>
      <c r="KFK18"/>
      <c r="KFL18"/>
      <c r="KFM18"/>
      <c r="KFN18"/>
      <c r="KFO18"/>
      <c r="KFP18"/>
      <c r="KFQ18"/>
      <c r="KFR18"/>
      <c r="KFS18"/>
      <c r="KFT18"/>
      <c r="KFU18"/>
      <c r="KFV18"/>
      <c r="KFW18"/>
      <c r="KFX18"/>
      <c r="KFY18"/>
      <c r="KFZ18"/>
      <c r="KGA18"/>
      <c r="KGB18"/>
      <c r="KGC18"/>
      <c r="KGD18"/>
      <c r="KGE18"/>
      <c r="KGF18"/>
      <c r="KGG18"/>
      <c r="KGH18"/>
      <c r="KGI18"/>
      <c r="KGJ18"/>
      <c r="KGK18"/>
      <c r="KGL18"/>
      <c r="KGM18"/>
      <c r="KGN18"/>
      <c r="KGO18"/>
      <c r="KGP18"/>
      <c r="KGQ18"/>
      <c r="KGR18"/>
      <c r="KGS18"/>
      <c r="KGT18"/>
      <c r="KGU18"/>
      <c r="KGV18"/>
      <c r="KGW18"/>
      <c r="KGX18"/>
      <c r="KGY18"/>
      <c r="KGZ18"/>
      <c r="KHA18"/>
      <c r="KHB18"/>
      <c r="KHC18"/>
      <c r="KHD18"/>
      <c r="KHE18"/>
      <c r="KHF18"/>
      <c r="KHG18"/>
      <c r="KHH18"/>
      <c r="KHI18"/>
      <c r="KHJ18"/>
      <c r="KHK18"/>
      <c r="KHL18"/>
      <c r="KHM18"/>
      <c r="KHN18"/>
      <c r="KHO18"/>
      <c r="KHP18"/>
      <c r="KHQ18"/>
      <c r="KHR18"/>
      <c r="KHS18"/>
      <c r="KHT18"/>
      <c r="KHU18"/>
      <c r="KHV18"/>
      <c r="KHW18"/>
      <c r="KHX18"/>
      <c r="KHY18"/>
      <c r="KHZ18"/>
      <c r="KIA18"/>
      <c r="KIB18"/>
      <c r="KIC18"/>
      <c r="KID18"/>
      <c r="KIE18"/>
      <c r="KIF18"/>
      <c r="KIG18"/>
      <c r="KIH18"/>
      <c r="KII18"/>
      <c r="KIJ18"/>
      <c r="KIK18"/>
      <c r="KIL18"/>
      <c r="KIM18"/>
      <c r="KIN18"/>
      <c r="KIO18"/>
      <c r="KIP18"/>
      <c r="KIQ18"/>
      <c r="KIR18"/>
      <c r="KIS18"/>
      <c r="KIT18"/>
      <c r="KIU18"/>
      <c r="KIV18"/>
      <c r="KIW18"/>
      <c r="KIX18"/>
      <c r="KIY18"/>
      <c r="KIZ18"/>
      <c r="KJA18"/>
      <c r="KJB18"/>
      <c r="KJC18"/>
      <c r="KJD18"/>
      <c r="KJE18"/>
      <c r="KJF18"/>
      <c r="KJG18"/>
      <c r="KJH18"/>
      <c r="KJI18"/>
      <c r="KJJ18"/>
      <c r="KJK18"/>
      <c r="KJL18"/>
      <c r="KJM18"/>
      <c r="KJN18"/>
      <c r="KJO18"/>
      <c r="KJP18"/>
      <c r="KJQ18"/>
      <c r="KJR18"/>
      <c r="KJS18"/>
      <c r="KJT18"/>
      <c r="KJU18"/>
      <c r="KJV18"/>
      <c r="KJW18"/>
      <c r="KJX18"/>
      <c r="KJY18"/>
      <c r="KJZ18"/>
      <c r="KKA18"/>
      <c r="KKB18"/>
      <c r="KKC18"/>
      <c r="KKD18"/>
      <c r="KKE18"/>
      <c r="KKF18"/>
      <c r="KKG18"/>
      <c r="KKH18"/>
      <c r="KKI18"/>
      <c r="KKJ18"/>
      <c r="KKK18"/>
      <c r="KKL18"/>
      <c r="KKM18"/>
      <c r="KKN18"/>
      <c r="KKO18"/>
      <c r="KKP18"/>
      <c r="KKQ18"/>
      <c r="KKR18"/>
      <c r="KKS18"/>
      <c r="KKT18"/>
      <c r="KKU18"/>
      <c r="KKV18"/>
      <c r="KKW18"/>
      <c r="KKX18"/>
      <c r="KKY18"/>
      <c r="KKZ18"/>
      <c r="KLA18"/>
      <c r="KLB18"/>
      <c r="KLC18"/>
      <c r="KLD18"/>
      <c r="KLE18"/>
      <c r="KLF18"/>
      <c r="KLG18"/>
      <c r="KLH18"/>
      <c r="KLI18"/>
      <c r="KLJ18"/>
      <c r="KLK18"/>
      <c r="KLL18"/>
      <c r="KLM18"/>
      <c r="KLN18"/>
      <c r="KLO18"/>
      <c r="KLP18"/>
      <c r="KLQ18"/>
      <c r="KLR18"/>
      <c r="KLS18"/>
      <c r="KLT18"/>
      <c r="KLU18"/>
      <c r="KLV18"/>
      <c r="KLW18"/>
      <c r="KLX18"/>
      <c r="KLY18"/>
      <c r="KLZ18"/>
      <c r="KMA18"/>
      <c r="KMB18"/>
      <c r="KMC18"/>
      <c r="KMD18"/>
      <c r="KME18"/>
      <c r="KMF18"/>
      <c r="KMG18"/>
      <c r="KMH18"/>
      <c r="KMI18"/>
      <c r="KMJ18"/>
      <c r="KMK18"/>
      <c r="KML18"/>
      <c r="KMM18"/>
      <c r="KMN18"/>
      <c r="KMO18"/>
      <c r="KMP18"/>
      <c r="KMQ18"/>
      <c r="KMR18"/>
      <c r="KMS18"/>
      <c r="KMT18"/>
      <c r="KMU18"/>
      <c r="KMV18"/>
      <c r="KMW18"/>
      <c r="KMX18"/>
      <c r="KMY18"/>
      <c r="KMZ18"/>
      <c r="KNA18"/>
      <c r="KNB18"/>
      <c r="KNC18"/>
      <c r="KND18"/>
      <c r="KNE18"/>
      <c r="KNF18"/>
      <c r="KNG18"/>
      <c r="KNH18"/>
      <c r="KNI18"/>
      <c r="KNJ18"/>
      <c r="KNK18"/>
      <c r="KNL18"/>
      <c r="KNM18"/>
      <c r="KNN18"/>
      <c r="KNO18"/>
      <c r="KNP18"/>
      <c r="KNQ18"/>
      <c r="KNR18"/>
      <c r="KNS18"/>
      <c r="KNT18"/>
      <c r="KNU18"/>
      <c r="KNV18"/>
      <c r="KNW18"/>
      <c r="KNX18"/>
      <c r="KNY18"/>
      <c r="KNZ18"/>
      <c r="KOA18"/>
      <c r="KOB18"/>
      <c r="KOC18"/>
      <c r="KOD18"/>
      <c r="KOE18"/>
      <c r="KOF18"/>
      <c r="KOG18"/>
      <c r="KOH18"/>
      <c r="KOI18"/>
      <c r="KOJ18"/>
      <c r="KOK18"/>
      <c r="KOL18"/>
      <c r="KOM18"/>
      <c r="KON18"/>
      <c r="KOO18"/>
      <c r="KOP18"/>
      <c r="KOQ18"/>
      <c r="KOR18"/>
      <c r="KOS18"/>
      <c r="KOT18"/>
      <c r="KOU18"/>
      <c r="KOV18"/>
      <c r="KOW18"/>
      <c r="KOX18"/>
      <c r="KOY18"/>
      <c r="KOZ18"/>
      <c r="KPA18"/>
      <c r="KPB18"/>
      <c r="KPC18"/>
      <c r="KPD18"/>
      <c r="KPE18"/>
      <c r="KPF18"/>
      <c r="KPG18"/>
      <c r="KPH18"/>
      <c r="KPI18"/>
      <c r="KPJ18"/>
      <c r="KPK18"/>
      <c r="KPL18"/>
      <c r="KPM18"/>
      <c r="KPN18"/>
      <c r="KPO18"/>
      <c r="KPP18"/>
      <c r="KPQ18"/>
      <c r="KPR18"/>
      <c r="KPS18"/>
      <c r="KPT18"/>
      <c r="KPU18"/>
      <c r="KPV18"/>
      <c r="KPW18"/>
      <c r="KPX18"/>
      <c r="KPY18"/>
      <c r="KPZ18"/>
      <c r="KQA18"/>
      <c r="KQB18"/>
      <c r="KQC18"/>
      <c r="KQD18"/>
      <c r="KQE18"/>
      <c r="KQF18"/>
      <c r="KQG18"/>
      <c r="KQH18"/>
      <c r="KQI18"/>
      <c r="KQJ18"/>
      <c r="KQK18"/>
      <c r="KQL18"/>
      <c r="KQM18"/>
      <c r="KQN18"/>
      <c r="KQO18"/>
      <c r="KQP18"/>
      <c r="KQQ18"/>
      <c r="KQR18"/>
      <c r="KQS18"/>
      <c r="KQT18"/>
      <c r="KQU18"/>
      <c r="KQV18"/>
      <c r="KQW18"/>
      <c r="KQX18"/>
      <c r="KQY18"/>
      <c r="KQZ18"/>
      <c r="KRA18"/>
      <c r="KRB18"/>
      <c r="KRC18"/>
      <c r="KRD18"/>
      <c r="KRE18"/>
      <c r="KRF18"/>
      <c r="KRG18"/>
      <c r="KRH18"/>
      <c r="KRI18"/>
      <c r="KRJ18"/>
      <c r="KRK18"/>
      <c r="KRL18"/>
      <c r="KRM18"/>
      <c r="KRN18"/>
      <c r="KRO18"/>
      <c r="KRP18"/>
      <c r="KRQ18"/>
      <c r="KRR18"/>
      <c r="KRS18"/>
      <c r="KRT18"/>
      <c r="KRU18"/>
      <c r="KRV18"/>
      <c r="KRW18"/>
      <c r="KRX18"/>
      <c r="KRY18"/>
      <c r="KRZ18"/>
      <c r="KSA18"/>
      <c r="KSB18"/>
      <c r="KSC18"/>
      <c r="KSD18"/>
      <c r="KSE18"/>
      <c r="KSF18"/>
      <c r="KSG18"/>
      <c r="KSH18"/>
      <c r="KSI18"/>
      <c r="KSJ18"/>
      <c r="KSK18"/>
      <c r="KSL18"/>
      <c r="KSM18"/>
      <c r="KSN18"/>
      <c r="KSO18"/>
      <c r="KSP18"/>
      <c r="KSQ18"/>
      <c r="KSR18"/>
      <c r="KSS18"/>
      <c r="KST18"/>
      <c r="KSU18"/>
      <c r="KSV18"/>
      <c r="KSW18"/>
      <c r="KSX18"/>
      <c r="KSY18"/>
      <c r="KSZ18"/>
      <c r="KTA18"/>
      <c r="KTB18"/>
      <c r="KTC18"/>
      <c r="KTD18"/>
      <c r="KTE18"/>
      <c r="KTF18"/>
      <c r="KTG18"/>
      <c r="KTH18"/>
      <c r="KTI18"/>
      <c r="KTJ18"/>
      <c r="KTK18"/>
      <c r="KTL18"/>
      <c r="KTM18"/>
      <c r="KTN18"/>
      <c r="KTO18"/>
      <c r="KTP18"/>
      <c r="KTQ18"/>
      <c r="KTR18"/>
      <c r="KTS18"/>
      <c r="KTT18"/>
      <c r="KTU18"/>
      <c r="KTV18"/>
      <c r="KTW18"/>
      <c r="KTX18"/>
      <c r="KTY18"/>
      <c r="KTZ18"/>
      <c r="KUA18"/>
      <c r="KUB18"/>
      <c r="KUC18"/>
      <c r="KUD18"/>
      <c r="KUE18"/>
      <c r="KUF18"/>
      <c r="KUG18"/>
      <c r="KUH18"/>
      <c r="KUI18"/>
      <c r="KUJ18"/>
      <c r="KUK18"/>
      <c r="KUL18"/>
      <c r="KUM18"/>
      <c r="KUN18"/>
      <c r="KUO18"/>
      <c r="KUP18"/>
      <c r="KUQ18"/>
      <c r="KUR18"/>
      <c r="KUS18"/>
      <c r="KUT18"/>
      <c r="KUU18"/>
      <c r="KUV18"/>
      <c r="KUW18"/>
      <c r="KUX18"/>
      <c r="KUY18"/>
      <c r="KUZ18"/>
      <c r="KVA18"/>
      <c r="KVB18"/>
      <c r="KVC18"/>
      <c r="KVD18"/>
      <c r="KVE18"/>
      <c r="KVF18"/>
      <c r="KVG18"/>
      <c r="KVH18"/>
      <c r="KVI18"/>
      <c r="KVJ18"/>
      <c r="KVK18"/>
      <c r="KVL18"/>
      <c r="KVM18"/>
      <c r="KVN18"/>
      <c r="KVO18"/>
      <c r="KVP18"/>
      <c r="KVQ18"/>
      <c r="KVR18"/>
      <c r="KVS18"/>
      <c r="KVT18"/>
      <c r="KVU18"/>
      <c r="KVV18"/>
      <c r="KVW18"/>
      <c r="KVX18"/>
      <c r="KVY18"/>
      <c r="KVZ18"/>
      <c r="KWA18"/>
      <c r="KWB18"/>
      <c r="KWC18"/>
      <c r="KWD18"/>
      <c r="KWE18"/>
      <c r="KWF18"/>
      <c r="KWG18"/>
      <c r="KWH18"/>
      <c r="KWI18"/>
      <c r="KWJ18"/>
      <c r="KWK18"/>
      <c r="KWL18"/>
      <c r="KWM18"/>
      <c r="KWN18"/>
      <c r="KWO18"/>
      <c r="KWP18"/>
      <c r="KWQ18"/>
      <c r="KWR18"/>
      <c r="KWS18"/>
      <c r="KWT18"/>
      <c r="KWU18"/>
      <c r="KWV18"/>
      <c r="KWW18"/>
      <c r="KWX18"/>
      <c r="KWY18"/>
      <c r="KWZ18"/>
      <c r="KXA18"/>
      <c r="KXB18"/>
      <c r="KXC18"/>
      <c r="KXD18"/>
      <c r="KXE18"/>
      <c r="KXF18"/>
      <c r="KXG18"/>
      <c r="KXH18"/>
      <c r="KXI18"/>
      <c r="KXJ18"/>
      <c r="KXK18"/>
      <c r="KXL18"/>
      <c r="KXM18"/>
      <c r="KXN18"/>
      <c r="KXO18"/>
      <c r="KXP18"/>
      <c r="KXQ18"/>
      <c r="KXR18"/>
      <c r="KXS18"/>
      <c r="KXT18"/>
      <c r="KXU18"/>
      <c r="KXV18"/>
      <c r="KXW18"/>
      <c r="KXX18"/>
      <c r="KXY18"/>
      <c r="KXZ18"/>
      <c r="KYA18"/>
      <c r="KYB18"/>
      <c r="KYC18"/>
      <c r="KYD18"/>
      <c r="KYE18"/>
      <c r="KYF18"/>
      <c r="KYG18"/>
      <c r="KYH18"/>
      <c r="KYI18"/>
      <c r="KYJ18"/>
      <c r="KYK18"/>
      <c r="KYL18"/>
      <c r="KYM18"/>
      <c r="KYN18"/>
      <c r="KYO18"/>
      <c r="KYP18"/>
      <c r="KYQ18"/>
      <c r="KYR18"/>
      <c r="KYS18"/>
      <c r="KYT18"/>
      <c r="KYU18"/>
      <c r="KYV18"/>
      <c r="KYW18"/>
      <c r="KYX18"/>
      <c r="KYY18"/>
      <c r="KYZ18"/>
      <c r="KZA18"/>
      <c r="KZB18"/>
      <c r="KZC18"/>
      <c r="KZD18"/>
      <c r="KZE18"/>
      <c r="KZF18"/>
      <c r="KZG18"/>
      <c r="KZH18"/>
      <c r="KZI18"/>
      <c r="KZJ18"/>
      <c r="KZK18"/>
      <c r="KZL18"/>
      <c r="KZM18"/>
      <c r="KZN18"/>
      <c r="KZO18"/>
      <c r="KZP18"/>
      <c r="KZQ18"/>
      <c r="KZR18"/>
      <c r="KZS18"/>
      <c r="KZT18"/>
      <c r="KZU18"/>
      <c r="KZV18"/>
      <c r="KZW18"/>
      <c r="KZX18"/>
      <c r="KZY18"/>
      <c r="KZZ18"/>
      <c r="LAA18"/>
      <c r="LAB18"/>
      <c r="LAC18"/>
      <c r="LAD18"/>
      <c r="LAE18"/>
      <c r="LAF18"/>
      <c r="LAG18"/>
      <c r="LAH18"/>
      <c r="LAI18"/>
      <c r="LAJ18"/>
      <c r="LAK18"/>
      <c r="LAL18"/>
      <c r="LAM18"/>
      <c r="LAN18"/>
      <c r="LAO18"/>
      <c r="LAP18"/>
      <c r="LAQ18"/>
      <c r="LAR18"/>
      <c r="LAS18"/>
      <c r="LAT18"/>
      <c r="LAU18"/>
      <c r="LAV18"/>
      <c r="LAW18"/>
      <c r="LAX18"/>
      <c r="LAY18"/>
      <c r="LAZ18"/>
      <c r="LBA18"/>
      <c r="LBB18"/>
      <c r="LBC18"/>
      <c r="LBD18"/>
      <c r="LBE18"/>
      <c r="LBF18"/>
      <c r="LBG18"/>
      <c r="LBH18"/>
      <c r="LBI18"/>
      <c r="LBJ18"/>
      <c r="LBK18"/>
      <c r="LBL18"/>
      <c r="LBM18"/>
      <c r="LBN18"/>
      <c r="LBO18"/>
      <c r="LBP18"/>
      <c r="LBQ18"/>
      <c r="LBR18"/>
      <c r="LBS18"/>
      <c r="LBT18"/>
      <c r="LBU18"/>
      <c r="LBV18"/>
      <c r="LBW18"/>
      <c r="LBX18"/>
      <c r="LBY18"/>
      <c r="LBZ18"/>
      <c r="LCA18"/>
      <c r="LCB18"/>
      <c r="LCC18"/>
      <c r="LCD18"/>
      <c r="LCE18"/>
      <c r="LCF18"/>
      <c r="LCG18"/>
      <c r="LCH18"/>
      <c r="LCI18"/>
      <c r="LCJ18"/>
      <c r="LCK18"/>
      <c r="LCL18"/>
      <c r="LCM18"/>
      <c r="LCN18"/>
      <c r="LCO18"/>
      <c r="LCP18"/>
      <c r="LCQ18"/>
      <c r="LCR18"/>
      <c r="LCS18"/>
      <c r="LCT18"/>
      <c r="LCU18"/>
      <c r="LCV18"/>
      <c r="LCW18"/>
      <c r="LCX18"/>
      <c r="LCY18"/>
      <c r="LCZ18"/>
      <c r="LDA18"/>
      <c r="LDB18"/>
      <c r="LDC18"/>
      <c r="LDD18"/>
      <c r="LDE18"/>
      <c r="LDF18"/>
      <c r="LDG18"/>
      <c r="LDH18"/>
      <c r="LDI18"/>
      <c r="LDJ18"/>
      <c r="LDK18"/>
      <c r="LDL18"/>
      <c r="LDM18"/>
      <c r="LDN18"/>
      <c r="LDO18"/>
      <c r="LDP18"/>
      <c r="LDQ18"/>
      <c r="LDR18"/>
      <c r="LDS18"/>
      <c r="LDT18"/>
      <c r="LDU18"/>
      <c r="LDV18"/>
      <c r="LDW18"/>
      <c r="LDX18"/>
      <c r="LDY18"/>
      <c r="LDZ18"/>
      <c r="LEA18"/>
      <c r="LEB18"/>
      <c r="LEC18"/>
      <c r="LED18"/>
      <c r="LEE18"/>
      <c r="LEF18"/>
      <c r="LEG18"/>
      <c r="LEH18"/>
      <c r="LEI18"/>
      <c r="LEJ18"/>
      <c r="LEK18"/>
      <c r="LEL18"/>
      <c r="LEM18"/>
      <c r="LEN18"/>
      <c r="LEO18"/>
      <c r="LEP18"/>
      <c r="LEQ18"/>
      <c r="LER18"/>
      <c r="LES18"/>
      <c r="LET18"/>
      <c r="LEU18"/>
      <c r="LEV18"/>
      <c r="LEW18"/>
      <c r="LEX18"/>
      <c r="LEY18"/>
      <c r="LEZ18"/>
      <c r="LFA18"/>
      <c r="LFB18"/>
      <c r="LFC18"/>
      <c r="LFD18"/>
      <c r="LFE18"/>
      <c r="LFF18"/>
      <c r="LFG18"/>
      <c r="LFH18"/>
      <c r="LFI18"/>
      <c r="LFJ18"/>
      <c r="LFK18"/>
      <c r="LFL18"/>
      <c r="LFM18"/>
      <c r="LFN18"/>
      <c r="LFO18"/>
      <c r="LFP18"/>
      <c r="LFQ18"/>
      <c r="LFR18"/>
      <c r="LFS18"/>
      <c r="LFT18"/>
      <c r="LFU18"/>
      <c r="LFV18"/>
      <c r="LFW18"/>
      <c r="LFX18"/>
      <c r="LFY18"/>
      <c r="LFZ18"/>
      <c r="LGA18"/>
      <c r="LGB18"/>
      <c r="LGC18"/>
      <c r="LGD18"/>
      <c r="LGE18"/>
      <c r="LGF18"/>
      <c r="LGG18"/>
      <c r="LGH18"/>
      <c r="LGI18"/>
      <c r="LGJ18"/>
      <c r="LGK18"/>
      <c r="LGL18"/>
      <c r="LGM18"/>
      <c r="LGN18"/>
      <c r="LGO18"/>
      <c r="LGP18"/>
      <c r="LGQ18"/>
      <c r="LGR18"/>
      <c r="LGS18"/>
      <c r="LGT18"/>
      <c r="LGU18"/>
      <c r="LGV18"/>
      <c r="LGW18"/>
      <c r="LGX18"/>
      <c r="LGY18"/>
      <c r="LGZ18"/>
      <c r="LHA18"/>
      <c r="LHB18"/>
      <c r="LHC18"/>
      <c r="LHD18"/>
      <c r="LHE18"/>
      <c r="LHF18"/>
      <c r="LHG18"/>
      <c r="LHH18"/>
      <c r="LHI18"/>
      <c r="LHJ18"/>
      <c r="LHK18"/>
      <c r="LHL18"/>
      <c r="LHM18"/>
      <c r="LHN18"/>
      <c r="LHO18"/>
      <c r="LHP18"/>
      <c r="LHQ18"/>
      <c r="LHR18"/>
      <c r="LHS18"/>
      <c r="LHT18"/>
      <c r="LHU18"/>
      <c r="LHV18"/>
      <c r="LHW18"/>
      <c r="LHX18"/>
      <c r="LHY18"/>
      <c r="LHZ18"/>
      <c r="LIA18"/>
      <c r="LIB18"/>
      <c r="LIC18"/>
      <c r="LID18"/>
      <c r="LIE18"/>
      <c r="LIF18"/>
      <c r="LIG18"/>
      <c r="LIH18"/>
      <c r="LII18"/>
      <c r="LIJ18"/>
      <c r="LIK18"/>
      <c r="LIL18"/>
      <c r="LIM18"/>
      <c r="LIN18"/>
      <c r="LIO18"/>
      <c r="LIP18"/>
      <c r="LIQ18"/>
      <c r="LIR18"/>
      <c r="LIS18"/>
      <c r="LIT18"/>
      <c r="LIU18"/>
      <c r="LIV18"/>
      <c r="LIW18"/>
      <c r="LIX18"/>
      <c r="LIY18"/>
      <c r="LIZ18"/>
      <c r="LJA18"/>
      <c r="LJB18"/>
      <c r="LJC18"/>
      <c r="LJD18"/>
      <c r="LJE18"/>
      <c r="LJF18"/>
      <c r="LJG18"/>
      <c r="LJH18"/>
      <c r="LJI18"/>
      <c r="LJJ18"/>
      <c r="LJK18"/>
      <c r="LJL18"/>
      <c r="LJM18"/>
      <c r="LJN18"/>
      <c r="LJO18"/>
      <c r="LJP18"/>
      <c r="LJQ18"/>
      <c r="LJR18"/>
      <c r="LJS18"/>
      <c r="LJT18"/>
      <c r="LJU18"/>
      <c r="LJV18"/>
      <c r="LJW18"/>
      <c r="LJX18"/>
      <c r="LJY18"/>
      <c r="LJZ18"/>
      <c r="LKA18"/>
      <c r="LKB18"/>
      <c r="LKC18"/>
      <c r="LKD18"/>
      <c r="LKE18"/>
      <c r="LKF18"/>
      <c r="LKG18"/>
      <c r="LKH18"/>
      <c r="LKI18"/>
      <c r="LKJ18"/>
      <c r="LKK18"/>
      <c r="LKL18"/>
      <c r="LKM18"/>
      <c r="LKN18"/>
      <c r="LKO18"/>
      <c r="LKP18"/>
      <c r="LKQ18"/>
      <c r="LKR18"/>
      <c r="LKS18"/>
      <c r="LKT18"/>
      <c r="LKU18"/>
      <c r="LKV18"/>
      <c r="LKW18"/>
      <c r="LKX18"/>
      <c r="LKY18"/>
      <c r="LKZ18"/>
      <c r="LLA18"/>
      <c r="LLB18"/>
      <c r="LLC18"/>
      <c r="LLD18"/>
      <c r="LLE18"/>
      <c r="LLF18"/>
      <c r="LLG18"/>
      <c r="LLH18"/>
      <c r="LLI18"/>
      <c r="LLJ18"/>
      <c r="LLK18"/>
      <c r="LLL18"/>
      <c r="LLM18"/>
      <c r="LLN18"/>
      <c r="LLO18"/>
      <c r="LLP18"/>
      <c r="LLQ18"/>
      <c r="LLR18"/>
      <c r="LLS18"/>
      <c r="LLT18"/>
      <c r="LLU18"/>
      <c r="LLV18"/>
      <c r="LLW18"/>
      <c r="LLX18"/>
      <c r="LLY18"/>
      <c r="LLZ18"/>
      <c r="LMA18"/>
      <c r="LMB18"/>
      <c r="LMC18"/>
      <c r="LMD18"/>
      <c r="LME18"/>
      <c r="LMF18"/>
      <c r="LMG18"/>
      <c r="LMH18"/>
      <c r="LMI18"/>
      <c r="LMJ18"/>
      <c r="LMK18"/>
      <c r="LML18"/>
      <c r="LMM18"/>
      <c r="LMN18"/>
      <c r="LMO18"/>
      <c r="LMP18"/>
      <c r="LMQ18"/>
      <c r="LMR18"/>
      <c r="LMS18"/>
      <c r="LMT18"/>
      <c r="LMU18"/>
      <c r="LMV18"/>
      <c r="LMW18"/>
      <c r="LMX18"/>
      <c r="LMY18"/>
      <c r="LMZ18"/>
      <c r="LNA18"/>
      <c r="LNB18"/>
      <c r="LNC18"/>
      <c r="LND18"/>
      <c r="LNE18"/>
      <c r="LNF18"/>
      <c r="LNG18"/>
      <c r="LNH18"/>
      <c r="LNI18"/>
      <c r="LNJ18"/>
      <c r="LNK18"/>
      <c r="LNL18"/>
      <c r="LNM18"/>
      <c r="LNN18"/>
      <c r="LNO18"/>
      <c r="LNP18"/>
      <c r="LNQ18"/>
      <c r="LNR18"/>
      <c r="LNS18"/>
      <c r="LNT18"/>
      <c r="LNU18"/>
      <c r="LNV18"/>
      <c r="LNW18"/>
      <c r="LNX18"/>
      <c r="LNY18"/>
      <c r="LNZ18"/>
      <c r="LOA18"/>
      <c r="LOB18"/>
      <c r="LOC18"/>
      <c r="LOD18"/>
      <c r="LOE18"/>
      <c r="LOF18"/>
      <c r="LOG18"/>
      <c r="LOH18"/>
      <c r="LOI18"/>
      <c r="LOJ18"/>
      <c r="LOK18"/>
      <c r="LOL18"/>
      <c r="LOM18"/>
      <c r="LON18"/>
      <c r="LOO18"/>
      <c r="LOP18"/>
      <c r="LOQ18"/>
      <c r="LOR18"/>
      <c r="LOS18"/>
      <c r="LOT18"/>
      <c r="LOU18"/>
      <c r="LOV18"/>
      <c r="LOW18"/>
      <c r="LOX18"/>
      <c r="LOY18"/>
      <c r="LOZ18"/>
      <c r="LPA18"/>
      <c r="LPB18"/>
      <c r="LPC18"/>
      <c r="LPD18"/>
      <c r="LPE18"/>
      <c r="LPF18"/>
      <c r="LPG18"/>
      <c r="LPH18"/>
      <c r="LPI18"/>
      <c r="LPJ18"/>
      <c r="LPK18"/>
      <c r="LPL18"/>
      <c r="LPM18"/>
      <c r="LPN18"/>
      <c r="LPO18"/>
      <c r="LPP18"/>
      <c r="LPQ18"/>
      <c r="LPR18"/>
      <c r="LPS18"/>
      <c r="LPT18"/>
      <c r="LPU18"/>
      <c r="LPV18"/>
      <c r="LPW18"/>
      <c r="LPX18"/>
      <c r="LPY18"/>
      <c r="LPZ18"/>
      <c r="LQA18"/>
      <c r="LQB18"/>
      <c r="LQC18"/>
      <c r="LQD18"/>
      <c r="LQE18"/>
      <c r="LQF18"/>
      <c r="LQG18"/>
      <c r="LQH18"/>
      <c r="LQI18"/>
      <c r="LQJ18"/>
      <c r="LQK18"/>
      <c r="LQL18"/>
      <c r="LQM18"/>
      <c r="LQN18"/>
      <c r="LQO18"/>
      <c r="LQP18"/>
      <c r="LQQ18"/>
      <c r="LQR18"/>
      <c r="LQS18"/>
      <c r="LQT18"/>
      <c r="LQU18"/>
      <c r="LQV18"/>
      <c r="LQW18"/>
      <c r="LQX18"/>
      <c r="LQY18"/>
      <c r="LQZ18"/>
      <c r="LRA18"/>
      <c r="LRB18"/>
      <c r="LRC18"/>
      <c r="LRD18"/>
      <c r="LRE18"/>
      <c r="LRF18"/>
      <c r="LRG18"/>
      <c r="LRH18"/>
      <c r="LRI18"/>
      <c r="LRJ18"/>
      <c r="LRK18"/>
      <c r="LRL18"/>
      <c r="LRM18"/>
      <c r="LRN18"/>
      <c r="LRO18"/>
      <c r="LRP18"/>
      <c r="LRQ18"/>
      <c r="LRR18"/>
      <c r="LRS18"/>
      <c r="LRT18"/>
      <c r="LRU18"/>
      <c r="LRV18"/>
      <c r="LRW18"/>
      <c r="LRX18"/>
      <c r="LRY18"/>
      <c r="LRZ18"/>
      <c r="LSA18"/>
      <c r="LSB18"/>
      <c r="LSC18"/>
      <c r="LSD18"/>
      <c r="LSE18"/>
      <c r="LSF18"/>
      <c r="LSG18"/>
      <c r="LSH18"/>
      <c r="LSI18"/>
      <c r="LSJ18"/>
      <c r="LSK18"/>
      <c r="LSL18"/>
      <c r="LSM18"/>
      <c r="LSN18"/>
      <c r="LSO18"/>
      <c r="LSP18"/>
      <c r="LSQ18"/>
      <c r="LSR18"/>
      <c r="LSS18"/>
      <c r="LST18"/>
      <c r="LSU18"/>
      <c r="LSV18"/>
      <c r="LSW18"/>
      <c r="LSX18"/>
      <c r="LSY18"/>
      <c r="LSZ18"/>
      <c r="LTA18"/>
      <c r="LTB18"/>
      <c r="LTC18"/>
      <c r="LTD18"/>
      <c r="LTE18"/>
      <c r="LTF18"/>
      <c r="LTG18"/>
      <c r="LTH18"/>
      <c r="LTI18"/>
      <c r="LTJ18"/>
      <c r="LTK18"/>
      <c r="LTL18"/>
      <c r="LTM18"/>
      <c r="LTN18"/>
      <c r="LTO18"/>
      <c r="LTP18"/>
      <c r="LTQ18"/>
      <c r="LTR18"/>
      <c r="LTS18"/>
      <c r="LTT18"/>
      <c r="LTU18"/>
      <c r="LTV18"/>
      <c r="LTW18"/>
      <c r="LTX18"/>
      <c r="LTY18"/>
      <c r="LTZ18"/>
      <c r="LUA18"/>
      <c r="LUB18"/>
      <c r="LUC18"/>
      <c r="LUD18"/>
      <c r="LUE18"/>
      <c r="LUF18"/>
      <c r="LUG18"/>
      <c r="LUH18"/>
      <c r="LUI18"/>
      <c r="LUJ18"/>
      <c r="LUK18"/>
      <c r="LUL18"/>
      <c r="LUM18"/>
      <c r="LUN18"/>
      <c r="LUO18"/>
      <c r="LUP18"/>
      <c r="LUQ18"/>
      <c r="LUR18"/>
      <c r="LUS18"/>
      <c r="LUT18"/>
      <c r="LUU18"/>
      <c r="LUV18"/>
      <c r="LUW18"/>
      <c r="LUX18"/>
      <c r="LUY18"/>
      <c r="LUZ18"/>
      <c r="LVA18"/>
      <c r="LVB18"/>
      <c r="LVC18"/>
      <c r="LVD18"/>
      <c r="LVE18"/>
      <c r="LVF18"/>
      <c r="LVG18"/>
      <c r="LVH18"/>
      <c r="LVI18"/>
      <c r="LVJ18"/>
      <c r="LVK18"/>
      <c r="LVL18"/>
      <c r="LVM18"/>
      <c r="LVN18"/>
      <c r="LVO18"/>
      <c r="LVP18"/>
      <c r="LVQ18"/>
      <c r="LVR18"/>
      <c r="LVS18"/>
      <c r="LVT18"/>
      <c r="LVU18"/>
      <c r="LVV18"/>
      <c r="LVW18"/>
      <c r="LVX18"/>
      <c r="LVY18"/>
      <c r="LVZ18"/>
      <c r="LWA18"/>
      <c r="LWB18"/>
      <c r="LWC18"/>
      <c r="LWD18"/>
      <c r="LWE18"/>
      <c r="LWF18"/>
      <c r="LWG18"/>
      <c r="LWH18"/>
      <c r="LWI18"/>
      <c r="LWJ18"/>
      <c r="LWK18"/>
      <c r="LWL18"/>
      <c r="LWM18"/>
      <c r="LWN18"/>
      <c r="LWO18"/>
      <c r="LWP18"/>
      <c r="LWQ18"/>
      <c r="LWR18"/>
      <c r="LWS18"/>
      <c r="LWT18"/>
      <c r="LWU18"/>
      <c r="LWV18"/>
      <c r="LWW18"/>
      <c r="LWX18"/>
      <c r="LWY18"/>
      <c r="LWZ18"/>
      <c r="LXA18"/>
      <c r="LXB18"/>
      <c r="LXC18"/>
      <c r="LXD18"/>
      <c r="LXE18"/>
      <c r="LXF18"/>
      <c r="LXG18"/>
      <c r="LXH18"/>
      <c r="LXI18"/>
      <c r="LXJ18"/>
      <c r="LXK18"/>
      <c r="LXL18"/>
      <c r="LXM18"/>
      <c r="LXN18"/>
      <c r="LXO18"/>
      <c r="LXP18"/>
      <c r="LXQ18"/>
      <c r="LXR18"/>
      <c r="LXS18"/>
      <c r="LXT18"/>
      <c r="LXU18"/>
      <c r="LXV18"/>
      <c r="LXW18"/>
      <c r="LXX18"/>
      <c r="LXY18"/>
      <c r="LXZ18"/>
      <c r="LYA18"/>
      <c r="LYB18"/>
      <c r="LYC18"/>
      <c r="LYD18"/>
      <c r="LYE18"/>
      <c r="LYF18"/>
      <c r="LYG18"/>
      <c r="LYH18"/>
      <c r="LYI18"/>
      <c r="LYJ18"/>
      <c r="LYK18"/>
      <c r="LYL18"/>
      <c r="LYM18"/>
      <c r="LYN18"/>
      <c r="LYO18"/>
      <c r="LYP18"/>
      <c r="LYQ18"/>
      <c r="LYR18"/>
      <c r="LYS18"/>
      <c r="LYT18"/>
      <c r="LYU18"/>
      <c r="LYV18"/>
      <c r="LYW18"/>
      <c r="LYX18"/>
      <c r="LYY18"/>
      <c r="LYZ18"/>
      <c r="LZA18"/>
      <c r="LZB18"/>
      <c r="LZC18"/>
      <c r="LZD18"/>
      <c r="LZE18"/>
      <c r="LZF18"/>
      <c r="LZG18"/>
      <c r="LZH18"/>
      <c r="LZI18"/>
      <c r="LZJ18"/>
      <c r="LZK18"/>
      <c r="LZL18"/>
      <c r="LZM18"/>
      <c r="LZN18"/>
      <c r="LZO18"/>
      <c r="LZP18"/>
      <c r="LZQ18"/>
      <c r="LZR18"/>
      <c r="LZS18"/>
      <c r="LZT18"/>
      <c r="LZU18"/>
      <c r="LZV18"/>
      <c r="LZW18"/>
      <c r="LZX18"/>
      <c r="LZY18"/>
      <c r="LZZ18"/>
      <c r="MAA18"/>
      <c r="MAB18"/>
      <c r="MAC18"/>
      <c r="MAD18"/>
      <c r="MAE18"/>
      <c r="MAF18"/>
      <c r="MAG18"/>
      <c r="MAH18"/>
      <c r="MAI18"/>
      <c r="MAJ18"/>
      <c r="MAK18"/>
      <c r="MAL18"/>
      <c r="MAM18"/>
      <c r="MAN18"/>
      <c r="MAO18"/>
      <c r="MAP18"/>
      <c r="MAQ18"/>
      <c r="MAR18"/>
      <c r="MAS18"/>
      <c r="MAT18"/>
      <c r="MAU18"/>
      <c r="MAV18"/>
      <c r="MAW18"/>
      <c r="MAX18"/>
      <c r="MAY18"/>
      <c r="MAZ18"/>
      <c r="MBA18"/>
      <c r="MBB18"/>
      <c r="MBC18"/>
      <c r="MBD18"/>
      <c r="MBE18"/>
      <c r="MBF18"/>
      <c r="MBG18"/>
      <c r="MBH18"/>
      <c r="MBI18"/>
      <c r="MBJ18"/>
      <c r="MBK18"/>
      <c r="MBL18"/>
      <c r="MBM18"/>
      <c r="MBN18"/>
      <c r="MBO18"/>
      <c r="MBP18"/>
      <c r="MBQ18"/>
      <c r="MBR18"/>
      <c r="MBS18"/>
      <c r="MBT18"/>
      <c r="MBU18"/>
      <c r="MBV18"/>
      <c r="MBW18"/>
      <c r="MBX18"/>
      <c r="MBY18"/>
      <c r="MBZ18"/>
      <c r="MCA18"/>
      <c r="MCB18"/>
      <c r="MCC18"/>
      <c r="MCD18"/>
      <c r="MCE18"/>
      <c r="MCF18"/>
      <c r="MCG18"/>
      <c r="MCH18"/>
      <c r="MCI18"/>
      <c r="MCJ18"/>
      <c r="MCK18"/>
      <c r="MCL18"/>
      <c r="MCM18"/>
      <c r="MCN18"/>
      <c r="MCO18"/>
      <c r="MCP18"/>
      <c r="MCQ18"/>
      <c r="MCR18"/>
      <c r="MCS18"/>
      <c r="MCT18"/>
      <c r="MCU18"/>
      <c r="MCV18"/>
      <c r="MCW18"/>
      <c r="MCX18"/>
      <c r="MCY18"/>
      <c r="MCZ18"/>
      <c r="MDA18"/>
      <c r="MDB18"/>
      <c r="MDC18"/>
      <c r="MDD18"/>
      <c r="MDE18"/>
      <c r="MDF18"/>
      <c r="MDG18"/>
      <c r="MDH18"/>
      <c r="MDI18"/>
      <c r="MDJ18"/>
      <c r="MDK18"/>
      <c r="MDL18"/>
      <c r="MDM18"/>
      <c r="MDN18"/>
      <c r="MDO18"/>
      <c r="MDP18"/>
      <c r="MDQ18"/>
      <c r="MDR18"/>
      <c r="MDS18"/>
      <c r="MDT18"/>
      <c r="MDU18"/>
      <c r="MDV18"/>
      <c r="MDW18"/>
      <c r="MDX18"/>
      <c r="MDY18"/>
      <c r="MDZ18"/>
      <c r="MEA18"/>
      <c r="MEB18"/>
      <c r="MEC18"/>
      <c r="MED18"/>
      <c r="MEE18"/>
      <c r="MEF18"/>
      <c r="MEG18"/>
      <c r="MEH18"/>
      <c r="MEI18"/>
      <c r="MEJ18"/>
      <c r="MEK18"/>
      <c r="MEL18"/>
      <c r="MEM18"/>
      <c r="MEN18"/>
      <c r="MEO18"/>
      <c r="MEP18"/>
      <c r="MEQ18"/>
      <c r="MER18"/>
      <c r="MES18"/>
      <c r="MET18"/>
      <c r="MEU18"/>
      <c r="MEV18"/>
      <c r="MEW18"/>
      <c r="MEX18"/>
      <c r="MEY18"/>
      <c r="MEZ18"/>
      <c r="MFA18"/>
      <c r="MFB18"/>
      <c r="MFC18"/>
      <c r="MFD18"/>
      <c r="MFE18"/>
      <c r="MFF18"/>
      <c r="MFG18"/>
      <c r="MFH18"/>
      <c r="MFI18"/>
      <c r="MFJ18"/>
      <c r="MFK18"/>
      <c r="MFL18"/>
      <c r="MFM18"/>
      <c r="MFN18"/>
      <c r="MFO18"/>
      <c r="MFP18"/>
      <c r="MFQ18"/>
      <c r="MFR18"/>
      <c r="MFS18"/>
      <c r="MFT18"/>
      <c r="MFU18"/>
      <c r="MFV18"/>
      <c r="MFW18"/>
      <c r="MFX18"/>
      <c r="MFY18"/>
      <c r="MFZ18"/>
      <c r="MGA18"/>
      <c r="MGB18"/>
      <c r="MGC18"/>
      <c r="MGD18"/>
      <c r="MGE18"/>
      <c r="MGF18"/>
      <c r="MGG18"/>
      <c r="MGH18"/>
      <c r="MGI18"/>
      <c r="MGJ18"/>
      <c r="MGK18"/>
      <c r="MGL18"/>
      <c r="MGM18"/>
      <c r="MGN18"/>
      <c r="MGO18"/>
      <c r="MGP18"/>
      <c r="MGQ18"/>
      <c r="MGR18"/>
      <c r="MGS18"/>
      <c r="MGT18"/>
      <c r="MGU18"/>
      <c r="MGV18"/>
      <c r="MGW18"/>
      <c r="MGX18"/>
      <c r="MGY18"/>
      <c r="MGZ18"/>
      <c r="MHA18"/>
      <c r="MHB18"/>
      <c r="MHC18"/>
      <c r="MHD18"/>
      <c r="MHE18"/>
      <c r="MHF18"/>
      <c r="MHG18"/>
      <c r="MHH18"/>
      <c r="MHI18"/>
      <c r="MHJ18"/>
      <c r="MHK18"/>
      <c r="MHL18"/>
      <c r="MHM18"/>
      <c r="MHN18"/>
      <c r="MHO18"/>
      <c r="MHP18"/>
      <c r="MHQ18"/>
      <c r="MHR18"/>
      <c r="MHS18"/>
      <c r="MHT18"/>
      <c r="MHU18"/>
      <c r="MHV18"/>
      <c r="MHW18"/>
      <c r="MHX18"/>
      <c r="MHY18"/>
      <c r="MHZ18"/>
      <c r="MIA18"/>
      <c r="MIB18"/>
      <c r="MIC18"/>
      <c r="MID18"/>
      <c r="MIE18"/>
      <c r="MIF18"/>
      <c r="MIG18"/>
      <c r="MIH18"/>
      <c r="MII18"/>
      <c r="MIJ18"/>
      <c r="MIK18"/>
      <c r="MIL18"/>
      <c r="MIM18"/>
      <c r="MIN18"/>
      <c r="MIO18"/>
      <c r="MIP18"/>
      <c r="MIQ18"/>
      <c r="MIR18"/>
      <c r="MIS18"/>
      <c r="MIT18"/>
      <c r="MIU18"/>
      <c r="MIV18"/>
      <c r="MIW18"/>
      <c r="MIX18"/>
      <c r="MIY18"/>
      <c r="MIZ18"/>
      <c r="MJA18"/>
      <c r="MJB18"/>
      <c r="MJC18"/>
      <c r="MJD18"/>
      <c r="MJE18"/>
      <c r="MJF18"/>
      <c r="MJG18"/>
      <c r="MJH18"/>
      <c r="MJI18"/>
      <c r="MJJ18"/>
      <c r="MJK18"/>
      <c r="MJL18"/>
      <c r="MJM18"/>
      <c r="MJN18"/>
      <c r="MJO18"/>
      <c r="MJP18"/>
      <c r="MJQ18"/>
      <c r="MJR18"/>
      <c r="MJS18"/>
      <c r="MJT18"/>
      <c r="MJU18"/>
      <c r="MJV18"/>
      <c r="MJW18"/>
      <c r="MJX18"/>
      <c r="MJY18"/>
      <c r="MJZ18"/>
      <c r="MKA18"/>
      <c r="MKB18"/>
      <c r="MKC18"/>
      <c r="MKD18"/>
      <c r="MKE18"/>
      <c r="MKF18"/>
      <c r="MKG18"/>
      <c r="MKH18"/>
      <c r="MKI18"/>
      <c r="MKJ18"/>
      <c r="MKK18"/>
      <c r="MKL18"/>
      <c r="MKM18"/>
      <c r="MKN18"/>
      <c r="MKO18"/>
      <c r="MKP18"/>
      <c r="MKQ18"/>
      <c r="MKR18"/>
      <c r="MKS18"/>
      <c r="MKT18"/>
      <c r="MKU18"/>
      <c r="MKV18"/>
      <c r="MKW18"/>
      <c r="MKX18"/>
      <c r="MKY18"/>
      <c r="MKZ18"/>
      <c r="MLA18"/>
      <c r="MLB18"/>
      <c r="MLC18"/>
      <c r="MLD18"/>
      <c r="MLE18"/>
      <c r="MLF18"/>
      <c r="MLG18"/>
      <c r="MLH18"/>
      <c r="MLI18"/>
      <c r="MLJ18"/>
      <c r="MLK18"/>
      <c r="MLL18"/>
      <c r="MLM18"/>
      <c r="MLN18"/>
      <c r="MLO18"/>
      <c r="MLP18"/>
      <c r="MLQ18"/>
      <c r="MLR18"/>
      <c r="MLS18"/>
      <c r="MLT18"/>
      <c r="MLU18"/>
      <c r="MLV18"/>
      <c r="MLW18"/>
      <c r="MLX18"/>
      <c r="MLY18"/>
      <c r="MLZ18"/>
      <c r="MMA18"/>
      <c r="MMB18"/>
      <c r="MMC18"/>
      <c r="MMD18"/>
      <c r="MME18"/>
      <c r="MMF18"/>
      <c r="MMG18"/>
      <c r="MMH18"/>
      <c r="MMI18"/>
      <c r="MMJ18"/>
      <c r="MMK18"/>
      <c r="MML18"/>
      <c r="MMM18"/>
      <c r="MMN18"/>
      <c r="MMO18"/>
      <c r="MMP18"/>
      <c r="MMQ18"/>
      <c r="MMR18"/>
      <c r="MMS18"/>
      <c r="MMT18"/>
      <c r="MMU18"/>
      <c r="MMV18"/>
      <c r="MMW18"/>
      <c r="MMX18"/>
      <c r="MMY18"/>
      <c r="MMZ18"/>
      <c r="MNA18"/>
      <c r="MNB18"/>
      <c r="MNC18"/>
      <c r="MND18"/>
      <c r="MNE18"/>
      <c r="MNF18"/>
      <c r="MNG18"/>
      <c r="MNH18"/>
      <c r="MNI18"/>
      <c r="MNJ18"/>
      <c r="MNK18"/>
      <c r="MNL18"/>
      <c r="MNM18"/>
      <c r="MNN18"/>
      <c r="MNO18"/>
      <c r="MNP18"/>
      <c r="MNQ18"/>
      <c r="MNR18"/>
      <c r="MNS18"/>
      <c r="MNT18"/>
      <c r="MNU18"/>
      <c r="MNV18"/>
      <c r="MNW18"/>
      <c r="MNX18"/>
      <c r="MNY18"/>
      <c r="MNZ18"/>
      <c r="MOA18"/>
      <c r="MOB18"/>
      <c r="MOC18"/>
      <c r="MOD18"/>
      <c r="MOE18"/>
      <c r="MOF18"/>
      <c r="MOG18"/>
      <c r="MOH18"/>
      <c r="MOI18"/>
      <c r="MOJ18"/>
      <c r="MOK18"/>
      <c r="MOL18"/>
      <c r="MOM18"/>
      <c r="MON18"/>
      <c r="MOO18"/>
      <c r="MOP18"/>
      <c r="MOQ18"/>
      <c r="MOR18"/>
      <c r="MOS18"/>
      <c r="MOT18"/>
      <c r="MOU18"/>
      <c r="MOV18"/>
      <c r="MOW18"/>
      <c r="MOX18"/>
      <c r="MOY18"/>
      <c r="MOZ18"/>
      <c r="MPA18"/>
      <c r="MPB18"/>
      <c r="MPC18"/>
      <c r="MPD18"/>
      <c r="MPE18"/>
      <c r="MPF18"/>
      <c r="MPG18"/>
      <c r="MPH18"/>
      <c r="MPI18"/>
      <c r="MPJ18"/>
      <c r="MPK18"/>
      <c r="MPL18"/>
      <c r="MPM18"/>
      <c r="MPN18"/>
      <c r="MPO18"/>
      <c r="MPP18"/>
      <c r="MPQ18"/>
      <c r="MPR18"/>
      <c r="MPS18"/>
      <c r="MPT18"/>
      <c r="MPU18"/>
      <c r="MPV18"/>
      <c r="MPW18"/>
      <c r="MPX18"/>
      <c r="MPY18"/>
      <c r="MPZ18"/>
      <c r="MQA18"/>
      <c r="MQB18"/>
      <c r="MQC18"/>
      <c r="MQD18"/>
      <c r="MQE18"/>
      <c r="MQF18"/>
      <c r="MQG18"/>
      <c r="MQH18"/>
      <c r="MQI18"/>
      <c r="MQJ18"/>
      <c r="MQK18"/>
      <c r="MQL18"/>
      <c r="MQM18"/>
      <c r="MQN18"/>
      <c r="MQO18"/>
      <c r="MQP18"/>
      <c r="MQQ18"/>
      <c r="MQR18"/>
      <c r="MQS18"/>
      <c r="MQT18"/>
      <c r="MQU18"/>
      <c r="MQV18"/>
      <c r="MQW18"/>
      <c r="MQX18"/>
      <c r="MQY18"/>
      <c r="MQZ18"/>
      <c r="MRA18"/>
      <c r="MRB18"/>
      <c r="MRC18"/>
      <c r="MRD18"/>
      <c r="MRE18"/>
      <c r="MRF18"/>
      <c r="MRG18"/>
      <c r="MRH18"/>
      <c r="MRI18"/>
      <c r="MRJ18"/>
      <c r="MRK18"/>
      <c r="MRL18"/>
      <c r="MRM18"/>
      <c r="MRN18"/>
      <c r="MRO18"/>
      <c r="MRP18"/>
      <c r="MRQ18"/>
      <c r="MRR18"/>
      <c r="MRS18"/>
      <c r="MRT18"/>
      <c r="MRU18"/>
      <c r="MRV18"/>
      <c r="MRW18"/>
      <c r="MRX18"/>
      <c r="MRY18"/>
      <c r="MRZ18"/>
      <c r="MSA18"/>
      <c r="MSB18"/>
      <c r="MSC18"/>
      <c r="MSD18"/>
      <c r="MSE18"/>
      <c r="MSF18"/>
      <c r="MSG18"/>
      <c r="MSH18"/>
      <c r="MSI18"/>
      <c r="MSJ18"/>
      <c r="MSK18"/>
      <c r="MSL18"/>
      <c r="MSM18"/>
      <c r="MSN18"/>
      <c r="MSO18"/>
      <c r="MSP18"/>
      <c r="MSQ18"/>
      <c r="MSR18"/>
      <c r="MSS18"/>
      <c r="MST18"/>
      <c r="MSU18"/>
      <c r="MSV18"/>
      <c r="MSW18"/>
      <c r="MSX18"/>
      <c r="MSY18"/>
      <c r="MSZ18"/>
      <c r="MTA18"/>
      <c r="MTB18"/>
      <c r="MTC18"/>
      <c r="MTD18"/>
      <c r="MTE18"/>
      <c r="MTF18"/>
      <c r="MTG18"/>
      <c r="MTH18"/>
      <c r="MTI18"/>
      <c r="MTJ18"/>
      <c r="MTK18"/>
      <c r="MTL18"/>
      <c r="MTM18"/>
      <c r="MTN18"/>
      <c r="MTO18"/>
      <c r="MTP18"/>
      <c r="MTQ18"/>
      <c r="MTR18"/>
      <c r="MTS18"/>
      <c r="MTT18"/>
      <c r="MTU18"/>
      <c r="MTV18"/>
      <c r="MTW18"/>
      <c r="MTX18"/>
      <c r="MTY18"/>
      <c r="MTZ18"/>
      <c r="MUA18"/>
      <c r="MUB18"/>
      <c r="MUC18"/>
      <c r="MUD18"/>
      <c r="MUE18"/>
      <c r="MUF18"/>
      <c r="MUG18"/>
      <c r="MUH18"/>
      <c r="MUI18"/>
      <c r="MUJ18"/>
      <c r="MUK18"/>
      <c r="MUL18"/>
      <c r="MUM18"/>
      <c r="MUN18"/>
      <c r="MUO18"/>
      <c r="MUP18"/>
      <c r="MUQ18"/>
      <c r="MUR18"/>
      <c r="MUS18"/>
      <c r="MUT18"/>
      <c r="MUU18"/>
      <c r="MUV18"/>
      <c r="MUW18"/>
      <c r="MUX18"/>
      <c r="MUY18"/>
      <c r="MUZ18"/>
      <c r="MVA18"/>
      <c r="MVB18"/>
      <c r="MVC18"/>
      <c r="MVD18"/>
      <c r="MVE18"/>
      <c r="MVF18"/>
      <c r="MVG18"/>
      <c r="MVH18"/>
      <c r="MVI18"/>
      <c r="MVJ18"/>
      <c r="MVK18"/>
      <c r="MVL18"/>
      <c r="MVM18"/>
      <c r="MVN18"/>
      <c r="MVO18"/>
      <c r="MVP18"/>
      <c r="MVQ18"/>
      <c r="MVR18"/>
      <c r="MVS18"/>
      <c r="MVT18"/>
      <c r="MVU18"/>
      <c r="MVV18"/>
      <c r="MVW18"/>
      <c r="MVX18"/>
      <c r="MVY18"/>
      <c r="MVZ18"/>
      <c r="MWA18"/>
      <c r="MWB18"/>
      <c r="MWC18"/>
      <c r="MWD18"/>
      <c r="MWE18"/>
      <c r="MWF18"/>
      <c r="MWG18"/>
      <c r="MWH18"/>
      <c r="MWI18"/>
      <c r="MWJ18"/>
      <c r="MWK18"/>
      <c r="MWL18"/>
      <c r="MWM18"/>
      <c r="MWN18"/>
      <c r="MWO18"/>
      <c r="MWP18"/>
      <c r="MWQ18"/>
      <c r="MWR18"/>
      <c r="MWS18"/>
      <c r="MWT18"/>
      <c r="MWU18"/>
      <c r="MWV18"/>
      <c r="MWW18"/>
      <c r="MWX18"/>
      <c r="MWY18"/>
      <c r="MWZ18"/>
      <c r="MXA18"/>
      <c r="MXB18"/>
      <c r="MXC18"/>
      <c r="MXD18"/>
      <c r="MXE18"/>
      <c r="MXF18"/>
      <c r="MXG18"/>
      <c r="MXH18"/>
      <c r="MXI18"/>
      <c r="MXJ18"/>
      <c r="MXK18"/>
      <c r="MXL18"/>
      <c r="MXM18"/>
      <c r="MXN18"/>
      <c r="MXO18"/>
      <c r="MXP18"/>
      <c r="MXQ18"/>
      <c r="MXR18"/>
      <c r="MXS18"/>
      <c r="MXT18"/>
      <c r="MXU18"/>
      <c r="MXV18"/>
      <c r="MXW18"/>
      <c r="MXX18"/>
      <c r="MXY18"/>
      <c r="MXZ18"/>
      <c r="MYA18"/>
      <c r="MYB18"/>
      <c r="MYC18"/>
      <c r="MYD18"/>
      <c r="MYE18"/>
      <c r="MYF18"/>
      <c r="MYG18"/>
      <c r="MYH18"/>
      <c r="MYI18"/>
      <c r="MYJ18"/>
      <c r="MYK18"/>
      <c r="MYL18"/>
      <c r="MYM18"/>
      <c r="MYN18"/>
      <c r="MYO18"/>
      <c r="MYP18"/>
      <c r="MYQ18"/>
      <c r="MYR18"/>
      <c r="MYS18"/>
      <c r="MYT18"/>
      <c r="MYU18"/>
      <c r="MYV18"/>
      <c r="MYW18"/>
      <c r="MYX18"/>
      <c r="MYY18"/>
      <c r="MYZ18"/>
      <c r="MZA18"/>
      <c r="MZB18"/>
      <c r="MZC18"/>
      <c r="MZD18"/>
      <c r="MZE18"/>
      <c r="MZF18"/>
      <c r="MZG18"/>
      <c r="MZH18"/>
      <c r="MZI18"/>
      <c r="MZJ18"/>
      <c r="MZK18"/>
      <c r="MZL18"/>
      <c r="MZM18"/>
      <c r="MZN18"/>
      <c r="MZO18"/>
      <c r="MZP18"/>
      <c r="MZQ18"/>
      <c r="MZR18"/>
      <c r="MZS18"/>
      <c r="MZT18"/>
      <c r="MZU18"/>
      <c r="MZV18"/>
      <c r="MZW18"/>
      <c r="MZX18"/>
      <c r="MZY18"/>
      <c r="MZZ18"/>
      <c r="NAA18"/>
      <c r="NAB18"/>
      <c r="NAC18"/>
      <c r="NAD18"/>
      <c r="NAE18"/>
      <c r="NAF18"/>
      <c r="NAG18"/>
      <c r="NAH18"/>
      <c r="NAI18"/>
      <c r="NAJ18"/>
      <c r="NAK18"/>
      <c r="NAL18"/>
      <c r="NAM18"/>
      <c r="NAN18"/>
      <c r="NAO18"/>
      <c r="NAP18"/>
      <c r="NAQ18"/>
      <c r="NAR18"/>
      <c r="NAS18"/>
      <c r="NAT18"/>
      <c r="NAU18"/>
      <c r="NAV18"/>
      <c r="NAW18"/>
      <c r="NAX18"/>
      <c r="NAY18"/>
      <c r="NAZ18"/>
      <c r="NBA18"/>
      <c r="NBB18"/>
      <c r="NBC18"/>
      <c r="NBD18"/>
      <c r="NBE18"/>
      <c r="NBF18"/>
      <c r="NBG18"/>
      <c r="NBH18"/>
      <c r="NBI18"/>
      <c r="NBJ18"/>
      <c r="NBK18"/>
      <c r="NBL18"/>
      <c r="NBM18"/>
      <c r="NBN18"/>
      <c r="NBO18"/>
      <c r="NBP18"/>
      <c r="NBQ18"/>
      <c r="NBR18"/>
      <c r="NBS18"/>
      <c r="NBT18"/>
      <c r="NBU18"/>
      <c r="NBV18"/>
      <c r="NBW18"/>
      <c r="NBX18"/>
      <c r="NBY18"/>
      <c r="NBZ18"/>
      <c r="NCA18"/>
      <c r="NCB18"/>
      <c r="NCC18"/>
      <c r="NCD18"/>
      <c r="NCE18"/>
      <c r="NCF18"/>
      <c r="NCG18"/>
      <c r="NCH18"/>
      <c r="NCI18"/>
      <c r="NCJ18"/>
      <c r="NCK18"/>
      <c r="NCL18"/>
      <c r="NCM18"/>
      <c r="NCN18"/>
      <c r="NCO18"/>
      <c r="NCP18"/>
      <c r="NCQ18"/>
      <c r="NCR18"/>
      <c r="NCS18"/>
      <c r="NCT18"/>
      <c r="NCU18"/>
      <c r="NCV18"/>
      <c r="NCW18"/>
      <c r="NCX18"/>
      <c r="NCY18"/>
      <c r="NCZ18"/>
      <c r="NDA18"/>
      <c r="NDB18"/>
      <c r="NDC18"/>
      <c r="NDD18"/>
      <c r="NDE18"/>
      <c r="NDF18"/>
      <c r="NDG18"/>
      <c r="NDH18"/>
      <c r="NDI18"/>
      <c r="NDJ18"/>
      <c r="NDK18"/>
      <c r="NDL18"/>
      <c r="NDM18"/>
      <c r="NDN18"/>
      <c r="NDO18"/>
      <c r="NDP18"/>
      <c r="NDQ18"/>
      <c r="NDR18"/>
      <c r="NDS18"/>
      <c r="NDT18"/>
      <c r="NDU18"/>
      <c r="NDV18"/>
      <c r="NDW18"/>
      <c r="NDX18"/>
      <c r="NDY18"/>
      <c r="NDZ18"/>
      <c r="NEA18"/>
      <c r="NEB18"/>
      <c r="NEC18"/>
      <c r="NED18"/>
      <c r="NEE18"/>
      <c r="NEF18"/>
      <c r="NEG18"/>
      <c r="NEH18"/>
      <c r="NEI18"/>
      <c r="NEJ18"/>
      <c r="NEK18"/>
      <c r="NEL18"/>
      <c r="NEM18"/>
      <c r="NEN18"/>
      <c r="NEO18"/>
      <c r="NEP18"/>
      <c r="NEQ18"/>
      <c r="NER18"/>
      <c r="NES18"/>
      <c r="NET18"/>
      <c r="NEU18"/>
      <c r="NEV18"/>
      <c r="NEW18"/>
      <c r="NEX18"/>
      <c r="NEY18"/>
      <c r="NEZ18"/>
      <c r="NFA18"/>
      <c r="NFB18"/>
      <c r="NFC18"/>
      <c r="NFD18"/>
      <c r="NFE18"/>
      <c r="NFF18"/>
      <c r="NFG18"/>
      <c r="NFH18"/>
      <c r="NFI18"/>
      <c r="NFJ18"/>
      <c r="NFK18"/>
      <c r="NFL18"/>
      <c r="NFM18"/>
      <c r="NFN18"/>
      <c r="NFO18"/>
      <c r="NFP18"/>
      <c r="NFQ18"/>
      <c r="NFR18"/>
      <c r="NFS18"/>
      <c r="NFT18"/>
      <c r="NFU18"/>
      <c r="NFV18"/>
      <c r="NFW18"/>
      <c r="NFX18"/>
      <c r="NFY18"/>
      <c r="NFZ18"/>
      <c r="NGA18"/>
      <c r="NGB18"/>
      <c r="NGC18"/>
      <c r="NGD18"/>
      <c r="NGE18"/>
      <c r="NGF18"/>
      <c r="NGG18"/>
      <c r="NGH18"/>
      <c r="NGI18"/>
      <c r="NGJ18"/>
      <c r="NGK18"/>
      <c r="NGL18"/>
      <c r="NGM18"/>
      <c r="NGN18"/>
      <c r="NGO18"/>
      <c r="NGP18"/>
      <c r="NGQ18"/>
      <c r="NGR18"/>
      <c r="NGS18"/>
      <c r="NGT18"/>
      <c r="NGU18"/>
      <c r="NGV18"/>
      <c r="NGW18"/>
      <c r="NGX18"/>
      <c r="NGY18"/>
      <c r="NGZ18"/>
      <c r="NHA18"/>
      <c r="NHB18"/>
      <c r="NHC18"/>
      <c r="NHD18"/>
      <c r="NHE18"/>
      <c r="NHF18"/>
      <c r="NHG18"/>
      <c r="NHH18"/>
      <c r="NHI18"/>
      <c r="NHJ18"/>
      <c r="NHK18"/>
      <c r="NHL18"/>
      <c r="NHM18"/>
      <c r="NHN18"/>
      <c r="NHO18"/>
      <c r="NHP18"/>
      <c r="NHQ18"/>
      <c r="NHR18"/>
      <c r="NHS18"/>
      <c r="NHT18"/>
      <c r="NHU18"/>
      <c r="NHV18"/>
      <c r="NHW18"/>
      <c r="NHX18"/>
      <c r="NHY18"/>
      <c r="NHZ18"/>
      <c r="NIA18"/>
      <c r="NIB18"/>
      <c r="NIC18"/>
      <c r="NID18"/>
      <c r="NIE18"/>
      <c r="NIF18"/>
      <c r="NIG18"/>
      <c r="NIH18"/>
      <c r="NII18"/>
      <c r="NIJ18"/>
      <c r="NIK18"/>
      <c r="NIL18"/>
      <c r="NIM18"/>
      <c r="NIN18"/>
      <c r="NIO18"/>
      <c r="NIP18"/>
      <c r="NIQ18"/>
      <c r="NIR18"/>
      <c r="NIS18"/>
      <c r="NIT18"/>
      <c r="NIU18"/>
      <c r="NIV18"/>
      <c r="NIW18"/>
      <c r="NIX18"/>
      <c r="NIY18"/>
      <c r="NIZ18"/>
      <c r="NJA18"/>
      <c r="NJB18"/>
      <c r="NJC18"/>
      <c r="NJD18"/>
      <c r="NJE18"/>
      <c r="NJF18"/>
      <c r="NJG18"/>
      <c r="NJH18"/>
      <c r="NJI18"/>
      <c r="NJJ18"/>
      <c r="NJK18"/>
      <c r="NJL18"/>
      <c r="NJM18"/>
      <c r="NJN18"/>
      <c r="NJO18"/>
      <c r="NJP18"/>
      <c r="NJQ18"/>
      <c r="NJR18"/>
      <c r="NJS18"/>
      <c r="NJT18"/>
      <c r="NJU18"/>
      <c r="NJV18"/>
      <c r="NJW18"/>
      <c r="NJX18"/>
      <c r="NJY18"/>
      <c r="NJZ18"/>
      <c r="NKA18"/>
      <c r="NKB18"/>
      <c r="NKC18"/>
      <c r="NKD18"/>
      <c r="NKE18"/>
      <c r="NKF18"/>
      <c r="NKG18"/>
      <c r="NKH18"/>
      <c r="NKI18"/>
      <c r="NKJ18"/>
      <c r="NKK18"/>
      <c r="NKL18"/>
      <c r="NKM18"/>
      <c r="NKN18"/>
      <c r="NKO18"/>
      <c r="NKP18"/>
      <c r="NKQ18"/>
      <c r="NKR18"/>
      <c r="NKS18"/>
      <c r="NKT18"/>
      <c r="NKU18"/>
      <c r="NKV18"/>
      <c r="NKW18"/>
      <c r="NKX18"/>
      <c r="NKY18"/>
      <c r="NKZ18"/>
      <c r="NLA18"/>
      <c r="NLB18"/>
      <c r="NLC18"/>
      <c r="NLD18"/>
      <c r="NLE18"/>
      <c r="NLF18"/>
      <c r="NLG18"/>
      <c r="NLH18"/>
      <c r="NLI18"/>
      <c r="NLJ18"/>
      <c r="NLK18"/>
      <c r="NLL18"/>
      <c r="NLM18"/>
      <c r="NLN18"/>
      <c r="NLO18"/>
      <c r="NLP18"/>
      <c r="NLQ18"/>
      <c r="NLR18"/>
      <c r="NLS18"/>
      <c r="NLT18"/>
      <c r="NLU18"/>
      <c r="NLV18"/>
      <c r="NLW18"/>
      <c r="NLX18"/>
      <c r="NLY18"/>
      <c r="NLZ18"/>
      <c r="NMA18"/>
      <c r="NMB18"/>
      <c r="NMC18"/>
      <c r="NMD18"/>
      <c r="NME18"/>
      <c r="NMF18"/>
      <c r="NMG18"/>
      <c r="NMH18"/>
      <c r="NMI18"/>
      <c r="NMJ18"/>
      <c r="NMK18"/>
      <c r="NML18"/>
      <c r="NMM18"/>
      <c r="NMN18"/>
      <c r="NMO18"/>
      <c r="NMP18"/>
      <c r="NMQ18"/>
      <c r="NMR18"/>
      <c r="NMS18"/>
      <c r="NMT18"/>
      <c r="NMU18"/>
      <c r="NMV18"/>
      <c r="NMW18"/>
      <c r="NMX18"/>
      <c r="NMY18"/>
      <c r="NMZ18"/>
      <c r="NNA18"/>
      <c r="NNB18"/>
      <c r="NNC18"/>
      <c r="NND18"/>
      <c r="NNE18"/>
      <c r="NNF18"/>
      <c r="NNG18"/>
      <c r="NNH18"/>
      <c r="NNI18"/>
      <c r="NNJ18"/>
      <c r="NNK18"/>
      <c r="NNL18"/>
      <c r="NNM18"/>
      <c r="NNN18"/>
      <c r="NNO18"/>
      <c r="NNP18"/>
      <c r="NNQ18"/>
      <c r="NNR18"/>
      <c r="NNS18"/>
      <c r="NNT18"/>
      <c r="NNU18"/>
      <c r="NNV18"/>
      <c r="NNW18"/>
      <c r="NNX18"/>
      <c r="NNY18"/>
      <c r="NNZ18"/>
      <c r="NOA18"/>
      <c r="NOB18"/>
      <c r="NOC18"/>
      <c r="NOD18"/>
      <c r="NOE18"/>
      <c r="NOF18"/>
      <c r="NOG18"/>
      <c r="NOH18"/>
      <c r="NOI18"/>
      <c r="NOJ18"/>
      <c r="NOK18"/>
      <c r="NOL18"/>
      <c r="NOM18"/>
      <c r="NON18"/>
      <c r="NOO18"/>
      <c r="NOP18"/>
      <c r="NOQ18"/>
      <c r="NOR18"/>
      <c r="NOS18"/>
      <c r="NOT18"/>
      <c r="NOU18"/>
      <c r="NOV18"/>
      <c r="NOW18"/>
      <c r="NOX18"/>
      <c r="NOY18"/>
      <c r="NOZ18"/>
      <c r="NPA18"/>
      <c r="NPB18"/>
      <c r="NPC18"/>
      <c r="NPD18"/>
      <c r="NPE18"/>
      <c r="NPF18"/>
      <c r="NPG18"/>
      <c r="NPH18"/>
      <c r="NPI18"/>
      <c r="NPJ18"/>
      <c r="NPK18"/>
      <c r="NPL18"/>
      <c r="NPM18"/>
      <c r="NPN18"/>
      <c r="NPO18"/>
      <c r="NPP18"/>
      <c r="NPQ18"/>
      <c r="NPR18"/>
      <c r="NPS18"/>
      <c r="NPT18"/>
      <c r="NPU18"/>
      <c r="NPV18"/>
      <c r="NPW18"/>
      <c r="NPX18"/>
      <c r="NPY18"/>
      <c r="NPZ18"/>
      <c r="NQA18"/>
      <c r="NQB18"/>
      <c r="NQC18"/>
      <c r="NQD18"/>
      <c r="NQE18"/>
      <c r="NQF18"/>
      <c r="NQG18"/>
      <c r="NQH18"/>
      <c r="NQI18"/>
      <c r="NQJ18"/>
      <c r="NQK18"/>
      <c r="NQL18"/>
      <c r="NQM18"/>
      <c r="NQN18"/>
      <c r="NQO18"/>
      <c r="NQP18"/>
      <c r="NQQ18"/>
      <c r="NQR18"/>
      <c r="NQS18"/>
      <c r="NQT18"/>
      <c r="NQU18"/>
      <c r="NQV18"/>
      <c r="NQW18"/>
      <c r="NQX18"/>
      <c r="NQY18"/>
      <c r="NQZ18"/>
      <c r="NRA18"/>
      <c r="NRB18"/>
      <c r="NRC18"/>
      <c r="NRD18"/>
      <c r="NRE18"/>
      <c r="NRF18"/>
      <c r="NRG18"/>
      <c r="NRH18"/>
      <c r="NRI18"/>
      <c r="NRJ18"/>
      <c r="NRK18"/>
      <c r="NRL18"/>
      <c r="NRM18"/>
      <c r="NRN18"/>
      <c r="NRO18"/>
      <c r="NRP18"/>
      <c r="NRQ18"/>
      <c r="NRR18"/>
      <c r="NRS18"/>
      <c r="NRT18"/>
      <c r="NRU18"/>
      <c r="NRV18"/>
      <c r="NRW18"/>
      <c r="NRX18"/>
      <c r="NRY18"/>
      <c r="NRZ18"/>
      <c r="NSA18"/>
      <c r="NSB18"/>
      <c r="NSC18"/>
      <c r="NSD18"/>
      <c r="NSE18"/>
      <c r="NSF18"/>
      <c r="NSG18"/>
      <c r="NSH18"/>
      <c r="NSI18"/>
      <c r="NSJ18"/>
      <c r="NSK18"/>
      <c r="NSL18"/>
      <c r="NSM18"/>
      <c r="NSN18"/>
      <c r="NSO18"/>
      <c r="NSP18"/>
      <c r="NSQ18"/>
      <c r="NSR18"/>
      <c r="NSS18"/>
      <c r="NST18"/>
      <c r="NSU18"/>
      <c r="NSV18"/>
      <c r="NSW18"/>
      <c r="NSX18"/>
      <c r="NSY18"/>
      <c r="NSZ18"/>
      <c r="NTA18"/>
      <c r="NTB18"/>
      <c r="NTC18"/>
      <c r="NTD18"/>
      <c r="NTE18"/>
      <c r="NTF18"/>
      <c r="NTG18"/>
      <c r="NTH18"/>
      <c r="NTI18"/>
      <c r="NTJ18"/>
      <c r="NTK18"/>
      <c r="NTL18"/>
      <c r="NTM18"/>
      <c r="NTN18"/>
      <c r="NTO18"/>
      <c r="NTP18"/>
      <c r="NTQ18"/>
      <c r="NTR18"/>
      <c r="NTS18"/>
      <c r="NTT18"/>
      <c r="NTU18"/>
      <c r="NTV18"/>
      <c r="NTW18"/>
      <c r="NTX18"/>
      <c r="NTY18"/>
      <c r="NTZ18"/>
      <c r="NUA18"/>
      <c r="NUB18"/>
      <c r="NUC18"/>
      <c r="NUD18"/>
      <c r="NUE18"/>
      <c r="NUF18"/>
      <c r="NUG18"/>
      <c r="NUH18"/>
      <c r="NUI18"/>
      <c r="NUJ18"/>
      <c r="NUK18"/>
      <c r="NUL18"/>
      <c r="NUM18"/>
      <c r="NUN18"/>
      <c r="NUO18"/>
      <c r="NUP18"/>
      <c r="NUQ18"/>
      <c r="NUR18"/>
      <c r="NUS18"/>
      <c r="NUT18"/>
      <c r="NUU18"/>
      <c r="NUV18"/>
      <c r="NUW18"/>
      <c r="NUX18"/>
      <c r="NUY18"/>
      <c r="NUZ18"/>
      <c r="NVA18"/>
      <c r="NVB18"/>
      <c r="NVC18"/>
      <c r="NVD18"/>
      <c r="NVE18"/>
      <c r="NVF18"/>
      <c r="NVG18"/>
      <c r="NVH18"/>
      <c r="NVI18"/>
      <c r="NVJ18"/>
      <c r="NVK18"/>
      <c r="NVL18"/>
      <c r="NVM18"/>
      <c r="NVN18"/>
      <c r="NVO18"/>
      <c r="NVP18"/>
      <c r="NVQ18"/>
      <c r="NVR18"/>
      <c r="NVS18"/>
      <c r="NVT18"/>
      <c r="NVU18"/>
      <c r="NVV18"/>
      <c r="NVW18"/>
      <c r="NVX18"/>
      <c r="NVY18"/>
      <c r="NVZ18"/>
      <c r="NWA18"/>
      <c r="NWB18"/>
      <c r="NWC18"/>
      <c r="NWD18"/>
      <c r="NWE18"/>
      <c r="NWF18"/>
      <c r="NWG18"/>
      <c r="NWH18"/>
      <c r="NWI18"/>
      <c r="NWJ18"/>
      <c r="NWK18"/>
      <c r="NWL18"/>
      <c r="NWM18"/>
      <c r="NWN18"/>
      <c r="NWO18"/>
      <c r="NWP18"/>
      <c r="NWQ18"/>
      <c r="NWR18"/>
      <c r="NWS18"/>
      <c r="NWT18"/>
      <c r="NWU18"/>
      <c r="NWV18"/>
      <c r="NWW18"/>
      <c r="NWX18"/>
      <c r="NWY18"/>
      <c r="NWZ18"/>
      <c r="NXA18"/>
      <c r="NXB18"/>
      <c r="NXC18"/>
      <c r="NXD18"/>
      <c r="NXE18"/>
      <c r="NXF18"/>
      <c r="NXG18"/>
      <c r="NXH18"/>
      <c r="NXI18"/>
      <c r="NXJ18"/>
      <c r="NXK18"/>
      <c r="NXL18"/>
      <c r="NXM18"/>
      <c r="NXN18"/>
      <c r="NXO18"/>
      <c r="NXP18"/>
      <c r="NXQ18"/>
      <c r="NXR18"/>
      <c r="NXS18"/>
      <c r="NXT18"/>
      <c r="NXU18"/>
      <c r="NXV18"/>
      <c r="NXW18"/>
      <c r="NXX18"/>
      <c r="NXY18"/>
      <c r="NXZ18"/>
      <c r="NYA18"/>
      <c r="NYB18"/>
      <c r="NYC18"/>
      <c r="NYD18"/>
      <c r="NYE18"/>
      <c r="NYF18"/>
      <c r="NYG18"/>
      <c r="NYH18"/>
      <c r="NYI18"/>
      <c r="NYJ18"/>
      <c r="NYK18"/>
      <c r="NYL18"/>
      <c r="NYM18"/>
      <c r="NYN18"/>
      <c r="NYO18"/>
      <c r="NYP18"/>
      <c r="NYQ18"/>
      <c r="NYR18"/>
      <c r="NYS18"/>
      <c r="NYT18"/>
      <c r="NYU18"/>
      <c r="NYV18"/>
      <c r="NYW18"/>
      <c r="NYX18"/>
      <c r="NYY18"/>
      <c r="NYZ18"/>
      <c r="NZA18"/>
      <c r="NZB18"/>
      <c r="NZC18"/>
      <c r="NZD18"/>
      <c r="NZE18"/>
      <c r="NZF18"/>
      <c r="NZG18"/>
      <c r="NZH18"/>
      <c r="NZI18"/>
      <c r="NZJ18"/>
      <c r="NZK18"/>
      <c r="NZL18"/>
      <c r="NZM18"/>
      <c r="NZN18"/>
      <c r="NZO18"/>
      <c r="NZP18"/>
      <c r="NZQ18"/>
      <c r="NZR18"/>
      <c r="NZS18"/>
      <c r="NZT18"/>
      <c r="NZU18"/>
      <c r="NZV18"/>
      <c r="NZW18"/>
      <c r="NZX18"/>
      <c r="NZY18"/>
      <c r="NZZ18"/>
      <c r="OAA18"/>
      <c r="OAB18"/>
      <c r="OAC18"/>
      <c r="OAD18"/>
      <c r="OAE18"/>
      <c r="OAF18"/>
      <c r="OAG18"/>
      <c r="OAH18"/>
      <c r="OAI18"/>
      <c r="OAJ18"/>
      <c r="OAK18"/>
      <c r="OAL18"/>
      <c r="OAM18"/>
      <c r="OAN18"/>
      <c r="OAO18"/>
      <c r="OAP18"/>
      <c r="OAQ18"/>
      <c r="OAR18"/>
      <c r="OAS18"/>
      <c r="OAT18"/>
      <c r="OAU18"/>
      <c r="OAV18"/>
      <c r="OAW18"/>
      <c r="OAX18"/>
      <c r="OAY18"/>
      <c r="OAZ18"/>
      <c r="OBA18"/>
      <c r="OBB18"/>
      <c r="OBC18"/>
      <c r="OBD18"/>
      <c r="OBE18"/>
      <c r="OBF18"/>
      <c r="OBG18"/>
      <c r="OBH18"/>
      <c r="OBI18"/>
      <c r="OBJ18"/>
      <c r="OBK18"/>
      <c r="OBL18"/>
      <c r="OBM18"/>
      <c r="OBN18"/>
      <c r="OBO18"/>
      <c r="OBP18"/>
      <c r="OBQ18"/>
      <c r="OBR18"/>
      <c r="OBS18"/>
      <c r="OBT18"/>
      <c r="OBU18"/>
      <c r="OBV18"/>
      <c r="OBW18"/>
      <c r="OBX18"/>
      <c r="OBY18"/>
      <c r="OBZ18"/>
      <c r="OCA18"/>
      <c r="OCB18"/>
      <c r="OCC18"/>
      <c r="OCD18"/>
      <c r="OCE18"/>
      <c r="OCF18"/>
      <c r="OCG18"/>
      <c r="OCH18"/>
      <c r="OCI18"/>
      <c r="OCJ18"/>
      <c r="OCK18"/>
      <c r="OCL18"/>
      <c r="OCM18"/>
      <c r="OCN18"/>
      <c r="OCO18"/>
      <c r="OCP18"/>
      <c r="OCQ18"/>
      <c r="OCR18"/>
      <c r="OCS18"/>
      <c r="OCT18"/>
      <c r="OCU18"/>
      <c r="OCV18"/>
      <c r="OCW18"/>
      <c r="OCX18"/>
      <c r="OCY18"/>
      <c r="OCZ18"/>
      <c r="ODA18"/>
      <c r="ODB18"/>
      <c r="ODC18"/>
      <c r="ODD18"/>
      <c r="ODE18"/>
      <c r="ODF18"/>
      <c r="ODG18"/>
      <c r="ODH18"/>
      <c r="ODI18"/>
      <c r="ODJ18"/>
      <c r="ODK18"/>
      <c r="ODL18"/>
      <c r="ODM18"/>
      <c r="ODN18"/>
      <c r="ODO18"/>
      <c r="ODP18"/>
      <c r="ODQ18"/>
      <c r="ODR18"/>
      <c r="ODS18"/>
      <c r="ODT18"/>
      <c r="ODU18"/>
      <c r="ODV18"/>
      <c r="ODW18"/>
      <c r="ODX18"/>
      <c r="ODY18"/>
      <c r="ODZ18"/>
      <c r="OEA18"/>
      <c r="OEB18"/>
      <c r="OEC18"/>
      <c r="OED18"/>
      <c r="OEE18"/>
      <c r="OEF18"/>
      <c r="OEG18"/>
      <c r="OEH18"/>
      <c r="OEI18"/>
      <c r="OEJ18"/>
      <c r="OEK18"/>
      <c r="OEL18"/>
      <c r="OEM18"/>
      <c r="OEN18"/>
      <c r="OEO18"/>
      <c r="OEP18"/>
      <c r="OEQ18"/>
      <c r="OER18"/>
      <c r="OES18"/>
      <c r="OET18"/>
      <c r="OEU18"/>
      <c r="OEV18"/>
      <c r="OEW18"/>
      <c r="OEX18"/>
      <c r="OEY18"/>
      <c r="OEZ18"/>
      <c r="OFA18"/>
      <c r="OFB18"/>
      <c r="OFC18"/>
      <c r="OFD18"/>
      <c r="OFE18"/>
      <c r="OFF18"/>
      <c r="OFG18"/>
      <c r="OFH18"/>
      <c r="OFI18"/>
      <c r="OFJ18"/>
      <c r="OFK18"/>
      <c r="OFL18"/>
      <c r="OFM18"/>
      <c r="OFN18"/>
      <c r="OFO18"/>
      <c r="OFP18"/>
      <c r="OFQ18"/>
      <c r="OFR18"/>
      <c r="OFS18"/>
      <c r="OFT18"/>
      <c r="OFU18"/>
      <c r="OFV18"/>
      <c r="OFW18"/>
      <c r="OFX18"/>
      <c r="OFY18"/>
      <c r="OFZ18"/>
      <c r="OGA18"/>
      <c r="OGB18"/>
      <c r="OGC18"/>
      <c r="OGD18"/>
      <c r="OGE18"/>
      <c r="OGF18"/>
      <c r="OGG18"/>
      <c r="OGH18"/>
      <c r="OGI18"/>
      <c r="OGJ18"/>
      <c r="OGK18"/>
      <c r="OGL18"/>
      <c r="OGM18"/>
      <c r="OGN18"/>
      <c r="OGO18"/>
      <c r="OGP18"/>
      <c r="OGQ18"/>
      <c r="OGR18"/>
      <c r="OGS18"/>
      <c r="OGT18"/>
      <c r="OGU18"/>
      <c r="OGV18"/>
      <c r="OGW18"/>
      <c r="OGX18"/>
      <c r="OGY18"/>
      <c r="OGZ18"/>
      <c r="OHA18"/>
      <c r="OHB18"/>
      <c r="OHC18"/>
      <c r="OHD18"/>
      <c r="OHE18"/>
      <c r="OHF18"/>
      <c r="OHG18"/>
      <c r="OHH18"/>
      <c r="OHI18"/>
      <c r="OHJ18"/>
      <c r="OHK18"/>
      <c r="OHL18"/>
      <c r="OHM18"/>
      <c r="OHN18"/>
      <c r="OHO18"/>
      <c r="OHP18"/>
      <c r="OHQ18"/>
      <c r="OHR18"/>
      <c r="OHS18"/>
      <c r="OHT18"/>
      <c r="OHU18"/>
      <c r="OHV18"/>
      <c r="OHW18"/>
      <c r="OHX18"/>
      <c r="OHY18"/>
      <c r="OHZ18"/>
      <c r="OIA18"/>
      <c r="OIB18"/>
      <c r="OIC18"/>
      <c r="OID18"/>
      <c r="OIE18"/>
      <c r="OIF18"/>
      <c r="OIG18"/>
      <c r="OIH18"/>
      <c r="OII18"/>
      <c r="OIJ18"/>
      <c r="OIK18"/>
      <c r="OIL18"/>
      <c r="OIM18"/>
      <c r="OIN18"/>
      <c r="OIO18"/>
      <c r="OIP18"/>
      <c r="OIQ18"/>
      <c r="OIR18"/>
      <c r="OIS18"/>
      <c r="OIT18"/>
      <c r="OIU18"/>
      <c r="OIV18"/>
      <c r="OIW18"/>
      <c r="OIX18"/>
      <c r="OIY18"/>
      <c r="OIZ18"/>
      <c r="OJA18"/>
      <c r="OJB18"/>
      <c r="OJC18"/>
      <c r="OJD18"/>
      <c r="OJE18"/>
      <c r="OJF18"/>
      <c r="OJG18"/>
      <c r="OJH18"/>
      <c r="OJI18"/>
      <c r="OJJ18"/>
      <c r="OJK18"/>
      <c r="OJL18"/>
      <c r="OJM18"/>
      <c r="OJN18"/>
      <c r="OJO18"/>
      <c r="OJP18"/>
      <c r="OJQ18"/>
      <c r="OJR18"/>
      <c r="OJS18"/>
      <c r="OJT18"/>
      <c r="OJU18"/>
      <c r="OJV18"/>
      <c r="OJW18"/>
      <c r="OJX18"/>
      <c r="OJY18"/>
      <c r="OJZ18"/>
      <c r="OKA18"/>
      <c r="OKB18"/>
      <c r="OKC18"/>
      <c r="OKD18"/>
      <c r="OKE18"/>
      <c r="OKF18"/>
      <c r="OKG18"/>
      <c r="OKH18"/>
      <c r="OKI18"/>
      <c r="OKJ18"/>
      <c r="OKK18"/>
      <c r="OKL18"/>
      <c r="OKM18"/>
      <c r="OKN18"/>
      <c r="OKO18"/>
      <c r="OKP18"/>
      <c r="OKQ18"/>
      <c r="OKR18"/>
      <c r="OKS18"/>
      <c r="OKT18"/>
      <c r="OKU18"/>
      <c r="OKV18"/>
      <c r="OKW18"/>
      <c r="OKX18"/>
      <c r="OKY18"/>
      <c r="OKZ18"/>
      <c r="OLA18"/>
      <c r="OLB18"/>
      <c r="OLC18"/>
      <c r="OLD18"/>
      <c r="OLE18"/>
      <c r="OLF18"/>
      <c r="OLG18"/>
      <c r="OLH18"/>
      <c r="OLI18"/>
      <c r="OLJ18"/>
      <c r="OLK18"/>
      <c r="OLL18"/>
      <c r="OLM18"/>
      <c r="OLN18"/>
      <c r="OLO18"/>
      <c r="OLP18"/>
      <c r="OLQ18"/>
      <c r="OLR18"/>
      <c r="OLS18"/>
      <c r="OLT18"/>
      <c r="OLU18"/>
      <c r="OLV18"/>
      <c r="OLW18"/>
      <c r="OLX18"/>
      <c r="OLY18"/>
      <c r="OLZ18"/>
      <c r="OMA18"/>
      <c r="OMB18"/>
      <c r="OMC18"/>
      <c r="OMD18"/>
      <c r="OME18"/>
      <c r="OMF18"/>
      <c r="OMG18"/>
      <c r="OMH18"/>
      <c r="OMI18"/>
      <c r="OMJ18"/>
      <c r="OMK18"/>
      <c r="OML18"/>
      <c r="OMM18"/>
      <c r="OMN18"/>
      <c r="OMO18"/>
      <c r="OMP18"/>
      <c r="OMQ18"/>
      <c r="OMR18"/>
      <c r="OMS18"/>
      <c r="OMT18"/>
      <c r="OMU18"/>
      <c r="OMV18"/>
      <c r="OMW18"/>
      <c r="OMX18"/>
      <c r="OMY18"/>
      <c r="OMZ18"/>
      <c r="ONA18"/>
      <c r="ONB18"/>
      <c r="ONC18"/>
      <c r="OND18"/>
      <c r="ONE18"/>
      <c r="ONF18"/>
      <c r="ONG18"/>
      <c r="ONH18"/>
      <c r="ONI18"/>
      <c r="ONJ18"/>
      <c r="ONK18"/>
      <c r="ONL18"/>
      <c r="ONM18"/>
      <c r="ONN18"/>
      <c r="ONO18"/>
      <c r="ONP18"/>
      <c r="ONQ18"/>
      <c r="ONR18"/>
      <c r="ONS18"/>
      <c r="ONT18"/>
      <c r="ONU18"/>
      <c r="ONV18"/>
      <c r="ONW18"/>
      <c r="ONX18"/>
      <c r="ONY18"/>
      <c r="ONZ18"/>
      <c r="OOA18"/>
      <c r="OOB18"/>
      <c r="OOC18"/>
      <c r="OOD18"/>
      <c r="OOE18"/>
      <c r="OOF18"/>
      <c r="OOG18"/>
      <c r="OOH18"/>
      <c r="OOI18"/>
      <c r="OOJ18"/>
      <c r="OOK18"/>
      <c r="OOL18"/>
      <c r="OOM18"/>
      <c r="OON18"/>
      <c r="OOO18"/>
      <c r="OOP18"/>
      <c r="OOQ18"/>
      <c r="OOR18"/>
      <c r="OOS18"/>
      <c r="OOT18"/>
      <c r="OOU18"/>
      <c r="OOV18"/>
      <c r="OOW18"/>
      <c r="OOX18"/>
      <c r="OOY18"/>
      <c r="OOZ18"/>
      <c r="OPA18"/>
      <c r="OPB18"/>
      <c r="OPC18"/>
      <c r="OPD18"/>
      <c r="OPE18"/>
      <c r="OPF18"/>
      <c r="OPG18"/>
      <c r="OPH18"/>
      <c r="OPI18"/>
      <c r="OPJ18"/>
      <c r="OPK18"/>
      <c r="OPL18"/>
      <c r="OPM18"/>
      <c r="OPN18"/>
      <c r="OPO18"/>
      <c r="OPP18"/>
      <c r="OPQ18"/>
      <c r="OPR18"/>
      <c r="OPS18"/>
      <c r="OPT18"/>
      <c r="OPU18"/>
      <c r="OPV18"/>
      <c r="OPW18"/>
      <c r="OPX18"/>
      <c r="OPY18"/>
      <c r="OPZ18"/>
      <c r="OQA18"/>
      <c r="OQB18"/>
      <c r="OQC18"/>
      <c r="OQD18"/>
      <c r="OQE18"/>
      <c r="OQF18"/>
      <c r="OQG18"/>
      <c r="OQH18"/>
      <c r="OQI18"/>
      <c r="OQJ18"/>
      <c r="OQK18"/>
      <c r="OQL18"/>
      <c r="OQM18"/>
      <c r="OQN18"/>
      <c r="OQO18"/>
      <c r="OQP18"/>
      <c r="OQQ18"/>
      <c r="OQR18"/>
      <c r="OQS18"/>
      <c r="OQT18"/>
      <c r="OQU18"/>
      <c r="OQV18"/>
      <c r="OQW18"/>
      <c r="OQX18"/>
      <c r="OQY18"/>
      <c r="OQZ18"/>
      <c r="ORA18"/>
      <c r="ORB18"/>
      <c r="ORC18"/>
      <c r="ORD18"/>
      <c r="ORE18"/>
      <c r="ORF18"/>
      <c r="ORG18"/>
      <c r="ORH18"/>
      <c r="ORI18"/>
      <c r="ORJ18"/>
      <c r="ORK18"/>
      <c r="ORL18"/>
      <c r="ORM18"/>
      <c r="ORN18"/>
      <c r="ORO18"/>
      <c r="ORP18"/>
      <c r="ORQ18"/>
      <c r="ORR18"/>
      <c r="ORS18"/>
      <c r="ORT18"/>
      <c r="ORU18"/>
      <c r="ORV18"/>
      <c r="ORW18"/>
      <c r="ORX18"/>
      <c r="ORY18"/>
      <c r="ORZ18"/>
      <c r="OSA18"/>
      <c r="OSB18"/>
      <c r="OSC18"/>
      <c r="OSD18"/>
      <c r="OSE18"/>
      <c r="OSF18"/>
      <c r="OSG18"/>
      <c r="OSH18"/>
      <c r="OSI18"/>
      <c r="OSJ18"/>
      <c r="OSK18"/>
      <c r="OSL18"/>
      <c r="OSM18"/>
      <c r="OSN18"/>
      <c r="OSO18"/>
      <c r="OSP18"/>
      <c r="OSQ18"/>
      <c r="OSR18"/>
      <c r="OSS18"/>
      <c r="OST18"/>
      <c r="OSU18"/>
      <c r="OSV18"/>
      <c r="OSW18"/>
      <c r="OSX18"/>
      <c r="OSY18"/>
      <c r="OSZ18"/>
      <c r="OTA18"/>
      <c r="OTB18"/>
      <c r="OTC18"/>
      <c r="OTD18"/>
      <c r="OTE18"/>
      <c r="OTF18"/>
      <c r="OTG18"/>
      <c r="OTH18"/>
      <c r="OTI18"/>
      <c r="OTJ18"/>
      <c r="OTK18"/>
      <c r="OTL18"/>
      <c r="OTM18"/>
      <c r="OTN18"/>
      <c r="OTO18"/>
      <c r="OTP18"/>
      <c r="OTQ18"/>
      <c r="OTR18"/>
      <c r="OTS18"/>
      <c r="OTT18"/>
      <c r="OTU18"/>
      <c r="OTV18"/>
      <c r="OTW18"/>
      <c r="OTX18"/>
      <c r="OTY18"/>
      <c r="OTZ18"/>
      <c r="OUA18"/>
      <c r="OUB18"/>
      <c r="OUC18"/>
      <c r="OUD18"/>
      <c r="OUE18"/>
      <c r="OUF18"/>
      <c r="OUG18"/>
      <c r="OUH18"/>
      <c r="OUI18"/>
      <c r="OUJ18"/>
      <c r="OUK18"/>
      <c r="OUL18"/>
      <c r="OUM18"/>
      <c r="OUN18"/>
      <c r="OUO18"/>
      <c r="OUP18"/>
      <c r="OUQ18"/>
      <c r="OUR18"/>
      <c r="OUS18"/>
      <c r="OUT18"/>
      <c r="OUU18"/>
      <c r="OUV18"/>
      <c r="OUW18"/>
      <c r="OUX18"/>
      <c r="OUY18"/>
      <c r="OUZ18"/>
      <c r="OVA18"/>
      <c r="OVB18"/>
      <c r="OVC18"/>
      <c r="OVD18"/>
      <c r="OVE18"/>
      <c r="OVF18"/>
      <c r="OVG18"/>
      <c r="OVH18"/>
      <c r="OVI18"/>
      <c r="OVJ18"/>
      <c r="OVK18"/>
      <c r="OVL18"/>
      <c r="OVM18"/>
      <c r="OVN18"/>
      <c r="OVO18"/>
      <c r="OVP18"/>
      <c r="OVQ18"/>
      <c r="OVR18"/>
      <c r="OVS18"/>
      <c r="OVT18"/>
      <c r="OVU18"/>
      <c r="OVV18"/>
      <c r="OVW18"/>
      <c r="OVX18"/>
      <c r="OVY18"/>
      <c r="OVZ18"/>
      <c r="OWA18"/>
      <c r="OWB18"/>
      <c r="OWC18"/>
      <c r="OWD18"/>
      <c r="OWE18"/>
      <c r="OWF18"/>
      <c r="OWG18"/>
      <c r="OWH18"/>
      <c r="OWI18"/>
      <c r="OWJ18"/>
      <c r="OWK18"/>
      <c r="OWL18"/>
      <c r="OWM18"/>
      <c r="OWN18"/>
      <c r="OWO18"/>
      <c r="OWP18"/>
      <c r="OWQ18"/>
      <c r="OWR18"/>
      <c r="OWS18"/>
      <c r="OWT18"/>
      <c r="OWU18"/>
      <c r="OWV18"/>
      <c r="OWW18"/>
      <c r="OWX18"/>
      <c r="OWY18"/>
      <c r="OWZ18"/>
      <c r="OXA18"/>
      <c r="OXB18"/>
      <c r="OXC18"/>
      <c r="OXD18"/>
      <c r="OXE18"/>
      <c r="OXF18"/>
      <c r="OXG18"/>
      <c r="OXH18"/>
      <c r="OXI18"/>
      <c r="OXJ18"/>
      <c r="OXK18"/>
      <c r="OXL18"/>
      <c r="OXM18"/>
      <c r="OXN18"/>
      <c r="OXO18"/>
      <c r="OXP18"/>
      <c r="OXQ18"/>
      <c r="OXR18"/>
      <c r="OXS18"/>
      <c r="OXT18"/>
      <c r="OXU18"/>
      <c r="OXV18"/>
      <c r="OXW18"/>
      <c r="OXX18"/>
      <c r="OXY18"/>
      <c r="OXZ18"/>
      <c r="OYA18"/>
      <c r="OYB18"/>
      <c r="OYC18"/>
      <c r="OYD18"/>
      <c r="OYE18"/>
      <c r="OYF18"/>
      <c r="OYG18"/>
      <c r="OYH18"/>
      <c r="OYI18"/>
      <c r="OYJ18"/>
      <c r="OYK18"/>
      <c r="OYL18"/>
      <c r="OYM18"/>
      <c r="OYN18"/>
      <c r="OYO18"/>
      <c r="OYP18"/>
      <c r="OYQ18"/>
      <c r="OYR18"/>
      <c r="OYS18"/>
      <c r="OYT18"/>
      <c r="OYU18"/>
      <c r="OYV18"/>
      <c r="OYW18"/>
      <c r="OYX18"/>
      <c r="OYY18"/>
      <c r="OYZ18"/>
      <c r="OZA18"/>
      <c r="OZB18"/>
      <c r="OZC18"/>
      <c r="OZD18"/>
      <c r="OZE18"/>
      <c r="OZF18"/>
      <c r="OZG18"/>
      <c r="OZH18"/>
      <c r="OZI18"/>
      <c r="OZJ18"/>
      <c r="OZK18"/>
      <c r="OZL18"/>
      <c r="OZM18"/>
      <c r="OZN18"/>
      <c r="OZO18"/>
      <c r="OZP18"/>
      <c r="OZQ18"/>
      <c r="OZR18"/>
      <c r="OZS18"/>
      <c r="OZT18"/>
      <c r="OZU18"/>
      <c r="OZV18"/>
      <c r="OZW18"/>
      <c r="OZX18"/>
      <c r="OZY18"/>
      <c r="OZZ18"/>
      <c r="PAA18"/>
      <c r="PAB18"/>
      <c r="PAC18"/>
      <c r="PAD18"/>
      <c r="PAE18"/>
      <c r="PAF18"/>
      <c r="PAG18"/>
      <c r="PAH18"/>
      <c r="PAI18"/>
      <c r="PAJ18"/>
      <c r="PAK18"/>
      <c r="PAL18"/>
      <c r="PAM18"/>
      <c r="PAN18"/>
      <c r="PAO18"/>
      <c r="PAP18"/>
      <c r="PAQ18"/>
      <c r="PAR18"/>
      <c r="PAS18"/>
      <c r="PAT18"/>
      <c r="PAU18"/>
      <c r="PAV18"/>
      <c r="PAW18"/>
      <c r="PAX18"/>
      <c r="PAY18"/>
      <c r="PAZ18"/>
      <c r="PBA18"/>
      <c r="PBB18"/>
      <c r="PBC18"/>
      <c r="PBD18"/>
      <c r="PBE18"/>
      <c r="PBF18"/>
      <c r="PBG18"/>
      <c r="PBH18"/>
      <c r="PBI18"/>
      <c r="PBJ18"/>
      <c r="PBK18"/>
      <c r="PBL18"/>
      <c r="PBM18"/>
      <c r="PBN18"/>
      <c r="PBO18"/>
      <c r="PBP18"/>
      <c r="PBQ18"/>
      <c r="PBR18"/>
      <c r="PBS18"/>
      <c r="PBT18"/>
      <c r="PBU18"/>
      <c r="PBV18"/>
      <c r="PBW18"/>
      <c r="PBX18"/>
      <c r="PBY18"/>
      <c r="PBZ18"/>
      <c r="PCA18"/>
      <c r="PCB18"/>
      <c r="PCC18"/>
      <c r="PCD18"/>
      <c r="PCE18"/>
      <c r="PCF18"/>
      <c r="PCG18"/>
      <c r="PCH18"/>
      <c r="PCI18"/>
      <c r="PCJ18"/>
      <c r="PCK18"/>
      <c r="PCL18"/>
      <c r="PCM18"/>
      <c r="PCN18"/>
      <c r="PCO18"/>
      <c r="PCP18"/>
      <c r="PCQ18"/>
      <c r="PCR18"/>
      <c r="PCS18"/>
      <c r="PCT18"/>
      <c r="PCU18"/>
      <c r="PCV18"/>
      <c r="PCW18"/>
      <c r="PCX18"/>
      <c r="PCY18"/>
      <c r="PCZ18"/>
      <c r="PDA18"/>
      <c r="PDB18"/>
      <c r="PDC18"/>
      <c r="PDD18"/>
      <c r="PDE18"/>
      <c r="PDF18"/>
      <c r="PDG18"/>
      <c r="PDH18"/>
      <c r="PDI18"/>
      <c r="PDJ18"/>
      <c r="PDK18"/>
      <c r="PDL18"/>
      <c r="PDM18"/>
      <c r="PDN18"/>
      <c r="PDO18"/>
      <c r="PDP18"/>
      <c r="PDQ18"/>
      <c r="PDR18"/>
      <c r="PDS18"/>
      <c r="PDT18"/>
      <c r="PDU18"/>
      <c r="PDV18"/>
      <c r="PDW18"/>
      <c r="PDX18"/>
      <c r="PDY18"/>
      <c r="PDZ18"/>
      <c r="PEA18"/>
      <c r="PEB18"/>
      <c r="PEC18"/>
      <c r="PED18"/>
      <c r="PEE18"/>
      <c r="PEF18"/>
      <c r="PEG18"/>
      <c r="PEH18"/>
      <c r="PEI18"/>
      <c r="PEJ18"/>
      <c r="PEK18"/>
      <c r="PEL18"/>
      <c r="PEM18"/>
      <c r="PEN18"/>
      <c r="PEO18"/>
      <c r="PEP18"/>
      <c r="PEQ18"/>
      <c r="PER18"/>
      <c r="PES18"/>
      <c r="PET18"/>
      <c r="PEU18"/>
      <c r="PEV18"/>
      <c r="PEW18"/>
      <c r="PEX18"/>
      <c r="PEY18"/>
      <c r="PEZ18"/>
      <c r="PFA18"/>
      <c r="PFB18"/>
      <c r="PFC18"/>
      <c r="PFD18"/>
      <c r="PFE18"/>
      <c r="PFF18"/>
      <c r="PFG18"/>
      <c r="PFH18"/>
      <c r="PFI18"/>
      <c r="PFJ18"/>
      <c r="PFK18"/>
      <c r="PFL18"/>
      <c r="PFM18"/>
      <c r="PFN18"/>
      <c r="PFO18"/>
      <c r="PFP18"/>
      <c r="PFQ18"/>
      <c r="PFR18"/>
      <c r="PFS18"/>
      <c r="PFT18"/>
      <c r="PFU18"/>
      <c r="PFV18"/>
      <c r="PFW18"/>
      <c r="PFX18"/>
      <c r="PFY18"/>
      <c r="PFZ18"/>
      <c r="PGA18"/>
      <c r="PGB18"/>
      <c r="PGC18"/>
      <c r="PGD18"/>
      <c r="PGE18"/>
      <c r="PGF18"/>
      <c r="PGG18"/>
      <c r="PGH18"/>
      <c r="PGI18"/>
      <c r="PGJ18"/>
      <c r="PGK18"/>
      <c r="PGL18"/>
      <c r="PGM18"/>
      <c r="PGN18"/>
      <c r="PGO18"/>
      <c r="PGP18"/>
      <c r="PGQ18"/>
      <c r="PGR18"/>
      <c r="PGS18"/>
      <c r="PGT18"/>
      <c r="PGU18"/>
      <c r="PGV18"/>
      <c r="PGW18"/>
      <c r="PGX18"/>
      <c r="PGY18"/>
      <c r="PGZ18"/>
      <c r="PHA18"/>
      <c r="PHB18"/>
      <c r="PHC18"/>
      <c r="PHD18"/>
      <c r="PHE18"/>
      <c r="PHF18"/>
      <c r="PHG18"/>
      <c r="PHH18"/>
      <c r="PHI18"/>
      <c r="PHJ18"/>
      <c r="PHK18"/>
      <c r="PHL18"/>
      <c r="PHM18"/>
      <c r="PHN18"/>
      <c r="PHO18"/>
      <c r="PHP18"/>
      <c r="PHQ18"/>
      <c r="PHR18"/>
      <c r="PHS18"/>
      <c r="PHT18"/>
      <c r="PHU18"/>
      <c r="PHV18"/>
      <c r="PHW18"/>
      <c r="PHX18"/>
      <c r="PHY18"/>
      <c r="PHZ18"/>
      <c r="PIA18"/>
      <c r="PIB18"/>
      <c r="PIC18"/>
      <c r="PID18"/>
      <c r="PIE18"/>
      <c r="PIF18"/>
      <c r="PIG18"/>
      <c r="PIH18"/>
      <c r="PII18"/>
      <c r="PIJ18"/>
      <c r="PIK18"/>
      <c r="PIL18"/>
      <c r="PIM18"/>
      <c r="PIN18"/>
      <c r="PIO18"/>
      <c r="PIP18"/>
      <c r="PIQ18"/>
      <c r="PIR18"/>
      <c r="PIS18"/>
      <c r="PIT18"/>
      <c r="PIU18"/>
      <c r="PIV18"/>
      <c r="PIW18"/>
      <c r="PIX18"/>
      <c r="PIY18"/>
      <c r="PIZ18"/>
      <c r="PJA18"/>
      <c r="PJB18"/>
      <c r="PJC18"/>
      <c r="PJD18"/>
      <c r="PJE18"/>
      <c r="PJF18"/>
      <c r="PJG18"/>
      <c r="PJH18"/>
      <c r="PJI18"/>
      <c r="PJJ18"/>
      <c r="PJK18"/>
      <c r="PJL18"/>
      <c r="PJM18"/>
      <c r="PJN18"/>
      <c r="PJO18"/>
      <c r="PJP18"/>
      <c r="PJQ18"/>
      <c r="PJR18"/>
      <c r="PJS18"/>
      <c r="PJT18"/>
      <c r="PJU18"/>
      <c r="PJV18"/>
      <c r="PJW18"/>
      <c r="PJX18"/>
      <c r="PJY18"/>
      <c r="PJZ18"/>
      <c r="PKA18"/>
      <c r="PKB18"/>
      <c r="PKC18"/>
      <c r="PKD18"/>
      <c r="PKE18"/>
      <c r="PKF18"/>
      <c r="PKG18"/>
      <c r="PKH18"/>
      <c r="PKI18"/>
      <c r="PKJ18"/>
      <c r="PKK18"/>
      <c r="PKL18"/>
      <c r="PKM18"/>
      <c r="PKN18"/>
      <c r="PKO18"/>
      <c r="PKP18"/>
      <c r="PKQ18"/>
      <c r="PKR18"/>
      <c r="PKS18"/>
      <c r="PKT18"/>
      <c r="PKU18"/>
      <c r="PKV18"/>
      <c r="PKW18"/>
      <c r="PKX18"/>
      <c r="PKY18"/>
      <c r="PKZ18"/>
      <c r="PLA18"/>
      <c r="PLB18"/>
      <c r="PLC18"/>
      <c r="PLD18"/>
      <c r="PLE18"/>
      <c r="PLF18"/>
      <c r="PLG18"/>
      <c r="PLH18"/>
      <c r="PLI18"/>
      <c r="PLJ18"/>
      <c r="PLK18"/>
      <c r="PLL18"/>
      <c r="PLM18"/>
      <c r="PLN18"/>
      <c r="PLO18"/>
      <c r="PLP18"/>
      <c r="PLQ18"/>
      <c r="PLR18"/>
      <c r="PLS18"/>
      <c r="PLT18"/>
      <c r="PLU18"/>
      <c r="PLV18"/>
      <c r="PLW18"/>
      <c r="PLX18"/>
      <c r="PLY18"/>
      <c r="PLZ18"/>
      <c r="PMA18"/>
      <c r="PMB18"/>
      <c r="PMC18"/>
      <c r="PMD18"/>
      <c r="PME18"/>
      <c r="PMF18"/>
      <c r="PMG18"/>
      <c r="PMH18"/>
      <c r="PMI18"/>
      <c r="PMJ18"/>
      <c r="PMK18"/>
      <c r="PML18"/>
      <c r="PMM18"/>
      <c r="PMN18"/>
      <c r="PMO18"/>
      <c r="PMP18"/>
      <c r="PMQ18"/>
      <c r="PMR18"/>
      <c r="PMS18"/>
      <c r="PMT18"/>
      <c r="PMU18"/>
      <c r="PMV18"/>
      <c r="PMW18"/>
      <c r="PMX18"/>
      <c r="PMY18"/>
      <c r="PMZ18"/>
      <c r="PNA18"/>
      <c r="PNB18"/>
      <c r="PNC18"/>
      <c r="PND18"/>
      <c r="PNE18"/>
      <c r="PNF18"/>
      <c r="PNG18"/>
      <c r="PNH18"/>
      <c r="PNI18"/>
      <c r="PNJ18"/>
      <c r="PNK18"/>
      <c r="PNL18"/>
      <c r="PNM18"/>
      <c r="PNN18"/>
      <c r="PNO18"/>
      <c r="PNP18"/>
      <c r="PNQ18"/>
      <c r="PNR18"/>
      <c r="PNS18"/>
      <c r="PNT18"/>
      <c r="PNU18"/>
      <c r="PNV18"/>
      <c r="PNW18"/>
      <c r="PNX18"/>
      <c r="PNY18"/>
      <c r="PNZ18"/>
      <c r="POA18"/>
      <c r="POB18"/>
      <c r="POC18"/>
      <c r="POD18"/>
      <c r="POE18"/>
      <c r="POF18"/>
      <c r="POG18"/>
      <c r="POH18"/>
      <c r="POI18"/>
      <c r="POJ18"/>
      <c r="POK18"/>
      <c r="POL18"/>
      <c r="POM18"/>
      <c r="PON18"/>
      <c r="POO18"/>
      <c r="POP18"/>
      <c r="POQ18"/>
      <c r="POR18"/>
      <c r="POS18"/>
      <c r="POT18"/>
      <c r="POU18"/>
      <c r="POV18"/>
      <c r="POW18"/>
      <c r="POX18"/>
      <c r="POY18"/>
      <c r="POZ18"/>
      <c r="PPA18"/>
      <c r="PPB18"/>
      <c r="PPC18"/>
      <c r="PPD18"/>
      <c r="PPE18"/>
      <c r="PPF18"/>
      <c r="PPG18"/>
      <c r="PPH18"/>
      <c r="PPI18"/>
      <c r="PPJ18"/>
      <c r="PPK18"/>
      <c r="PPL18"/>
      <c r="PPM18"/>
      <c r="PPN18"/>
      <c r="PPO18"/>
      <c r="PPP18"/>
      <c r="PPQ18"/>
      <c r="PPR18"/>
      <c r="PPS18"/>
      <c r="PPT18"/>
      <c r="PPU18"/>
      <c r="PPV18"/>
      <c r="PPW18"/>
      <c r="PPX18"/>
      <c r="PPY18"/>
      <c r="PPZ18"/>
      <c r="PQA18"/>
      <c r="PQB18"/>
      <c r="PQC18"/>
      <c r="PQD18"/>
      <c r="PQE18"/>
      <c r="PQF18"/>
      <c r="PQG18"/>
      <c r="PQH18"/>
      <c r="PQI18"/>
      <c r="PQJ18"/>
      <c r="PQK18"/>
      <c r="PQL18"/>
      <c r="PQM18"/>
      <c r="PQN18"/>
      <c r="PQO18"/>
      <c r="PQP18"/>
      <c r="PQQ18"/>
      <c r="PQR18"/>
      <c r="PQS18"/>
      <c r="PQT18"/>
      <c r="PQU18"/>
      <c r="PQV18"/>
      <c r="PQW18"/>
      <c r="PQX18"/>
      <c r="PQY18"/>
      <c r="PQZ18"/>
      <c r="PRA18"/>
      <c r="PRB18"/>
      <c r="PRC18"/>
      <c r="PRD18"/>
      <c r="PRE18"/>
      <c r="PRF18"/>
      <c r="PRG18"/>
      <c r="PRH18"/>
      <c r="PRI18"/>
      <c r="PRJ18"/>
      <c r="PRK18"/>
      <c r="PRL18"/>
      <c r="PRM18"/>
      <c r="PRN18"/>
      <c r="PRO18"/>
      <c r="PRP18"/>
      <c r="PRQ18"/>
      <c r="PRR18"/>
      <c r="PRS18"/>
      <c r="PRT18"/>
      <c r="PRU18"/>
      <c r="PRV18"/>
      <c r="PRW18"/>
      <c r="PRX18"/>
      <c r="PRY18"/>
      <c r="PRZ18"/>
      <c r="PSA18"/>
      <c r="PSB18"/>
      <c r="PSC18"/>
      <c r="PSD18"/>
      <c r="PSE18"/>
      <c r="PSF18"/>
      <c r="PSG18"/>
      <c r="PSH18"/>
      <c r="PSI18"/>
      <c r="PSJ18"/>
      <c r="PSK18"/>
      <c r="PSL18"/>
      <c r="PSM18"/>
      <c r="PSN18"/>
      <c r="PSO18"/>
      <c r="PSP18"/>
      <c r="PSQ18"/>
      <c r="PSR18"/>
      <c r="PSS18"/>
      <c r="PST18"/>
      <c r="PSU18"/>
      <c r="PSV18"/>
      <c r="PSW18"/>
      <c r="PSX18"/>
      <c r="PSY18"/>
      <c r="PSZ18"/>
      <c r="PTA18"/>
      <c r="PTB18"/>
      <c r="PTC18"/>
      <c r="PTD18"/>
      <c r="PTE18"/>
      <c r="PTF18"/>
      <c r="PTG18"/>
      <c r="PTH18"/>
      <c r="PTI18"/>
      <c r="PTJ18"/>
      <c r="PTK18"/>
      <c r="PTL18"/>
      <c r="PTM18"/>
      <c r="PTN18"/>
      <c r="PTO18"/>
      <c r="PTP18"/>
      <c r="PTQ18"/>
      <c r="PTR18"/>
      <c r="PTS18"/>
      <c r="PTT18"/>
      <c r="PTU18"/>
      <c r="PTV18"/>
      <c r="PTW18"/>
      <c r="PTX18"/>
      <c r="PTY18"/>
      <c r="PTZ18"/>
      <c r="PUA18"/>
      <c r="PUB18"/>
      <c r="PUC18"/>
      <c r="PUD18"/>
      <c r="PUE18"/>
      <c r="PUF18"/>
      <c r="PUG18"/>
      <c r="PUH18"/>
      <c r="PUI18"/>
      <c r="PUJ18"/>
      <c r="PUK18"/>
      <c r="PUL18"/>
      <c r="PUM18"/>
      <c r="PUN18"/>
      <c r="PUO18"/>
      <c r="PUP18"/>
      <c r="PUQ18"/>
      <c r="PUR18"/>
      <c r="PUS18"/>
      <c r="PUT18"/>
      <c r="PUU18"/>
      <c r="PUV18"/>
      <c r="PUW18"/>
      <c r="PUX18"/>
      <c r="PUY18"/>
      <c r="PUZ18"/>
      <c r="PVA18"/>
      <c r="PVB18"/>
      <c r="PVC18"/>
      <c r="PVD18"/>
      <c r="PVE18"/>
      <c r="PVF18"/>
      <c r="PVG18"/>
      <c r="PVH18"/>
      <c r="PVI18"/>
      <c r="PVJ18"/>
      <c r="PVK18"/>
      <c r="PVL18"/>
      <c r="PVM18"/>
      <c r="PVN18"/>
      <c r="PVO18"/>
      <c r="PVP18"/>
      <c r="PVQ18"/>
      <c r="PVR18"/>
      <c r="PVS18"/>
      <c r="PVT18"/>
      <c r="PVU18"/>
      <c r="PVV18"/>
      <c r="PVW18"/>
      <c r="PVX18"/>
      <c r="PVY18"/>
      <c r="PVZ18"/>
      <c r="PWA18"/>
      <c r="PWB18"/>
      <c r="PWC18"/>
      <c r="PWD18"/>
      <c r="PWE18"/>
      <c r="PWF18"/>
      <c r="PWG18"/>
      <c r="PWH18"/>
      <c r="PWI18"/>
      <c r="PWJ18"/>
      <c r="PWK18"/>
      <c r="PWL18"/>
      <c r="PWM18"/>
      <c r="PWN18"/>
      <c r="PWO18"/>
      <c r="PWP18"/>
      <c r="PWQ18"/>
      <c r="PWR18"/>
      <c r="PWS18"/>
      <c r="PWT18"/>
      <c r="PWU18"/>
      <c r="PWV18"/>
      <c r="PWW18"/>
      <c r="PWX18"/>
      <c r="PWY18"/>
      <c r="PWZ18"/>
      <c r="PXA18"/>
      <c r="PXB18"/>
      <c r="PXC18"/>
      <c r="PXD18"/>
      <c r="PXE18"/>
      <c r="PXF18"/>
      <c r="PXG18"/>
      <c r="PXH18"/>
      <c r="PXI18"/>
      <c r="PXJ18"/>
      <c r="PXK18"/>
      <c r="PXL18"/>
      <c r="PXM18"/>
      <c r="PXN18"/>
      <c r="PXO18"/>
      <c r="PXP18"/>
      <c r="PXQ18"/>
      <c r="PXR18"/>
      <c r="PXS18"/>
      <c r="PXT18"/>
      <c r="PXU18"/>
      <c r="PXV18"/>
      <c r="PXW18"/>
      <c r="PXX18"/>
      <c r="PXY18"/>
      <c r="PXZ18"/>
      <c r="PYA18"/>
      <c r="PYB18"/>
      <c r="PYC18"/>
      <c r="PYD18"/>
      <c r="PYE18"/>
      <c r="PYF18"/>
      <c r="PYG18"/>
      <c r="PYH18"/>
      <c r="PYI18"/>
      <c r="PYJ18"/>
      <c r="PYK18"/>
      <c r="PYL18"/>
      <c r="PYM18"/>
      <c r="PYN18"/>
      <c r="PYO18"/>
      <c r="PYP18"/>
      <c r="PYQ18"/>
      <c r="PYR18"/>
      <c r="PYS18"/>
      <c r="PYT18"/>
      <c r="PYU18"/>
      <c r="PYV18"/>
      <c r="PYW18"/>
      <c r="PYX18"/>
      <c r="PYY18"/>
      <c r="PYZ18"/>
      <c r="PZA18"/>
      <c r="PZB18"/>
      <c r="PZC18"/>
      <c r="PZD18"/>
      <c r="PZE18"/>
      <c r="PZF18"/>
      <c r="PZG18"/>
      <c r="PZH18"/>
      <c r="PZI18"/>
      <c r="PZJ18"/>
      <c r="PZK18"/>
      <c r="PZL18"/>
      <c r="PZM18"/>
      <c r="PZN18"/>
      <c r="PZO18"/>
      <c r="PZP18"/>
      <c r="PZQ18"/>
      <c r="PZR18"/>
      <c r="PZS18"/>
      <c r="PZT18"/>
      <c r="PZU18"/>
      <c r="PZV18"/>
      <c r="PZW18"/>
      <c r="PZX18"/>
      <c r="PZY18"/>
      <c r="PZZ18"/>
      <c r="QAA18"/>
      <c r="QAB18"/>
      <c r="QAC18"/>
      <c r="QAD18"/>
      <c r="QAE18"/>
      <c r="QAF18"/>
      <c r="QAG18"/>
      <c r="QAH18"/>
      <c r="QAI18"/>
      <c r="QAJ18"/>
      <c r="QAK18"/>
      <c r="QAL18"/>
      <c r="QAM18"/>
      <c r="QAN18"/>
      <c r="QAO18"/>
      <c r="QAP18"/>
      <c r="QAQ18"/>
      <c r="QAR18"/>
      <c r="QAS18"/>
      <c r="QAT18"/>
      <c r="QAU18"/>
      <c r="QAV18"/>
      <c r="QAW18"/>
      <c r="QAX18"/>
      <c r="QAY18"/>
      <c r="QAZ18"/>
      <c r="QBA18"/>
      <c r="QBB18"/>
      <c r="QBC18"/>
      <c r="QBD18"/>
      <c r="QBE18"/>
      <c r="QBF18"/>
      <c r="QBG18"/>
      <c r="QBH18"/>
      <c r="QBI18"/>
      <c r="QBJ18"/>
      <c r="QBK18"/>
      <c r="QBL18"/>
      <c r="QBM18"/>
      <c r="QBN18"/>
      <c r="QBO18"/>
      <c r="QBP18"/>
      <c r="QBQ18"/>
      <c r="QBR18"/>
      <c r="QBS18"/>
      <c r="QBT18"/>
      <c r="QBU18"/>
      <c r="QBV18"/>
      <c r="QBW18"/>
      <c r="QBX18"/>
      <c r="QBY18"/>
      <c r="QBZ18"/>
      <c r="QCA18"/>
      <c r="QCB18"/>
      <c r="QCC18"/>
      <c r="QCD18"/>
      <c r="QCE18"/>
      <c r="QCF18"/>
      <c r="QCG18"/>
      <c r="QCH18"/>
      <c r="QCI18"/>
      <c r="QCJ18"/>
      <c r="QCK18"/>
      <c r="QCL18"/>
      <c r="QCM18"/>
      <c r="QCN18"/>
      <c r="QCO18"/>
      <c r="QCP18"/>
      <c r="QCQ18"/>
      <c r="QCR18"/>
      <c r="QCS18"/>
      <c r="QCT18"/>
      <c r="QCU18"/>
      <c r="QCV18"/>
      <c r="QCW18"/>
      <c r="QCX18"/>
      <c r="QCY18"/>
      <c r="QCZ18"/>
      <c r="QDA18"/>
      <c r="QDB18"/>
      <c r="QDC18"/>
      <c r="QDD18"/>
      <c r="QDE18"/>
      <c r="QDF18"/>
      <c r="QDG18"/>
      <c r="QDH18"/>
      <c r="QDI18"/>
      <c r="QDJ18"/>
      <c r="QDK18"/>
      <c r="QDL18"/>
      <c r="QDM18"/>
      <c r="QDN18"/>
      <c r="QDO18"/>
      <c r="QDP18"/>
      <c r="QDQ18"/>
      <c r="QDR18"/>
      <c r="QDS18"/>
      <c r="QDT18"/>
      <c r="QDU18"/>
      <c r="QDV18"/>
      <c r="QDW18"/>
      <c r="QDX18"/>
      <c r="QDY18"/>
      <c r="QDZ18"/>
      <c r="QEA18"/>
      <c r="QEB18"/>
      <c r="QEC18"/>
      <c r="QED18"/>
      <c r="QEE18"/>
      <c r="QEF18"/>
      <c r="QEG18"/>
      <c r="QEH18"/>
      <c r="QEI18"/>
      <c r="QEJ18"/>
      <c r="QEK18"/>
      <c r="QEL18"/>
      <c r="QEM18"/>
      <c r="QEN18"/>
      <c r="QEO18"/>
      <c r="QEP18"/>
      <c r="QEQ18"/>
      <c r="QER18"/>
      <c r="QES18"/>
      <c r="QET18"/>
      <c r="QEU18"/>
      <c r="QEV18"/>
      <c r="QEW18"/>
      <c r="QEX18"/>
      <c r="QEY18"/>
      <c r="QEZ18"/>
      <c r="QFA18"/>
      <c r="QFB18"/>
      <c r="QFC18"/>
      <c r="QFD18"/>
      <c r="QFE18"/>
      <c r="QFF18"/>
      <c r="QFG18"/>
      <c r="QFH18"/>
      <c r="QFI18"/>
      <c r="QFJ18"/>
      <c r="QFK18"/>
      <c r="QFL18"/>
      <c r="QFM18"/>
      <c r="QFN18"/>
      <c r="QFO18"/>
      <c r="QFP18"/>
      <c r="QFQ18"/>
      <c r="QFR18"/>
      <c r="QFS18"/>
      <c r="QFT18"/>
      <c r="QFU18"/>
      <c r="QFV18"/>
      <c r="QFW18"/>
      <c r="QFX18"/>
      <c r="QFY18"/>
      <c r="QFZ18"/>
      <c r="QGA18"/>
      <c r="QGB18"/>
      <c r="QGC18"/>
      <c r="QGD18"/>
      <c r="QGE18"/>
      <c r="QGF18"/>
      <c r="QGG18"/>
      <c r="QGH18"/>
      <c r="QGI18"/>
      <c r="QGJ18"/>
      <c r="QGK18"/>
      <c r="QGL18"/>
      <c r="QGM18"/>
      <c r="QGN18"/>
      <c r="QGO18"/>
      <c r="QGP18"/>
      <c r="QGQ18"/>
      <c r="QGR18"/>
      <c r="QGS18"/>
      <c r="QGT18"/>
      <c r="QGU18"/>
      <c r="QGV18"/>
      <c r="QGW18"/>
      <c r="QGX18"/>
      <c r="QGY18"/>
      <c r="QGZ18"/>
      <c r="QHA18"/>
      <c r="QHB18"/>
      <c r="QHC18"/>
      <c r="QHD18"/>
      <c r="QHE18"/>
      <c r="QHF18"/>
      <c r="QHG18"/>
      <c r="QHH18"/>
      <c r="QHI18"/>
      <c r="QHJ18"/>
      <c r="QHK18"/>
      <c r="QHL18"/>
      <c r="QHM18"/>
      <c r="QHN18"/>
      <c r="QHO18"/>
      <c r="QHP18"/>
      <c r="QHQ18"/>
      <c r="QHR18"/>
      <c r="QHS18"/>
      <c r="QHT18"/>
      <c r="QHU18"/>
      <c r="QHV18"/>
      <c r="QHW18"/>
      <c r="QHX18"/>
      <c r="QHY18"/>
      <c r="QHZ18"/>
      <c r="QIA18"/>
      <c r="QIB18"/>
      <c r="QIC18"/>
      <c r="QID18"/>
      <c r="QIE18"/>
      <c r="QIF18"/>
      <c r="QIG18"/>
      <c r="QIH18"/>
      <c r="QII18"/>
      <c r="QIJ18"/>
      <c r="QIK18"/>
      <c r="QIL18"/>
      <c r="QIM18"/>
      <c r="QIN18"/>
      <c r="QIO18"/>
      <c r="QIP18"/>
      <c r="QIQ18"/>
      <c r="QIR18"/>
      <c r="QIS18"/>
      <c r="QIT18"/>
      <c r="QIU18"/>
      <c r="QIV18"/>
      <c r="QIW18"/>
      <c r="QIX18"/>
      <c r="QIY18"/>
      <c r="QIZ18"/>
      <c r="QJA18"/>
      <c r="QJB18"/>
      <c r="QJC18"/>
      <c r="QJD18"/>
      <c r="QJE18"/>
      <c r="QJF18"/>
      <c r="QJG18"/>
      <c r="QJH18"/>
      <c r="QJI18"/>
      <c r="QJJ18"/>
      <c r="QJK18"/>
      <c r="QJL18"/>
      <c r="QJM18"/>
      <c r="QJN18"/>
      <c r="QJO18"/>
      <c r="QJP18"/>
      <c r="QJQ18"/>
      <c r="QJR18"/>
      <c r="QJS18"/>
      <c r="QJT18"/>
      <c r="QJU18"/>
      <c r="QJV18"/>
      <c r="QJW18"/>
      <c r="QJX18"/>
      <c r="QJY18"/>
      <c r="QJZ18"/>
      <c r="QKA18"/>
      <c r="QKB18"/>
      <c r="QKC18"/>
      <c r="QKD18"/>
      <c r="QKE18"/>
      <c r="QKF18"/>
      <c r="QKG18"/>
      <c r="QKH18"/>
      <c r="QKI18"/>
      <c r="QKJ18"/>
      <c r="QKK18"/>
      <c r="QKL18"/>
      <c r="QKM18"/>
      <c r="QKN18"/>
      <c r="QKO18"/>
      <c r="QKP18"/>
      <c r="QKQ18"/>
      <c r="QKR18"/>
      <c r="QKS18"/>
      <c r="QKT18"/>
      <c r="QKU18"/>
      <c r="QKV18"/>
      <c r="QKW18"/>
      <c r="QKX18"/>
      <c r="QKY18"/>
      <c r="QKZ18"/>
      <c r="QLA18"/>
      <c r="QLB18"/>
      <c r="QLC18"/>
      <c r="QLD18"/>
      <c r="QLE18"/>
      <c r="QLF18"/>
      <c r="QLG18"/>
      <c r="QLH18"/>
      <c r="QLI18"/>
      <c r="QLJ18"/>
      <c r="QLK18"/>
      <c r="QLL18"/>
      <c r="QLM18"/>
      <c r="QLN18"/>
      <c r="QLO18"/>
      <c r="QLP18"/>
      <c r="QLQ18"/>
      <c r="QLR18"/>
      <c r="QLS18"/>
      <c r="QLT18"/>
      <c r="QLU18"/>
      <c r="QLV18"/>
      <c r="QLW18"/>
      <c r="QLX18"/>
      <c r="QLY18"/>
      <c r="QLZ18"/>
      <c r="QMA18"/>
      <c r="QMB18"/>
      <c r="QMC18"/>
      <c r="QMD18"/>
      <c r="QME18"/>
      <c r="QMF18"/>
      <c r="QMG18"/>
      <c r="QMH18"/>
      <c r="QMI18"/>
      <c r="QMJ18"/>
      <c r="QMK18"/>
      <c r="QML18"/>
      <c r="QMM18"/>
      <c r="QMN18"/>
      <c r="QMO18"/>
      <c r="QMP18"/>
      <c r="QMQ18"/>
      <c r="QMR18"/>
      <c r="QMS18"/>
      <c r="QMT18"/>
      <c r="QMU18"/>
      <c r="QMV18"/>
      <c r="QMW18"/>
      <c r="QMX18"/>
      <c r="QMY18"/>
      <c r="QMZ18"/>
      <c r="QNA18"/>
      <c r="QNB18"/>
      <c r="QNC18"/>
      <c r="QND18"/>
      <c r="QNE18"/>
      <c r="QNF18"/>
      <c r="QNG18"/>
      <c r="QNH18"/>
      <c r="QNI18"/>
      <c r="QNJ18"/>
      <c r="QNK18"/>
      <c r="QNL18"/>
      <c r="QNM18"/>
      <c r="QNN18"/>
      <c r="QNO18"/>
      <c r="QNP18"/>
      <c r="QNQ18"/>
      <c r="QNR18"/>
      <c r="QNS18"/>
      <c r="QNT18"/>
      <c r="QNU18"/>
      <c r="QNV18"/>
      <c r="QNW18"/>
      <c r="QNX18"/>
      <c r="QNY18"/>
      <c r="QNZ18"/>
      <c r="QOA18"/>
      <c r="QOB18"/>
      <c r="QOC18"/>
      <c r="QOD18"/>
      <c r="QOE18"/>
      <c r="QOF18"/>
      <c r="QOG18"/>
      <c r="QOH18"/>
      <c r="QOI18"/>
      <c r="QOJ18"/>
      <c r="QOK18"/>
      <c r="QOL18"/>
      <c r="QOM18"/>
      <c r="QON18"/>
      <c r="QOO18"/>
      <c r="QOP18"/>
      <c r="QOQ18"/>
      <c r="QOR18"/>
      <c r="QOS18"/>
      <c r="QOT18"/>
      <c r="QOU18"/>
      <c r="QOV18"/>
      <c r="QOW18"/>
      <c r="QOX18"/>
      <c r="QOY18"/>
      <c r="QOZ18"/>
      <c r="QPA18"/>
      <c r="QPB18"/>
      <c r="QPC18"/>
      <c r="QPD18"/>
      <c r="QPE18"/>
      <c r="QPF18"/>
      <c r="QPG18"/>
      <c r="QPH18"/>
      <c r="QPI18"/>
      <c r="QPJ18"/>
      <c r="QPK18"/>
      <c r="QPL18"/>
      <c r="QPM18"/>
      <c r="QPN18"/>
      <c r="QPO18"/>
      <c r="QPP18"/>
      <c r="QPQ18"/>
      <c r="QPR18"/>
      <c r="QPS18"/>
      <c r="QPT18"/>
      <c r="QPU18"/>
      <c r="QPV18"/>
      <c r="QPW18"/>
      <c r="QPX18"/>
      <c r="QPY18"/>
      <c r="QPZ18"/>
      <c r="QQA18"/>
      <c r="QQB18"/>
      <c r="QQC18"/>
      <c r="QQD18"/>
      <c r="QQE18"/>
      <c r="QQF18"/>
      <c r="QQG18"/>
      <c r="QQH18"/>
      <c r="QQI18"/>
      <c r="QQJ18"/>
      <c r="QQK18"/>
      <c r="QQL18"/>
      <c r="QQM18"/>
      <c r="QQN18"/>
      <c r="QQO18"/>
      <c r="QQP18"/>
      <c r="QQQ18"/>
      <c r="QQR18"/>
      <c r="QQS18"/>
      <c r="QQT18"/>
      <c r="QQU18"/>
      <c r="QQV18"/>
      <c r="QQW18"/>
      <c r="QQX18"/>
      <c r="QQY18"/>
      <c r="QQZ18"/>
      <c r="QRA18"/>
      <c r="QRB18"/>
      <c r="QRC18"/>
      <c r="QRD18"/>
      <c r="QRE18"/>
      <c r="QRF18"/>
      <c r="QRG18"/>
      <c r="QRH18"/>
      <c r="QRI18"/>
      <c r="QRJ18"/>
      <c r="QRK18"/>
      <c r="QRL18"/>
      <c r="QRM18"/>
      <c r="QRN18"/>
      <c r="QRO18"/>
      <c r="QRP18"/>
      <c r="QRQ18"/>
      <c r="QRR18"/>
      <c r="QRS18"/>
      <c r="QRT18"/>
      <c r="QRU18"/>
      <c r="QRV18"/>
      <c r="QRW18"/>
      <c r="QRX18"/>
      <c r="QRY18"/>
      <c r="QRZ18"/>
      <c r="QSA18"/>
      <c r="QSB18"/>
      <c r="QSC18"/>
      <c r="QSD18"/>
      <c r="QSE18"/>
      <c r="QSF18"/>
      <c r="QSG18"/>
      <c r="QSH18"/>
      <c r="QSI18"/>
      <c r="QSJ18"/>
      <c r="QSK18"/>
      <c r="QSL18"/>
      <c r="QSM18"/>
      <c r="QSN18"/>
      <c r="QSO18"/>
      <c r="QSP18"/>
      <c r="QSQ18"/>
      <c r="QSR18"/>
      <c r="QSS18"/>
      <c r="QST18"/>
      <c r="QSU18"/>
      <c r="QSV18"/>
      <c r="QSW18"/>
      <c r="QSX18"/>
      <c r="QSY18"/>
      <c r="QSZ18"/>
      <c r="QTA18"/>
      <c r="QTB18"/>
      <c r="QTC18"/>
      <c r="QTD18"/>
      <c r="QTE18"/>
      <c r="QTF18"/>
      <c r="QTG18"/>
      <c r="QTH18"/>
      <c r="QTI18"/>
      <c r="QTJ18"/>
      <c r="QTK18"/>
      <c r="QTL18"/>
      <c r="QTM18"/>
      <c r="QTN18"/>
      <c r="QTO18"/>
      <c r="QTP18"/>
      <c r="QTQ18"/>
      <c r="QTR18"/>
      <c r="QTS18"/>
      <c r="QTT18"/>
      <c r="QTU18"/>
      <c r="QTV18"/>
      <c r="QTW18"/>
      <c r="QTX18"/>
      <c r="QTY18"/>
      <c r="QTZ18"/>
      <c r="QUA18"/>
      <c r="QUB18"/>
      <c r="QUC18"/>
      <c r="QUD18"/>
      <c r="QUE18"/>
      <c r="QUF18"/>
      <c r="QUG18"/>
      <c r="QUH18"/>
      <c r="QUI18"/>
      <c r="QUJ18"/>
      <c r="QUK18"/>
      <c r="QUL18"/>
      <c r="QUM18"/>
      <c r="QUN18"/>
      <c r="QUO18"/>
      <c r="QUP18"/>
      <c r="QUQ18"/>
      <c r="QUR18"/>
      <c r="QUS18"/>
      <c r="QUT18"/>
      <c r="QUU18"/>
      <c r="QUV18"/>
      <c r="QUW18"/>
      <c r="QUX18"/>
      <c r="QUY18"/>
      <c r="QUZ18"/>
      <c r="QVA18"/>
      <c r="QVB18"/>
      <c r="QVC18"/>
      <c r="QVD18"/>
      <c r="QVE18"/>
      <c r="QVF18"/>
      <c r="QVG18"/>
      <c r="QVH18"/>
      <c r="QVI18"/>
      <c r="QVJ18"/>
      <c r="QVK18"/>
      <c r="QVL18"/>
      <c r="QVM18"/>
      <c r="QVN18"/>
      <c r="QVO18"/>
      <c r="QVP18"/>
      <c r="QVQ18"/>
      <c r="QVR18"/>
      <c r="QVS18"/>
      <c r="QVT18"/>
      <c r="QVU18"/>
      <c r="QVV18"/>
      <c r="QVW18"/>
      <c r="QVX18"/>
      <c r="QVY18"/>
      <c r="QVZ18"/>
      <c r="QWA18"/>
      <c r="QWB18"/>
      <c r="QWC18"/>
      <c r="QWD18"/>
      <c r="QWE18"/>
      <c r="QWF18"/>
      <c r="QWG18"/>
      <c r="QWH18"/>
      <c r="QWI18"/>
      <c r="QWJ18"/>
      <c r="QWK18"/>
      <c r="QWL18"/>
      <c r="QWM18"/>
      <c r="QWN18"/>
      <c r="QWO18"/>
      <c r="QWP18"/>
      <c r="QWQ18"/>
      <c r="QWR18"/>
      <c r="QWS18"/>
      <c r="QWT18"/>
      <c r="QWU18"/>
      <c r="QWV18"/>
      <c r="QWW18"/>
      <c r="QWX18"/>
      <c r="QWY18"/>
      <c r="QWZ18"/>
      <c r="QXA18"/>
      <c r="QXB18"/>
      <c r="QXC18"/>
      <c r="QXD18"/>
      <c r="QXE18"/>
      <c r="QXF18"/>
      <c r="QXG18"/>
      <c r="QXH18"/>
      <c r="QXI18"/>
      <c r="QXJ18"/>
      <c r="QXK18"/>
      <c r="QXL18"/>
      <c r="QXM18"/>
      <c r="QXN18"/>
      <c r="QXO18"/>
      <c r="QXP18"/>
      <c r="QXQ18"/>
      <c r="QXR18"/>
      <c r="QXS18"/>
      <c r="QXT18"/>
      <c r="QXU18"/>
      <c r="QXV18"/>
      <c r="QXW18"/>
      <c r="QXX18"/>
      <c r="QXY18"/>
      <c r="QXZ18"/>
      <c r="QYA18"/>
      <c r="QYB18"/>
      <c r="QYC18"/>
      <c r="QYD18"/>
      <c r="QYE18"/>
      <c r="QYF18"/>
      <c r="QYG18"/>
      <c r="QYH18"/>
      <c r="QYI18"/>
      <c r="QYJ18"/>
      <c r="QYK18"/>
      <c r="QYL18"/>
      <c r="QYM18"/>
      <c r="QYN18"/>
      <c r="QYO18"/>
      <c r="QYP18"/>
      <c r="QYQ18"/>
      <c r="QYR18"/>
      <c r="QYS18"/>
      <c r="QYT18"/>
      <c r="QYU18"/>
      <c r="QYV18"/>
      <c r="QYW18"/>
      <c r="QYX18"/>
      <c r="QYY18"/>
      <c r="QYZ18"/>
      <c r="QZA18"/>
      <c r="QZB18"/>
      <c r="QZC18"/>
      <c r="QZD18"/>
      <c r="QZE18"/>
      <c r="QZF18"/>
      <c r="QZG18"/>
      <c r="QZH18"/>
      <c r="QZI18"/>
      <c r="QZJ18"/>
      <c r="QZK18"/>
      <c r="QZL18"/>
      <c r="QZM18"/>
      <c r="QZN18"/>
      <c r="QZO18"/>
      <c r="QZP18"/>
      <c r="QZQ18"/>
      <c r="QZR18"/>
      <c r="QZS18"/>
      <c r="QZT18"/>
      <c r="QZU18"/>
      <c r="QZV18"/>
      <c r="QZW18"/>
      <c r="QZX18"/>
      <c r="QZY18"/>
      <c r="QZZ18"/>
      <c r="RAA18"/>
      <c r="RAB18"/>
      <c r="RAC18"/>
      <c r="RAD18"/>
      <c r="RAE18"/>
      <c r="RAF18"/>
      <c r="RAG18"/>
      <c r="RAH18"/>
      <c r="RAI18"/>
      <c r="RAJ18"/>
      <c r="RAK18"/>
      <c r="RAL18"/>
      <c r="RAM18"/>
      <c r="RAN18"/>
      <c r="RAO18"/>
      <c r="RAP18"/>
      <c r="RAQ18"/>
      <c r="RAR18"/>
      <c r="RAS18"/>
      <c r="RAT18"/>
      <c r="RAU18"/>
      <c r="RAV18"/>
      <c r="RAW18"/>
      <c r="RAX18"/>
      <c r="RAY18"/>
      <c r="RAZ18"/>
      <c r="RBA18"/>
      <c r="RBB18"/>
      <c r="RBC18"/>
      <c r="RBD18"/>
      <c r="RBE18"/>
      <c r="RBF18"/>
      <c r="RBG18"/>
      <c r="RBH18"/>
      <c r="RBI18"/>
      <c r="RBJ18"/>
      <c r="RBK18"/>
      <c r="RBL18"/>
      <c r="RBM18"/>
      <c r="RBN18"/>
      <c r="RBO18"/>
      <c r="RBP18"/>
      <c r="RBQ18"/>
      <c r="RBR18"/>
      <c r="RBS18"/>
      <c r="RBT18"/>
      <c r="RBU18"/>
      <c r="RBV18"/>
      <c r="RBW18"/>
      <c r="RBX18"/>
      <c r="RBY18"/>
      <c r="RBZ18"/>
      <c r="RCA18"/>
      <c r="RCB18"/>
      <c r="RCC18"/>
      <c r="RCD18"/>
      <c r="RCE18"/>
      <c r="RCF18"/>
      <c r="RCG18"/>
      <c r="RCH18"/>
      <c r="RCI18"/>
      <c r="RCJ18"/>
      <c r="RCK18"/>
      <c r="RCL18"/>
      <c r="RCM18"/>
      <c r="RCN18"/>
      <c r="RCO18"/>
      <c r="RCP18"/>
      <c r="RCQ18"/>
      <c r="RCR18"/>
      <c r="RCS18"/>
      <c r="RCT18"/>
      <c r="RCU18"/>
      <c r="RCV18"/>
      <c r="RCW18"/>
      <c r="RCX18"/>
      <c r="RCY18"/>
      <c r="RCZ18"/>
      <c r="RDA18"/>
      <c r="RDB18"/>
      <c r="RDC18"/>
      <c r="RDD18"/>
      <c r="RDE18"/>
      <c r="RDF18"/>
      <c r="RDG18"/>
      <c r="RDH18"/>
      <c r="RDI18"/>
      <c r="RDJ18"/>
      <c r="RDK18"/>
      <c r="RDL18"/>
      <c r="RDM18"/>
      <c r="RDN18"/>
      <c r="RDO18"/>
      <c r="RDP18"/>
      <c r="RDQ18"/>
      <c r="RDR18"/>
      <c r="RDS18"/>
      <c r="RDT18"/>
      <c r="RDU18"/>
      <c r="RDV18"/>
      <c r="RDW18"/>
      <c r="RDX18"/>
      <c r="RDY18"/>
      <c r="RDZ18"/>
      <c r="REA18"/>
      <c r="REB18"/>
      <c r="REC18"/>
      <c r="RED18"/>
      <c r="REE18"/>
      <c r="REF18"/>
      <c r="REG18"/>
      <c r="REH18"/>
      <c r="REI18"/>
      <c r="REJ18"/>
      <c r="REK18"/>
      <c r="REL18"/>
      <c r="REM18"/>
      <c r="REN18"/>
      <c r="REO18"/>
      <c r="REP18"/>
      <c r="REQ18"/>
      <c r="RER18"/>
      <c r="RES18"/>
      <c r="RET18"/>
      <c r="REU18"/>
      <c r="REV18"/>
      <c r="REW18"/>
      <c r="REX18"/>
      <c r="REY18"/>
      <c r="REZ18"/>
      <c r="RFA18"/>
      <c r="RFB18"/>
      <c r="RFC18"/>
      <c r="RFD18"/>
      <c r="RFE18"/>
      <c r="RFF18"/>
      <c r="RFG18"/>
      <c r="RFH18"/>
      <c r="RFI18"/>
      <c r="RFJ18"/>
      <c r="RFK18"/>
      <c r="RFL18"/>
      <c r="RFM18"/>
      <c r="RFN18"/>
      <c r="RFO18"/>
      <c r="RFP18"/>
      <c r="RFQ18"/>
      <c r="RFR18"/>
      <c r="RFS18"/>
      <c r="RFT18"/>
      <c r="RFU18"/>
      <c r="RFV18"/>
      <c r="RFW18"/>
      <c r="RFX18"/>
      <c r="RFY18"/>
      <c r="RFZ18"/>
      <c r="RGA18"/>
      <c r="RGB18"/>
      <c r="RGC18"/>
      <c r="RGD18"/>
      <c r="RGE18"/>
      <c r="RGF18"/>
      <c r="RGG18"/>
      <c r="RGH18"/>
      <c r="RGI18"/>
      <c r="RGJ18"/>
      <c r="RGK18"/>
      <c r="RGL18"/>
      <c r="RGM18"/>
      <c r="RGN18"/>
      <c r="RGO18"/>
      <c r="RGP18"/>
      <c r="RGQ18"/>
      <c r="RGR18"/>
      <c r="RGS18"/>
      <c r="RGT18"/>
      <c r="RGU18"/>
      <c r="RGV18"/>
      <c r="RGW18"/>
      <c r="RGX18"/>
      <c r="RGY18"/>
      <c r="RGZ18"/>
      <c r="RHA18"/>
      <c r="RHB18"/>
      <c r="RHC18"/>
      <c r="RHD18"/>
      <c r="RHE18"/>
      <c r="RHF18"/>
      <c r="RHG18"/>
      <c r="RHH18"/>
      <c r="RHI18"/>
      <c r="RHJ18"/>
      <c r="RHK18"/>
      <c r="RHL18"/>
      <c r="RHM18"/>
      <c r="RHN18"/>
      <c r="RHO18"/>
      <c r="RHP18"/>
      <c r="RHQ18"/>
      <c r="RHR18"/>
      <c r="RHS18"/>
      <c r="RHT18"/>
      <c r="RHU18"/>
      <c r="RHV18"/>
      <c r="RHW18"/>
      <c r="RHX18"/>
      <c r="RHY18"/>
      <c r="RHZ18"/>
      <c r="RIA18"/>
      <c r="RIB18"/>
      <c r="RIC18"/>
      <c r="RID18"/>
      <c r="RIE18"/>
      <c r="RIF18"/>
      <c r="RIG18"/>
      <c r="RIH18"/>
      <c r="RII18"/>
      <c r="RIJ18"/>
      <c r="RIK18"/>
      <c r="RIL18"/>
      <c r="RIM18"/>
      <c r="RIN18"/>
      <c r="RIO18"/>
      <c r="RIP18"/>
      <c r="RIQ18"/>
      <c r="RIR18"/>
      <c r="RIS18"/>
      <c r="RIT18"/>
      <c r="RIU18"/>
      <c r="RIV18"/>
      <c r="RIW18"/>
      <c r="RIX18"/>
      <c r="RIY18"/>
      <c r="RIZ18"/>
      <c r="RJA18"/>
      <c r="RJB18"/>
      <c r="RJC18"/>
      <c r="RJD18"/>
      <c r="RJE18"/>
      <c r="RJF18"/>
      <c r="RJG18"/>
      <c r="RJH18"/>
      <c r="RJI18"/>
      <c r="RJJ18"/>
      <c r="RJK18"/>
      <c r="RJL18"/>
      <c r="RJM18"/>
      <c r="RJN18"/>
      <c r="RJO18"/>
      <c r="RJP18"/>
      <c r="RJQ18"/>
      <c r="RJR18"/>
      <c r="RJS18"/>
      <c r="RJT18"/>
      <c r="RJU18"/>
      <c r="RJV18"/>
      <c r="RJW18"/>
      <c r="RJX18"/>
      <c r="RJY18"/>
      <c r="RJZ18"/>
      <c r="RKA18"/>
      <c r="RKB18"/>
      <c r="RKC18"/>
      <c r="RKD18"/>
      <c r="RKE18"/>
      <c r="RKF18"/>
      <c r="RKG18"/>
      <c r="RKH18"/>
      <c r="RKI18"/>
      <c r="RKJ18"/>
      <c r="RKK18"/>
      <c r="RKL18"/>
      <c r="RKM18"/>
      <c r="RKN18"/>
      <c r="RKO18"/>
      <c r="RKP18"/>
      <c r="RKQ18"/>
      <c r="RKR18"/>
      <c r="RKS18"/>
      <c r="RKT18"/>
      <c r="RKU18"/>
      <c r="RKV18"/>
      <c r="RKW18"/>
      <c r="RKX18"/>
      <c r="RKY18"/>
      <c r="RKZ18"/>
      <c r="RLA18"/>
      <c r="RLB18"/>
      <c r="RLC18"/>
      <c r="RLD18"/>
      <c r="RLE18"/>
      <c r="RLF18"/>
      <c r="RLG18"/>
      <c r="RLH18"/>
      <c r="RLI18"/>
      <c r="RLJ18"/>
      <c r="RLK18"/>
      <c r="RLL18"/>
      <c r="RLM18"/>
      <c r="RLN18"/>
      <c r="RLO18"/>
      <c r="RLP18"/>
      <c r="RLQ18"/>
      <c r="RLR18"/>
      <c r="RLS18"/>
      <c r="RLT18"/>
      <c r="RLU18"/>
      <c r="RLV18"/>
      <c r="RLW18"/>
      <c r="RLX18"/>
      <c r="RLY18"/>
      <c r="RLZ18"/>
      <c r="RMA18"/>
      <c r="RMB18"/>
      <c r="RMC18"/>
      <c r="RMD18"/>
      <c r="RME18"/>
      <c r="RMF18"/>
      <c r="RMG18"/>
      <c r="RMH18"/>
      <c r="RMI18"/>
      <c r="RMJ18"/>
      <c r="RMK18"/>
      <c r="RML18"/>
      <c r="RMM18"/>
      <c r="RMN18"/>
      <c r="RMO18"/>
      <c r="RMP18"/>
      <c r="RMQ18"/>
      <c r="RMR18"/>
      <c r="RMS18"/>
      <c r="RMT18"/>
      <c r="RMU18"/>
      <c r="RMV18"/>
      <c r="RMW18"/>
      <c r="RMX18"/>
      <c r="RMY18"/>
      <c r="RMZ18"/>
      <c r="RNA18"/>
      <c r="RNB18"/>
      <c r="RNC18"/>
      <c r="RND18"/>
      <c r="RNE18"/>
      <c r="RNF18"/>
      <c r="RNG18"/>
      <c r="RNH18"/>
      <c r="RNI18"/>
      <c r="RNJ18"/>
      <c r="RNK18"/>
      <c r="RNL18"/>
      <c r="RNM18"/>
      <c r="RNN18"/>
      <c r="RNO18"/>
      <c r="RNP18"/>
      <c r="RNQ18"/>
      <c r="RNR18"/>
      <c r="RNS18"/>
      <c r="RNT18"/>
      <c r="RNU18"/>
      <c r="RNV18"/>
      <c r="RNW18"/>
      <c r="RNX18"/>
      <c r="RNY18"/>
      <c r="RNZ18"/>
      <c r="ROA18"/>
      <c r="ROB18"/>
      <c r="ROC18"/>
      <c r="ROD18"/>
      <c r="ROE18"/>
      <c r="ROF18"/>
      <c r="ROG18"/>
      <c r="ROH18"/>
      <c r="ROI18"/>
      <c r="ROJ18"/>
      <c r="ROK18"/>
      <c r="ROL18"/>
      <c r="ROM18"/>
      <c r="RON18"/>
      <c r="ROO18"/>
      <c r="ROP18"/>
      <c r="ROQ18"/>
      <c r="ROR18"/>
      <c r="ROS18"/>
      <c r="ROT18"/>
      <c r="ROU18"/>
      <c r="ROV18"/>
      <c r="ROW18"/>
      <c r="ROX18"/>
      <c r="ROY18"/>
      <c r="ROZ18"/>
      <c r="RPA18"/>
      <c r="RPB18"/>
      <c r="RPC18"/>
      <c r="RPD18"/>
      <c r="RPE18"/>
      <c r="RPF18"/>
      <c r="RPG18"/>
      <c r="RPH18"/>
      <c r="RPI18"/>
      <c r="RPJ18"/>
      <c r="RPK18"/>
      <c r="RPL18"/>
      <c r="RPM18"/>
      <c r="RPN18"/>
      <c r="RPO18"/>
      <c r="RPP18"/>
      <c r="RPQ18"/>
      <c r="RPR18"/>
      <c r="RPS18"/>
      <c r="RPT18"/>
      <c r="RPU18"/>
      <c r="RPV18"/>
      <c r="RPW18"/>
      <c r="RPX18"/>
      <c r="RPY18"/>
      <c r="RPZ18"/>
      <c r="RQA18"/>
      <c r="RQB18"/>
      <c r="RQC18"/>
      <c r="RQD18"/>
      <c r="RQE18"/>
      <c r="RQF18"/>
      <c r="RQG18"/>
      <c r="RQH18"/>
      <c r="RQI18"/>
      <c r="RQJ18"/>
      <c r="RQK18"/>
      <c r="RQL18"/>
      <c r="RQM18"/>
      <c r="RQN18"/>
      <c r="RQO18"/>
      <c r="RQP18"/>
      <c r="RQQ18"/>
      <c r="RQR18"/>
      <c r="RQS18"/>
      <c r="RQT18"/>
      <c r="RQU18"/>
      <c r="RQV18"/>
      <c r="RQW18"/>
      <c r="RQX18"/>
      <c r="RQY18"/>
      <c r="RQZ18"/>
      <c r="RRA18"/>
      <c r="RRB18"/>
      <c r="RRC18"/>
      <c r="RRD18"/>
      <c r="RRE18"/>
      <c r="RRF18"/>
      <c r="RRG18"/>
      <c r="RRH18"/>
      <c r="RRI18"/>
      <c r="RRJ18"/>
      <c r="RRK18"/>
      <c r="RRL18"/>
      <c r="RRM18"/>
      <c r="RRN18"/>
      <c r="RRO18"/>
      <c r="RRP18"/>
      <c r="RRQ18"/>
      <c r="RRR18"/>
      <c r="RRS18"/>
      <c r="RRT18"/>
      <c r="RRU18"/>
      <c r="RRV18"/>
      <c r="RRW18"/>
      <c r="RRX18"/>
      <c r="RRY18"/>
      <c r="RRZ18"/>
      <c r="RSA18"/>
      <c r="RSB18"/>
      <c r="RSC18"/>
      <c r="RSD18"/>
      <c r="RSE18"/>
      <c r="RSF18"/>
      <c r="RSG18"/>
      <c r="RSH18"/>
      <c r="RSI18"/>
      <c r="RSJ18"/>
      <c r="RSK18"/>
      <c r="RSL18"/>
      <c r="RSM18"/>
      <c r="RSN18"/>
      <c r="RSO18"/>
      <c r="RSP18"/>
      <c r="RSQ18"/>
      <c r="RSR18"/>
      <c r="RSS18"/>
      <c r="RST18"/>
      <c r="RSU18"/>
      <c r="RSV18"/>
      <c r="RSW18"/>
      <c r="RSX18"/>
      <c r="RSY18"/>
      <c r="RSZ18"/>
      <c r="RTA18"/>
      <c r="RTB18"/>
      <c r="RTC18"/>
      <c r="RTD18"/>
      <c r="RTE18"/>
      <c r="RTF18"/>
      <c r="RTG18"/>
      <c r="RTH18"/>
      <c r="RTI18"/>
      <c r="RTJ18"/>
      <c r="RTK18"/>
      <c r="RTL18"/>
      <c r="RTM18"/>
      <c r="RTN18"/>
      <c r="RTO18"/>
      <c r="RTP18"/>
      <c r="RTQ18"/>
      <c r="RTR18"/>
      <c r="RTS18"/>
      <c r="RTT18"/>
      <c r="RTU18"/>
      <c r="RTV18"/>
      <c r="RTW18"/>
      <c r="RTX18"/>
      <c r="RTY18"/>
      <c r="RTZ18"/>
      <c r="RUA18"/>
      <c r="RUB18"/>
      <c r="RUC18"/>
      <c r="RUD18"/>
      <c r="RUE18"/>
      <c r="RUF18"/>
      <c r="RUG18"/>
      <c r="RUH18"/>
      <c r="RUI18"/>
      <c r="RUJ18"/>
      <c r="RUK18"/>
      <c r="RUL18"/>
      <c r="RUM18"/>
      <c r="RUN18"/>
      <c r="RUO18"/>
      <c r="RUP18"/>
      <c r="RUQ18"/>
      <c r="RUR18"/>
      <c r="RUS18"/>
      <c r="RUT18"/>
      <c r="RUU18"/>
      <c r="RUV18"/>
      <c r="RUW18"/>
      <c r="RUX18"/>
      <c r="RUY18"/>
      <c r="RUZ18"/>
      <c r="RVA18"/>
      <c r="RVB18"/>
      <c r="RVC18"/>
      <c r="RVD18"/>
      <c r="RVE18"/>
      <c r="RVF18"/>
      <c r="RVG18"/>
      <c r="RVH18"/>
      <c r="RVI18"/>
      <c r="RVJ18"/>
      <c r="RVK18"/>
      <c r="RVL18"/>
      <c r="RVM18"/>
      <c r="RVN18"/>
      <c r="RVO18"/>
      <c r="RVP18"/>
      <c r="RVQ18"/>
      <c r="RVR18"/>
      <c r="RVS18"/>
      <c r="RVT18"/>
      <c r="RVU18"/>
      <c r="RVV18"/>
      <c r="RVW18"/>
      <c r="RVX18"/>
      <c r="RVY18"/>
      <c r="RVZ18"/>
      <c r="RWA18"/>
      <c r="RWB18"/>
      <c r="RWC18"/>
      <c r="RWD18"/>
      <c r="RWE18"/>
      <c r="RWF18"/>
      <c r="RWG18"/>
      <c r="RWH18"/>
      <c r="RWI18"/>
      <c r="RWJ18"/>
      <c r="RWK18"/>
      <c r="RWL18"/>
      <c r="RWM18"/>
      <c r="RWN18"/>
      <c r="RWO18"/>
      <c r="RWP18"/>
      <c r="RWQ18"/>
      <c r="RWR18"/>
      <c r="RWS18"/>
      <c r="RWT18"/>
      <c r="RWU18"/>
      <c r="RWV18"/>
      <c r="RWW18"/>
      <c r="RWX18"/>
      <c r="RWY18"/>
      <c r="RWZ18"/>
      <c r="RXA18"/>
      <c r="RXB18"/>
      <c r="RXC18"/>
      <c r="RXD18"/>
      <c r="RXE18"/>
      <c r="RXF18"/>
      <c r="RXG18"/>
      <c r="RXH18"/>
      <c r="RXI18"/>
      <c r="RXJ18"/>
      <c r="RXK18"/>
      <c r="RXL18"/>
      <c r="RXM18"/>
      <c r="RXN18"/>
      <c r="RXO18"/>
      <c r="RXP18"/>
      <c r="RXQ18"/>
      <c r="RXR18"/>
      <c r="RXS18"/>
      <c r="RXT18"/>
      <c r="RXU18"/>
      <c r="RXV18"/>
      <c r="RXW18"/>
      <c r="RXX18"/>
      <c r="RXY18"/>
      <c r="RXZ18"/>
      <c r="RYA18"/>
      <c r="RYB18"/>
      <c r="RYC18"/>
      <c r="RYD18"/>
      <c r="RYE18"/>
      <c r="RYF18"/>
      <c r="RYG18"/>
      <c r="RYH18"/>
      <c r="RYI18"/>
      <c r="RYJ18"/>
      <c r="RYK18"/>
      <c r="RYL18"/>
      <c r="RYM18"/>
      <c r="RYN18"/>
      <c r="RYO18"/>
      <c r="RYP18"/>
      <c r="RYQ18"/>
      <c r="RYR18"/>
      <c r="RYS18"/>
      <c r="RYT18"/>
      <c r="RYU18"/>
      <c r="RYV18"/>
      <c r="RYW18"/>
      <c r="RYX18"/>
      <c r="RYY18"/>
      <c r="RYZ18"/>
      <c r="RZA18"/>
      <c r="RZB18"/>
      <c r="RZC18"/>
      <c r="RZD18"/>
      <c r="RZE18"/>
      <c r="RZF18"/>
      <c r="RZG18"/>
      <c r="RZH18"/>
      <c r="RZI18"/>
      <c r="RZJ18"/>
      <c r="RZK18"/>
      <c r="RZL18"/>
      <c r="RZM18"/>
      <c r="RZN18"/>
      <c r="RZO18"/>
      <c r="RZP18"/>
      <c r="RZQ18"/>
      <c r="RZR18"/>
      <c r="RZS18"/>
      <c r="RZT18"/>
      <c r="RZU18"/>
      <c r="RZV18"/>
      <c r="RZW18"/>
      <c r="RZX18"/>
      <c r="RZY18"/>
      <c r="RZZ18"/>
      <c r="SAA18"/>
      <c r="SAB18"/>
      <c r="SAC18"/>
      <c r="SAD18"/>
      <c r="SAE18"/>
      <c r="SAF18"/>
      <c r="SAG18"/>
      <c r="SAH18"/>
      <c r="SAI18"/>
      <c r="SAJ18"/>
      <c r="SAK18"/>
      <c r="SAL18"/>
      <c r="SAM18"/>
      <c r="SAN18"/>
      <c r="SAO18"/>
      <c r="SAP18"/>
      <c r="SAQ18"/>
      <c r="SAR18"/>
      <c r="SAS18"/>
      <c r="SAT18"/>
      <c r="SAU18"/>
      <c r="SAV18"/>
      <c r="SAW18"/>
      <c r="SAX18"/>
      <c r="SAY18"/>
      <c r="SAZ18"/>
      <c r="SBA18"/>
      <c r="SBB18"/>
      <c r="SBC18"/>
      <c r="SBD18"/>
      <c r="SBE18"/>
      <c r="SBF18"/>
      <c r="SBG18"/>
      <c r="SBH18"/>
      <c r="SBI18"/>
      <c r="SBJ18"/>
      <c r="SBK18"/>
      <c r="SBL18"/>
      <c r="SBM18"/>
      <c r="SBN18"/>
      <c r="SBO18"/>
      <c r="SBP18"/>
      <c r="SBQ18"/>
      <c r="SBR18"/>
      <c r="SBS18"/>
      <c r="SBT18"/>
      <c r="SBU18"/>
      <c r="SBV18"/>
      <c r="SBW18"/>
      <c r="SBX18"/>
      <c r="SBY18"/>
      <c r="SBZ18"/>
      <c r="SCA18"/>
      <c r="SCB18"/>
      <c r="SCC18"/>
      <c r="SCD18"/>
      <c r="SCE18"/>
      <c r="SCF18"/>
      <c r="SCG18"/>
      <c r="SCH18"/>
      <c r="SCI18"/>
      <c r="SCJ18"/>
      <c r="SCK18"/>
      <c r="SCL18"/>
      <c r="SCM18"/>
      <c r="SCN18"/>
      <c r="SCO18"/>
      <c r="SCP18"/>
      <c r="SCQ18"/>
      <c r="SCR18"/>
      <c r="SCS18"/>
      <c r="SCT18"/>
      <c r="SCU18"/>
      <c r="SCV18"/>
      <c r="SCW18"/>
      <c r="SCX18"/>
      <c r="SCY18"/>
      <c r="SCZ18"/>
      <c r="SDA18"/>
      <c r="SDB18"/>
      <c r="SDC18"/>
      <c r="SDD18"/>
      <c r="SDE18"/>
      <c r="SDF18"/>
      <c r="SDG18"/>
      <c r="SDH18"/>
      <c r="SDI18"/>
      <c r="SDJ18"/>
      <c r="SDK18"/>
      <c r="SDL18"/>
      <c r="SDM18"/>
      <c r="SDN18"/>
      <c r="SDO18"/>
      <c r="SDP18"/>
      <c r="SDQ18"/>
      <c r="SDR18"/>
      <c r="SDS18"/>
      <c r="SDT18"/>
      <c r="SDU18"/>
      <c r="SDV18"/>
      <c r="SDW18"/>
      <c r="SDX18"/>
      <c r="SDY18"/>
      <c r="SDZ18"/>
      <c r="SEA18"/>
      <c r="SEB18"/>
      <c r="SEC18"/>
      <c r="SED18"/>
      <c r="SEE18"/>
      <c r="SEF18"/>
      <c r="SEG18"/>
      <c r="SEH18"/>
      <c r="SEI18"/>
      <c r="SEJ18"/>
      <c r="SEK18"/>
      <c r="SEL18"/>
      <c r="SEM18"/>
      <c r="SEN18"/>
      <c r="SEO18"/>
      <c r="SEP18"/>
      <c r="SEQ18"/>
      <c r="SER18"/>
      <c r="SES18"/>
      <c r="SET18"/>
      <c r="SEU18"/>
      <c r="SEV18"/>
      <c r="SEW18"/>
      <c r="SEX18"/>
      <c r="SEY18"/>
      <c r="SEZ18"/>
      <c r="SFA18"/>
      <c r="SFB18"/>
      <c r="SFC18"/>
      <c r="SFD18"/>
      <c r="SFE18"/>
      <c r="SFF18"/>
      <c r="SFG18"/>
      <c r="SFH18"/>
      <c r="SFI18"/>
      <c r="SFJ18"/>
      <c r="SFK18"/>
      <c r="SFL18"/>
      <c r="SFM18"/>
      <c r="SFN18"/>
      <c r="SFO18"/>
      <c r="SFP18"/>
      <c r="SFQ18"/>
      <c r="SFR18"/>
      <c r="SFS18"/>
      <c r="SFT18"/>
      <c r="SFU18"/>
      <c r="SFV18"/>
      <c r="SFW18"/>
      <c r="SFX18"/>
      <c r="SFY18"/>
      <c r="SFZ18"/>
      <c r="SGA18"/>
      <c r="SGB18"/>
      <c r="SGC18"/>
      <c r="SGD18"/>
      <c r="SGE18"/>
      <c r="SGF18"/>
      <c r="SGG18"/>
      <c r="SGH18"/>
      <c r="SGI18"/>
      <c r="SGJ18"/>
      <c r="SGK18"/>
      <c r="SGL18"/>
      <c r="SGM18"/>
      <c r="SGN18"/>
      <c r="SGO18"/>
      <c r="SGP18"/>
      <c r="SGQ18"/>
      <c r="SGR18"/>
      <c r="SGS18"/>
      <c r="SGT18"/>
      <c r="SGU18"/>
      <c r="SGV18"/>
      <c r="SGW18"/>
      <c r="SGX18"/>
      <c r="SGY18"/>
      <c r="SGZ18"/>
      <c r="SHA18"/>
      <c r="SHB18"/>
      <c r="SHC18"/>
      <c r="SHD18"/>
      <c r="SHE18"/>
      <c r="SHF18"/>
      <c r="SHG18"/>
      <c r="SHH18"/>
      <c r="SHI18"/>
      <c r="SHJ18"/>
      <c r="SHK18"/>
      <c r="SHL18"/>
      <c r="SHM18"/>
      <c r="SHN18"/>
      <c r="SHO18"/>
      <c r="SHP18"/>
      <c r="SHQ18"/>
      <c r="SHR18"/>
      <c r="SHS18"/>
      <c r="SHT18"/>
      <c r="SHU18"/>
      <c r="SHV18"/>
      <c r="SHW18"/>
      <c r="SHX18"/>
      <c r="SHY18"/>
      <c r="SHZ18"/>
      <c r="SIA18"/>
      <c r="SIB18"/>
      <c r="SIC18"/>
      <c r="SID18"/>
      <c r="SIE18"/>
      <c r="SIF18"/>
      <c r="SIG18"/>
      <c r="SIH18"/>
      <c r="SII18"/>
      <c r="SIJ18"/>
      <c r="SIK18"/>
      <c r="SIL18"/>
      <c r="SIM18"/>
      <c r="SIN18"/>
      <c r="SIO18"/>
      <c r="SIP18"/>
      <c r="SIQ18"/>
      <c r="SIR18"/>
      <c r="SIS18"/>
      <c r="SIT18"/>
      <c r="SIU18"/>
      <c r="SIV18"/>
      <c r="SIW18"/>
      <c r="SIX18"/>
      <c r="SIY18"/>
      <c r="SIZ18"/>
      <c r="SJA18"/>
      <c r="SJB18"/>
      <c r="SJC18"/>
      <c r="SJD18"/>
      <c r="SJE18"/>
      <c r="SJF18"/>
      <c r="SJG18"/>
      <c r="SJH18"/>
      <c r="SJI18"/>
      <c r="SJJ18"/>
      <c r="SJK18"/>
      <c r="SJL18"/>
      <c r="SJM18"/>
      <c r="SJN18"/>
      <c r="SJO18"/>
      <c r="SJP18"/>
      <c r="SJQ18"/>
      <c r="SJR18"/>
      <c r="SJS18"/>
      <c r="SJT18"/>
      <c r="SJU18"/>
      <c r="SJV18"/>
      <c r="SJW18"/>
      <c r="SJX18"/>
      <c r="SJY18"/>
      <c r="SJZ18"/>
      <c r="SKA18"/>
      <c r="SKB18"/>
      <c r="SKC18"/>
      <c r="SKD18"/>
      <c r="SKE18"/>
      <c r="SKF18"/>
      <c r="SKG18"/>
      <c r="SKH18"/>
      <c r="SKI18"/>
      <c r="SKJ18"/>
      <c r="SKK18"/>
      <c r="SKL18"/>
      <c r="SKM18"/>
      <c r="SKN18"/>
      <c r="SKO18"/>
      <c r="SKP18"/>
      <c r="SKQ18"/>
      <c r="SKR18"/>
      <c r="SKS18"/>
      <c r="SKT18"/>
      <c r="SKU18"/>
      <c r="SKV18"/>
      <c r="SKW18"/>
      <c r="SKX18"/>
      <c r="SKY18"/>
      <c r="SKZ18"/>
      <c r="SLA18"/>
      <c r="SLB18"/>
      <c r="SLC18"/>
      <c r="SLD18"/>
      <c r="SLE18"/>
      <c r="SLF18"/>
      <c r="SLG18"/>
      <c r="SLH18"/>
      <c r="SLI18"/>
      <c r="SLJ18"/>
      <c r="SLK18"/>
      <c r="SLL18"/>
      <c r="SLM18"/>
      <c r="SLN18"/>
      <c r="SLO18"/>
      <c r="SLP18"/>
      <c r="SLQ18"/>
      <c r="SLR18"/>
      <c r="SLS18"/>
      <c r="SLT18"/>
      <c r="SLU18"/>
      <c r="SLV18"/>
      <c r="SLW18"/>
      <c r="SLX18"/>
      <c r="SLY18"/>
      <c r="SLZ18"/>
      <c r="SMA18"/>
      <c r="SMB18"/>
      <c r="SMC18"/>
      <c r="SMD18"/>
      <c r="SME18"/>
      <c r="SMF18"/>
      <c r="SMG18"/>
      <c r="SMH18"/>
      <c r="SMI18"/>
      <c r="SMJ18"/>
      <c r="SMK18"/>
      <c r="SML18"/>
      <c r="SMM18"/>
      <c r="SMN18"/>
      <c r="SMO18"/>
      <c r="SMP18"/>
      <c r="SMQ18"/>
      <c r="SMR18"/>
      <c r="SMS18"/>
      <c r="SMT18"/>
      <c r="SMU18"/>
      <c r="SMV18"/>
      <c r="SMW18"/>
      <c r="SMX18"/>
      <c r="SMY18"/>
      <c r="SMZ18"/>
      <c r="SNA18"/>
      <c r="SNB18"/>
      <c r="SNC18"/>
      <c r="SND18"/>
      <c r="SNE18"/>
      <c r="SNF18"/>
      <c r="SNG18"/>
      <c r="SNH18"/>
      <c r="SNI18"/>
      <c r="SNJ18"/>
      <c r="SNK18"/>
      <c r="SNL18"/>
      <c r="SNM18"/>
      <c r="SNN18"/>
      <c r="SNO18"/>
      <c r="SNP18"/>
      <c r="SNQ18"/>
      <c r="SNR18"/>
      <c r="SNS18"/>
      <c r="SNT18"/>
      <c r="SNU18"/>
      <c r="SNV18"/>
      <c r="SNW18"/>
      <c r="SNX18"/>
      <c r="SNY18"/>
      <c r="SNZ18"/>
      <c r="SOA18"/>
      <c r="SOB18"/>
      <c r="SOC18"/>
      <c r="SOD18"/>
      <c r="SOE18"/>
      <c r="SOF18"/>
      <c r="SOG18"/>
      <c r="SOH18"/>
      <c r="SOI18"/>
      <c r="SOJ18"/>
      <c r="SOK18"/>
      <c r="SOL18"/>
      <c r="SOM18"/>
      <c r="SON18"/>
      <c r="SOO18"/>
      <c r="SOP18"/>
      <c r="SOQ18"/>
      <c r="SOR18"/>
      <c r="SOS18"/>
      <c r="SOT18"/>
      <c r="SOU18"/>
      <c r="SOV18"/>
      <c r="SOW18"/>
      <c r="SOX18"/>
      <c r="SOY18"/>
      <c r="SOZ18"/>
      <c r="SPA18"/>
      <c r="SPB18"/>
      <c r="SPC18"/>
      <c r="SPD18"/>
      <c r="SPE18"/>
      <c r="SPF18"/>
      <c r="SPG18"/>
      <c r="SPH18"/>
      <c r="SPI18"/>
      <c r="SPJ18"/>
      <c r="SPK18"/>
      <c r="SPL18"/>
      <c r="SPM18"/>
      <c r="SPN18"/>
      <c r="SPO18"/>
      <c r="SPP18"/>
      <c r="SPQ18"/>
      <c r="SPR18"/>
      <c r="SPS18"/>
      <c r="SPT18"/>
      <c r="SPU18"/>
      <c r="SPV18"/>
      <c r="SPW18"/>
      <c r="SPX18"/>
      <c r="SPY18"/>
      <c r="SPZ18"/>
      <c r="SQA18"/>
      <c r="SQB18"/>
      <c r="SQC18"/>
      <c r="SQD18"/>
      <c r="SQE18"/>
      <c r="SQF18"/>
      <c r="SQG18"/>
      <c r="SQH18"/>
      <c r="SQI18"/>
      <c r="SQJ18"/>
      <c r="SQK18"/>
      <c r="SQL18"/>
      <c r="SQM18"/>
      <c r="SQN18"/>
      <c r="SQO18"/>
      <c r="SQP18"/>
      <c r="SQQ18"/>
      <c r="SQR18"/>
      <c r="SQS18"/>
      <c r="SQT18"/>
      <c r="SQU18"/>
      <c r="SQV18"/>
      <c r="SQW18"/>
      <c r="SQX18"/>
      <c r="SQY18"/>
      <c r="SQZ18"/>
      <c r="SRA18"/>
      <c r="SRB18"/>
      <c r="SRC18"/>
      <c r="SRD18"/>
      <c r="SRE18"/>
      <c r="SRF18"/>
      <c r="SRG18"/>
      <c r="SRH18"/>
      <c r="SRI18"/>
      <c r="SRJ18"/>
      <c r="SRK18"/>
      <c r="SRL18"/>
      <c r="SRM18"/>
      <c r="SRN18"/>
      <c r="SRO18"/>
      <c r="SRP18"/>
      <c r="SRQ18"/>
      <c r="SRR18"/>
      <c r="SRS18"/>
      <c r="SRT18"/>
      <c r="SRU18"/>
      <c r="SRV18"/>
      <c r="SRW18"/>
      <c r="SRX18"/>
      <c r="SRY18"/>
      <c r="SRZ18"/>
      <c r="SSA18"/>
      <c r="SSB18"/>
      <c r="SSC18"/>
      <c r="SSD18"/>
      <c r="SSE18"/>
      <c r="SSF18"/>
      <c r="SSG18"/>
      <c r="SSH18"/>
      <c r="SSI18"/>
      <c r="SSJ18"/>
      <c r="SSK18"/>
      <c r="SSL18"/>
      <c r="SSM18"/>
      <c r="SSN18"/>
      <c r="SSO18"/>
      <c r="SSP18"/>
      <c r="SSQ18"/>
      <c r="SSR18"/>
      <c r="SSS18"/>
      <c r="SST18"/>
      <c r="SSU18"/>
      <c r="SSV18"/>
      <c r="SSW18"/>
      <c r="SSX18"/>
      <c r="SSY18"/>
      <c r="SSZ18"/>
      <c r="STA18"/>
      <c r="STB18"/>
      <c r="STC18"/>
      <c r="STD18"/>
      <c r="STE18"/>
      <c r="STF18"/>
      <c r="STG18"/>
      <c r="STH18"/>
      <c r="STI18"/>
      <c r="STJ18"/>
      <c r="STK18"/>
      <c r="STL18"/>
      <c r="STM18"/>
      <c r="STN18"/>
      <c r="STO18"/>
      <c r="STP18"/>
      <c r="STQ18"/>
      <c r="STR18"/>
      <c r="STS18"/>
      <c r="STT18"/>
      <c r="STU18"/>
      <c r="STV18"/>
      <c r="STW18"/>
      <c r="STX18"/>
      <c r="STY18"/>
      <c r="STZ18"/>
      <c r="SUA18"/>
      <c r="SUB18"/>
      <c r="SUC18"/>
      <c r="SUD18"/>
      <c r="SUE18"/>
      <c r="SUF18"/>
      <c r="SUG18"/>
      <c r="SUH18"/>
      <c r="SUI18"/>
      <c r="SUJ18"/>
      <c r="SUK18"/>
      <c r="SUL18"/>
      <c r="SUM18"/>
      <c r="SUN18"/>
      <c r="SUO18"/>
      <c r="SUP18"/>
      <c r="SUQ18"/>
      <c r="SUR18"/>
      <c r="SUS18"/>
      <c r="SUT18"/>
      <c r="SUU18"/>
      <c r="SUV18"/>
      <c r="SUW18"/>
      <c r="SUX18"/>
      <c r="SUY18"/>
      <c r="SUZ18"/>
      <c r="SVA18"/>
      <c r="SVB18"/>
      <c r="SVC18"/>
      <c r="SVD18"/>
      <c r="SVE18"/>
      <c r="SVF18"/>
      <c r="SVG18"/>
      <c r="SVH18"/>
      <c r="SVI18"/>
      <c r="SVJ18"/>
      <c r="SVK18"/>
      <c r="SVL18"/>
      <c r="SVM18"/>
      <c r="SVN18"/>
      <c r="SVO18"/>
      <c r="SVP18"/>
      <c r="SVQ18"/>
      <c r="SVR18"/>
      <c r="SVS18"/>
      <c r="SVT18"/>
      <c r="SVU18"/>
      <c r="SVV18"/>
      <c r="SVW18"/>
      <c r="SVX18"/>
      <c r="SVY18"/>
      <c r="SVZ18"/>
      <c r="SWA18"/>
      <c r="SWB18"/>
      <c r="SWC18"/>
      <c r="SWD18"/>
      <c r="SWE18"/>
      <c r="SWF18"/>
      <c r="SWG18"/>
      <c r="SWH18"/>
      <c r="SWI18"/>
      <c r="SWJ18"/>
      <c r="SWK18"/>
      <c r="SWL18"/>
      <c r="SWM18"/>
      <c r="SWN18"/>
      <c r="SWO18"/>
      <c r="SWP18"/>
      <c r="SWQ18"/>
      <c r="SWR18"/>
      <c r="SWS18"/>
      <c r="SWT18"/>
      <c r="SWU18"/>
      <c r="SWV18"/>
      <c r="SWW18"/>
      <c r="SWX18"/>
      <c r="SWY18"/>
      <c r="SWZ18"/>
      <c r="SXA18"/>
      <c r="SXB18"/>
      <c r="SXC18"/>
      <c r="SXD18"/>
      <c r="SXE18"/>
      <c r="SXF18"/>
      <c r="SXG18"/>
      <c r="SXH18"/>
      <c r="SXI18"/>
      <c r="SXJ18"/>
      <c r="SXK18"/>
      <c r="SXL18"/>
      <c r="SXM18"/>
      <c r="SXN18"/>
      <c r="SXO18"/>
      <c r="SXP18"/>
      <c r="SXQ18"/>
      <c r="SXR18"/>
      <c r="SXS18"/>
      <c r="SXT18"/>
      <c r="SXU18"/>
      <c r="SXV18"/>
      <c r="SXW18"/>
      <c r="SXX18"/>
      <c r="SXY18"/>
      <c r="SXZ18"/>
      <c r="SYA18"/>
      <c r="SYB18"/>
      <c r="SYC18"/>
      <c r="SYD18"/>
      <c r="SYE18"/>
      <c r="SYF18"/>
      <c r="SYG18"/>
      <c r="SYH18"/>
      <c r="SYI18"/>
      <c r="SYJ18"/>
      <c r="SYK18"/>
      <c r="SYL18"/>
      <c r="SYM18"/>
      <c r="SYN18"/>
      <c r="SYO18"/>
      <c r="SYP18"/>
      <c r="SYQ18"/>
      <c r="SYR18"/>
      <c r="SYS18"/>
      <c r="SYT18"/>
      <c r="SYU18"/>
      <c r="SYV18"/>
      <c r="SYW18"/>
      <c r="SYX18"/>
      <c r="SYY18"/>
      <c r="SYZ18"/>
      <c r="SZA18"/>
      <c r="SZB18"/>
      <c r="SZC18"/>
      <c r="SZD18"/>
      <c r="SZE18"/>
      <c r="SZF18"/>
      <c r="SZG18"/>
      <c r="SZH18"/>
      <c r="SZI18"/>
      <c r="SZJ18"/>
      <c r="SZK18"/>
      <c r="SZL18"/>
      <c r="SZM18"/>
      <c r="SZN18"/>
      <c r="SZO18"/>
      <c r="SZP18"/>
      <c r="SZQ18"/>
      <c r="SZR18"/>
      <c r="SZS18"/>
      <c r="SZT18"/>
      <c r="SZU18"/>
      <c r="SZV18"/>
      <c r="SZW18"/>
      <c r="SZX18"/>
      <c r="SZY18"/>
      <c r="SZZ18"/>
      <c r="TAA18"/>
      <c r="TAB18"/>
      <c r="TAC18"/>
      <c r="TAD18"/>
      <c r="TAE18"/>
      <c r="TAF18"/>
      <c r="TAG18"/>
      <c r="TAH18"/>
      <c r="TAI18"/>
      <c r="TAJ18"/>
      <c r="TAK18"/>
      <c r="TAL18"/>
      <c r="TAM18"/>
      <c r="TAN18"/>
      <c r="TAO18"/>
      <c r="TAP18"/>
      <c r="TAQ18"/>
      <c r="TAR18"/>
      <c r="TAS18"/>
      <c r="TAT18"/>
      <c r="TAU18"/>
      <c r="TAV18"/>
      <c r="TAW18"/>
      <c r="TAX18"/>
      <c r="TAY18"/>
      <c r="TAZ18"/>
      <c r="TBA18"/>
      <c r="TBB18"/>
      <c r="TBC18"/>
      <c r="TBD18"/>
      <c r="TBE18"/>
      <c r="TBF18"/>
      <c r="TBG18"/>
      <c r="TBH18"/>
      <c r="TBI18"/>
      <c r="TBJ18"/>
      <c r="TBK18"/>
      <c r="TBL18"/>
      <c r="TBM18"/>
      <c r="TBN18"/>
      <c r="TBO18"/>
      <c r="TBP18"/>
      <c r="TBQ18"/>
      <c r="TBR18"/>
      <c r="TBS18"/>
      <c r="TBT18"/>
      <c r="TBU18"/>
      <c r="TBV18"/>
      <c r="TBW18"/>
      <c r="TBX18"/>
      <c r="TBY18"/>
      <c r="TBZ18"/>
      <c r="TCA18"/>
      <c r="TCB18"/>
      <c r="TCC18"/>
      <c r="TCD18"/>
      <c r="TCE18"/>
      <c r="TCF18"/>
      <c r="TCG18"/>
      <c r="TCH18"/>
      <c r="TCI18"/>
      <c r="TCJ18"/>
      <c r="TCK18"/>
      <c r="TCL18"/>
      <c r="TCM18"/>
      <c r="TCN18"/>
      <c r="TCO18"/>
      <c r="TCP18"/>
      <c r="TCQ18"/>
      <c r="TCR18"/>
      <c r="TCS18"/>
      <c r="TCT18"/>
      <c r="TCU18"/>
      <c r="TCV18"/>
      <c r="TCW18"/>
      <c r="TCX18"/>
      <c r="TCY18"/>
      <c r="TCZ18"/>
      <c r="TDA18"/>
      <c r="TDB18"/>
      <c r="TDC18"/>
      <c r="TDD18"/>
      <c r="TDE18"/>
      <c r="TDF18"/>
      <c r="TDG18"/>
      <c r="TDH18"/>
      <c r="TDI18"/>
      <c r="TDJ18"/>
      <c r="TDK18"/>
      <c r="TDL18"/>
      <c r="TDM18"/>
      <c r="TDN18"/>
      <c r="TDO18"/>
      <c r="TDP18"/>
      <c r="TDQ18"/>
      <c r="TDR18"/>
      <c r="TDS18"/>
      <c r="TDT18"/>
      <c r="TDU18"/>
      <c r="TDV18"/>
      <c r="TDW18"/>
      <c r="TDX18"/>
      <c r="TDY18"/>
      <c r="TDZ18"/>
      <c r="TEA18"/>
      <c r="TEB18"/>
      <c r="TEC18"/>
      <c r="TED18"/>
      <c r="TEE18"/>
      <c r="TEF18"/>
      <c r="TEG18"/>
      <c r="TEH18"/>
      <c r="TEI18"/>
      <c r="TEJ18"/>
      <c r="TEK18"/>
      <c r="TEL18"/>
      <c r="TEM18"/>
      <c r="TEN18"/>
      <c r="TEO18"/>
      <c r="TEP18"/>
      <c r="TEQ18"/>
      <c r="TER18"/>
      <c r="TES18"/>
      <c r="TET18"/>
      <c r="TEU18"/>
      <c r="TEV18"/>
      <c r="TEW18"/>
      <c r="TEX18"/>
      <c r="TEY18"/>
      <c r="TEZ18"/>
      <c r="TFA18"/>
      <c r="TFB18"/>
      <c r="TFC18"/>
      <c r="TFD18"/>
      <c r="TFE18"/>
      <c r="TFF18"/>
      <c r="TFG18"/>
      <c r="TFH18"/>
      <c r="TFI18"/>
      <c r="TFJ18"/>
      <c r="TFK18"/>
      <c r="TFL18"/>
      <c r="TFM18"/>
      <c r="TFN18"/>
      <c r="TFO18"/>
      <c r="TFP18"/>
      <c r="TFQ18"/>
      <c r="TFR18"/>
      <c r="TFS18"/>
      <c r="TFT18"/>
      <c r="TFU18"/>
      <c r="TFV18"/>
      <c r="TFW18"/>
      <c r="TFX18"/>
      <c r="TFY18"/>
      <c r="TFZ18"/>
      <c r="TGA18"/>
      <c r="TGB18"/>
      <c r="TGC18"/>
      <c r="TGD18"/>
      <c r="TGE18"/>
      <c r="TGF18"/>
      <c r="TGG18"/>
      <c r="TGH18"/>
      <c r="TGI18"/>
      <c r="TGJ18"/>
      <c r="TGK18"/>
      <c r="TGL18"/>
      <c r="TGM18"/>
      <c r="TGN18"/>
      <c r="TGO18"/>
      <c r="TGP18"/>
      <c r="TGQ18"/>
      <c r="TGR18"/>
      <c r="TGS18"/>
      <c r="TGT18"/>
      <c r="TGU18"/>
      <c r="TGV18"/>
      <c r="TGW18"/>
      <c r="TGX18"/>
      <c r="TGY18"/>
      <c r="TGZ18"/>
      <c r="THA18"/>
      <c r="THB18"/>
      <c r="THC18"/>
      <c r="THD18"/>
      <c r="THE18"/>
      <c r="THF18"/>
      <c r="THG18"/>
      <c r="THH18"/>
      <c r="THI18"/>
      <c r="THJ18"/>
      <c r="THK18"/>
      <c r="THL18"/>
      <c r="THM18"/>
      <c r="THN18"/>
      <c r="THO18"/>
      <c r="THP18"/>
      <c r="THQ18"/>
      <c r="THR18"/>
      <c r="THS18"/>
      <c r="THT18"/>
      <c r="THU18"/>
      <c r="THV18"/>
      <c r="THW18"/>
      <c r="THX18"/>
      <c r="THY18"/>
      <c r="THZ18"/>
      <c r="TIA18"/>
      <c r="TIB18"/>
      <c r="TIC18"/>
      <c r="TID18"/>
      <c r="TIE18"/>
      <c r="TIF18"/>
      <c r="TIG18"/>
      <c r="TIH18"/>
      <c r="TII18"/>
      <c r="TIJ18"/>
      <c r="TIK18"/>
      <c r="TIL18"/>
      <c r="TIM18"/>
      <c r="TIN18"/>
      <c r="TIO18"/>
      <c r="TIP18"/>
      <c r="TIQ18"/>
      <c r="TIR18"/>
      <c r="TIS18"/>
      <c r="TIT18"/>
      <c r="TIU18"/>
      <c r="TIV18"/>
      <c r="TIW18"/>
      <c r="TIX18"/>
      <c r="TIY18"/>
      <c r="TIZ18"/>
      <c r="TJA18"/>
      <c r="TJB18"/>
      <c r="TJC18"/>
      <c r="TJD18"/>
      <c r="TJE18"/>
      <c r="TJF18"/>
      <c r="TJG18"/>
      <c r="TJH18"/>
      <c r="TJI18"/>
      <c r="TJJ18"/>
      <c r="TJK18"/>
      <c r="TJL18"/>
      <c r="TJM18"/>
      <c r="TJN18"/>
      <c r="TJO18"/>
      <c r="TJP18"/>
      <c r="TJQ18"/>
      <c r="TJR18"/>
      <c r="TJS18"/>
      <c r="TJT18"/>
      <c r="TJU18"/>
      <c r="TJV18"/>
      <c r="TJW18"/>
      <c r="TJX18"/>
      <c r="TJY18"/>
      <c r="TJZ18"/>
      <c r="TKA18"/>
      <c r="TKB18"/>
      <c r="TKC18"/>
      <c r="TKD18"/>
      <c r="TKE18"/>
      <c r="TKF18"/>
      <c r="TKG18"/>
      <c r="TKH18"/>
      <c r="TKI18"/>
      <c r="TKJ18"/>
      <c r="TKK18"/>
      <c r="TKL18"/>
      <c r="TKM18"/>
      <c r="TKN18"/>
      <c r="TKO18"/>
      <c r="TKP18"/>
      <c r="TKQ18"/>
      <c r="TKR18"/>
      <c r="TKS18"/>
      <c r="TKT18"/>
      <c r="TKU18"/>
      <c r="TKV18"/>
      <c r="TKW18"/>
      <c r="TKX18"/>
      <c r="TKY18"/>
      <c r="TKZ18"/>
      <c r="TLA18"/>
      <c r="TLB18"/>
      <c r="TLC18"/>
      <c r="TLD18"/>
      <c r="TLE18"/>
      <c r="TLF18"/>
      <c r="TLG18"/>
      <c r="TLH18"/>
      <c r="TLI18"/>
      <c r="TLJ18"/>
      <c r="TLK18"/>
      <c r="TLL18"/>
      <c r="TLM18"/>
      <c r="TLN18"/>
      <c r="TLO18"/>
      <c r="TLP18"/>
      <c r="TLQ18"/>
      <c r="TLR18"/>
      <c r="TLS18"/>
      <c r="TLT18"/>
      <c r="TLU18"/>
      <c r="TLV18"/>
      <c r="TLW18"/>
      <c r="TLX18"/>
      <c r="TLY18"/>
      <c r="TLZ18"/>
      <c r="TMA18"/>
      <c r="TMB18"/>
      <c r="TMC18"/>
      <c r="TMD18"/>
      <c r="TME18"/>
      <c r="TMF18"/>
      <c r="TMG18"/>
      <c r="TMH18"/>
      <c r="TMI18"/>
      <c r="TMJ18"/>
      <c r="TMK18"/>
      <c r="TML18"/>
      <c r="TMM18"/>
      <c r="TMN18"/>
      <c r="TMO18"/>
      <c r="TMP18"/>
      <c r="TMQ18"/>
      <c r="TMR18"/>
      <c r="TMS18"/>
      <c r="TMT18"/>
      <c r="TMU18"/>
      <c r="TMV18"/>
      <c r="TMW18"/>
      <c r="TMX18"/>
      <c r="TMY18"/>
      <c r="TMZ18"/>
      <c r="TNA18"/>
      <c r="TNB18"/>
      <c r="TNC18"/>
      <c r="TND18"/>
      <c r="TNE18"/>
      <c r="TNF18"/>
      <c r="TNG18"/>
      <c r="TNH18"/>
      <c r="TNI18"/>
      <c r="TNJ18"/>
      <c r="TNK18"/>
      <c r="TNL18"/>
      <c r="TNM18"/>
      <c r="TNN18"/>
      <c r="TNO18"/>
      <c r="TNP18"/>
      <c r="TNQ18"/>
      <c r="TNR18"/>
      <c r="TNS18"/>
      <c r="TNT18"/>
      <c r="TNU18"/>
      <c r="TNV18"/>
      <c r="TNW18"/>
      <c r="TNX18"/>
      <c r="TNY18"/>
      <c r="TNZ18"/>
      <c r="TOA18"/>
      <c r="TOB18"/>
      <c r="TOC18"/>
      <c r="TOD18"/>
      <c r="TOE18"/>
      <c r="TOF18"/>
      <c r="TOG18"/>
      <c r="TOH18"/>
      <c r="TOI18"/>
      <c r="TOJ18"/>
      <c r="TOK18"/>
      <c r="TOL18"/>
      <c r="TOM18"/>
      <c r="TON18"/>
      <c r="TOO18"/>
      <c r="TOP18"/>
      <c r="TOQ18"/>
      <c r="TOR18"/>
      <c r="TOS18"/>
      <c r="TOT18"/>
      <c r="TOU18"/>
      <c r="TOV18"/>
      <c r="TOW18"/>
      <c r="TOX18"/>
      <c r="TOY18"/>
      <c r="TOZ18"/>
      <c r="TPA18"/>
      <c r="TPB18"/>
      <c r="TPC18"/>
      <c r="TPD18"/>
      <c r="TPE18"/>
      <c r="TPF18"/>
      <c r="TPG18"/>
      <c r="TPH18"/>
      <c r="TPI18"/>
      <c r="TPJ18"/>
      <c r="TPK18"/>
      <c r="TPL18"/>
      <c r="TPM18"/>
      <c r="TPN18"/>
      <c r="TPO18"/>
      <c r="TPP18"/>
      <c r="TPQ18"/>
      <c r="TPR18"/>
      <c r="TPS18"/>
      <c r="TPT18"/>
      <c r="TPU18"/>
      <c r="TPV18"/>
      <c r="TPW18"/>
      <c r="TPX18"/>
      <c r="TPY18"/>
      <c r="TPZ18"/>
      <c r="TQA18"/>
      <c r="TQB18"/>
      <c r="TQC18"/>
      <c r="TQD18"/>
      <c r="TQE18"/>
      <c r="TQF18"/>
      <c r="TQG18"/>
      <c r="TQH18"/>
      <c r="TQI18"/>
      <c r="TQJ18"/>
      <c r="TQK18"/>
      <c r="TQL18"/>
      <c r="TQM18"/>
      <c r="TQN18"/>
      <c r="TQO18"/>
      <c r="TQP18"/>
      <c r="TQQ18"/>
      <c r="TQR18"/>
      <c r="TQS18"/>
      <c r="TQT18"/>
      <c r="TQU18"/>
      <c r="TQV18"/>
      <c r="TQW18"/>
      <c r="TQX18"/>
      <c r="TQY18"/>
      <c r="TQZ18"/>
      <c r="TRA18"/>
      <c r="TRB18"/>
      <c r="TRC18"/>
      <c r="TRD18"/>
      <c r="TRE18"/>
      <c r="TRF18"/>
      <c r="TRG18"/>
      <c r="TRH18"/>
      <c r="TRI18"/>
      <c r="TRJ18"/>
      <c r="TRK18"/>
      <c r="TRL18"/>
      <c r="TRM18"/>
      <c r="TRN18"/>
      <c r="TRO18"/>
      <c r="TRP18"/>
      <c r="TRQ18"/>
      <c r="TRR18"/>
      <c r="TRS18"/>
      <c r="TRT18"/>
      <c r="TRU18"/>
      <c r="TRV18"/>
      <c r="TRW18"/>
      <c r="TRX18"/>
      <c r="TRY18"/>
      <c r="TRZ18"/>
      <c r="TSA18"/>
      <c r="TSB18"/>
      <c r="TSC18"/>
      <c r="TSD18"/>
      <c r="TSE18"/>
      <c r="TSF18"/>
      <c r="TSG18"/>
      <c r="TSH18"/>
      <c r="TSI18"/>
      <c r="TSJ18"/>
      <c r="TSK18"/>
      <c r="TSL18"/>
      <c r="TSM18"/>
      <c r="TSN18"/>
      <c r="TSO18"/>
      <c r="TSP18"/>
      <c r="TSQ18"/>
      <c r="TSR18"/>
      <c r="TSS18"/>
      <c r="TST18"/>
      <c r="TSU18"/>
      <c r="TSV18"/>
      <c r="TSW18"/>
      <c r="TSX18"/>
      <c r="TSY18"/>
      <c r="TSZ18"/>
      <c r="TTA18"/>
      <c r="TTB18"/>
      <c r="TTC18"/>
      <c r="TTD18"/>
      <c r="TTE18"/>
      <c r="TTF18"/>
      <c r="TTG18"/>
      <c r="TTH18"/>
      <c r="TTI18"/>
      <c r="TTJ18"/>
      <c r="TTK18"/>
      <c r="TTL18"/>
      <c r="TTM18"/>
      <c r="TTN18"/>
      <c r="TTO18"/>
      <c r="TTP18"/>
      <c r="TTQ18"/>
      <c r="TTR18"/>
      <c r="TTS18"/>
      <c r="TTT18"/>
      <c r="TTU18"/>
      <c r="TTV18"/>
      <c r="TTW18"/>
      <c r="TTX18"/>
      <c r="TTY18"/>
      <c r="TTZ18"/>
      <c r="TUA18"/>
      <c r="TUB18"/>
      <c r="TUC18"/>
      <c r="TUD18"/>
      <c r="TUE18"/>
      <c r="TUF18"/>
      <c r="TUG18"/>
      <c r="TUH18"/>
      <c r="TUI18"/>
      <c r="TUJ18"/>
      <c r="TUK18"/>
      <c r="TUL18"/>
      <c r="TUM18"/>
      <c r="TUN18"/>
      <c r="TUO18"/>
      <c r="TUP18"/>
      <c r="TUQ18"/>
      <c r="TUR18"/>
      <c r="TUS18"/>
      <c r="TUT18"/>
      <c r="TUU18"/>
      <c r="TUV18"/>
      <c r="TUW18"/>
      <c r="TUX18"/>
      <c r="TUY18"/>
      <c r="TUZ18"/>
      <c r="TVA18"/>
      <c r="TVB18"/>
      <c r="TVC18"/>
      <c r="TVD18"/>
      <c r="TVE18"/>
      <c r="TVF18"/>
      <c r="TVG18"/>
      <c r="TVH18"/>
      <c r="TVI18"/>
      <c r="TVJ18"/>
      <c r="TVK18"/>
      <c r="TVL18"/>
      <c r="TVM18"/>
      <c r="TVN18"/>
      <c r="TVO18"/>
      <c r="TVP18"/>
      <c r="TVQ18"/>
      <c r="TVR18"/>
      <c r="TVS18"/>
      <c r="TVT18"/>
      <c r="TVU18"/>
      <c r="TVV18"/>
      <c r="TVW18"/>
      <c r="TVX18"/>
      <c r="TVY18"/>
      <c r="TVZ18"/>
      <c r="TWA18"/>
      <c r="TWB18"/>
      <c r="TWC18"/>
      <c r="TWD18"/>
      <c r="TWE18"/>
      <c r="TWF18"/>
      <c r="TWG18"/>
      <c r="TWH18"/>
      <c r="TWI18"/>
      <c r="TWJ18"/>
      <c r="TWK18"/>
      <c r="TWL18"/>
      <c r="TWM18"/>
      <c r="TWN18"/>
      <c r="TWO18"/>
      <c r="TWP18"/>
      <c r="TWQ18"/>
      <c r="TWR18"/>
      <c r="TWS18"/>
      <c r="TWT18"/>
      <c r="TWU18"/>
      <c r="TWV18"/>
      <c r="TWW18"/>
      <c r="TWX18"/>
      <c r="TWY18"/>
      <c r="TWZ18"/>
      <c r="TXA18"/>
      <c r="TXB18"/>
      <c r="TXC18"/>
      <c r="TXD18"/>
      <c r="TXE18"/>
      <c r="TXF18"/>
      <c r="TXG18"/>
      <c r="TXH18"/>
      <c r="TXI18"/>
      <c r="TXJ18"/>
      <c r="TXK18"/>
      <c r="TXL18"/>
      <c r="TXM18"/>
      <c r="TXN18"/>
      <c r="TXO18"/>
      <c r="TXP18"/>
      <c r="TXQ18"/>
      <c r="TXR18"/>
      <c r="TXS18"/>
      <c r="TXT18"/>
      <c r="TXU18"/>
      <c r="TXV18"/>
      <c r="TXW18"/>
      <c r="TXX18"/>
      <c r="TXY18"/>
      <c r="TXZ18"/>
      <c r="TYA18"/>
      <c r="TYB18"/>
      <c r="TYC18"/>
      <c r="TYD18"/>
      <c r="TYE18"/>
      <c r="TYF18"/>
      <c r="TYG18"/>
      <c r="TYH18"/>
      <c r="TYI18"/>
      <c r="TYJ18"/>
      <c r="TYK18"/>
      <c r="TYL18"/>
      <c r="TYM18"/>
      <c r="TYN18"/>
      <c r="TYO18"/>
      <c r="TYP18"/>
      <c r="TYQ18"/>
      <c r="TYR18"/>
      <c r="TYS18"/>
      <c r="TYT18"/>
      <c r="TYU18"/>
      <c r="TYV18"/>
      <c r="TYW18"/>
      <c r="TYX18"/>
      <c r="TYY18"/>
      <c r="TYZ18"/>
      <c r="TZA18"/>
      <c r="TZB18"/>
      <c r="TZC18"/>
      <c r="TZD18"/>
      <c r="TZE18"/>
      <c r="TZF18"/>
      <c r="TZG18"/>
      <c r="TZH18"/>
      <c r="TZI18"/>
      <c r="TZJ18"/>
      <c r="TZK18"/>
      <c r="TZL18"/>
      <c r="TZM18"/>
      <c r="TZN18"/>
      <c r="TZO18"/>
      <c r="TZP18"/>
      <c r="TZQ18"/>
      <c r="TZR18"/>
      <c r="TZS18"/>
      <c r="TZT18"/>
      <c r="TZU18"/>
      <c r="TZV18"/>
      <c r="TZW18"/>
      <c r="TZX18"/>
      <c r="TZY18"/>
      <c r="TZZ18"/>
      <c r="UAA18"/>
      <c r="UAB18"/>
      <c r="UAC18"/>
      <c r="UAD18"/>
      <c r="UAE18"/>
      <c r="UAF18"/>
      <c r="UAG18"/>
      <c r="UAH18"/>
      <c r="UAI18"/>
      <c r="UAJ18"/>
      <c r="UAK18"/>
      <c r="UAL18"/>
      <c r="UAM18"/>
      <c r="UAN18"/>
      <c r="UAO18"/>
      <c r="UAP18"/>
      <c r="UAQ18"/>
      <c r="UAR18"/>
      <c r="UAS18"/>
      <c r="UAT18"/>
      <c r="UAU18"/>
      <c r="UAV18"/>
      <c r="UAW18"/>
      <c r="UAX18"/>
      <c r="UAY18"/>
      <c r="UAZ18"/>
      <c r="UBA18"/>
      <c r="UBB18"/>
      <c r="UBC18"/>
      <c r="UBD18"/>
      <c r="UBE18"/>
      <c r="UBF18"/>
      <c r="UBG18"/>
      <c r="UBH18"/>
      <c r="UBI18"/>
      <c r="UBJ18"/>
      <c r="UBK18"/>
      <c r="UBL18"/>
      <c r="UBM18"/>
      <c r="UBN18"/>
      <c r="UBO18"/>
      <c r="UBP18"/>
      <c r="UBQ18"/>
      <c r="UBR18"/>
      <c r="UBS18"/>
      <c r="UBT18"/>
      <c r="UBU18"/>
      <c r="UBV18"/>
      <c r="UBW18"/>
      <c r="UBX18"/>
      <c r="UBY18"/>
      <c r="UBZ18"/>
      <c r="UCA18"/>
      <c r="UCB18"/>
      <c r="UCC18"/>
      <c r="UCD18"/>
      <c r="UCE18"/>
      <c r="UCF18"/>
      <c r="UCG18"/>
      <c r="UCH18"/>
      <c r="UCI18"/>
      <c r="UCJ18"/>
      <c r="UCK18"/>
      <c r="UCL18"/>
      <c r="UCM18"/>
      <c r="UCN18"/>
      <c r="UCO18"/>
      <c r="UCP18"/>
      <c r="UCQ18"/>
      <c r="UCR18"/>
      <c r="UCS18"/>
      <c r="UCT18"/>
      <c r="UCU18"/>
      <c r="UCV18"/>
      <c r="UCW18"/>
      <c r="UCX18"/>
      <c r="UCY18"/>
      <c r="UCZ18"/>
      <c r="UDA18"/>
      <c r="UDB18"/>
      <c r="UDC18"/>
      <c r="UDD18"/>
      <c r="UDE18"/>
      <c r="UDF18"/>
      <c r="UDG18"/>
      <c r="UDH18"/>
      <c r="UDI18"/>
      <c r="UDJ18"/>
      <c r="UDK18"/>
      <c r="UDL18"/>
      <c r="UDM18"/>
      <c r="UDN18"/>
      <c r="UDO18"/>
      <c r="UDP18"/>
      <c r="UDQ18"/>
      <c r="UDR18"/>
      <c r="UDS18"/>
      <c r="UDT18"/>
      <c r="UDU18"/>
      <c r="UDV18"/>
      <c r="UDW18"/>
      <c r="UDX18"/>
      <c r="UDY18"/>
      <c r="UDZ18"/>
      <c r="UEA18"/>
      <c r="UEB18"/>
      <c r="UEC18"/>
      <c r="UED18"/>
      <c r="UEE18"/>
      <c r="UEF18"/>
      <c r="UEG18"/>
      <c r="UEH18"/>
      <c r="UEI18"/>
      <c r="UEJ18"/>
      <c r="UEK18"/>
      <c r="UEL18"/>
      <c r="UEM18"/>
      <c r="UEN18"/>
      <c r="UEO18"/>
      <c r="UEP18"/>
      <c r="UEQ18"/>
      <c r="UER18"/>
      <c r="UES18"/>
      <c r="UET18"/>
      <c r="UEU18"/>
      <c r="UEV18"/>
      <c r="UEW18"/>
      <c r="UEX18"/>
      <c r="UEY18"/>
      <c r="UEZ18"/>
      <c r="UFA18"/>
      <c r="UFB18"/>
      <c r="UFC18"/>
      <c r="UFD18"/>
      <c r="UFE18"/>
      <c r="UFF18"/>
      <c r="UFG18"/>
      <c r="UFH18"/>
      <c r="UFI18"/>
      <c r="UFJ18"/>
      <c r="UFK18"/>
      <c r="UFL18"/>
      <c r="UFM18"/>
      <c r="UFN18"/>
      <c r="UFO18"/>
      <c r="UFP18"/>
      <c r="UFQ18"/>
      <c r="UFR18"/>
      <c r="UFS18"/>
      <c r="UFT18"/>
      <c r="UFU18"/>
      <c r="UFV18"/>
      <c r="UFW18"/>
      <c r="UFX18"/>
      <c r="UFY18"/>
      <c r="UFZ18"/>
      <c r="UGA18"/>
      <c r="UGB18"/>
      <c r="UGC18"/>
      <c r="UGD18"/>
      <c r="UGE18"/>
      <c r="UGF18"/>
      <c r="UGG18"/>
      <c r="UGH18"/>
      <c r="UGI18"/>
      <c r="UGJ18"/>
      <c r="UGK18"/>
      <c r="UGL18"/>
      <c r="UGM18"/>
      <c r="UGN18"/>
      <c r="UGO18"/>
      <c r="UGP18"/>
      <c r="UGQ18"/>
      <c r="UGR18"/>
      <c r="UGS18"/>
      <c r="UGT18"/>
      <c r="UGU18"/>
      <c r="UGV18"/>
      <c r="UGW18"/>
      <c r="UGX18"/>
      <c r="UGY18"/>
      <c r="UGZ18"/>
      <c r="UHA18"/>
      <c r="UHB18"/>
      <c r="UHC18"/>
      <c r="UHD18"/>
      <c r="UHE18"/>
      <c r="UHF18"/>
      <c r="UHG18"/>
      <c r="UHH18"/>
      <c r="UHI18"/>
      <c r="UHJ18"/>
      <c r="UHK18"/>
      <c r="UHL18"/>
      <c r="UHM18"/>
      <c r="UHN18"/>
      <c r="UHO18"/>
      <c r="UHP18"/>
      <c r="UHQ18"/>
      <c r="UHR18"/>
      <c r="UHS18"/>
      <c r="UHT18"/>
      <c r="UHU18"/>
      <c r="UHV18"/>
      <c r="UHW18"/>
      <c r="UHX18"/>
      <c r="UHY18"/>
      <c r="UHZ18"/>
      <c r="UIA18"/>
      <c r="UIB18"/>
      <c r="UIC18"/>
      <c r="UID18"/>
      <c r="UIE18"/>
      <c r="UIF18"/>
      <c r="UIG18"/>
      <c r="UIH18"/>
      <c r="UII18"/>
      <c r="UIJ18"/>
      <c r="UIK18"/>
      <c r="UIL18"/>
      <c r="UIM18"/>
      <c r="UIN18"/>
      <c r="UIO18"/>
      <c r="UIP18"/>
      <c r="UIQ18"/>
      <c r="UIR18"/>
      <c r="UIS18"/>
      <c r="UIT18"/>
      <c r="UIU18"/>
      <c r="UIV18"/>
      <c r="UIW18"/>
      <c r="UIX18"/>
      <c r="UIY18"/>
      <c r="UIZ18"/>
      <c r="UJA18"/>
      <c r="UJB18"/>
      <c r="UJC18"/>
      <c r="UJD18"/>
      <c r="UJE18"/>
      <c r="UJF18"/>
      <c r="UJG18"/>
      <c r="UJH18"/>
      <c r="UJI18"/>
      <c r="UJJ18"/>
      <c r="UJK18"/>
      <c r="UJL18"/>
      <c r="UJM18"/>
      <c r="UJN18"/>
      <c r="UJO18"/>
      <c r="UJP18"/>
      <c r="UJQ18"/>
      <c r="UJR18"/>
      <c r="UJS18"/>
      <c r="UJT18"/>
      <c r="UJU18"/>
      <c r="UJV18"/>
      <c r="UJW18"/>
      <c r="UJX18"/>
      <c r="UJY18"/>
      <c r="UJZ18"/>
      <c r="UKA18"/>
      <c r="UKB18"/>
      <c r="UKC18"/>
      <c r="UKD18"/>
      <c r="UKE18"/>
      <c r="UKF18"/>
      <c r="UKG18"/>
      <c r="UKH18"/>
      <c r="UKI18"/>
      <c r="UKJ18"/>
      <c r="UKK18"/>
      <c r="UKL18"/>
      <c r="UKM18"/>
      <c r="UKN18"/>
      <c r="UKO18"/>
      <c r="UKP18"/>
      <c r="UKQ18"/>
      <c r="UKR18"/>
      <c r="UKS18"/>
      <c r="UKT18"/>
      <c r="UKU18"/>
      <c r="UKV18"/>
      <c r="UKW18"/>
      <c r="UKX18"/>
      <c r="UKY18"/>
      <c r="UKZ18"/>
      <c r="ULA18"/>
      <c r="ULB18"/>
      <c r="ULC18"/>
      <c r="ULD18"/>
      <c r="ULE18"/>
      <c r="ULF18"/>
      <c r="ULG18"/>
      <c r="ULH18"/>
      <c r="ULI18"/>
      <c r="ULJ18"/>
      <c r="ULK18"/>
      <c r="ULL18"/>
      <c r="ULM18"/>
      <c r="ULN18"/>
      <c r="ULO18"/>
      <c r="ULP18"/>
      <c r="ULQ18"/>
      <c r="ULR18"/>
      <c r="ULS18"/>
      <c r="ULT18"/>
      <c r="ULU18"/>
      <c r="ULV18"/>
      <c r="ULW18"/>
      <c r="ULX18"/>
      <c r="ULY18"/>
      <c r="ULZ18"/>
      <c r="UMA18"/>
      <c r="UMB18"/>
      <c r="UMC18"/>
      <c r="UMD18"/>
      <c r="UME18"/>
      <c r="UMF18"/>
      <c r="UMG18"/>
      <c r="UMH18"/>
      <c r="UMI18"/>
      <c r="UMJ18"/>
      <c r="UMK18"/>
      <c r="UML18"/>
      <c r="UMM18"/>
      <c r="UMN18"/>
      <c r="UMO18"/>
      <c r="UMP18"/>
      <c r="UMQ18"/>
      <c r="UMR18"/>
      <c r="UMS18"/>
      <c r="UMT18"/>
      <c r="UMU18"/>
      <c r="UMV18"/>
      <c r="UMW18"/>
      <c r="UMX18"/>
      <c r="UMY18"/>
      <c r="UMZ18"/>
      <c r="UNA18"/>
      <c r="UNB18"/>
      <c r="UNC18"/>
      <c r="UND18"/>
      <c r="UNE18"/>
      <c r="UNF18"/>
      <c r="UNG18"/>
      <c r="UNH18"/>
      <c r="UNI18"/>
      <c r="UNJ18"/>
      <c r="UNK18"/>
      <c r="UNL18"/>
      <c r="UNM18"/>
      <c r="UNN18"/>
      <c r="UNO18"/>
      <c r="UNP18"/>
      <c r="UNQ18"/>
      <c r="UNR18"/>
      <c r="UNS18"/>
      <c r="UNT18"/>
      <c r="UNU18"/>
      <c r="UNV18"/>
      <c r="UNW18"/>
      <c r="UNX18"/>
      <c r="UNY18"/>
      <c r="UNZ18"/>
      <c r="UOA18"/>
      <c r="UOB18"/>
      <c r="UOC18"/>
      <c r="UOD18"/>
      <c r="UOE18"/>
      <c r="UOF18"/>
      <c r="UOG18"/>
      <c r="UOH18"/>
      <c r="UOI18"/>
      <c r="UOJ18"/>
      <c r="UOK18"/>
      <c r="UOL18"/>
      <c r="UOM18"/>
      <c r="UON18"/>
      <c r="UOO18"/>
      <c r="UOP18"/>
      <c r="UOQ18"/>
      <c r="UOR18"/>
      <c r="UOS18"/>
      <c r="UOT18"/>
      <c r="UOU18"/>
      <c r="UOV18"/>
      <c r="UOW18"/>
      <c r="UOX18"/>
      <c r="UOY18"/>
      <c r="UOZ18"/>
      <c r="UPA18"/>
      <c r="UPB18"/>
      <c r="UPC18"/>
      <c r="UPD18"/>
      <c r="UPE18"/>
      <c r="UPF18"/>
      <c r="UPG18"/>
      <c r="UPH18"/>
      <c r="UPI18"/>
      <c r="UPJ18"/>
      <c r="UPK18"/>
      <c r="UPL18"/>
      <c r="UPM18"/>
      <c r="UPN18"/>
      <c r="UPO18"/>
      <c r="UPP18"/>
      <c r="UPQ18"/>
      <c r="UPR18"/>
      <c r="UPS18"/>
      <c r="UPT18"/>
      <c r="UPU18"/>
      <c r="UPV18"/>
      <c r="UPW18"/>
      <c r="UPX18"/>
      <c r="UPY18"/>
      <c r="UPZ18"/>
      <c r="UQA18"/>
      <c r="UQB18"/>
      <c r="UQC18"/>
      <c r="UQD18"/>
      <c r="UQE18"/>
      <c r="UQF18"/>
      <c r="UQG18"/>
      <c r="UQH18"/>
      <c r="UQI18"/>
      <c r="UQJ18"/>
      <c r="UQK18"/>
      <c r="UQL18"/>
      <c r="UQM18"/>
      <c r="UQN18"/>
      <c r="UQO18"/>
      <c r="UQP18"/>
      <c r="UQQ18"/>
      <c r="UQR18"/>
      <c r="UQS18"/>
      <c r="UQT18"/>
      <c r="UQU18"/>
      <c r="UQV18"/>
      <c r="UQW18"/>
      <c r="UQX18"/>
      <c r="UQY18"/>
      <c r="UQZ18"/>
      <c r="URA18"/>
      <c r="URB18"/>
      <c r="URC18"/>
      <c r="URD18"/>
      <c r="URE18"/>
      <c r="URF18"/>
      <c r="URG18"/>
      <c r="URH18"/>
      <c r="URI18"/>
      <c r="URJ18"/>
      <c r="URK18"/>
      <c r="URL18"/>
      <c r="URM18"/>
      <c r="URN18"/>
      <c r="URO18"/>
      <c r="URP18"/>
      <c r="URQ18"/>
      <c r="URR18"/>
      <c r="URS18"/>
      <c r="URT18"/>
      <c r="URU18"/>
      <c r="URV18"/>
      <c r="URW18"/>
      <c r="URX18"/>
      <c r="URY18"/>
      <c r="URZ18"/>
      <c r="USA18"/>
      <c r="USB18"/>
      <c r="USC18"/>
      <c r="USD18"/>
      <c r="USE18"/>
      <c r="USF18"/>
      <c r="USG18"/>
      <c r="USH18"/>
      <c r="USI18"/>
      <c r="USJ18"/>
      <c r="USK18"/>
      <c r="USL18"/>
      <c r="USM18"/>
      <c r="USN18"/>
      <c r="USO18"/>
      <c r="USP18"/>
      <c r="USQ18"/>
      <c r="USR18"/>
      <c r="USS18"/>
      <c r="UST18"/>
      <c r="USU18"/>
      <c r="USV18"/>
      <c r="USW18"/>
      <c r="USX18"/>
      <c r="USY18"/>
      <c r="USZ18"/>
      <c r="UTA18"/>
      <c r="UTB18"/>
      <c r="UTC18"/>
      <c r="UTD18"/>
      <c r="UTE18"/>
      <c r="UTF18"/>
      <c r="UTG18"/>
      <c r="UTH18"/>
      <c r="UTI18"/>
      <c r="UTJ18"/>
      <c r="UTK18"/>
      <c r="UTL18"/>
      <c r="UTM18"/>
      <c r="UTN18"/>
      <c r="UTO18"/>
      <c r="UTP18"/>
      <c r="UTQ18"/>
      <c r="UTR18"/>
      <c r="UTS18"/>
      <c r="UTT18"/>
      <c r="UTU18"/>
      <c r="UTV18"/>
      <c r="UTW18"/>
      <c r="UTX18"/>
      <c r="UTY18"/>
      <c r="UTZ18"/>
      <c r="UUA18"/>
      <c r="UUB18"/>
      <c r="UUC18"/>
      <c r="UUD18"/>
      <c r="UUE18"/>
      <c r="UUF18"/>
      <c r="UUG18"/>
      <c r="UUH18"/>
      <c r="UUI18"/>
      <c r="UUJ18"/>
      <c r="UUK18"/>
      <c r="UUL18"/>
      <c r="UUM18"/>
      <c r="UUN18"/>
      <c r="UUO18"/>
      <c r="UUP18"/>
      <c r="UUQ18"/>
      <c r="UUR18"/>
      <c r="UUS18"/>
      <c r="UUT18"/>
      <c r="UUU18"/>
      <c r="UUV18"/>
      <c r="UUW18"/>
      <c r="UUX18"/>
      <c r="UUY18"/>
      <c r="UUZ18"/>
      <c r="UVA18"/>
      <c r="UVB18"/>
      <c r="UVC18"/>
      <c r="UVD18"/>
      <c r="UVE18"/>
      <c r="UVF18"/>
      <c r="UVG18"/>
      <c r="UVH18"/>
      <c r="UVI18"/>
      <c r="UVJ18"/>
      <c r="UVK18"/>
      <c r="UVL18"/>
      <c r="UVM18"/>
      <c r="UVN18"/>
      <c r="UVO18"/>
      <c r="UVP18"/>
      <c r="UVQ18"/>
      <c r="UVR18"/>
      <c r="UVS18"/>
      <c r="UVT18"/>
      <c r="UVU18"/>
      <c r="UVV18"/>
      <c r="UVW18"/>
      <c r="UVX18"/>
      <c r="UVY18"/>
      <c r="UVZ18"/>
      <c r="UWA18"/>
      <c r="UWB18"/>
      <c r="UWC18"/>
      <c r="UWD18"/>
      <c r="UWE18"/>
      <c r="UWF18"/>
      <c r="UWG18"/>
      <c r="UWH18"/>
      <c r="UWI18"/>
      <c r="UWJ18"/>
      <c r="UWK18"/>
      <c r="UWL18"/>
      <c r="UWM18"/>
      <c r="UWN18"/>
      <c r="UWO18"/>
      <c r="UWP18"/>
      <c r="UWQ18"/>
      <c r="UWR18"/>
      <c r="UWS18"/>
      <c r="UWT18"/>
      <c r="UWU18"/>
      <c r="UWV18"/>
      <c r="UWW18"/>
      <c r="UWX18"/>
      <c r="UWY18"/>
      <c r="UWZ18"/>
      <c r="UXA18"/>
      <c r="UXB18"/>
      <c r="UXC18"/>
      <c r="UXD18"/>
      <c r="UXE18"/>
      <c r="UXF18"/>
      <c r="UXG18"/>
      <c r="UXH18"/>
      <c r="UXI18"/>
      <c r="UXJ18"/>
      <c r="UXK18"/>
      <c r="UXL18"/>
      <c r="UXM18"/>
      <c r="UXN18"/>
      <c r="UXO18"/>
      <c r="UXP18"/>
      <c r="UXQ18"/>
      <c r="UXR18"/>
      <c r="UXS18"/>
      <c r="UXT18"/>
      <c r="UXU18"/>
      <c r="UXV18"/>
      <c r="UXW18"/>
      <c r="UXX18"/>
      <c r="UXY18"/>
      <c r="UXZ18"/>
      <c r="UYA18"/>
      <c r="UYB18"/>
      <c r="UYC18"/>
      <c r="UYD18"/>
      <c r="UYE18"/>
      <c r="UYF18"/>
      <c r="UYG18"/>
      <c r="UYH18"/>
      <c r="UYI18"/>
      <c r="UYJ18"/>
      <c r="UYK18"/>
      <c r="UYL18"/>
      <c r="UYM18"/>
      <c r="UYN18"/>
      <c r="UYO18"/>
      <c r="UYP18"/>
      <c r="UYQ18"/>
      <c r="UYR18"/>
      <c r="UYS18"/>
      <c r="UYT18"/>
      <c r="UYU18"/>
      <c r="UYV18"/>
      <c r="UYW18"/>
      <c r="UYX18"/>
      <c r="UYY18"/>
      <c r="UYZ18"/>
      <c r="UZA18"/>
      <c r="UZB18"/>
      <c r="UZC18"/>
      <c r="UZD18"/>
      <c r="UZE18"/>
      <c r="UZF18"/>
      <c r="UZG18"/>
      <c r="UZH18"/>
      <c r="UZI18"/>
      <c r="UZJ18"/>
      <c r="UZK18"/>
      <c r="UZL18"/>
      <c r="UZM18"/>
      <c r="UZN18"/>
      <c r="UZO18"/>
      <c r="UZP18"/>
      <c r="UZQ18"/>
      <c r="UZR18"/>
      <c r="UZS18"/>
      <c r="UZT18"/>
      <c r="UZU18"/>
      <c r="UZV18"/>
      <c r="UZW18"/>
      <c r="UZX18"/>
      <c r="UZY18"/>
      <c r="UZZ18"/>
      <c r="VAA18"/>
      <c r="VAB18"/>
      <c r="VAC18"/>
      <c r="VAD18"/>
      <c r="VAE18"/>
      <c r="VAF18"/>
      <c r="VAG18"/>
      <c r="VAH18"/>
      <c r="VAI18"/>
      <c r="VAJ18"/>
      <c r="VAK18"/>
      <c r="VAL18"/>
      <c r="VAM18"/>
      <c r="VAN18"/>
      <c r="VAO18"/>
      <c r="VAP18"/>
      <c r="VAQ18"/>
      <c r="VAR18"/>
      <c r="VAS18"/>
      <c r="VAT18"/>
      <c r="VAU18"/>
      <c r="VAV18"/>
      <c r="VAW18"/>
      <c r="VAX18"/>
      <c r="VAY18"/>
      <c r="VAZ18"/>
      <c r="VBA18"/>
      <c r="VBB18"/>
      <c r="VBC18"/>
      <c r="VBD18"/>
      <c r="VBE18"/>
      <c r="VBF18"/>
      <c r="VBG18"/>
      <c r="VBH18"/>
      <c r="VBI18"/>
      <c r="VBJ18"/>
      <c r="VBK18"/>
      <c r="VBL18"/>
      <c r="VBM18"/>
      <c r="VBN18"/>
      <c r="VBO18"/>
      <c r="VBP18"/>
      <c r="VBQ18"/>
      <c r="VBR18"/>
      <c r="VBS18"/>
      <c r="VBT18"/>
      <c r="VBU18"/>
      <c r="VBV18"/>
      <c r="VBW18"/>
      <c r="VBX18"/>
      <c r="VBY18"/>
      <c r="VBZ18"/>
      <c r="VCA18"/>
      <c r="VCB18"/>
      <c r="VCC18"/>
      <c r="VCD18"/>
      <c r="VCE18"/>
      <c r="VCF18"/>
      <c r="VCG18"/>
      <c r="VCH18"/>
      <c r="VCI18"/>
      <c r="VCJ18"/>
      <c r="VCK18"/>
      <c r="VCL18"/>
      <c r="VCM18"/>
      <c r="VCN18"/>
      <c r="VCO18"/>
      <c r="VCP18"/>
      <c r="VCQ18"/>
      <c r="VCR18"/>
      <c r="VCS18"/>
      <c r="VCT18"/>
      <c r="VCU18"/>
      <c r="VCV18"/>
      <c r="VCW18"/>
      <c r="VCX18"/>
      <c r="VCY18"/>
      <c r="VCZ18"/>
      <c r="VDA18"/>
      <c r="VDB18"/>
      <c r="VDC18"/>
      <c r="VDD18"/>
      <c r="VDE18"/>
      <c r="VDF18"/>
      <c r="VDG18"/>
      <c r="VDH18"/>
      <c r="VDI18"/>
      <c r="VDJ18"/>
      <c r="VDK18"/>
      <c r="VDL18"/>
      <c r="VDM18"/>
      <c r="VDN18"/>
      <c r="VDO18"/>
      <c r="VDP18"/>
      <c r="VDQ18"/>
      <c r="VDR18"/>
      <c r="VDS18"/>
      <c r="VDT18"/>
      <c r="VDU18"/>
      <c r="VDV18"/>
      <c r="VDW18"/>
      <c r="VDX18"/>
      <c r="VDY18"/>
      <c r="VDZ18"/>
      <c r="VEA18"/>
      <c r="VEB18"/>
      <c r="VEC18"/>
      <c r="VED18"/>
      <c r="VEE18"/>
      <c r="VEF18"/>
      <c r="VEG18"/>
      <c r="VEH18"/>
      <c r="VEI18"/>
      <c r="VEJ18"/>
      <c r="VEK18"/>
      <c r="VEL18"/>
      <c r="VEM18"/>
      <c r="VEN18"/>
      <c r="VEO18"/>
      <c r="VEP18"/>
      <c r="VEQ18"/>
      <c r="VER18"/>
      <c r="VES18"/>
      <c r="VET18"/>
      <c r="VEU18"/>
      <c r="VEV18"/>
      <c r="VEW18"/>
      <c r="VEX18"/>
      <c r="VEY18"/>
      <c r="VEZ18"/>
      <c r="VFA18"/>
      <c r="VFB18"/>
      <c r="VFC18"/>
      <c r="VFD18"/>
      <c r="VFE18"/>
      <c r="VFF18"/>
      <c r="VFG18"/>
      <c r="VFH18"/>
      <c r="VFI18"/>
      <c r="VFJ18"/>
      <c r="VFK18"/>
      <c r="VFL18"/>
      <c r="VFM18"/>
      <c r="VFN18"/>
      <c r="VFO18"/>
      <c r="VFP18"/>
      <c r="VFQ18"/>
      <c r="VFR18"/>
      <c r="VFS18"/>
      <c r="VFT18"/>
      <c r="VFU18"/>
      <c r="VFV18"/>
      <c r="VFW18"/>
      <c r="VFX18"/>
      <c r="VFY18"/>
      <c r="VFZ18"/>
      <c r="VGA18"/>
      <c r="VGB18"/>
      <c r="VGC18"/>
      <c r="VGD18"/>
      <c r="VGE18"/>
      <c r="VGF18"/>
      <c r="VGG18"/>
      <c r="VGH18"/>
      <c r="VGI18"/>
      <c r="VGJ18"/>
      <c r="VGK18"/>
      <c r="VGL18"/>
      <c r="VGM18"/>
      <c r="VGN18"/>
      <c r="VGO18"/>
      <c r="VGP18"/>
      <c r="VGQ18"/>
      <c r="VGR18"/>
      <c r="VGS18"/>
      <c r="VGT18"/>
      <c r="VGU18"/>
      <c r="VGV18"/>
      <c r="VGW18"/>
      <c r="VGX18"/>
      <c r="VGY18"/>
      <c r="VGZ18"/>
      <c r="VHA18"/>
      <c r="VHB18"/>
      <c r="VHC18"/>
      <c r="VHD18"/>
      <c r="VHE18"/>
      <c r="VHF18"/>
      <c r="VHG18"/>
      <c r="VHH18"/>
      <c r="VHI18"/>
      <c r="VHJ18"/>
      <c r="VHK18"/>
      <c r="VHL18"/>
      <c r="VHM18"/>
      <c r="VHN18"/>
      <c r="VHO18"/>
      <c r="VHP18"/>
      <c r="VHQ18"/>
      <c r="VHR18"/>
      <c r="VHS18"/>
      <c r="VHT18"/>
      <c r="VHU18"/>
      <c r="VHV18"/>
      <c r="VHW18"/>
      <c r="VHX18"/>
      <c r="VHY18"/>
      <c r="VHZ18"/>
      <c r="VIA18"/>
      <c r="VIB18"/>
      <c r="VIC18"/>
      <c r="VID18"/>
      <c r="VIE18"/>
      <c r="VIF18"/>
      <c r="VIG18"/>
      <c r="VIH18"/>
      <c r="VII18"/>
      <c r="VIJ18"/>
      <c r="VIK18"/>
      <c r="VIL18"/>
      <c r="VIM18"/>
      <c r="VIN18"/>
      <c r="VIO18"/>
      <c r="VIP18"/>
      <c r="VIQ18"/>
      <c r="VIR18"/>
      <c r="VIS18"/>
      <c r="VIT18"/>
      <c r="VIU18"/>
      <c r="VIV18"/>
      <c r="VIW18"/>
      <c r="VIX18"/>
      <c r="VIY18"/>
      <c r="VIZ18"/>
      <c r="VJA18"/>
      <c r="VJB18"/>
      <c r="VJC18"/>
      <c r="VJD18"/>
      <c r="VJE18"/>
      <c r="VJF18"/>
      <c r="VJG18"/>
      <c r="VJH18"/>
      <c r="VJI18"/>
      <c r="VJJ18"/>
      <c r="VJK18"/>
      <c r="VJL18"/>
      <c r="VJM18"/>
      <c r="VJN18"/>
      <c r="VJO18"/>
      <c r="VJP18"/>
      <c r="VJQ18"/>
      <c r="VJR18"/>
      <c r="VJS18"/>
      <c r="VJT18"/>
      <c r="VJU18"/>
      <c r="VJV18"/>
      <c r="VJW18"/>
      <c r="VJX18"/>
      <c r="VJY18"/>
      <c r="VJZ18"/>
      <c r="VKA18"/>
      <c r="VKB18"/>
      <c r="VKC18"/>
      <c r="VKD18"/>
      <c r="VKE18"/>
      <c r="VKF18"/>
      <c r="VKG18"/>
      <c r="VKH18"/>
      <c r="VKI18"/>
      <c r="VKJ18"/>
      <c r="VKK18"/>
      <c r="VKL18"/>
      <c r="VKM18"/>
      <c r="VKN18"/>
      <c r="VKO18"/>
      <c r="VKP18"/>
      <c r="VKQ18"/>
      <c r="VKR18"/>
      <c r="VKS18"/>
      <c r="VKT18"/>
      <c r="VKU18"/>
      <c r="VKV18"/>
      <c r="VKW18"/>
      <c r="VKX18"/>
      <c r="VKY18"/>
      <c r="VKZ18"/>
      <c r="VLA18"/>
      <c r="VLB18"/>
      <c r="VLC18"/>
      <c r="VLD18"/>
      <c r="VLE18"/>
      <c r="VLF18"/>
      <c r="VLG18"/>
      <c r="VLH18"/>
      <c r="VLI18"/>
      <c r="VLJ18"/>
      <c r="VLK18"/>
      <c r="VLL18"/>
      <c r="VLM18"/>
      <c r="VLN18"/>
      <c r="VLO18"/>
      <c r="VLP18"/>
      <c r="VLQ18"/>
      <c r="VLR18"/>
      <c r="VLS18"/>
      <c r="VLT18"/>
      <c r="VLU18"/>
      <c r="VLV18"/>
      <c r="VLW18"/>
      <c r="VLX18"/>
      <c r="VLY18"/>
      <c r="VLZ18"/>
      <c r="VMA18"/>
      <c r="VMB18"/>
      <c r="VMC18"/>
      <c r="VMD18"/>
      <c r="VME18"/>
      <c r="VMF18"/>
      <c r="VMG18"/>
      <c r="VMH18"/>
      <c r="VMI18"/>
      <c r="VMJ18"/>
      <c r="VMK18"/>
      <c r="VML18"/>
      <c r="VMM18"/>
      <c r="VMN18"/>
      <c r="VMO18"/>
      <c r="VMP18"/>
      <c r="VMQ18"/>
      <c r="VMR18"/>
      <c r="VMS18"/>
      <c r="VMT18"/>
      <c r="VMU18"/>
      <c r="VMV18"/>
      <c r="VMW18"/>
      <c r="VMX18"/>
      <c r="VMY18"/>
      <c r="VMZ18"/>
      <c r="VNA18"/>
      <c r="VNB18"/>
      <c r="VNC18"/>
      <c r="VND18"/>
      <c r="VNE18"/>
      <c r="VNF18"/>
      <c r="VNG18"/>
      <c r="VNH18"/>
      <c r="VNI18"/>
      <c r="VNJ18"/>
      <c r="VNK18"/>
      <c r="VNL18"/>
      <c r="VNM18"/>
      <c r="VNN18"/>
      <c r="VNO18"/>
      <c r="VNP18"/>
      <c r="VNQ18"/>
      <c r="VNR18"/>
      <c r="VNS18"/>
      <c r="VNT18"/>
      <c r="VNU18"/>
      <c r="VNV18"/>
      <c r="VNW18"/>
      <c r="VNX18"/>
      <c r="VNY18"/>
      <c r="VNZ18"/>
      <c r="VOA18"/>
      <c r="VOB18"/>
      <c r="VOC18"/>
      <c r="VOD18"/>
      <c r="VOE18"/>
      <c r="VOF18"/>
      <c r="VOG18"/>
      <c r="VOH18"/>
      <c r="VOI18"/>
      <c r="VOJ18"/>
      <c r="VOK18"/>
      <c r="VOL18"/>
      <c r="VOM18"/>
      <c r="VON18"/>
      <c r="VOO18"/>
      <c r="VOP18"/>
      <c r="VOQ18"/>
      <c r="VOR18"/>
      <c r="VOS18"/>
      <c r="VOT18"/>
      <c r="VOU18"/>
      <c r="VOV18"/>
      <c r="VOW18"/>
      <c r="VOX18"/>
      <c r="VOY18"/>
      <c r="VOZ18"/>
      <c r="VPA18"/>
      <c r="VPB18"/>
      <c r="VPC18"/>
      <c r="VPD18"/>
      <c r="VPE18"/>
      <c r="VPF18"/>
      <c r="VPG18"/>
      <c r="VPH18"/>
      <c r="VPI18"/>
      <c r="VPJ18"/>
      <c r="VPK18"/>
      <c r="VPL18"/>
      <c r="VPM18"/>
      <c r="VPN18"/>
      <c r="VPO18"/>
      <c r="VPP18"/>
      <c r="VPQ18"/>
      <c r="VPR18"/>
      <c r="VPS18"/>
      <c r="VPT18"/>
      <c r="VPU18"/>
      <c r="VPV18"/>
      <c r="VPW18"/>
      <c r="VPX18"/>
      <c r="VPY18"/>
      <c r="VPZ18"/>
      <c r="VQA18"/>
      <c r="VQB18"/>
      <c r="VQC18"/>
      <c r="VQD18"/>
      <c r="VQE18"/>
      <c r="VQF18"/>
      <c r="VQG18"/>
      <c r="VQH18"/>
      <c r="VQI18"/>
      <c r="VQJ18"/>
      <c r="VQK18"/>
      <c r="VQL18"/>
      <c r="VQM18"/>
      <c r="VQN18"/>
      <c r="VQO18"/>
      <c r="VQP18"/>
      <c r="VQQ18"/>
      <c r="VQR18"/>
      <c r="VQS18"/>
      <c r="VQT18"/>
      <c r="VQU18"/>
      <c r="VQV18"/>
      <c r="VQW18"/>
      <c r="VQX18"/>
      <c r="VQY18"/>
      <c r="VQZ18"/>
      <c r="VRA18"/>
      <c r="VRB18"/>
      <c r="VRC18"/>
      <c r="VRD18"/>
      <c r="VRE18"/>
      <c r="VRF18"/>
      <c r="VRG18"/>
      <c r="VRH18"/>
      <c r="VRI18"/>
      <c r="VRJ18"/>
      <c r="VRK18"/>
      <c r="VRL18"/>
      <c r="VRM18"/>
      <c r="VRN18"/>
      <c r="VRO18"/>
      <c r="VRP18"/>
      <c r="VRQ18"/>
      <c r="VRR18"/>
      <c r="VRS18"/>
      <c r="VRT18"/>
      <c r="VRU18"/>
      <c r="VRV18"/>
      <c r="VRW18"/>
      <c r="VRX18"/>
      <c r="VRY18"/>
      <c r="VRZ18"/>
      <c r="VSA18"/>
      <c r="VSB18"/>
      <c r="VSC18"/>
      <c r="VSD18"/>
      <c r="VSE18"/>
      <c r="VSF18"/>
      <c r="VSG18"/>
      <c r="VSH18"/>
      <c r="VSI18"/>
      <c r="VSJ18"/>
      <c r="VSK18"/>
      <c r="VSL18"/>
      <c r="VSM18"/>
      <c r="VSN18"/>
      <c r="VSO18"/>
      <c r="VSP18"/>
      <c r="VSQ18"/>
      <c r="VSR18"/>
      <c r="VSS18"/>
      <c r="VST18"/>
      <c r="VSU18"/>
      <c r="VSV18"/>
      <c r="VSW18"/>
      <c r="VSX18"/>
      <c r="VSY18"/>
      <c r="VSZ18"/>
      <c r="VTA18"/>
      <c r="VTB18"/>
      <c r="VTC18"/>
      <c r="VTD18"/>
      <c r="VTE18"/>
      <c r="VTF18"/>
      <c r="VTG18"/>
      <c r="VTH18"/>
      <c r="VTI18"/>
      <c r="VTJ18"/>
      <c r="VTK18"/>
      <c r="VTL18"/>
      <c r="VTM18"/>
      <c r="VTN18"/>
      <c r="VTO18"/>
      <c r="VTP18"/>
      <c r="VTQ18"/>
      <c r="VTR18"/>
      <c r="VTS18"/>
      <c r="VTT18"/>
      <c r="VTU18"/>
      <c r="VTV18"/>
      <c r="VTW18"/>
      <c r="VTX18"/>
      <c r="VTY18"/>
      <c r="VTZ18"/>
      <c r="VUA18"/>
      <c r="VUB18"/>
      <c r="VUC18"/>
      <c r="VUD18"/>
      <c r="VUE18"/>
      <c r="VUF18"/>
      <c r="VUG18"/>
      <c r="VUH18"/>
      <c r="VUI18"/>
      <c r="VUJ18"/>
      <c r="VUK18"/>
      <c r="VUL18"/>
      <c r="VUM18"/>
      <c r="VUN18"/>
      <c r="VUO18"/>
      <c r="VUP18"/>
      <c r="VUQ18"/>
      <c r="VUR18"/>
      <c r="VUS18"/>
      <c r="VUT18"/>
      <c r="VUU18"/>
      <c r="VUV18"/>
      <c r="VUW18"/>
      <c r="VUX18"/>
      <c r="VUY18"/>
      <c r="VUZ18"/>
      <c r="VVA18"/>
      <c r="VVB18"/>
      <c r="VVC18"/>
      <c r="VVD18"/>
      <c r="VVE18"/>
      <c r="VVF18"/>
      <c r="VVG18"/>
      <c r="VVH18"/>
      <c r="VVI18"/>
      <c r="VVJ18"/>
      <c r="VVK18"/>
      <c r="VVL18"/>
      <c r="VVM18"/>
      <c r="VVN18"/>
      <c r="VVO18"/>
      <c r="VVP18"/>
      <c r="VVQ18"/>
      <c r="VVR18"/>
      <c r="VVS18"/>
      <c r="VVT18"/>
      <c r="VVU18"/>
      <c r="VVV18"/>
      <c r="VVW18"/>
      <c r="VVX18"/>
      <c r="VVY18"/>
      <c r="VVZ18"/>
      <c r="VWA18"/>
      <c r="VWB18"/>
      <c r="VWC18"/>
      <c r="VWD18"/>
      <c r="VWE18"/>
      <c r="VWF18"/>
      <c r="VWG18"/>
      <c r="VWH18"/>
      <c r="VWI18"/>
      <c r="VWJ18"/>
      <c r="VWK18"/>
      <c r="VWL18"/>
      <c r="VWM18"/>
      <c r="VWN18"/>
      <c r="VWO18"/>
      <c r="VWP18"/>
      <c r="VWQ18"/>
      <c r="VWR18"/>
      <c r="VWS18"/>
      <c r="VWT18"/>
      <c r="VWU18"/>
      <c r="VWV18"/>
      <c r="VWW18"/>
      <c r="VWX18"/>
      <c r="VWY18"/>
      <c r="VWZ18"/>
      <c r="VXA18"/>
      <c r="VXB18"/>
      <c r="VXC18"/>
      <c r="VXD18"/>
      <c r="VXE18"/>
      <c r="VXF18"/>
      <c r="VXG18"/>
      <c r="VXH18"/>
      <c r="VXI18"/>
      <c r="VXJ18"/>
      <c r="VXK18"/>
      <c r="VXL18"/>
      <c r="VXM18"/>
      <c r="VXN18"/>
      <c r="VXO18"/>
      <c r="VXP18"/>
      <c r="VXQ18"/>
      <c r="VXR18"/>
      <c r="VXS18"/>
      <c r="VXT18"/>
      <c r="VXU18"/>
      <c r="VXV18"/>
      <c r="VXW18"/>
      <c r="VXX18"/>
      <c r="VXY18"/>
      <c r="VXZ18"/>
      <c r="VYA18"/>
      <c r="VYB18"/>
      <c r="VYC18"/>
      <c r="VYD18"/>
      <c r="VYE18"/>
      <c r="VYF18"/>
      <c r="VYG18"/>
      <c r="VYH18"/>
      <c r="VYI18"/>
      <c r="VYJ18"/>
      <c r="VYK18"/>
      <c r="VYL18"/>
      <c r="VYM18"/>
      <c r="VYN18"/>
      <c r="VYO18"/>
      <c r="VYP18"/>
      <c r="VYQ18"/>
      <c r="VYR18"/>
      <c r="VYS18"/>
      <c r="VYT18"/>
      <c r="VYU18"/>
      <c r="VYV18"/>
      <c r="VYW18"/>
      <c r="VYX18"/>
      <c r="VYY18"/>
      <c r="VYZ18"/>
      <c r="VZA18"/>
      <c r="VZB18"/>
      <c r="VZC18"/>
      <c r="VZD18"/>
      <c r="VZE18"/>
      <c r="VZF18"/>
      <c r="VZG18"/>
      <c r="VZH18"/>
      <c r="VZI18"/>
      <c r="VZJ18"/>
      <c r="VZK18"/>
      <c r="VZL18"/>
      <c r="VZM18"/>
      <c r="VZN18"/>
      <c r="VZO18"/>
      <c r="VZP18"/>
      <c r="VZQ18"/>
      <c r="VZR18"/>
      <c r="VZS18"/>
      <c r="VZT18"/>
      <c r="VZU18"/>
      <c r="VZV18"/>
      <c r="VZW18"/>
      <c r="VZX18"/>
      <c r="VZY18"/>
      <c r="VZZ18"/>
      <c r="WAA18"/>
      <c r="WAB18"/>
      <c r="WAC18"/>
      <c r="WAD18"/>
      <c r="WAE18"/>
      <c r="WAF18"/>
      <c r="WAG18"/>
      <c r="WAH18"/>
      <c r="WAI18"/>
      <c r="WAJ18"/>
      <c r="WAK18"/>
      <c r="WAL18"/>
      <c r="WAM18"/>
      <c r="WAN18"/>
      <c r="WAO18"/>
      <c r="WAP18"/>
      <c r="WAQ18"/>
      <c r="WAR18"/>
      <c r="WAS18"/>
      <c r="WAT18"/>
      <c r="WAU18"/>
      <c r="WAV18"/>
      <c r="WAW18"/>
      <c r="WAX18"/>
      <c r="WAY18"/>
      <c r="WAZ18"/>
      <c r="WBA18"/>
      <c r="WBB18"/>
      <c r="WBC18"/>
      <c r="WBD18"/>
      <c r="WBE18"/>
      <c r="WBF18"/>
      <c r="WBG18"/>
      <c r="WBH18"/>
      <c r="WBI18"/>
      <c r="WBJ18"/>
      <c r="WBK18"/>
      <c r="WBL18"/>
      <c r="WBM18"/>
      <c r="WBN18"/>
      <c r="WBO18"/>
      <c r="WBP18"/>
      <c r="WBQ18"/>
      <c r="WBR18"/>
      <c r="WBS18"/>
      <c r="WBT18"/>
      <c r="WBU18"/>
      <c r="WBV18"/>
      <c r="WBW18"/>
      <c r="WBX18"/>
      <c r="WBY18"/>
      <c r="WBZ18"/>
      <c r="WCA18"/>
      <c r="WCB18"/>
      <c r="WCC18"/>
      <c r="WCD18"/>
      <c r="WCE18"/>
      <c r="WCF18"/>
      <c r="WCG18"/>
      <c r="WCH18"/>
      <c r="WCI18"/>
      <c r="WCJ18"/>
      <c r="WCK18"/>
      <c r="WCL18"/>
      <c r="WCM18"/>
      <c r="WCN18"/>
      <c r="WCO18"/>
      <c r="WCP18"/>
      <c r="WCQ18"/>
      <c r="WCR18"/>
      <c r="WCS18"/>
      <c r="WCT18"/>
      <c r="WCU18"/>
      <c r="WCV18"/>
      <c r="WCW18"/>
      <c r="WCX18"/>
      <c r="WCY18"/>
      <c r="WCZ18"/>
      <c r="WDA18"/>
      <c r="WDB18"/>
      <c r="WDC18"/>
      <c r="WDD18"/>
      <c r="WDE18"/>
      <c r="WDF18"/>
      <c r="WDG18"/>
      <c r="WDH18"/>
      <c r="WDI18"/>
      <c r="WDJ18"/>
      <c r="WDK18"/>
      <c r="WDL18"/>
      <c r="WDM18"/>
      <c r="WDN18"/>
      <c r="WDO18"/>
      <c r="WDP18"/>
      <c r="WDQ18"/>
      <c r="WDR18"/>
      <c r="WDS18"/>
      <c r="WDT18"/>
      <c r="WDU18"/>
      <c r="WDV18"/>
      <c r="WDW18"/>
      <c r="WDX18"/>
      <c r="WDY18"/>
      <c r="WDZ18"/>
      <c r="WEA18"/>
      <c r="WEB18"/>
      <c r="WEC18"/>
      <c r="WED18"/>
      <c r="WEE18"/>
      <c r="WEF18"/>
      <c r="WEG18"/>
      <c r="WEH18"/>
      <c r="WEI18"/>
      <c r="WEJ18"/>
      <c r="WEK18"/>
      <c r="WEL18"/>
      <c r="WEM18"/>
      <c r="WEN18"/>
      <c r="WEO18"/>
      <c r="WEP18"/>
      <c r="WEQ18"/>
      <c r="WER18"/>
      <c r="WES18"/>
      <c r="WET18"/>
      <c r="WEU18"/>
      <c r="WEV18"/>
      <c r="WEW18"/>
      <c r="WEX18"/>
      <c r="WEY18"/>
      <c r="WEZ18"/>
      <c r="WFA18"/>
      <c r="WFB18"/>
      <c r="WFC18"/>
      <c r="WFD18"/>
      <c r="WFE18"/>
      <c r="WFF18"/>
      <c r="WFG18"/>
      <c r="WFH18"/>
      <c r="WFI18"/>
      <c r="WFJ18"/>
      <c r="WFK18"/>
      <c r="WFL18"/>
      <c r="WFM18"/>
      <c r="WFN18"/>
      <c r="WFO18"/>
      <c r="WFP18"/>
      <c r="WFQ18"/>
      <c r="WFR18"/>
      <c r="WFS18"/>
      <c r="WFT18"/>
      <c r="WFU18"/>
      <c r="WFV18"/>
      <c r="WFW18"/>
      <c r="WFX18"/>
      <c r="WFY18"/>
      <c r="WFZ18"/>
      <c r="WGA18"/>
      <c r="WGB18"/>
      <c r="WGC18"/>
      <c r="WGD18"/>
      <c r="WGE18"/>
      <c r="WGF18"/>
      <c r="WGG18"/>
      <c r="WGH18"/>
      <c r="WGI18"/>
      <c r="WGJ18"/>
      <c r="WGK18"/>
      <c r="WGL18"/>
      <c r="WGM18"/>
      <c r="WGN18"/>
      <c r="WGO18"/>
      <c r="WGP18"/>
      <c r="WGQ18"/>
      <c r="WGR18"/>
      <c r="WGS18"/>
      <c r="WGT18"/>
      <c r="WGU18"/>
      <c r="WGV18"/>
      <c r="WGW18"/>
      <c r="WGX18"/>
      <c r="WGY18"/>
      <c r="WGZ18"/>
      <c r="WHA18"/>
      <c r="WHB18"/>
      <c r="WHC18"/>
      <c r="WHD18"/>
      <c r="WHE18"/>
      <c r="WHF18"/>
      <c r="WHG18"/>
      <c r="WHH18"/>
      <c r="WHI18"/>
      <c r="WHJ18"/>
      <c r="WHK18"/>
      <c r="WHL18"/>
      <c r="WHM18"/>
      <c r="WHN18"/>
      <c r="WHO18"/>
      <c r="WHP18"/>
      <c r="WHQ18"/>
      <c r="WHR18"/>
      <c r="WHS18"/>
      <c r="WHT18"/>
      <c r="WHU18"/>
      <c r="WHV18"/>
      <c r="WHW18"/>
      <c r="WHX18"/>
      <c r="WHY18"/>
      <c r="WHZ18"/>
      <c r="WIA18"/>
      <c r="WIB18"/>
      <c r="WIC18"/>
      <c r="WID18"/>
      <c r="WIE18"/>
      <c r="WIF18"/>
      <c r="WIG18"/>
      <c r="WIH18"/>
      <c r="WII18"/>
      <c r="WIJ18"/>
      <c r="WIK18"/>
      <c r="WIL18"/>
      <c r="WIM18"/>
      <c r="WIN18"/>
      <c r="WIO18"/>
      <c r="WIP18"/>
      <c r="WIQ18"/>
      <c r="WIR18"/>
      <c r="WIS18"/>
      <c r="WIT18"/>
      <c r="WIU18"/>
      <c r="WIV18"/>
      <c r="WIW18"/>
      <c r="WIX18"/>
      <c r="WIY18"/>
      <c r="WIZ18"/>
      <c r="WJA18"/>
      <c r="WJB18"/>
      <c r="WJC18"/>
      <c r="WJD18"/>
      <c r="WJE18"/>
      <c r="WJF18"/>
      <c r="WJG18"/>
      <c r="WJH18"/>
      <c r="WJI18"/>
      <c r="WJJ18"/>
      <c r="WJK18"/>
      <c r="WJL18"/>
      <c r="WJM18"/>
      <c r="WJN18"/>
      <c r="WJO18"/>
      <c r="WJP18"/>
      <c r="WJQ18"/>
      <c r="WJR18"/>
      <c r="WJS18"/>
      <c r="WJT18"/>
      <c r="WJU18"/>
      <c r="WJV18"/>
      <c r="WJW18"/>
      <c r="WJX18"/>
      <c r="WJY18"/>
      <c r="WJZ18"/>
      <c r="WKA18"/>
      <c r="WKB18"/>
      <c r="WKC18"/>
      <c r="WKD18"/>
      <c r="WKE18"/>
      <c r="WKF18"/>
      <c r="WKG18"/>
      <c r="WKH18"/>
      <c r="WKI18"/>
      <c r="WKJ18"/>
      <c r="WKK18"/>
      <c r="WKL18"/>
      <c r="WKM18"/>
      <c r="WKN18"/>
      <c r="WKO18"/>
      <c r="WKP18"/>
      <c r="WKQ18"/>
      <c r="WKR18"/>
      <c r="WKS18"/>
      <c r="WKT18"/>
      <c r="WKU18"/>
      <c r="WKV18"/>
      <c r="WKW18"/>
      <c r="WKX18"/>
      <c r="WKY18"/>
      <c r="WKZ18"/>
      <c r="WLA18"/>
      <c r="WLB18"/>
      <c r="WLC18"/>
      <c r="WLD18"/>
      <c r="WLE18"/>
      <c r="WLF18"/>
      <c r="WLG18"/>
      <c r="WLH18"/>
      <c r="WLI18"/>
      <c r="WLJ18"/>
      <c r="WLK18"/>
      <c r="WLL18"/>
      <c r="WLM18"/>
      <c r="WLN18"/>
      <c r="WLO18"/>
      <c r="WLP18"/>
      <c r="WLQ18"/>
      <c r="WLR18"/>
      <c r="WLS18"/>
      <c r="WLT18"/>
      <c r="WLU18"/>
      <c r="WLV18"/>
      <c r="WLW18"/>
      <c r="WLX18"/>
      <c r="WLY18"/>
      <c r="WLZ18"/>
      <c r="WMA18"/>
      <c r="WMB18"/>
      <c r="WMC18"/>
      <c r="WMD18"/>
      <c r="WME18"/>
      <c r="WMF18"/>
      <c r="WMG18"/>
      <c r="WMH18"/>
      <c r="WMI18"/>
      <c r="WMJ18"/>
      <c r="WMK18"/>
      <c r="WML18"/>
      <c r="WMM18"/>
      <c r="WMN18"/>
      <c r="WMO18"/>
      <c r="WMP18"/>
      <c r="WMQ18"/>
      <c r="WMR18"/>
      <c r="WMS18"/>
      <c r="WMT18"/>
      <c r="WMU18"/>
      <c r="WMV18"/>
      <c r="WMW18"/>
      <c r="WMX18"/>
      <c r="WMY18"/>
      <c r="WMZ18"/>
      <c r="WNA18"/>
      <c r="WNB18"/>
      <c r="WNC18"/>
      <c r="WND18"/>
      <c r="WNE18"/>
      <c r="WNF18"/>
      <c r="WNG18"/>
      <c r="WNH18"/>
      <c r="WNI18"/>
      <c r="WNJ18"/>
      <c r="WNK18"/>
      <c r="WNL18"/>
      <c r="WNM18"/>
      <c r="WNN18"/>
      <c r="WNO18"/>
      <c r="WNP18"/>
      <c r="WNQ18"/>
      <c r="WNR18"/>
      <c r="WNS18"/>
      <c r="WNT18"/>
      <c r="WNU18"/>
      <c r="WNV18"/>
      <c r="WNW18"/>
      <c r="WNX18"/>
      <c r="WNY18"/>
      <c r="WNZ18"/>
      <c r="WOA18"/>
      <c r="WOB18"/>
      <c r="WOC18"/>
      <c r="WOD18"/>
      <c r="WOE18"/>
      <c r="WOF18"/>
      <c r="WOG18"/>
      <c r="WOH18"/>
      <c r="WOI18"/>
      <c r="WOJ18"/>
      <c r="WOK18"/>
      <c r="WOL18"/>
      <c r="WOM18"/>
      <c r="WON18"/>
      <c r="WOO18"/>
      <c r="WOP18"/>
      <c r="WOQ18"/>
      <c r="WOR18"/>
      <c r="WOS18"/>
      <c r="WOT18"/>
      <c r="WOU18"/>
      <c r="WOV18"/>
      <c r="WOW18"/>
      <c r="WOX18"/>
      <c r="WOY18"/>
      <c r="WOZ18"/>
      <c r="WPA18"/>
      <c r="WPB18"/>
      <c r="WPC18"/>
      <c r="WPD18"/>
      <c r="WPE18"/>
      <c r="WPF18"/>
      <c r="WPG18"/>
      <c r="WPH18"/>
      <c r="WPI18"/>
      <c r="WPJ18"/>
      <c r="WPK18"/>
      <c r="WPL18"/>
      <c r="WPM18"/>
      <c r="WPN18"/>
      <c r="WPO18"/>
      <c r="WPP18"/>
      <c r="WPQ18"/>
      <c r="WPR18"/>
      <c r="WPS18"/>
      <c r="WPT18"/>
      <c r="WPU18"/>
      <c r="WPV18"/>
      <c r="WPW18"/>
      <c r="WPX18"/>
      <c r="WPY18"/>
      <c r="WPZ18"/>
      <c r="WQA18"/>
      <c r="WQB18"/>
      <c r="WQC18"/>
      <c r="WQD18"/>
      <c r="WQE18"/>
      <c r="WQF18"/>
      <c r="WQG18"/>
      <c r="WQH18"/>
      <c r="WQI18"/>
      <c r="WQJ18"/>
      <c r="WQK18"/>
      <c r="WQL18"/>
      <c r="WQM18"/>
      <c r="WQN18"/>
      <c r="WQO18"/>
      <c r="WQP18"/>
      <c r="WQQ18"/>
      <c r="WQR18"/>
      <c r="WQS18"/>
      <c r="WQT18"/>
      <c r="WQU18"/>
      <c r="WQV18"/>
      <c r="WQW18"/>
      <c r="WQX18"/>
      <c r="WQY18"/>
      <c r="WQZ18"/>
      <c r="WRA18"/>
      <c r="WRB18"/>
      <c r="WRC18"/>
      <c r="WRD18"/>
      <c r="WRE18"/>
      <c r="WRF18"/>
      <c r="WRG18"/>
      <c r="WRH18"/>
      <c r="WRI18"/>
      <c r="WRJ18"/>
      <c r="WRK18"/>
      <c r="WRL18"/>
      <c r="WRM18"/>
      <c r="WRN18"/>
      <c r="WRO18"/>
      <c r="WRP18"/>
      <c r="WRQ18"/>
      <c r="WRR18"/>
      <c r="WRS18"/>
      <c r="WRT18"/>
      <c r="WRU18"/>
      <c r="WRV18"/>
      <c r="WRW18"/>
      <c r="WRX18"/>
      <c r="WRY18"/>
      <c r="WRZ18"/>
      <c r="WSA18"/>
      <c r="WSB18"/>
      <c r="WSC18"/>
      <c r="WSD18"/>
      <c r="WSE18"/>
      <c r="WSF18"/>
      <c r="WSG18"/>
      <c r="WSH18"/>
      <c r="WSI18"/>
      <c r="WSJ18"/>
      <c r="WSK18"/>
      <c r="WSL18"/>
      <c r="WSM18"/>
      <c r="WSN18"/>
      <c r="WSO18"/>
      <c r="WSP18"/>
      <c r="WSQ18"/>
      <c r="WSR18"/>
      <c r="WSS18"/>
      <c r="WST18"/>
      <c r="WSU18"/>
      <c r="WSV18"/>
      <c r="WSW18"/>
      <c r="WSX18"/>
      <c r="WSY18"/>
      <c r="WSZ18"/>
      <c r="WTA18"/>
      <c r="WTB18"/>
      <c r="WTC18"/>
      <c r="WTD18"/>
      <c r="WTE18"/>
      <c r="WTF18"/>
      <c r="WTG18"/>
      <c r="WTH18"/>
      <c r="WTI18"/>
      <c r="WTJ18"/>
      <c r="WTK18"/>
      <c r="WTL18"/>
      <c r="WTM18"/>
      <c r="WTN18"/>
      <c r="WTO18"/>
      <c r="WTP18"/>
      <c r="WTQ18"/>
      <c r="WTR18"/>
      <c r="WTS18"/>
      <c r="WTT18"/>
      <c r="WTU18"/>
      <c r="WTV18"/>
      <c r="WTW18"/>
      <c r="WTX18"/>
      <c r="WTY18"/>
      <c r="WTZ18"/>
      <c r="WUA18"/>
      <c r="WUB18"/>
      <c r="WUC18"/>
      <c r="WUD18"/>
      <c r="WUE18"/>
      <c r="WUF18"/>
      <c r="WUG18"/>
      <c r="WUH18"/>
      <c r="WUI18"/>
      <c r="WUJ18"/>
      <c r="WUK18"/>
      <c r="WUL18"/>
      <c r="WUM18"/>
      <c r="WUN18"/>
      <c r="WUO18"/>
      <c r="WUP18"/>
      <c r="WUQ18"/>
      <c r="WUR18"/>
      <c r="WUS18"/>
      <c r="WUT18"/>
      <c r="WUU18"/>
      <c r="WUV18"/>
      <c r="WUW18"/>
      <c r="WUX18"/>
      <c r="WUY18"/>
      <c r="WUZ18"/>
      <c r="WVA18"/>
      <c r="WVB18"/>
      <c r="WVC18"/>
      <c r="WVD18"/>
      <c r="WVE18"/>
      <c r="WVF18"/>
      <c r="WVG18"/>
      <c r="WVH18"/>
      <c r="WVI18"/>
      <c r="WVJ18"/>
      <c r="WVK18"/>
      <c r="WVL18"/>
      <c r="WVM18"/>
      <c r="WVN18"/>
      <c r="WVO18"/>
      <c r="WVP18"/>
      <c r="WVQ18"/>
      <c r="WVR18"/>
      <c r="WVS18"/>
      <c r="WVT18"/>
      <c r="WVU18"/>
      <c r="WVV18"/>
      <c r="WVW18"/>
      <c r="WVX18"/>
      <c r="WVY18"/>
      <c r="WVZ18"/>
      <c r="WWA18"/>
      <c r="WWB18"/>
      <c r="WWC18"/>
      <c r="WWD18"/>
      <c r="WWE18"/>
      <c r="WWF18"/>
      <c r="WWG18"/>
      <c r="WWH18"/>
      <c r="WWI18"/>
      <c r="WWJ18"/>
      <c r="WWK18"/>
      <c r="WWL18"/>
      <c r="WWM18"/>
      <c r="WWN18"/>
      <c r="WWO18"/>
      <c r="WWP18"/>
      <c r="WWQ18"/>
      <c r="WWR18"/>
      <c r="WWS18"/>
      <c r="WWT18"/>
      <c r="WWU18"/>
      <c r="WWV18"/>
      <c r="WWW18"/>
      <c r="WWX18"/>
      <c r="WWY18"/>
      <c r="WWZ18"/>
      <c r="WXA18"/>
      <c r="WXB18"/>
      <c r="WXC18"/>
      <c r="WXD18"/>
      <c r="WXE18"/>
      <c r="WXF18"/>
      <c r="WXG18"/>
      <c r="WXH18"/>
      <c r="WXI18"/>
      <c r="WXJ18"/>
      <c r="WXK18"/>
      <c r="WXL18"/>
      <c r="WXM18"/>
      <c r="WXN18"/>
      <c r="WXO18"/>
      <c r="WXP18"/>
      <c r="WXQ18"/>
      <c r="WXR18"/>
      <c r="WXS18"/>
      <c r="WXT18"/>
      <c r="WXU18"/>
      <c r="WXV18"/>
      <c r="WXW18"/>
      <c r="WXX18"/>
      <c r="WXY18"/>
      <c r="WXZ18"/>
      <c r="WYA18"/>
      <c r="WYB18"/>
      <c r="WYC18"/>
      <c r="WYD18"/>
      <c r="WYE18"/>
      <c r="WYF18"/>
      <c r="WYG18"/>
      <c r="WYH18"/>
      <c r="WYI18"/>
      <c r="WYJ18"/>
      <c r="WYK18"/>
      <c r="WYL18"/>
      <c r="WYM18"/>
      <c r="WYN18"/>
      <c r="WYO18"/>
      <c r="WYP18"/>
      <c r="WYQ18"/>
      <c r="WYR18"/>
      <c r="WYS18"/>
      <c r="WYT18"/>
      <c r="WYU18"/>
      <c r="WYV18"/>
      <c r="WYW18"/>
      <c r="WYX18"/>
      <c r="WYY18"/>
      <c r="WYZ18"/>
      <c r="WZA18"/>
      <c r="WZB18"/>
      <c r="WZC18"/>
      <c r="WZD18"/>
      <c r="WZE18"/>
      <c r="WZF18"/>
      <c r="WZG18"/>
      <c r="WZH18"/>
      <c r="WZI18"/>
      <c r="WZJ18"/>
      <c r="WZK18"/>
      <c r="WZL18"/>
      <c r="WZM18"/>
      <c r="WZN18"/>
      <c r="WZO18"/>
      <c r="WZP18"/>
      <c r="WZQ18"/>
      <c r="WZR18"/>
      <c r="WZS18"/>
      <c r="WZT18"/>
      <c r="WZU18"/>
      <c r="WZV18"/>
      <c r="WZW18"/>
      <c r="WZX18"/>
      <c r="WZY18"/>
      <c r="WZZ18"/>
      <c r="XAA18"/>
      <c r="XAB18"/>
      <c r="XAC18"/>
      <c r="XAD18"/>
      <c r="XAE18"/>
      <c r="XAF18"/>
      <c r="XAG18"/>
      <c r="XAH18"/>
      <c r="XAI18"/>
      <c r="XAJ18"/>
      <c r="XAK18"/>
      <c r="XAL18"/>
      <c r="XAM18"/>
      <c r="XAN18"/>
      <c r="XAO18"/>
      <c r="XAP18"/>
      <c r="XAQ18"/>
      <c r="XAR18"/>
      <c r="XAS18"/>
      <c r="XAT18"/>
      <c r="XAU18"/>
      <c r="XAV18"/>
      <c r="XAW18"/>
      <c r="XAX18"/>
      <c r="XAY18"/>
      <c r="XAZ18"/>
      <c r="XBA18"/>
      <c r="XBB18"/>
      <c r="XBC18"/>
      <c r="XBD18"/>
      <c r="XBE18"/>
      <c r="XBF18"/>
      <c r="XBG18"/>
      <c r="XBH18"/>
      <c r="XBI18"/>
      <c r="XBJ18"/>
      <c r="XBK18"/>
      <c r="XBL18"/>
      <c r="XBM18"/>
      <c r="XBN18"/>
      <c r="XBO18"/>
      <c r="XBP18"/>
      <c r="XBQ18"/>
      <c r="XBR18"/>
      <c r="XBS18"/>
      <c r="XBT18"/>
      <c r="XBU18"/>
      <c r="XBV18"/>
      <c r="XBW18"/>
      <c r="XBX18"/>
      <c r="XBY18"/>
      <c r="XBZ18"/>
      <c r="XCA18"/>
      <c r="XCB18"/>
      <c r="XCC18"/>
      <c r="XCD18"/>
      <c r="XCE18"/>
      <c r="XCF18"/>
      <c r="XCG18"/>
      <c r="XCH18"/>
      <c r="XCI18"/>
      <c r="XCJ18"/>
      <c r="XCK18"/>
      <c r="XCL18"/>
      <c r="XCM18"/>
      <c r="XCN18"/>
      <c r="XCO18"/>
      <c r="XCP18"/>
      <c r="XCQ18"/>
      <c r="XCR18"/>
      <c r="XCS18"/>
      <c r="XCT18"/>
      <c r="XCU18"/>
      <c r="XCV18"/>
      <c r="XCW18"/>
      <c r="XCX18"/>
      <c r="XCY18"/>
      <c r="XCZ18"/>
      <c r="XDA18"/>
      <c r="XDB18"/>
      <c r="XDC18"/>
      <c r="XDD18"/>
      <c r="XDE18"/>
      <c r="XDF18"/>
      <c r="XDG18"/>
      <c r="XDH18"/>
      <c r="XDI18"/>
      <c r="XDJ18"/>
      <c r="XDK18"/>
      <c r="XDL18"/>
      <c r="XDM18"/>
      <c r="XDN18"/>
      <c r="XDO18"/>
      <c r="XDP18"/>
      <c r="XDQ18"/>
      <c r="XDR18"/>
      <c r="XDS18"/>
      <c r="XDT18"/>
      <c r="XDU18"/>
      <c r="XDV18"/>
      <c r="XDW18"/>
      <c r="XDX18"/>
      <c r="XDY18"/>
      <c r="XDZ18"/>
      <c r="XEA18"/>
      <c r="XEB18"/>
      <c r="XEC18"/>
      <c r="XED18"/>
      <c r="XEE18"/>
      <c r="XEF18"/>
      <c r="XEG18"/>
      <c r="XEH18"/>
      <c r="XEI18"/>
      <c r="XEJ18"/>
      <c r="XEK18"/>
      <c r="XEL18"/>
      <c r="XEM18"/>
      <c r="XEN18"/>
      <c r="XEO18"/>
      <c r="XEP18"/>
      <c r="XEQ18"/>
      <c r="XER18"/>
      <c r="XES18"/>
      <c r="XET18"/>
      <c r="XEU18"/>
      <c r="XEV18"/>
      <c r="XEW18"/>
      <c r="XEX18"/>
      <c r="XEY18"/>
      <c r="XEZ18"/>
      <c r="XFA18"/>
      <c r="XFB18"/>
      <c r="XFC18"/>
    </row>
    <row r="19" spans="1:16383" ht="19.5" thickBot="1">
      <c r="C19" s="806" t="s">
        <v>15</v>
      </c>
      <c r="D19" s="1350"/>
      <c r="E19" s="1350"/>
      <c r="F19" s="1918"/>
      <c r="G19" s="1919"/>
      <c r="H19" s="1588"/>
      <c r="I19" s="1588"/>
      <c r="J19" s="1588"/>
      <c r="K19" s="1588"/>
      <c r="L19" s="1588"/>
      <c r="M19" s="1588"/>
      <c r="N19" s="1588"/>
      <c r="O19" s="1588"/>
      <c r="P19" s="1588"/>
      <c r="Q19" s="1588"/>
      <c r="R19" s="16"/>
      <c r="S19" s="20"/>
    </row>
    <row r="20" spans="1:16383" s="474" customFormat="1" ht="15" thickTop="1">
      <c r="A20" s="451"/>
      <c r="B20" s="452"/>
      <c r="D20"/>
      <c r="E20" s="1351"/>
      <c r="F20" s="1920"/>
      <c r="G20" s="1921"/>
      <c r="H20" s="1589"/>
      <c r="I20" s="1589"/>
      <c r="J20" s="1589"/>
      <c r="K20" s="1589"/>
      <c r="L20" s="1589"/>
      <c r="M20" s="1589"/>
      <c r="N20" s="1589"/>
      <c r="O20" s="1589"/>
      <c r="P20" s="1589"/>
      <c r="Q20" s="1589"/>
      <c r="R20" s="1589"/>
      <c r="S20" s="1589"/>
    </row>
    <row r="21" spans="1:16383">
      <c r="D21" s="757" t="s">
        <v>12</v>
      </c>
      <c r="E21" s="1352"/>
      <c r="F21" s="733"/>
      <c r="G21" s="637" t="s">
        <v>255</v>
      </c>
      <c r="H21" s="993"/>
      <c r="I21" s="1039" t="s">
        <v>176</v>
      </c>
      <c r="J21" s="993"/>
      <c r="K21" s="1039" t="s">
        <v>255</v>
      </c>
      <c r="L21" s="993"/>
      <c r="M21" s="1039" t="s">
        <v>255</v>
      </c>
      <c r="N21" s="993"/>
      <c r="O21" s="1039" t="s">
        <v>1168</v>
      </c>
      <c r="P21" s="993"/>
      <c r="Q21" s="1039" t="s">
        <v>177</v>
      </c>
      <c r="R21" s="1692"/>
    </row>
    <row r="22" spans="1:16383">
      <c r="D22" s="758" t="s">
        <v>256</v>
      </c>
      <c r="E22" s="1352"/>
      <c r="F22" s="733"/>
      <c r="G22" s="637" t="str">
        <f>CHOOSE(MATCH(G$21,termes!$B$2:$B$5,0),termes!$B$2,termes!$B$5,termes!$B$5,termes!$B$5)</f>
        <v>Biologique</v>
      </c>
      <c r="H22" s="993"/>
      <c r="I22" s="22" t="str">
        <f>CHOOSE(MATCH(I$21,termes!$B$2:$B$5,0),termes!$B$2,termes!$B$5,termes!$B$5,termes!$B$5)</f>
        <v>Conventionnel</v>
      </c>
      <c r="J22" s="993"/>
      <c r="K22" s="22" t="str">
        <f>CHOOSE(MATCH(K$21,termes!$B$2:$B$5,0),termes!$B$2,termes!$B$5,termes!$B$5,termes!$B$5)</f>
        <v>Biologique</v>
      </c>
      <c r="L22" s="993"/>
      <c r="M22" s="22" t="str">
        <f>CHOOSE(MATCH(M$21,termes!$B$2:$B$5,0),termes!$B$2,termes!$B$5,termes!$B$5,termes!$B$5)</f>
        <v>Biologique</v>
      </c>
      <c r="N22" s="993"/>
      <c r="O22" s="22" t="str">
        <f>CHOOSE(MATCH(O$21,termes!$B$2:$B$5,0),termes!$B$2,termes!$B$5,termes!$B$5,termes!$B$5)</f>
        <v>Biologique</v>
      </c>
      <c r="P22" s="993"/>
      <c r="Q22" s="22" t="str">
        <f>CHOOSE(MATCH(Q$21,termes!$B$2:$B$5,0),termes!$B$2,termes!$B$5,termes!$B$5,termes!$B$5)</f>
        <v>Biologique</v>
      </c>
      <c r="R22" s="1692"/>
    </row>
    <row r="23" spans="1:16383">
      <c r="D23" s="759" t="s">
        <v>296</v>
      </c>
      <c r="E23" s="1352"/>
      <c r="F23" s="733"/>
      <c r="G23" s="637" t="str">
        <f>CHOOSE(MATCH(G$21,termes!$B$2:$B$5,0),termes!$B$2,termes!$B$2,termes!$B$5,termes!$B$5)</f>
        <v>Conventionnel</v>
      </c>
      <c r="H23" s="993"/>
      <c r="I23" s="22" t="str">
        <f>CHOOSE(MATCH(I$21,termes!$B$2:$B$5,0),termes!$B$2,termes!$B$2,termes!$B$5,termes!$B$5)</f>
        <v>Conventionnel</v>
      </c>
      <c r="J23" s="993"/>
      <c r="K23" s="22" t="str">
        <f>CHOOSE(MATCH(K$21,termes!$B$2:$B$5,0),termes!$B$2,termes!$B$2,termes!$B$5,termes!$B$5)</f>
        <v>Conventionnel</v>
      </c>
      <c r="L23" s="993"/>
      <c r="M23" s="22" t="str">
        <f>CHOOSE(MATCH(M$21,termes!$B$2:$B$5,0),termes!$B$2,termes!$B$2,termes!$B$5,termes!$B$5)</f>
        <v>Conventionnel</v>
      </c>
      <c r="N23" s="993"/>
      <c r="O23" s="22" t="str">
        <f>CHOOSE(MATCH(O$21,termes!$B$2:$B$5,0),termes!$B$2,termes!$B$2,termes!$B$5,termes!$B$5)</f>
        <v>Biologique</v>
      </c>
      <c r="P23" s="993"/>
      <c r="Q23" s="22" t="str">
        <f>CHOOSE(MATCH(Q$21,termes!$B$2:$B$5,0),termes!$B$2,termes!$B$2,termes!$B$5,termes!$B$5)</f>
        <v>Biologique</v>
      </c>
      <c r="R23" s="1692"/>
    </row>
    <row r="24" spans="1:16383">
      <c r="E24" s="1349"/>
      <c r="F24" s="733"/>
      <c r="G24" s="623"/>
      <c r="H24" s="993"/>
      <c r="I24" s="992"/>
      <c r="J24" s="993"/>
      <c r="K24" s="992"/>
      <c r="L24" s="993"/>
      <c r="M24" s="992"/>
      <c r="N24" s="993"/>
      <c r="O24" s="992"/>
      <c r="P24" s="993"/>
      <c r="Q24" s="992"/>
      <c r="R24" s="1692"/>
    </row>
    <row r="25" spans="1:16383" ht="19.5" thickBot="1">
      <c r="C25" s="806" t="s">
        <v>8</v>
      </c>
      <c r="D25" s="806"/>
      <c r="E25" s="1350"/>
      <c r="F25" s="1922"/>
      <c r="G25" s="1923"/>
      <c r="H25" s="1588"/>
      <c r="I25" s="1588"/>
      <c r="J25" s="1588"/>
      <c r="K25" s="1588"/>
      <c r="L25" s="1588"/>
      <c r="M25" s="1588"/>
      <c r="N25" s="1588"/>
      <c r="O25" s="1588"/>
      <c r="P25" s="1588"/>
      <c r="Q25" s="1588"/>
    </row>
    <row r="26" spans="1:16383" s="453" customFormat="1" ht="12.75" thickTop="1">
      <c r="A26" s="451"/>
      <c r="B26" s="452"/>
      <c r="E26" s="1353"/>
      <c r="F26" s="1924"/>
      <c r="G26" s="1921"/>
      <c r="H26" s="1590"/>
      <c r="I26" s="1591"/>
      <c r="J26" s="1590"/>
      <c r="K26" s="1591"/>
      <c r="L26" s="1590"/>
      <c r="M26" s="1591"/>
      <c r="N26" s="1590"/>
      <c r="O26" s="1591"/>
      <c r="P26" s="1590"/>
      <c r="Q26" s="1591"/>
      <c r="R26" s="1693"/>
      <c r="S26" s="1592"/>
    </row>
    <row r="27" spans="1:16383" s="46" customFormat="1">
      <c r="A27" s="419"/>
      <c r="B27" s="432"/>
      <c r="D27" s="762" t="s">
        <v>141</v>
      </c>
      <c r="E27" s="1354" t="s">
        <v>224</v>
      </c>
      <c r="F27" s="1925"/>
      <c r="G27" s="1926">
        <v>0</v>
      </c>
      <c r="H27" s="991"/>
      <c r="I27" s="1593"/>
      <c r="J27" s="992"/>
      <c r="K27" s="1633">
        <f>I27</f>
        <v>0</v>
      </c>
      <c r="L27" s="992"/>
      <c r="M27" s="1633">
        <f>K27</f>
        <v>0</v>
      </c>
      <c r="N27" s="992"/>
      <c r="O27" s="1633">
        <f>M27</f>
        <v>0</v>
      </c>
      <c r="P27" s="992"/>
      <c r="Q27" s="1633">
        <f>O27</f>
        <v>0</v>
      </c>
      <c r="R27" s="17"/>
      <c r="S27" s="97"/>
    </row>
    <row r="28" spans="1:16383" ht="15" thickBot="1">
      <c r="B28" s="412" t="s">
        <v>2</v>
      </c>
      <c r="C28" s="8"/>
      <c r="D28" s="779" t="s">
        <v>864</v>
      </c>
      <c r="E28" s="1355" t="s">
        <v>224</v>
      </c>
      <c r="F28" s="1927"/>
      <c r="G28" s="1928">
        <f>G106</f>
        <v>0</v>
      </c>
      <c r="H28" s="1018"/>
      <c r="I28" s="472">
        <f>I106</f>
        <v>0</v>
      </c>
      <c r="J28" s="1029"/>
      <c r="K28" s="472">
        <f>K106</f>
        <v>0</v>
      </c>
      <c r="L28" s="1029"/>
      <c r="M28" s="472">
        <f>M106</f>
        <v>0</v>
      </c>
      <c r="N28" s="1029"/>
      <c r="O28" s="472">
        <f>O106</f>
        <v>0</v>
      </c>
      <c r="P28" s="1029"/>
      <c r="Q28" s="472">
        <f>Q106</f>
        <v>0</v>
      </c>
      <c r="S28" s="2084"/>
    </row>
    <row r="29" spans="1:16383" customFormat="1" ht="15" thickTop="1">
      <c r="D29" s="2092" t="s">
        <v>861</v>
      </c>
      <c r="E29" s="1851"/>
      <c r="F29" s="644"/>
      <c r="G29" s="644" t="str">
        <f>IF(fermeLaitière,IF(ROUND(SuperficiePaturagesS0,0)&lt;ROUND(G$38,0),"pâturages insuffisants",""),"")</f>
        <v/>
      </c>
      <c r="H29" s="992"/>
      <c r="I29" s="471" t="str">
        <f>IF(fermeLaitière,IF(ROUND(SuperficiePaturagesS1,0)&lt;ROUND(I$38,0),"pâturages insuffisants",""),"")</f>
        <v/>
      </c>
      <c r="J29" s="1030"/>
      <c r="K29" s="471" t="str">
        <f>IF(fermeLaitière,IF(ROUND(SuperficiePaturagesS2,0)&lt;ROUND(K$38,0),"pâturages insuffisants",""),"")</f>
        <v/>
      </c>
      <c r="L29" s="1030"/>
      <c r="M29" s="471" t="str">
        <f>IF(fermeLaitière,IF(ROUND(SuperficiePaturagesS3,0)&lt;ROUND(M$38,0),"pâturages insuffisants",""),"")</f>
        <v/>
      </c>
      <c r="N29" s="1030"/>
      <c r="O29" s="471" t="str">
        <f>IF(fermeLaitière,IF(ROUND(SuperficiePaturagesS4,0)&lt;ROUND(O$38,0),"pâturages insuffisants",""),"")</f>
        <v/>
      </c>
      <c r="P29" s="1030"/>
      <c r="Q29" s="471" t="str">
        <f>IF(fermeLaitière,IF(ROUND(SuperficiePaturagesS5,0)&lt;ROUND(Q$38,0),"pâturages insuffisants",""),"")</f>
        <v/>
      </c>
      <c r="R29" s="1692"/>
      <c r="S29" s="97"/>
    </row>
    <row r="30" spans="1:16383">
      <c r="B30" s="412" t="s">
        <v>2</v>
      </c>
      <c r="C30" s="8"/>
      <c r="D30" s="760" t="s">
        <v>1313</v>
      </c>
      <c r="E30" s="1356" t="s">
        <v>224</v>
      </c>
      <c r="F30" s="1927"/>
      <c r="G30" s="1928">
        <f>SuperficieTotaleS0-SuperficiePaturagesS0</f>
        <v>0</v>
      </c>
      <c r="H30" s="1019"/>
      <c r="I30" s="1594">
        <f>SuperficieTotaleS1-SuperficiePaturagesS1</f>
        <v>0</v>
      </c>
      <c r="J30" s="1595"/>
      <c r="K30" s="1594">
        <f>SuperficieTotaleS2-SuperficiePaturagesS2</f>
        <v>0</v>
      </c>
      <c r="L30" s="1595"/>
      <c r="M30" s="1594">
        <f>SuperficieTotaleS3-SuperficiePaturagesS3</f>
        <v>0</v>
      </c>
      <c r="N30" s="1595"/>
      <c r="O30" s="1594">
        <f>SuperficieTotaleS4-SuperficiePaturagesS4</f>
        <v>0</v>
      </c>
      <c r="P30" s="1595"/>
      <c r="Q30" s="1594">
        <f>SuperficieTotaleS5-SuperficiePaturagesS5</f>
        <v>0</v>
      </c>
    </row>
    <row r="31" spans="1:16383" s="97" customFormat="1">
      <c r="A31" s="409"/>
      <c r="B31" s="412" t="s">
        <v>142</v>
      </c>
      <c r="C31" s="93"/>
      <c r="D31" s="760" t="s">
        <v>863</v>
      </c>
      <c r="E31" s="1356" t="s">
        <v>224</v>
      </c>
      <c r="F31" s="1927"/>
      <c r="G31" s="1928">
        <f>G112</f>
        <v>0</v>
      </c>
      <c r="H31" s="1019"/>
      <c r="I31" s="1594">
        <f>I112</f>
        <v>0</v>
      </c>
      <c r="J31" s="1595"/>
      <c r="K31" s="1594">
        <f>K112</f>
        <v>0</v>
      </c>
      <c r="L31" s="1595"/>
      <c r="M31" s="1594">
        <f>M112</f>
        <v>0</v>
      </c>
      <c r="N31" s="1595"/>
      <c r="O31" s="1594">
        <f>O112</f>
        <v>0</v>
      </c>
      <c r="P31" s="1595"/>
      <c r="Q31" s="1594">
        <f>Q112</f>
        <v>0</v>
      </c>
      <c r="R31" s="17"/>
    </row>
    <row r="32" spans="1:16383" s="48" customFormat="1">
      <c r="A32" s="409"/>
      <c r="B32" s="412"/>
      <c r="C32" s="8"/>
      <c r="D32" s="761" t="s">
        <v>1314</v>
      </c>
      <c r="E32" s="1357" t="s">
        <v>224</v>
      </c>
      <c r="F32" s="1927"/>
      <c r="G32" s="1928">
        <f>SUM(F444:F462)</f>
        <v>0</v>
      </c>
      <c r="H32" s="1019"/>
      <c r="I32" s="1596">
        <f>SUM(H444:H462)</f>
        <v>0</v>
      </c>
      <c r="J32" s="1597"/>
      <c r="K32" s="1596">
        <f>SUM(J444:J462)</f>
        <v>0</v>
      </c>
      <c r="L32" s="1597"/>
      <c r="M32" s="1596">
        <f>SUM(L444:L462)</f>
        <v>0</v>
      </c>
      <c r="N32" s="1597"/>
      <c r="O32" s="1596">
        <f>SUM(N444:N462)</f>
        <v>0</v>
      </c>
      <c r="P32" s="1597"/>
      <c r="Q32" s="1596">
        <f>SUM(P444:P462)</f>
        <v>0</v>
      </c>
      <c r="R32" s="17"/>
      <c r="S32" s="14"/>
    </row>
    <row r="33" spans="1:18">
      <c r="D33" s="23"/>
      <c r="E33" s="1358"/>
      <c r="F33" s="1916"/>
      <c r="G33" s="1929" t="str">
        <f>IF(ROUND(SuperficieCulturesS0,0)=ROUND(G31+G32,0),"","rotation balance pas")</f>
        <v/>
      </c>
      <c r="H33" s="1020"/>
      <c r="I33" s="471" t="str">
        <f>IF(ROUND(SuperficieCulturesS1,0)=ROUND(I31+I32,0),"","rotation balance pas")</f>
        <v/>
      </c>
      <c r="J33" s="1030"/>
      <c r="K33" s="471" t="str">
        <f>IF(ROUND(SuperficieCulturesS2,0)=ROUND(K31+K32,0),"","rotation balance pas")</f>
        <v/>
      </c>
      <c r="L33" s="1030"/>
      <c r="M33" s="471" t="str">
        <f>IF(ROUND(SuperficieCulturesS3,0)=ROUND(M31+M32,0),"","rotation balance pas")</f>
        <v/>
      </c>
      <c r="N33" s="1030"/>
      <c r="O33" s="471" t="str">
        <f>IF(ROUND(SuperficieCulturesS4,0)=ROUND(O31+O32,0),"","rotation balance pas")</f>
        <v/>
      </c>
      <c r="P33" s="1030"/>
      <c r="Q33" s="471" t="str">
        <f>IF(ROUND(SuperficieCulturesS5,0)=ROUND(Q31+Q32,0),"","rotation balance pas")</f>
        <v/>
      </c>
    </row>
    <row r="34" spans="1:18" ht="15" thickBot="1">
      <c r="A34" s="409" t="s">
        <v>297</v>
      </c>
      <c r="D34" s="11" t="s">
        <v>215</v>
      </c>
      <c r="E34" s="2094" t="s">
        <v>925</v>
      </c>
      <c r="F34" s="1916"/>
      <c r="G34" s="637"/>
      <c r="H34" s="991"/>
      <c r="I34" s="992"/>
      <c r="J34" s="991"/>
      <c r="K34" s="992"/>
      <c r="L34" s="991"/>
      <c r="M34" s="992"/>
      <c r="N34" s="991"/>
      <c r="O34" s="992"/>
      <c r="P34" s="991"/>
      <c r="Q34" s="992"/>
    </row>
    <row r="35" spans="1:18" ht="15" thickTop="1">
      <c r="A35" s="409" t="s">
        <v>297</v>
      </c>
      <c r="D35" s="417" t="s">
        <v>2</v>
      </c>
      <c r="E35" s="1359"/>
      <c r="F35" s="733"/>
      <c r="G35" s="637"/>
      <c r="H35" s="1021"/>
      <c r="I35" s="1015"/>
      <c r="J35" s="1021"/>
      <c r="K35" s="1015"/>
      <c r="L35" s="1021"/>
      <c r="M35" s="1015"/>
      <c r="N35" s="1021"/>
      <c r="O35" s="1015"/>
      <c r="P35" s="1021"/>
      <c r="Q35" s="1015"/>
    </row>
    <row r="36" spans="1:18">
      <c r="A36" s="409" t="s">
        <v>297</v>
      </c>
      <c r="D36" s="12" t="s">
        <v>245</v>
      </c>
      <c r="E36" s="1360" t="s">
        <v>248</v>
      </c>
      <c r="F36" s="1916"/>
      <c r="G36" s="1930">
        <f>IF(fermeLaitière,besoinPatS0)</f>
        <v>0</v>
      </c>
      <c r="H36" s="1598"/>
      <c r="I36" s="1599">
        <f>IF(fermeLaitière,BesoinPatS1)</f>
        <v>0</v>
      </c>
      <c r="J36" s="1600"/>
      <c r="K36" s="1599">
        <f>IF(fermeLaitière,BesoinPatS2)</f>
        <v>0</v>
      </c>
      <c r="L36" s="1600"/>
      <c r="M36" s="1599">
        <f>IF(fermeLaitière,BesoinPatS3)</f>
        <v>0</v>
      </c>
      <c r="N36" s="1600"/>
      <c r="O36" s="1599">
        <f>IF(fermeLaitière,BesoinPatS4)</f>
        <v>0</v>
      </c>
      <c r="P36" s="1600"/>
      <c r="Q36" s="1599">
        <f>IF(fermeLaitière,BesoinPatS5)</f>
        <v>0</v>
      </c>
    </row>
    <row r="37" spans="1:18">
      <c r="A37" s="409" t="s">
        <v>297</v>
      </c>
      <c r="D37" s="2100" t="s">
        <v>246</v>
      </c>
      <c r="E37" s="1360" t="s">
        <v>223</v>
      </c>
      <c r="F37" s="1916"/>
      <c r="G37" s="1931">
        <f>IF(fermeLaitière,IF(H2="Conventionnel",RéfChamps!$BB$6,RéfChamps!$AY$6),0)</f>
        <v>3.827</v>
      </c>
      <c r="H37" s="1008"/>
      <c r="I37" s="1112">
        <f>IF(fermeLaitière,IF(J2="Conventionnel",RéfChamps!$BB$6,RéfChamps!$AY$6),0)</f>
        <v>3.827</v>
      </c>
      <c r="J37" s="1113"/>
      <c r="K37" s="1112">
        <f>IF(fermeLaitière,IF(L2="Conventionnel",RéfChamps!$BB$6,RéfChamps!$AY$6),0)</f>
        <v>3.827</v>
      </c>
      <c r="L37" s="1113"/>
      <c r="M37" s="1112">
        <f>IF(fermeLaitière,IF(N2="Conventionnel",RéfChamps!$BB$6,RéfChamps!$AY$6),0)</f>
        <v>3.827</v>
      </c>
      <c r="N37" s="1113"/>
      <c r="O37" s="1112">
        <f>IF(fermeLaitière,IF(P2="Conventionnel",RéfChamps!$BB$6,RéfChamps!$AY$6),0)</f>
        <v>3.827</v>
      </c>
      <c r="P37" s="1113"/>
      <c r="Q37" s="1112">
        <f>IF(fermeLaitière,IF(R2="Conventionnel",RéfChamps!$BB$6,RéfChamps!$AY$6),0)</f>
        <v>3.827</v>
      </c>
    </row>
    <row r="38" spans="1:18" s="26" customFormat="1" ht="15" thickBot="1">
      <c r="A38" s="409" t="s">
        <v>297</v>
      </c>
      <c r="B38" s="412"/>
      <c r="D38" s="12" t="s">
        <v>247</v>
      </c>
      <c r="E38" s="1361" t="s">
        <v>224</v>
      </c>
      <c r="F38" s="1913"/>
      <c r="G38" s="1932">
        <f>IF(fermeLaitière,G36/G37,0)</f>
        <v>0</v>
      </c>
      <c r="H38" s="1022"/>
      <c r="I38" s="460">
        <f>IF(fermeLaitière,I36/I37,0)</f>
        <v>0</v>
      </c>
      <c r="J38" s="1022"/>
      <c r="K38" s="460">
        <f>IF(fermeLaitière,K36/K37,0)</f>
        <v>0</v>
      </c>
      <c r="L38" s="1022"/>
      <c r="M38" s="460">
        <f>IF(fermeLaitière,M36/M37,0)</f>
        <v>0</v>
      </c>
      <c r="N38" s="1022"/>
      <c r="O38" s="460">
        <f>IF(fermeLaitière,O36/O37,0)</f>
        <v>0</v>
      </c>
      <c r="P38" s="1022"/>
      <c r="Q38" s="460">
        <f>IF(fermeLaitière,Q36/Q37,0)</f>
        <v>0</v>
      </c>
      <c r="R38" s="1694"/>
    </row>
    <row r="39" spans="1:18" s="27" customFormat="1" ht="15" thickTop="1">
      <c r="A39" s="409" t="s">
        <v>297</v>
      </c>
      <c r="B39" s="412"/>
      <c r="D39" s="417" t="s">
        <v>825</v>
      </c>
      <c r="E39" s="1359"/>
      <c r="F39" s="1913"/>
      <c r="G39" s="1933"/>
      <c r="H39" s="1023"/>
      <c r="I39" s="1016"/>
      <c r="J39" s="1031"/>
      <c r="K39" s="1016"/>
      <c r="L39" s="1031"/>
      <c r="M39" s="1016"/>
      <c r="N39" s="1031"/>
      <c r="O39" s="1016"/>
      <c r="P39" s="1031"/>
      <c r="Q39" s="1016"/>
      <c r="R39" s="1695"/>
    </row>
    <row r="40" spans="1:18" s="27" customFormat="1">
      <c r="A40" s="409" t="s">
        <v>297</v>
      </c>
      <c r="B40" s="412"/>
      <c r="D40" s="12" t="s">
        <v>245</v>
      </c>
      <c r="E40" s="1360" t="s">
        <v>248</v>
      </c>
      <c r="F40" s="1913"/>
      <c r="G40" s="1934">
        <f>IF(fermeLaitière,G41+G42,0)</f>
        <v>469.08542639240011</v>
      </c>
      <c r="H40" s="1024"/>
      <c r="I40" s="847">
        <f>IF(fermeLaitière,I41+I42,0)</f>
        <v>469.08542639240011</v>
      </c>
      <c r="J40" s="1032"/>
      <c r="K40" s="847">
        <f>IF(fermeLaitière,K41+K42,0)</f>
        <v>469.08542639240011</v>
      </c>
      <c r="L40" s="1032"/>
      <c r="M40" s="847">
        <f>IF(fermeLaitière,M41+M42,0)</f>
        <v>469.08542639240011</v>
      </c>
      <c r="N40" s="1032"/>
      <c r="O40" s="847">
        <f>IF(fermeLaitière,O41+O42,0)</f>
        <v>469.08542639240011</v>
      </c>
      <c r="P40" s="1032"/>
      <c r="Q40" s="847">
        <f>IF(fermeLaitière,Q41+Q42,0)</f>
        <v>469.08542639240011</v>
      </c>
      <c r="R40" s="1695"/>
    </row>
    <row r="41" spans="1:18" s="27" customFormat="1">
      <c r="A41" s="409" t="s">
        <v>297</v>
      </c>
      <c r="B41" s="412"/>
      <c r="D41" s="13" t="s">
        <v>250</v>
      </c>
      <c r="E41" s="1360" t="s">
        <v>248</v>
      </c>
      <c r="F41" s="1913"/>
      <c r="G41" s="1934">
        <f>IF(fermeLaitière,BesoinFoinS0,0)</f>
        <v>391.49466038360009</v>
      </c>
      <c r="H41" s="1024"/>
      <c r="I41" s="847">
        <f>IF(fermeLaitière,BesoinFoinS1,0)</f>
        <v>391.49466038360009</v>
      </c>
      <c r="J41" s="1032"/>
      <c r="K41" s="847">
        <f>IF(fermeLaitière,BesoinFoinS2,0)</f>
        <v>391.49466038360009</v>
      </c>
      <c r="L41" s="1032"/>
      <c r="M41" s="847">
        <f>IF(fermeLaitière,BesoinFoinS3,0)</f>
        <v>391.49466038360009</v>
      </c>
      <c r="N41" s="1032"/>
      <c r="O41" s="847">
        <f>IF(fermeLaitière,BesoinFoinS4,0)</f>
        <v>391.49466038360009</v>
      </c>
      <c r="P41" s="1032"/>
      <c r="Q41" s="847">
        <f>IF(fermeLaitière,BesoinFoinS5,0)</f>
        <v>391.49466038360009</v>
      </c>
      <c r="R41" s="1695"/>
    </row>
    <row r="42" spans="1:18" s="27" customFormat="1" ht="15" thickBot="1">
      <c r="A42" s="409" t="s">
        <v>297</v>
      </c>
      <c r="B42" s="412"/>
      <c r="D42" s="13" t="s">
        <v>249</v>
      </c>
      <c r="E42" s="1360" t="s">
        <v>248</v>
      </c>
      <c r="F42" s="1913"/>
      <c r="G42" s="1934">
        <f>IF(fermeLaitière,BesoinMES0,0)</f>
        <v>77.590766008800031</v>
      </c>
      <c r="H42" s="1024"/>
      <c r="I42" s="847">
        <f>IF(fermeLaitière,BesoinMES1,0)</f>
        <v>77.590766008800031</v>
      </c>
      <c r="J42" s="1032"/>
      <c r="K42" s="847">
        <f>IF(fermeLaitière,BesoinMES2,0)</f>
        <v>77.590766008800031</v>
      </c>
      <c r="L42" s="1032"/>
      <c r="M42" s="847">
        <f>IF(fermeLaitière,BesoinMES3,0)</f>
        <v>77.590766008800031</v>
      </c>
      <c r="N42" s="1032"/>
      <c r="O42" s="847">
        <f>IF(fermeLaitière,BesoinMES4,0)</f>
        <v>77.590766008800031</v>
      </c>
      <c r="P42" s="1032"/>
      <c r="Q42" s="847">
        <f>IF(fermeLaitière,BesoinMES5,0)</f>
        <v>77.590766008800031</v>
      </c>
      <c r="R42" s="1695"/>
    </row>
    <row r="43" spans="1:18" s="28" customFormat="1" ht="15" thickTop="1">
      <c r="A43" s="409" t="s">
        <v>297</v>
      </c>
      <c r="B43" s="412"/>
      <c r="D43" s="418" t="s">
        <v>142</v>
      </c>
      <c r="E43" s="1362"/>
      <c r="F43" s="1935"/>
      <c r="G43" s="1936"/>
      <c r="H43" s="1025"/>
      <c r="I43" s="463"/>
      <c r="J43" s="1033"/>
      <c r="K43" s="1017"/>
      <c r="L43" s="1033"/>
      <c r="M43" s="1017"/>
      <c r="N43" s="1033"/>
      <c r="O43" s="1017"/>
      <c r="P43" s="1033"/>
      <c r="Q43" s="1017"/>
      <c r="R43" s="1696"/>
    </row>
    <row r="44" spans="1:18" s="28" customFormat="1">
      <c r="A44" s="409" t="s">
        <v>297</v>
      </c>
      <c r="B44" s="412"/>
      <c r="D44" s="2099" t="s">
        <v>246</v>
      </c>
      <c r="E44" s="1360" t="s">
        <v>223</v>
      </c>
      <c r="F44" s="1935"/>
      <c r="G44" s="1931">
        <f>IF(F2="Conventionnel",RéfChamps!$BH$6,RéfChamps!$BE$6)</f>
        <v>5.21</v>
      </c>
      <c r="H44" s="1008"/>
      <c r="I44" s="1112">
        <f>IF(H2="Conventionnel",RéfChamps!$BH$6,RéfChamps!$BE$6)</f>
        <v>5.21</v>
      </c>
      <c r="J44" s="1113"/>
      <c r="K44" s="1112">
        <f>IF(J2="Conventionnel",RéfChamps!$BH$6,RéfChamps!$BE$6)</f>
        <v>5.21</v>
      </c>
      <c r="L44" s="1113"/>
      <c r="M44" s="1112">
        <f>IF(L2="Conventionnel",RéfChamps!$BH$6,RéfChamps!$BE$6)</f>
        <v>5.21</v>
      </c>
      <c r="N44" s="1113"/>
      <c r="O44" s="1112">
        <f>IF(N2="Conventionnel",RéfChamps!$BH$6,RéfChamps!$BE$6)</f>
        <v>5.21</v>
      </c>
      <c r="P44" s="1113"/>
      <c r="Q44" s="1112">
        <f>IF(P2="Conventionnel",RéfChamps!$BH$6,RéfChamps!$BE$6)</f>
        <v>5.21</v>
      </c>
      <c r="R44" s="1696"/>
    </row>
    <row r="45" spans="1:18" s="28" customFormat="1">
      <c r="A45" s="409" t="s">
        <v>297</v>
      </c>
      <c r="B45" s="412"/>
      <c r="D45" s="13" t="s">
        <v>251</v>
      </c>
      <c r="E45" s="1361" t="s">
        <v>224</v>
      </c>
      <c r="F45" s="1916"/>
      <c r="G45" s="1932">
        <f>IF(fermeLaitière,G41/G44,0)</f>
        <v>75.142929056353182</v>
      </c>
      <c r="H45" s="1026"/>
      <c r="I45" s="848">
        <f>IF(fermeLaitière,I41/I44,0)</f>
        <v>75.142929056353182</v>
      </c>
      <c r="J45" s="1034"/>
      <c r="K45" s="848">
        <f>IF(fermeLaitière,K41/K44,0)</f>
        <v>75.142929056353182</v>
      </c>
      <c r="L45" s="1034"/>
      <c r="M45" s="848">
        <f>IF(fermeLaitière,M41/M44,0)</f>
        <v>75.142929056353182</v>
      </c>
      <c r="N45" s="1034"/>
      <c r="O45" s="848">
        <f>IF(fermeLaitière,O41/O44,0)</f>
        <v>75.142929056353182</v>
      </c>
      <c r="P45" s="1034"/>
      <c r="Q45" s="848">
        <f>IF(fermeLaitière,Q41/Q44,0)</f>
        <v>75.142929056353182</v>
      </c>
      <c r="R45" s="1696"/>
    </row>
    <row r="46" spans="1:18">
      <c r="A46" s="409" t="s">
        <v>297</v>
      </c>
      <c r="D46" s="12" t="s">
        <v>857</v>
      </c>
      <c r="E46" s="1361" t="s">
        <v>224</v>
      </c>
      <c r="F46" s="1916"/>
      <c r="G46" s="1932">
        <f>IF(fermeLaitière,SUMIFS(F$78:F$87,G$78:G$87,$D43)+SUMIFS(F$92:F$101,G$92:G$101,$D43),0)</f>
        <v>0</v>
      </c>
      <c r="H46" s="1027"/>
      <c r="I46" s="848">
        <f>IF(fermeLaitière,SUMIFS(H$78:H$87,I$78:I$87,$D43)+SUMIFS(H$92:H$101,I$92:I$101,$D43),0)</f>
        <v>0</v>
      </c>
      <c r="J46" s="1035"/>
      <c r="K46" s="848">
        <f>IF(fermeLaitière,SUMIFS(J$78:J$87,K$78:K$87,$D43)+SUMIFS(J$92:J$101,K$92:K$101,$D43),0)</f>
        <v>0</v>
      </c>
      <c r="L46" s="1035"/>
      <c r="M46" s="848">
        <f>IF(fermeLaitière,SUMIFS(L$78:L$87,M$78:M$87,$D43)+SUMIFS(L$92:L$101,M$92:M$101,$D43),0)</f>
        <v>0</v>
      </c>
      <c r="N46" s="1035"/>
      <c r="O46" s="848">
        <f>IF(fermeLaitière,SUMIFS(N$78:N$87,O$78:O$87,$D43)+SUMIFS(N$92:N$101,O$92:O$101,$D43),0)</f>
        <v>0</v>
      </c>
      <c r="P46" s="1035"/>
      <c r="Q46" s="848">
        <f>IF(fermeLaitière,SUMIFS(P$78:P$87,Q$78:Q$87,$D43)+SUMIFS(P$92:P$101,Q$92:Q$101,$D43),0)</f>
        <v>0</v>
      </c>
    </row>
    <row r="47" spans="1:18" ht="15" thickBot="1">
      <c r="A47" s="409" t="s">
        <v>297</v>
      </c>
      <c r="D47" s="13" t="s">
        <v>267</v>
      </c>
      <c r="E47" s="1361" t="s">
        <v>248</v>
      </c>
      <c r="F47" s="733"/>
      <c r="G47" s="1937">
        <f>IF(fermeLaitière,G46*G44,0)</f>
        <v>0</v>
      </c>
      <c r="H47" s="1028"/>
      <c r="I47" s="849">
        <f>IF(fermeLaitière,I46*I44,0)</f>
        <v>0</v>
      </c>
      <c r="J47" s="1035"/>
      <c r="K47" s="849">
        <f>IF(fermeLaitière,K46*K44,0)</f>
        <v>0</v>
      </c>
      <c r="L47" s="1035"/>
      <c r="M47" s="849">
        <f>IF(fermeLaitière,M46*M44,0)</f>
        <v>0</v>
      </c>
      <c r="N47" s="1035"/>
      <c r="O47" s="849">
        <f>IF(fermeLaitière,O46*O44,0)</f>
        <v>0</v>
      </c>
      <c r="P47" s="1035"/>
      <c r="Q47" s="849">
        <f>IF(fermeLaitière,Q46*Q44,0)</f>
        <v>0</v>
      </c>
      <c r="R47" s="1692"/>
    </row>
    <row r="48" spans="1:18" s="28" customFormat="1" ht="15" thickTop="1">
      <c r="A48" s="409" t="s">
        <v>297</v>
      </c>
      <c r="B48" s="461" t="s">
        <v>140</v>
      </c>
      <c r="D48" s="418" t="s">
        <v>140</v>
      </c>
      <c r="E48" s="1362"/>
      <c r="F48" s="1916"/>
      <c r="G48" s="1938" t="str">
        <f>IF(fermeLaitière,IF(G52&lt;G42,$D48&amp;" insuffisant",""),0)</f>
        <v>Maïs ensilage insuffisant</v>
      </c>
      <c r="H48" s="464"/>
      <c r="I48" s="850" t="str">
        <f>IF(fermeLaitière,IF(I52&lt;I42,$D48&amp;" insuffisant",""),0)</f>
        <v>Maïs ensilage insuffisant</v>
      </c>
      <c r="J48" s="851"/>
      <c r="K48" s="850" t="str">
        <f>IF(fermeLaitière,IF(K52&lt;K42,$D48&amp;" insuffisant",""),0)</f>
        <v>Maïs ensilage insuffisant</v>
      </c>
      <c r="L48" s="851"/>
      <c r="M48" s="850" t="str">
        <f>IF(fermeLaitière,IF(M52&lt;M42,$D48&amp;" insuffisant",""),0)</f>
        <v>Maïs ensilage insuffisant</v>
      </c>
      <c r="N48" s="851"/>
      <c r="O48" s="850" t="str">
        <f>IF(fermeLaitière,IF(O52&lt;O42,$D48&amp;" insuffisant",""),0)</f>
        <v>Maïs ensilage insuffisant</v>
      </c>
      <c r="P48" s="851"/>
      <c r="Q48" s="850" t="str">
        <f>IF(fermeLaitière,IF(Q52&lt;Q42,$D48&amp;" insuffisant",""),0)</f>
        <v>Maïs ensilage insuffisant</v>
      </c>
      <c r="R48" s="1696"/>
    </row>
    <row r="49" spans="1:19">
      <c r="A49" s="409" t="s">
        <v>297</v>
      </c>
      <c r="B49" s="461" t="s">
        <v>140</v>
      </c>
      <c r="D49" s="2099" t="s">
        <v>246</v>
      </c>
      <c r="E49" s="1360" t="s">
        <v>223</v>
      </c>
      <c r="F49" s="1916"/>
      <c r="G49" s="1931">
        <f>(IF(F2="Conventionnel",RéfChamps!$BN$6,RéfChamps!$BK$6))</f>
        <v>12.25</v>
      </c>
      <c r="I49" s="1112">
        <f>(IF(H2="Conventionnel",RéfChamps!$BN$6,RéfChamps!$BK$6))</f>
        <v>12.25</v>
      </c>
      <c r="J49" s="1113"/>
      <c r="K49" s="1112">
        <f>(IF(J2="Conventionnel",RéfChamps!$BN$6,RéfChamps!$BK$6))</f>
        <v>12.25</v>
      </c>
      <c r="L49" s="1113"/>
      <c r="M49" s="1112">
        <f>(IF(L2="Conventionnel",RéfChamps!$BN$6,RéfChamps!$BK$6))</f>
        <v>12.25</v>
      </c>
      <c r="N49" s="1113"/>
      <c r="O49" s="1112">
        <f>(IF(N2="Conventionnel",RéfChamps!$BN$6,RéfChamps!$BK$6))</f>
        <v>12.25</v>
      </c>
      <c r="P49" s="1113"/>
      <c r="Q49" s="1112">
        <f>(IF(P2="Conventionnel",RéfChamps!$BN$6,RéfChamps!$BK$6))</f>
        <v>12.25</v>
      </c>
    </row>
    <row r="50" spans="1:19">
      <c r="A50" s="409" t="s">
        <v>297</v>
      </c>
      <c r="B50" s="461" t="s">
        <v>140</v>
      </c>
      <c r="D50" s="12" t="s">
        <v>251</v>
      </c>
      <c r="E50" s="1361" t="s">
        <v>224</v>
      </c>
      <c r="F50" s="1916"/>
      <c r="G50" s="1932">
        <f>IF(fermeLaitière,G42/G49,0)</f>
        <v>6.333940082351023</v>
      </c>
      <c r="I50" s="848">
        <f>IF(fermeLaitière,I42/I49,0)</f>
        <v>6.333940082351023</v>
      </c>
      <c r="J50" s="852"/>
      <c r="K50" s="848">
        <f>IF(fermeLaitière,K42/K49,0)</f>
        <v>6.333940082351023</v>
      </c>
      <c r="L50" s="852"/>
      <c r="M50" s="848">
        <f>IF(fermeLaitière,M42/M49,0)</f>
        <v>6.333940082351023</v>
      </c>
      <c r="N50" s="852"/>
      <c r="O50" s="848">
        <f>IF(fermeLaitière,O42/O49,0)</f>
        <v>6.333940082351023</v>
      </c>
      <c r="P50" s="852"/>
      <c r="Q50" s="848">
        <f>IF(fermeLaitière,Q42/Q49,0)</f>
        <v>6.333940082351023</v>
      </c>
    </row>
    <row r="51" spans="1:19">
      <c r="A51" s="409" t="s">
        <v>297</v>
      </c>
      <c r="B51" s="461" t="s">
        <v>140</v>
      </c>
      <c r="D51" s="12" t="s">
        <v>857</v>
      </c>
      <c r="E51" s="1361" t="s">
        <v>224</v>
      </c>
      <c r="F51" s="1916"/>
      <c r="G51" s="1932">
        <f>IF(fermeLaitière,SUMIFS(F$78:F$87,G$78:G$87,$D48)+SUMIFS(F$92:F$101,G$92:G$101,$D48),0)</f>
        <v>0</v>
      </c>
      <c r="I51" s="848">
        <f>IF(fermeLaitière,SUMIFS(H$78:H$87,I$78:I$87,$D48)+SUMIFS(H$92:H$101,I$92:I$101,$D48),0)</f>
        <v>0</v>
      </c>
      <c r="J51" s="852"/>
      <c r="K51" s="848">
        <f>IF(fermeLaitière,SUMIFS(J$78:J$87,K$78:K$87,$D48)+SUMIFS(J$92:J$101,K$92:K$101,$D48),0)</f>
        <v>0</v>
      </c>
      <c r="L51" s="852"/>
      <c r="M51" s="848">
        <f>IF(fermeLaitière,SUMIFS(L$78:L$87,M$78:M$87,$D48)+SUMIFS(L$92:L$101,M$92:M$101,$D48),0)</f>
        <v>0</v>
      </c>
      <c r="N51" s="852"/>
      <c r="O51" s="848">
        <f>IF(fermeLaitière,SUMIFS(N$78:N$87,O$78:O$87,$D48)+SUMIFS(N$92:N$101,O$92:O$101,$D48),0)</f>
        <v>0</v>
      </c>
      <c r="P51" s="852"/>
      <c r="Q51" s="848">
        <f>IF(fermeLaitière,SUMIFS(P$78:P$87,Q$78:Q$87,$D48)+SUMIFS(P$92:P$101,Q$92:Q$101,$D48),0)</f>
        <v>0</v>
      </c>
    </row>
    <row r="52" spans="1:19">
      <c r="A52" s="409" t="s">
        <v>297</v>
      </c>
      <c r="B52" s="461" t="s">
        <v>140</v>
      </c>
      <c r="D52" s="13" t="s">
        <v>267</v>
      </c>
      <c r="E52" s="1361" t="s">
        <v>248</v>
      </c>
      <c r="F52" s="1916"/>
      <c r="G52" s="1939">
        <f>IF(fermeLaitière,G51*G49,0)</f>
        <v>0</v>
      </c>
      <c r="I52" s="853">
        <f>IF(fermeLaitière,I51*I49,0)</f>
        <v>0</v>
      </c>
      <c r="J52" s="852"/>
      <c r="K52" s="854">
        <f>IF(fermeLaitière,K51*K49,0)</f>
        <v>0</v>
      </c>
      <c r="L52" s="853"/>
      <c r="M52" s="854">
        <f>IF(fermeLaitière,M51*M49,0)</f>
        <v>0</v>
      </c>
      <c r="N52" s="853"/>
      <c r="O52" s="853">
        <f>IF(fermeLaitière,O51*O49,0)</f>
        <v>0</v>
      </c>
      <c r="P52" s="853"/>
      <c r="Q52" s="853">
        <f>IF(fermeLaitière,Q51*Q49,0)</f>
        <v>0</v>
      </c>
    </row>
    <row r="53" spans="1:19" s="49" customFormat="1">
      <c r="A53" s="409" t="s">
        <v>297</v>
      </c>
      <c r="B53" s="412"/>
      <c r="E53" s="1349"/>
      <c r="F53" s="623"/>
      <c r="G53" s="623"/>
      <c r="H53" s="992"/>
      <c r="I53" s="992"/>
      <c r="J53" s="992"/>
      <c r="K53" s="992"/>
      <c r="L53" s="992"/>
      <c r="M53" s="992"/>
      <c r="N53" s="992"/>
      <c r="O53" s="992"/>
      <c r="P53" s="992"/>
      <c r="Q53" s="992"/>
      <c r="R53" s="1692"/>
      <c r="S53" s="97"/>
    </row>
    <row r="54" spans="1:19" s="49" customFormat="1" ht="19.5" thickBot="1">
      <c r="A54" s="409" t="s">
        <v>297</v>
      </c>
      <c r="B54" s="412"/>
      <c r="C54" s="806" t="s">
        <v>318</v>
      </c>
      <c r="D54" s="806"/>
      <c r="E54" s="2093" t="s">
        <v>925</v>
      </c>
      <c r="F54" s="624"/>
      <c r="G54" s="624"/>
      <c r="H54" s="1588"/>
      <c r="I54" s="1588"/>
      <c r="J54" s="1588"/>
      <c r="K54" s="1588"/>
      <c r="L54" s="1588"/>
      <c r="M54" s="1588"/>
      <c r="N54" s="1588"/>
      <c r="O54" s="1588"/>
      <c r="P54" s="1588"/>
      <c r="Q54" s="1588"/>
      <c r="R54" s="1692"/>
      <c r="S54" s="97"/>
    </row>
    <row r="55" spans="1:19" s="453" customFormat="1" ht="15" thickTop="1">
      <c r="A55" s="409" t="s">
        <v>297</v>
      </c>
      <c r="B55" s="452"/>
      <c r="E55" s="1363"/>
      <c r="F55" s="1921"/>
      <c r="G55" s="1921"/>
      <c r="H55" s="1591"/>
      <c r="I55" s="1591"/>
      <c r="J55" s="1591"/>
      <c r="K55" s="1591"/>
      <c r="L55" s="1591"/>
      <c r="M55" s="1591"/>
      <c r="N55" s="1591"/>
      <c r="O55" s="1591"/>
      <c r="P55" s="1591"/>
      <c r="Q55" s="1591"/>
      <c r="R55" s="1697"/>
      <c r="S55" s="1592"/>
    </row>
    <row r="56" spans="1:19" s="49" customFormat="1" hidden="1">
      <c r="A56" s="409" t="s">
        <v>297</v>
      </c>
      <c r="B56" s="412" t="s">
        <v>11</v>
      </c>
      <c r="D56" s="265" t="s">
        <v>11</v>
      </c>
      <c r="E56" s="1364" t="s">
        <v>244</v>
      </c>
      <c r="F56" s="623"/>
      <c r="G56" s="1940">
        <f>IF(fermeLaitière,INDEX(autoconsS0,MATCH(Champs!$B56,autoconsCulture,0)),0)</f>
        <v>0</v>
      </c>
      <c r="H56" s="1601"/>
      <c r="I56" s="1602">
        <f>IF(fermeLaitière,INDEX(autoconsS1,MATCH(Champs!$B56,autoconsCulture,0)),0)</f>
        <v>0</v>
      </c>
      <c r="J56" s="1601"/>
      <c r="K56" s="1602">
        <f>IF(fermeLaitière,INDEX(autoconsS2,MATCH(Champs!$B56,autoconsCulture,0)),0)</f>
        <v>0</v>
      </c>
      <c r="L56" s="1601"/>
      <c r="M56" s="1602">
        <f>IF(fermeLaitière,INDEX(autoconsS3,MATCH(Champs!$B56,autoconsCulture,0)),0)</f>
        <v>0</v>
      </c>
      <c r="N56" s="1601"/>
      <c r="O56" s="1602">
        <f>IF(fermeLaitière,INDEX(autoconsS4,MATCH(Champs!$B56,autoconsCulture,0)),0)</f>
        <v>0</v>
      </c>
      <c r="P56" s="992"/>
      <c r="Q56" s="709">
        <f>IF(fermeLaitière,INDEX(autoconsS5,MATCH(Champs!$B56,autoconsCulture,0)),0)</f>
        <v>0</v>
      </c>
      <c r="R56" s="1692"/>
      <c r="S56" s="97"/>
    </row>
    <row r="57" spans="1:19" s="49" customFormat="1">
      <c r="A57" s="409" t="s">
        <v>297</v>
      </c>
      <c r="B57" s="412" t="s">
        <v>0</v>
      </c>
      <c r="D57" s="265" t="s">
        <v>0</v>
      </c>
      <c r="E57" s="1364" t="s">
        <v>244</v>
      </c>
      <c r="F57" s="623"/>
      <c r="G57" s="1940">
        <f>IF(fermeLaitière,INDEX(autoconsS0,MATCH(Champs!$B57,autoconsCulture,0)),0)</f>
        <v>0</v>
      </c>
      <c r="H57" s="1601"/>
      <c r="I57" s="1602">
        <f>IF(fermeLaitière,INDEX(autoconsS1,MATCH(Champs!$B57,autoconsCulture,0)),0)</f>
        <v>0</v>
      </c>
      <c r="J57" s="1601"/>
      <c r="K57" s="1602">
        <f>IF(fermeLaitière,INDEX(autoconsS2,MATCH(Champs!$B57,autoconsCulture,0)),0)</f>
        <v>0</v>
      </c>
      <c r="L57" s="1601"/>
      <c r="M57" s="1602">
        <f>IF(fermeLaitière,INDEX(autoconsS3,MATCH(Champs!$B57,autoconsCulture,0)),0)</f>
        <v>0</v>
      </c>
      <c r="N57" s="1601"/>
      <c r="O57" s="1602">
        <f>IF(fermeLaitière,INDEX(autoconsS4,MATCH(Champs!$B57,autoconsCulture,0)),0)</f>
        <v>0</v>
      </c>
      <c r="P57" s="992"/>
      <c r="Q57" s="709">
        <f>IF(fermeLaitière,INDEX(autoconsS5,MATCH(Champs!$B57,autoconsCulture,0)),0)</f>
        <v>0</v>
      </c>
      <c r="R57" s="1692"/>
      <c r="S57" s="97"/>
    </row>
    <row r="58" spans="1:19" s="49" customFormat="1">
      <c r="A58" s="409" t="s">
        <v>297</v>
      </c>
      <c r="B58" s="412" t="s">
        <v>140</v>
      </c>
      <c r="D58" s="265" t="s">
        <v>140</v>
      </c>
      <c r="E58" s="1364" t="s">
        <v>244</v>
      </c>
      <c r="F58" s="623"/>
      <c r="G58" s="1940">
        <f>IF(fermeLaitière,INDEX(autoconsS0,MATCH(Champs!$B58,autoconsCulture,0)),0)</f>
        <v>0</v>
      </c>
      <c r="H58" s="1603"/>
      <c r="I58" s="1602">
        <f>IF(fermeLaitière,INDEX(autoconsS1,MATCH(Champs!$B58,autoconsCulture,0)),0)</f>
        <v>0</v>
      </c>
      <c r="J58" s="1603"/>
      <c r="K58" s="1602">
        <f>IF(fermeLaitière,INDEX(autoconsS2,MATCH(Champs!$B58,autoconsCulture,0)),0)</f>
        <v>0</v>
      </c>
      <c r="L58" s="1603"/>
      <c r="M58" s="1602">
        <f>IF(fermeLaitière,INDEX(autoconsS3,MATCH(Champs!$B58,autoconsCulture,0)),0)</f>
        <v>0</v>
      </c>
      <c r="N58" s="1603"/>
      <c r="O58" s="1602">
        <f>IF(fermeLaitière,INDEX(autoconsS4,MATCH(Champs!$B58,autoconsCulture,0)),0)</f>
        <v>0</v>
      </c>
      <c r="P58" s="97"/>
      <c r="Q58" s="709">
        <f>IF(fermeLaitière,INDEX(autoconsS5,MATCH(Champs!$B58,autoconsCulture,0)),0)</f>
        <v>0</v>
      </c>
      <c r="R58" s="1692"/>
      <c r="S58" s="97"/>
    </row>
    <row r="59" spans="1:19" s="49" customFormat="1" hidden="1">
      <c r="A59" s="409" t="s">
        <v>297</v>
      </c>
      <c r="B59" s="412" t="s">
        <v>1</v>
      </c>
      <c r="D59" s="265" t="s">
        <v>1</v>
      </c>
      <c r="E59" s="1364" t="s">
        <v>244</v>
      </c>
      <c r="F59" s="623"/>
      <c r="G59" s="1940">
        <f>IF(fermeLaitière,INDEX(autoconsS0,MATCH(Champs!$B59,autoconsCulture,0)),0)</f>
        <v>0</v>
      </c>
      <c r="H59" s="1601"/>
      <c r="I59" s="1602">
        <f>IF(fermeLaitière,INDEX(autoconsS1,MATCH(Champs!$B59,autoconsCulture,0)),0)</f>
        <v>0</v>
      </c>
      <c r="J59" s="1601"/>
      <c r="K59" s="1602">
        <f>IF(fermeLaitière,INDEX(autoconsS2,MATCH(Champs!$B59,autoconsCulture,0)),0)</f>
        <v>0</v>
      </c>
      <c r="L59" s="1601"/>
      <c r="M59" s="1602">
        <f>IF(fermeLaitière,INDEX(autoconsS3,MATCH(Champs!$B59,autoconsCulture,0)),0)</f>
        <v>0</v>
      </c>
      <c r="N59" s="1601"/>
      <c r="O59" s="1602">
        <f>IF(fermeLaitière,INDEX(autoconsS4,MATCH(Champs!$B59,autoconsCulture,0)),0)</f>
        <v>0</v>
      </c>
      <c r="P59" s="992"/>
      <c r="Q59" s="709">
        <f>IF(fermeLaitière,INDEX(autoconsS5,MATCH(Champs!$B59,autoconsCulture,0)),0)</f>
        <v>0</v>
      </c>
      <c r="R59" s="1692"/>
      <c r="S59" s="97"/>
    </row>
    <row r="60" spans="1:19" s="49" customFormat="1" hidden="1">
      <c r="A60" s="409" t="s">
        <v>297</v>
      </c>
      <c r="B60" s="412" t="s">
        <v>3</v>
      </c>
      <c r="D60" s="265" t="s">
        <v>3</v>
      </c>
      <c r="E60" s="1364" t="s">
        <v>244</v>
      </c>
      <c r="F60" s="623"/>
      <c r="G60" s="1940">
        <f>IF(fermeLaitière,INDEX(autoconsS0,MATCH(Champs!$B60,autoconsCulture,0)),0)</f>
        <v>0</v>
      </c>
      <c r="H60" s="1601"/>
      <c r="I60" s="1602">
        <f>IF(fermeLaitière,INDEX(autoconsS1,MATCH(Champs!$B60,autoconsCulture,0)),0)</f>
        <v>0</v>
      </c>
      <c r="J60" s="1601"/>
      <c r="K60" s="1602">
        <f>IF(fermeLaitière,INDEX(autoconsS2,MATCH(Champs!$B60,autoconsCulture,0)),0)</f>
        <v>0</v>
      </c>
      <c r="L60" s="1601"/>
      <c r="M60" s="1602">
        <f>IF(fermeLaitière,INDEX(autoconsS3,MATCH(Champs!$B60,autoconsCulture,0)),0)</f>
        <v>0</v>
      </c>
      <c r="N60" s="1601"/>
      <c r="O60" s="1602">
        <f>IF(fermeLaitière,INDEX(autoconsS4,MATCH(Champs!$B60,autoconsCulture,0)),0)</f>
        <v>0</v>
      </c>
      <c r="P60" s="992"/>
      <c r="Q60" s="709">
        <f>IF(fermeLaitière,INDEX(autoconsS5,MATCH(Champs!$B60,autoconsCulture,0)),0)</f>
        <v>0</v>
      </c>
      <c r="R60" s="1692"/>
      <c r="S60" s="97"/>
    </row>
    <row r="61" spans="1:19" s="49" customFormat="1" hidden="1">
      <c r="A61" s="409" t="s">
        <v>297</v>
      </c>
      <c r="B61" s="412" t="s">
        <v>4</v>
      </c>
      <c r="D61" s="265" t="s">
        <v>4</v>
      </c>
      <c r="E61" s="1364" t="s">
        <v>244</v>
      </c>
      <c r="F61" s="623"/>
      <c r="G61" s="1940">
        <f>IF(fermeLaitière,INDEX(autoconsS0,MATCH(Champs!$B61,autoconsCulture,0)),0)</f>
        <v>0</v>
      </c>
      <c r="H61" s="1603"/>
      <c r="I61" s="1602">
        <f>IF(fermeLaitière,INDEX(autoconsS1,MATCH(Champs!$B61,autoconsCulture,0)),0)</f>
        <v>0</v>
      </c>
      <c r="J61" s="1603"/>
      <c r="K61" s="1602">
        <f>IF(fermeLaitière,INDEX(autoconsS2,MATCH(Champs!$B61,autoconsCulture,0)),0)</f>
        <v>0</v>
      </c>
      <c r="L61" s="1603"/>
      <c r="M61" s="1602">
        <f>IF(fermeLaitière,INDEX(autoconsS3,MATCH(Champs!$B61,autoconsCulture,0)),0)</f>
        <v>0</v>
      </c>
      <c r="N61" s="1603"/>
      <c r="O61" s="1602">
        <f>IF(fermeLaitière,INDEX(autoconsS4,MATCH(Champs!$B61,autoconsCulture,0)),0)</f>
        <v>0</v>
      </c>
      <c r="P61" s="97"/>
      <c r="Q61" s="709">
        <f>IF(fermeLaitière,INDEX(autoconsS5,MATCH(Champs!$B61,autoconsCulture,0)),0)</f>
        <v>0</v>
      </c>
      <c r="R61" s="1692"/>
      <c r="S61" s="97"/>
    </row>
    <row r="62" spans="1:19" s="49" customFormat="1" hidden="1">
      <c r="A62" s="409" t="s">
        <v>297</v>
      </c>
      <c r="B62" s="412" t="s">
        <v>5</v>
      </c>
      <c r="D62" s="265" t="s">
        <v>5</v>
      </c>
      <c r="E62" s="1364" t="s">
        <v>244</v>
      </c>
      <c r="F62" s="623"/>
      <c r="G62" s="1940">
        <f>IF(fermeLaitière,INDEX(autoconsS0,MATCH(Champs!$B62,autoconsCulture,0)),0)</f>
        <v>0</v>
      </c>
      <c r="H62" s="1603"/>
      <c r="I62" s="1602">
        <f>IF(fermeLaitière,INDEX(autoconsS1,MATCH(Champs!$B62,autoconsCulture,0)),0)</f>
        <v>0</v>
      </c>
      <c r="J62" s="1603"/>
      <c r="K62" s="1602">
        <f>IF(fermeLaitière,INDEX(autoconsS2,MATCH(Champs!$B62,autoconsCulture,0)),0)</f>
        <v>0</v>
      </c>
      <c r="L62" s="1603"/>
      <c r="M62" s="1602">
        <f>IF(fermeLaitière,INDEX(autoconsS3,MATCH(Champs!$B62,autoconsCulture,0)),0)</f>
        <v>0</v>
      </c>
      <c r="N62" s="1603"/>
      <c r="O62" s="1602">
        <f>IF(fermeLaitière,INDEX(autoconsS4,MATCH(Champs!$B62,autoconsCulture,0)),0)</f>
        <v>0</v>
      </c>
      <c r="P62" s="97"/>
      <c r="Q62" s="709">
        <f>IF(fermeLaitière,INDEX(autoconsS5,MATCH(Champs!$B62,autoconsCulture,0)),0)</f>
        <v>0</v>
      </c>
      <c r="R62" s="1692"/>
      <c r="S62" s="97"/>
    </row>
    <row r="63" spans="1:19" s="49" customFormat="1" hidden="1">
      <c r="A63" s="409" t="s">
        <v>297</v>
      </c>
      <c r="B63" s="412" t="s">
        <v>6</v>
      </c>
      <c r="D63" s="265" t="s">
        <v>6</v>
      </c>
      <c r="E63" s="1364" t="s">
        <v>244</v>
      </c>
      <c r="F63" s="623"/>
      <c r="G63" s="1940">
        <f>IF(fermeLaitière,INDEX(autoconsS0,MATCH(Champs!$B63,autoconsCulture,0)),0)</f>
        <v>0</v>
      </c>
      <c r="H63" s="1603"/>
      <c r="I63" s="1602">
        <f>IF(fermeLaitière,INDEX(autoconsS1,MATCH(Champs!$B63,autoconsCulture,0)),0)</f>
        <v>0</v>
      </c>
      <c r="J63" s="1603"/>
      <c r="K63" s="1602">
        <f>IF(fermeLaitière,INDEX(autoconsS2,MATCH(Champs!$B63,autoconsCulture,0)),0)</f>
        <v>0</v>
      </c>
      <c r="L63" s="1603"/>
      <c r="M63" s="1602">
        <f>IF(fermeLaitière,INDEX(autoconsS3,MATCH(Champs!$B63,autoconsCulture,0)),0)</f>
        <v>0</v>
      </c>
      <c r="N63" s="1603"/>
      <c r="O63" s="1602">
        <f>IF(fermeLaitière,INDEX(autoconsS4,MATCH(Champs!$B63,autoconsCulture,0)),0)</f>
        <v>0</v>
      </c>
      <c r="P63" s="97"/>
      <c r="Q63" s="709">
        <f>IF(fermeLaitière,INDEX(autoconsS5,MATCH(Champs!$B63,autoconsCulture,0)),0)</f>
        <v>0</v>
      </c>
      <c r="R63" s="1692"/>
      <c r="S63" s="97"/>
    </row>
    <row r="64" spans="1:19" s="49" customFormat="1" hidden="1">
      <c r="A64" s="409" t="s">
        <v>297</v>
      </c>
      <c r="B64" s="412" t="s">
        <v>7</v>
      </c>
      <c r="D64" s="265" t="s">
        <v>7</v>
      </c>
      <c r="E64" s="1364" t="s">
        <v>244</v>
      </c>
      <c r="F64" s="623"/>
      <c r="G64" s="1940">
        <f>IF(fermeLaitière,INDEX(autoconsS0,MATCH(Champs!$B64,autoconsCulture,0)),0)</f>
        <v>0</v>
      </c>
      <c r="H64" s="1603"/>
      <c r="I64" s="1602">
        <f>IF(fermeLaitière,INDEX(autoconsS1,MATCH(Champs!$B64,autoconsCulture,0)),0)</f>
        <v>0</v>
      </c>
      <c r="J64" s="1601"/>
      <c r="K64" s="1602">
        <f>IF(fermeLaitière,INDEX(autoconsS2,MATCH(Champs!$B64,autoconsCulture,0)),0)</f>
        <v>0</v>
      </c>
      <c r="L64" s="1601"/>
      <c r="M64" s="1602">
        <f>IF(fermeLaitière,INDEX(autoconsS3,MATCH(Champs!$B64,autoconsCulture,0)),0)</f>
        <v>0</v>
      </c>
      <c r="N64" s="1601"/>
      <c r="O64" s="1602">
        <f>IF(fermeLaitière,INDEX(autoconsS4,MATCH(Champs!$B64,autoconsCulture,0)),0)</f>
        <v>0</v>
      </c>
      <c r="P64" s="992"/>
      <c r="Q64" s="709">
        <f>IF(fermeLaitière,INDEX(autoconsS5,MATCH(Champs!$B64,autoconsCulture,0)),0)</f>
        <v>0</v>
      </c>
      <c r="R64" s="1692"/>
      <c r="S64" s="97"/>
    </row>
    <row r="65" spans="1:19" s="49" customFormat="1" hidden="1">
      <c r="A65" s="409" t="s">
        <v>297</v>
      </c>
      <c r="B65" s="412" t="s">
        <v>1291</v>
      </c>
      <c r="D65" s="265" t="s">
        <v>1291</v>
      </c>
      <c r="E65" s="1364" t="s">
        <v>244</v>
      </c>
      <c r="F65" s="623"/>
      <c r="G65" s="1940">
        <f>IF(fermeLaitière,INDEX(autoconsS0,MATCH(Champs!$B65,autoconsCulture,0)),0)</f>
        <v>0</v>
      </c>
      <c r="H65" s="1603"/>
      <c r="I65" s="1602">
        <f>IF(fermeLaitière,INDEX(autoconsS1,MATCH(Champs!$B65,autoconsCulture,0)),0)</f>
        <v>0</v>
      </c>
      <c r="J65" s="1603"/>
      <c r="K65" s="1602">
        <f>IF(fermeLaitière,INDEX(autoconsS2,MATCH(Champs!$B65,autoconsCulture,0)),0)</f>
        <v>0</v>
      </c>
      <c r="L65" s="1603"/>
      <c r="M65" s="1602">
        <f>IF(fermeLaitière,INDEX(autoconsS3,MATCH(Champs!$B65,autoconsCulture,0)),0)</f>
        <v>0</v>
      </c>
      <c r="N65" s="1603"/>
      <c r="O65" s="1602">
        <f>IF(fermeLaitière,INDEX(autoconsS4,MATCH(Champs!$B65,autoconsCulture,0)),0)</f>
        <v>0</v>
      </c>
      <c r="P65" s="97"/>
      <c r="Q65" s="709">
        <f>IF(fermeLaitière,INDEX(autoconsS5,MATCH(Champs!$B65,autoconsCulture,0)),0)</f>
        <v>0</v>
      </c>
      <c r="R65" s="1692"/>
      <c r="S65" s="97"/>
    </row>
    <row r="66" spans="1:19" s="1390" customFormat="1" hidden="1">
      <c r="A66" s="409" t="s">
        <v>297</v>
      </c>
      <c r="B66" s="412" t="s">
        <v>1294</v>
      </c>
      <c r="D66" s="265" t="s">
        <v>1294</v>
      </c>
      <c r="E66" s="1364" t="s">
        <v>244</v>
      </c>
      <c r="F66" s="623"/>
      <c r="G66" s="1940">
        <f>IF(fermeLaitière,INDEX(autoconsS0,MATCH(Champs!$B66,autoconsCulture,0)),0)</f>
        <v>0</v>
      </c>
      <c r="H66" s="1603"/>
      <c r="I66" s="1602">
        <f>IF(fermeLaitière,INDEX(autoconsS1,MATCH(Champs!$B66,autoconsCulture,0)),0)</f>
        <v>0</v>
      </c>
      <c r="J66" s="1603"/>
      <c r="K66" s="1602">
        <f>IF(fermeLaitière,INDEX(autoconsS2,MATCH(Champs!$B66,autoconsCulture,0)),0)</f>
        <v>0</v>
      </c>
      <c r="L66" s="1603"/>
      <c r="M66" s="1602">
        <f>IF(fermeLaitière,INDEX(autoconsS3,MATCH(Champs!$B66,autoconsCulture,0)),0)</f>
        <v>0</v>
      </c>
      <c r="N66" s="1603"/>
      <c r="O66" s="1602">
        <f>IF(fermeLaitière,INDEX(autoconsS4,MATCH(Champs!$B66,autoconsCulture,0)),0)</f>
        <v>0</v>
      </c>
      <c r="P66" s="97"/>
      <c r="Q66" s="709">
        <f>IF(fermeLaitière,INDEX(autoconsS5,MATCH(Champs!$B66,autoconsCulture,0)),0)</f>
        <v>0</v>
      </c>
      <c r="R66" s="1692"/>
      <c r="S66" s="97"/>
    </row>
    <row r="67" spans="1:19" s="49" customFormat="1" hidden="1">
      <c r="A67" s="409" t="s">
        <v>297</v>
      </c>
      <c r="B67" s="412" t="s">
        <v>218</v>
      </c>
      <c r="D67" s="265" t="s">
        <v>218</v>
      </c>
      <c r="E67" s="1364" t="s">
        <v>244</v>
      </c>
      <c r="F67" s="623"/>
      <c r="G67" s="1940">
        <f>IF(fermeLaitière,INDEX(autoconsS0,MATCH(Champs!$B67,autoconsCulture,0)),0)</f>
        <v>0</v>
      </c>
      <c r="H67" s="1601"/>
      <c r="I67" s="1602">
        <f>IF(fermeLaitière,INDEX(autoconsS1,MATCH(Champs!$B67,autoconsCulture,0)),0)</f>
        <v>0</v>
      </c>
      <c r="J67" s="1601"/>
      <c r="K67" s="1602">
        <f>IF(fermeLaitière,INDEX(autoconsS2,MATCH(Champs!$B67,autoconsCulture,0)),0)</f>
        <v>0</v>
      </c>
      <c r="L67" s="1601"/>
      <c r="M67" s="1602">
        <f>IF(fermeLaitière,INDEX(autoconsS3,MATCH(Champs!$B67,autoconsCulture,0)),0)</f>
        <v>0</v>
      </c>
      <c r="N67" s="1601"/>
      <c r="O67" s="1602">
        <f>IF(fermeLaitière,INDEX(autoconsS4,MATCH(Champs!$B67,autoconsCulture,0)),0)</f>
        <v>0</v>
      </c>
      <c r="P67" s="992"/>
      <c r="Q67" s="709">
        <f>IF(fermeLaitière,INDEX(autoconsS5,MATCH(Champs!$B67,autoconsCulture,0)),0)</f>
        <v>0</v>
      </c>
      <c r="R67" s="1692"/>
      <c r="S67" s="97"/>
    </row>
    <row r="68" spans="1:19" s="49" customFormat="1" hidden="1">
      <c r="A68" s="409" t="s">
        <v>297</v>
      </c>
      <c r="B68" s="412" t="s">
        <v>1261</v>
      </c>
      <c r="D68" s="265" t="s">
        <v>1261</v>
      </c>
      <c r="E68" s="1364" t="s">
        <v>244</v>
      </c>
      <c r="F68" s="623"/>
      <c r="G68" s="1940">
        <f>IF(fermeLaitière,INDEX(autoconsS0,MATCH(Champs!$B68,autoconsCulture,0)),0)</f>
        <v>0</v>
      </c>
      <c r="H68" s="1601"/>
      <c r="I68" s="1602">
        <f>IF(fermeLaitière,INDEX(autoconsS1,MATCH(Champs!$B68,autoconsCulture,0)),0)</f>
        <v>0</v>
      </c>
      <c r="J68" s="1601"/>
      <c r="K68" s="1602">
        <f>IF(fermeLaitière,INDEX(autoconsS2,MATCH(Champs!$B68,autoconsCulture,0)),0)</f>
        <v>0</v>
      </c>
      <c r="L68" s="1601"/>
      <c r="M68" s="1602">
        <f>IF(fermeLaitière,INDEX(autoconsS3,MATCH(Champs!$B68,autoconsCulture,0)),0)</f>
        <v>0</v>
      </c>
      <c r="N68" s="1601"/>
      <c r="O68" s="1602">
        <f>IF(fermeLaitière,INDEX(autoconsS4,MATCH(Champs!$B68,autoconsCulture,0)),0)</f>
        <v>0</v>
      </c>
      <c r="P68" s="992"/>
      <c r="Q68" s="709">
        <f>IF(fermeLaitière,INDEX(autoconsS5,MATCH(Champs!$B68,autoconsCulture,0)),0)</f>
        <v>0</v>
      </c>
      <c r="R68" s="1692"/>
      <c r="S68" s="97"/>
    </row>
    <row r="69" spans="1:19" s="49" customFormat="1" hidden="1">
      <c r="A69" s="409" t="s">
        <v>297</v>
      </c>
      <c r="B69" s="412" t="s">
        <v>219</v>
      </c>
      <c r="D69" s="265" t="s">
        <v>219</v>
      </c>
      <c r="E69" s="1364" t="s">
        <v>244</v>
      </c>
      <c r="F69" s="623"/>
      <c r="G69" s="1940">
        <f>IF(fermeLaitière,INDEX(autoconsS0,MATCH(Champs!$B69,autoconsCulture,0)),0)</f>
        <v>0</v>
      </c>
      <c r="H69" s="1601"/>
      <c r="I69" s="1602">
        <f>IF(fermeLaitière,INDEX(autoconsS1,MATCH(Champs!$B69,autoconsCulture,0)),0)</f>
        <v>0</v>
      </c>
      <c r="J69" s="1601"/>
      <c r="K69" s="1602">
        <f>IF(fermeLaitière,INDEX(autoconsS2,MATCH(Champs!$B69,autoconsCulture,0)),0)</f>
        <v>0</v>
      </c>
      <c r="L69" s="1601"/>
      <c r="M69" s="1602">
        <f>IF(fermeLaitière,INDEX(autoconsS3,MATCH(Champs!$B69,autoconsCulture,0)),0)</f>
        <v>0</v>
      </c>
      <c r="N69" s="1601"/>
      <c r="O69" s="1602">
        <f>IF(fermeLaitière,INDEX(autoconsS4,MATCH(Champs!$B69,autoconsCulture,0)),0)</f>
        <v>0</v>
      </c>
      <c r="P69" s="992"/>
      <c r="Q69" s="709">
        <f>IF(fermeLaitière,INDEX(autoconsS5,MATCH(Champs!$B69,autoconsCulture,0)),0)</f>
        <v>0</v>
      </c>
      <c r="R69" s="1692"/>
      <c r="S69" s="97"/>
    </row>
    <row r="70" spans="1:19" s="1390" customFormat="1" hidden="1">
      <c r="A70" s="409" t="s">
        <v>297</v>
      </c>
      <c r="B70" s="412" t="s">
        <v>1262</v>
      </c>
      <c r="D70" s="265" t="s">
        <v>1262</v>
      </c>
      <c r="E70" s="1364" t="s">
        <v>244</v>
      </c>
      <c r="F70" s="623"/>
      <c r="G70" s="1940">
        <f>IF(fermeLaitière,INDEX(autoconsS0,MATCH(Champs!$B70,autoconsCulture,0)),0)</f>
        <v>0</v>
      </c>
      <c r="H70" s="1601"/>
      <c r="I70" s="1602">
        <f>IF(fermeLaitière,INDEX(autoconsS1,MATCH(Champs!$B70,autoconsCulture,0)),0)</f>
        <v>0</v>
      </c>
      <c r="J70" s="1601"/>
      <c r="K70" s="1602">
        <f>IF(fermeLaitière,INDEX(autoconsS2,MATCH(Champs!$B70,autoconsCulture,0)),0)</f>
        <v>0</v>
      </c>
      <c r="L70" s="1601"/>
      <c r="M70" s="1602">
        <f>IF(fermeLaitière,INDEX(autoconsS3,MATCH(Champs!$B70,autoconsCulture,0)),0)</f>
        <v>0</v>
      </c>
      <c r="N70" s="1601"/>
      <c r="O70" s="1602">
        <f>IF(fermeLaitière,INDEX(autoconsS4,MATCH(Champs!$B70,autoconsCulture,0)),0)</f>
        <v>0</v>
      </c>
      <c r="P70" s="992"/>
      <c r="Q70" s="709">
        <f>IF(fermeLaitière,INDEX(autoconsS5,MATCH(Champs!$B70,autoconsCulture,0)),0)</f>
        <v>0</v>
      </c>
      <c r="R70" s="1692"/>
      <c r="S70" s="97"/>
    </row>
    <row r="71" spans="1:19" s="49" customFormat="1" hidden="1">
      <c r="A71" s="409" t="s">
        <v>297</v>
      </c>
      <c r="B71" s="412" t="str">
        <f>nAutre1</f>
        <v>Autre #1</v>
      </c>
      <c r="D71" s="265" t="str">
        <f>nAutre1</f>
        <v>Autre #1</v>
      </c>
      <c r="E71" s="1364" t="s">
        <v>244</v>
      </c>
      <c r="F71" s="623"/>
      <c r="G71" s="1940">
        <f>IF(fermeLaitière,INDEX(autoconsS0,MATCH(Champs!$B71,autoconsCulture,0)),0)</f>
        <v>0</v>
      </c>
      <c r="H71" s="1601"/>
      <c r="I71" s="1602">
        <f>IF(fermeLaitière,INDEX(autoconsS1,MATCH(Champs!$B71,autoconsCulture,0)),0)</f>
        <v>0</v>
      </c>
      <c r="J71" s="1601"/>
      <c r="K71" s="1602">
        <f>IF(fermeLaitière,INDEX(autoconsS2,MATCH(Champs!$B71,autoconsCulture,0)),0)</f>
        <v>0</v>
      </c>
      <c r="L71" s="1601"/>
      <c r="M71" s="1602">
        <f>IF(fermeLaitière,INDEX(autoconsS3,MATCH(Champs!$B71,autoconsCulture,0)),0)</f>
        <v>0</v>
      </c>
      <c r="N71" s="1601"/>
      <c r="O71" s="1602">
        <f>IF(fermeLaitière,INDEX(autoconsS4,MATCH(Champs!$B71,autoconsCulture,0)),0)</f>
        <v>0</v>
      </c>
      <c r="P71" s="992"/>
      <c r="Q71" s="709">
        <f>IF(fermeLaitière,INDEX(autoconsS5,MATCH(Champs!$B71,autoconsCulture,0)),0)</f>
        <v>0</v>
      </c>
      <c r="R71" s="1692"/>
      <c r="S71" s="97"/>
    </row>
    <row r="72" spans="1:19" s="49" customFormat="1" hidden="1">
      <c r="A72" s="409" t="s">
        <v>297</v>
      </c>
      <c r="B72" s="412" t="str">
        <f>nAutre2</f>
        <v>Autre #2</v>
      </c>
      <c r="D72" s="265" t="str">
        <f>nAutre2</f>
        <v>Autre #2</v>
      </c>
      <c r="E72" s="1364" t="s">
        <v>244</v>
      </c>
      <c r="F72" s="623"/>
      <c r="G72" s="1940">
        <f>IF(fermeLaitière,INDEX(autoconsS0,MATCH(Champs!$B72,autoconsCulture,0)),0)</f>
        <v>0</v>
      </c>
      <c r="H72" s="1603"/>
      <c r="I72" s="1602">
        <f>IF(fermeLaitière,INDEX(autoconsS1,MATCH(Champs!$B72,autoconsCulture,0)),0)</f>
        <v>0</v>
      </c>
      <c r="J72" s="1603"/>
      <c r="K72" s="1602">
        <f>IF(fermeLaitière,INDEX(autoconsS2,MATCH(Champs!$B72,autoconsCulture,0)),0)</f>
        <v>0</v>
      </c>
      <c r="L72" s="1603"/>
      <c r="M72" s="1602">
        <f>IF(fermeLaitière,INDEX(autoconsS3,MATCH(Champs!$B72,autoconsCulture,0)),0)</f>
        <v>0</v>
      </c>
      <c r="N72" s="1603"/>
      <c r="O72" s="1602">
        <f>IF(fermeLaitière,INDEX(autoconsS4,MATCH(Champs!$B72,autoconsCulture,0)),0)</f>
        <v>0</v>
      </c>
      <c r="P72" s="97"/>
      <c r="Q72" s="709">
        <f>IF(fermeLaitière,INDEX(autoconsS5,MATCH(Champs!$B72,autoconsCulture,0)),0)</f>
        <v>0</v>
      </c>
      <c r="R72" s="1692"/>
      <c r="S72" s="97"/>
    </row>
    <row r="73" spans="1:19" s="49" customFormat="1" hidden="1">
      <c r="A73" s="409" t="s">
        <v>297</v>
      </c>
      <c r="B73" s="412" t="str">
        <f>nAutre3</f>
        <v>Autre #3</v>
      </c>
      <c r="D73" s="265" t="str">
        <f>nAutre3</f>
        <v>Autre #3</v>
      </c>
      <c r="E73" s="1364" t="s">
        <v>244</v>
      </c>
      <c r="F73" s="623"/>
      <c r="G73" s="1940">
        <f>IF(fermeLaitière,INDEX(autoconsS0,MATCH(Champs!$B73,autoconsCulture,0)),0)</f>
        <v>0</v>
      </c>
      <c r="H73" s="1603"/>
      <c r="I73" s="1602">
        <f>IF(fermeLaitière,INDEX(autoconsS1,MATCH(Champs!$B73,autoconsCulture,0)),0)</f>
        <v>0</v>
      </c>
      <c r="J73" s="1603"/>
      <c r="K73" s="1602">
        <f>IF(fermeLaitière,INDEX(autoconsS2,MATCH(Champs!$B73,autoconsCulture,0)),0)</f>
        <v>0</v>
      </c>
      <c r="L73" s="1603"/>
      <c r="M73" s="1602">
        <f>IF(fermeLaitière,INDEX(autoconsS3,MATCH(Champs!$B73,autoconsCulture,0)),0)</f>
        <v>0</v>
      </c>
      <c r="N73" s="1603"/>
      <c r="O73" s="1602">
        <f>IF(fermeLaitière,INDEX(autoconsS4,MATCH(Champs!$B73,autoconsCulture,0)),0)</f>
        <v>0</v>
      </c>
      <c r="P73" s="97"/>
      <c r="Q73" s="709">
        <f>IF(fermeLaitière,INDEX(autoconsS5,MATCH(Champs!$B73,autoconsCulture,0)),0)</f>
        <v>0</v>
      </c>
      <c r="R73" s="1692"/>
      <c r="S73" s="97"/>
    </row>
    <row r="74" spans="1:19" s="49" customFormat="1">
      <c r="A74" s="409"/>
      <c r="B74" s="412"/>
      <c r="E74" s="1365"/>
      <c r="F74" s="623"/>
      <c r="G74" s="623"/>
      <c r="H74" s="992"/>
      <c r="I74" s="1604"/>
      <c r="J74" s="992"/>
      <c r="K74" s="992"/>
      <c r="L74" s="992"/>
      <c r="M74" s="992"/>
      <c r="N74" s="992"/>
      <c r="O74" s="992"/>
      <c r="P74" s="992"/>
      <c r="Q74" s="992"/>
      <c r="R74" s="1692"/>
      <c r="S74" s="97"/>
    </row>
    <row r="75" spans="1:19" ht="19.5" thickBot="1">
      <c r="C75" s="806" t="s">
        <v>860</v>
      </c>
      <c r="D75" s="806"/>
      <c r="E75" s="1350"/>
      <c r="F75" s="624"/>
      <c r="G75" s="624"/>
      <c r="H75" s="1588"/>
      <c r="I75" s="1588"/>
      <c r="J75" s="1588"/>
      <c r="K75" s="1588"/>
      <c r="L75" s="1588"/>
      <c r="M75" s="1588"/>
      <c r="N75" s="1588"/>
      <c r="O75" s="1588"/>
      <c r="P75" s="1588"/>
      <c r="Q75" s="1588"/>
    </row>
    <row r="76" spans="1:19" s="54" customFormat="1" ht="12.75" thickTop="1">
      <c r="E76" s="1349"/>
      <c r="F76" s="1941"/>
      <c r="G76" s="1941"/>
      <c r="H76" s="990"/>
      <c r="I76" s="990"/>
      <c r="J76" s="990"/>
      <c r="K76" s="990"/>
      <c r="L76" s="990"/>
      <c r="M76" s="990"/>
      <c r="N76" s="990"/>
      <c r="O76" s="990"/>
      <c r="P76" s="990"/>
      <c r="Q76" s="990"/>
      <c r="R76" s="403"/>
    </row>
    <row r="77" spans="1:19" s="304" customFormat="1">
      <c r="D77" s="46" t="s">
        <v>862</v>
      </c>
      <c r="E77" s="1366" t="s">
        <v>1489</v>
      </c>
      <c r="F77" s="1942">
        <f>SUMIFS(F78:F87,PlanRotationS0,"&lt;&gt;")</f>
        <v>0</v>
      </c>
      <c r="G77" s="1942"/>
      <c r="H77" s="1605">
        <f>SUMIFS(H78:H87,PlanRotationS1,"&lt;&gt;")</f>
        <v>0</v>
      </c>
      <c r="I77" s="1606"/>
      <c r="J77" s="1607">
        <f>SUMIFS(J78:J87,PlanRotationS2,"&lt;&gt;")</f>
        <v>0</v>
      </c>
      <c r="K77" s="1606"/>
      <c r="L77" s="1607">
        <f>SUMIFS(L78:L87,PlanRotationS3,"&lt;&gt;")</f>
        <v>0</v>
      </c>
      <c r="M77" s="1606"/>
      <c r="N77" s="1607">
        <f>SUMIFS(N78:N87,PlanRotationS4,"&lt;&gt;")</f>
        <v>0</v>
      </c>
      <c r="O77" s="1606"/>
      <c r="P77" s="1607">
        <f>SUMIFS(P78:P87,PlanRotationS5,"&lt;&gt;")</f>
        <v>0</v>
      </c>
      <c r="Q77" s="1606"/>
      <c r="R77" s="1692"/>
      <c r="S77" s="97"/>
    </row>
    <row r="78" spans="1:19">
      <c r="D78" s="763" t="s">
        <v>809</v>
      </c>
      <c r="E78" s="1367" t="s">
        <v>1490</v>
      </c>
      <c r="F78" s="1916"/>
      <c r="H78" s="1610"/>
      <c r="I78" s="1609"/>
      <c r="J78" s="1610"/>
      <c r="K78" s="1609"/>
      <c r="L78" s="1610"/>
      <c r="M78" s="1609"/>
      <c r="N78" s="1610"/>
      <c r="O78" s="1609"/>
      <c r="P78" s="1610"/>
      <c r="Q78" s="2064"/>
      <c r="R78" s="29"/>
      <c r="S78" s="29"/>
    </row>
    <row r="79" spans="1:19">
      <c r="D79" s="763" t="s">
        <v>810</v>
      </c>
      <c r="E79" s="1367" t="s">
        <v>1490</v>
      </c>
      <c r="F79" s="1916"/>
      <c r="H79" s="1610"/>
      <c r="I79" s="1609"/>
      <c r="J79" s="1610"/>
      <c r="K79" s="1609"/>
      <c r="L79" s="1610"/>
      <c r="M79" s="1609"/>
      <c r="N79" s="1610"/>
      <c r="O79" s="1609"/>
      <c r="P79" s="1610"/>
      <c r="Q79" s="2064"/>
      <c r="R79" s="29"/>
      <c r="S79" s="29"/>
    </row>
    <row r="80" spans="1:19">
      <c r="D80" s="763" t="s">
        <v>811</v>
      </c>
      <c r="E80" s="1367" t="s">
        <v>1490</v>
      </c>
      <c r="F80" s="1916"/>
      <c r="H80" s="1610"/>
      <c r="I80" s="1609"/>
      <c r="J80" s="1610"/>
      <c r="K80" s="1609"/>
      <c r="L80" s="1610"/>
      <c r="M80" s="1609"/>
      <c r="N80" s="1610"/>
      <c r="O80" s="1609"/>
      <c r="P80" s="1610"/>
      <c r="Q80" s="2064"/>
      <c r="R80" s="29"/>
      <c r="S80" s="29"/>
    </row>
    <row r="81" spans="2:19">
      <c r="D81" s="763" t="s">
        <v>812</v>
      </c>
      <c r="E81" s="1367" t="s">
        <v>1490</v>
      </c>
      <c r="F81" s="1916"/>
      <c r="H81" s="1610"/>
      <c r="I81" s="1609"/>
      <c r="J81" s="1610"/>
      <c r="K81" s="1609"/>
      <c r="L81" s="1610"/>
      <c r="M81" s="1609"/>
      <c r="N81" s="1610"/>
      <c r="O81" s="1609"/>
      <c r="P81" s="1610"/>
      <c r="Q81" s="2064"/>
      <c r="R81" s="29"/>
      <c r="S81" s="29"/>
    </row>
    <row r="82" spans="2:19">
      <c r="D82" s="763" t="s">
        <v>813</v>
      </c>
      <c r="E82" s="1367" t="s">
        <v>1490</v>
      </c>
      <c r="F82" s="1916"/>
      <c r="H82" s="1610"/>
      <c r="I82" s="1609"/>
      <c r="J82" s="1610"/>
      <c r="K82" s="1609"/>
      <c r="L82" s="1610"/>
      <c r="M82" s="1609"/>
      <c r="N82" s="1610"/>
      <c r="O82" s="1609"/>
      <c r="P82" s="1610"/>
      <c r="Q82" s="2064"/>
      <c r="R82" s="29"/>
      <c r="S82" s="29"/>
    </row>
    <row r="83" spans="2:19">
      <c r="D83" s="763" t="s">
        <v>814</v>
      </c>
      <c r="E83" s="1367" t="s">
        <v>1490</v>
      </c>
      <c r="F83" s="1916"/>
      <c r="H83" s="1610"/>
      <c r="I83" s="1609"/>
      <c r="J83" s="1610"/>
      <c r="K83" s="1609"/>
      <c r="L83" s="1610"/>
      <c r="M83" s="1609"/>
      <c r="N83" s="1610"/>
      <c r="O83" s="1609"/>
      <c r="P83" s="1610"/>
      <c r="Q83" s="2064"/>
      <c r="R83" s="29"/>
      <c r="S83" s="29"/>
    </row>
    <row r="84" spans="2:19">
      <c r="D84" s="763" t="s">
        <v>815</v>
      </c>
      <c r="E84" s="1367" t="s">
        <v>1490</v>
      </c>
      <c r="F84" s="1916"/>
      <c r="H84" s="1610"/>
      <c r="I84" s="1609"/>
      <c r="J84" s="1610"/>
      <c r="K84" s="1609"/>
      <c r="L84" s="1610"/>
      <c r="M84" s="1609"/>
      <c r="N84" s="1610"/>
      <c r="O84" s="1609"/>
      <c r="P84" s="1610"/>
      <c r="Q84" s="2064"/>
      <c r="R84" s="29"/>
      <c r="S84" s="29"/>
    </row>
    <row r="85" spans="2:19">
      <c r="D85" s="763" t="s">
        <v>816</v>
      </c>
      <c r="E85" s="1367" t="s">
        <v>1490</v>
      </c>
      <c r="F85" s="1916"/>
      <c r="H85" s="1610"/>
      <c r="I85" s="1609"/>
      <c r="J85" s="1610"/>
      <c r="K85" s="1609"/>
      <c r="L85" s="1610"/>
      <c r="M85" s="1609"/>
      <c r="N85" s="1610"/>
      <c r="O85" s="1609"/>
      <c r="P85" s="1610"/>
      <c r="Q85" s="2064"/>
      <c r="R85" s="29"/>
      <c r="S85" s="29"/>
    </row>
    <row r="86" spans="2:19">
      <c r="D86" s="763" t="s">
        <v>817</v>
      </c>
      <c r="E86" s="1367" t="s">
        <v>1490</v>
      </c>
      <c r="F86" s="1916"/>
      <c r="H86" s="1610"/>
      <c r="I86" s="1609"/>
      <c r="J86" s="1610"/>
      <c r="K86" s="1609"/>
      <c r="L86" s="1610"/>
      <c r="M86" s="1609"/>
      <c r="N86" s="1610"/>
      <c r="O86" s="1609"/>
      <c r="P86" s="1610"/>
      <c r="Q86" s="2064"/>
      <c r="R86" s="29"/>
      <c r="S86" s="29"/>
    </row>
    <row r="87" spans="2:19">
      <c r="D87" s="763" t="s">
        <v>818</v>
      </c>
      <c r="E87" s="1367" t="s">
        <v>1490</v>
      </c>
      <c r="F87" s="1916"/>
      <c r="H87" s="1610"/>
      <c r="I87" s="1609"/>
      <c r="J87" s="1610"/>
      <c r="K87" s="1609"/>
      <c r="L87" s="1610"/>
      <c r="M87" s="1609"/>
      <c r="N87" s="1610"/>
      <c r="O87" s="1609"/>
      <c r="P87" s="1610"/>
      <c r="Q87" s="2064"/>
      <c r="R87" s="29"/>
      <c r="S87" s="29"/>
    </row>
    <row r="88" spans="2:19">
      <c r="D88" s="30"/>
      <c r="F88" s="1916"/>
      <c r="G88" s="623"/>
      <c r="H88" s="991"/>
      <c r="I88" s="992"/>
      <c r="J88" s="991"/>
      <c r="K88" s="992"/>
      <c r="L88" s="991"/>
      <c r="M88" s="992"/>
      <c r="N88" s="991"/>
      <c r="O88" s="992"/>
      <c r="P88" s="991"/>
      <c r="Q88" s="992"/>
    </row>
    <row r="89" spans="2:19" ht="19.5" thickBot="1">
      <c r="B89" s="412" t="s">
        <v>2</v>
      </c>
      <c r="C89" s="806" t="s">
        <v>257</v>
      </c>
      <c r="D89" s="806"/>
      <c r="E89" s="1350"/>
      <c r="F89" s="1922"/>
      <c r="G89" s="1923"/>
      <c r="H89" s="1588"/>
      <c r="I89" s="1588"/>
      <c r="J89" s="1588"/>
      <c r="K89" s="1588"/>
      <c r="L89" s="1588"/>
      <c r="M89" s="1588"/>
      <c r="N89" s="1588"/>
      <c r="O89" s="1588"/>
      <c r="P89" s="1588"/>
      <c r="Q89" s="1588"/>
    </row>
    <row r="90" spans="2:19" s="54" customFormat="1" ht="15" thickTop="1">
      <c r="B90" s="412" t="s">
        <v>2</v>
      </c>
      <c r="E90" s="1349"/>
      <c r="F90" s="1941"/>
      <c r="G90" s="1941"/>
      <c r="H90" s="990"/>
      <c r="I90" s="990"/>
      <c r="J90" s="990"/>
      <c r="K90" s="990"/>
      <c r="L90" s="990"/>
      <c r="M90" s="990"/>
      <c r="N90" s="990"/>
      <c r="O90" s="990"/>
      <c r="P90" s="990"/>
      <c r="Q90" s="990"/>
      <c r="R90" s="403"/>
    </row>
    <row r="91" spans="2:19" s="304" customFormat="1">
      <c r="B91" s="412" t="s">
        <v>2</v>
      </c>
      <c r="D91" s="46" t="s">
        <v>862</v>
      </c>
      <c r="E91" s="1366" t="s">
        <v>1489</v>
      </c>
      <c r="F91" s="1942">
        <f>SUMIFS(F92:F101,PlanRotationPaturageS0,"&lt;&gt;")</f>
        <v>0</v>
      </c>
      <c r="G91" s="1942">
        <f>SUMPRODUCT((PlanRotationPaturageS0&lt;&gt;"")/COUNTIF(PlanRotationPaturageS0,PlanRotationPaturageS0&amp;""))</f>
        <v>1</v>
      </c>
      <c r="H91" s="1605">
        <f>SUMIFS(H92:H101,PlanRotationPaturageS1,"&lt;&gt;")</f>
        <v>0</v>
      </c>
      <c r="I91" s="1606">
        <f>SUMPRODUCT((PlanRotationPaturageS1&lt;&gt;"")/COUNTIF(PlanRotationPaturageS1,PlanRotationPaturageS1&amp;""))</f>
        <v>0</v>
      </c>
      <c r="J91" s="1607">
        <f>SUMIFS(J92:J101,PlanRotationPaturageS2,"&lt;&gt;")</f>
        <v>0</v>
      </c>
      <c r="K91" s="1606">
        <f>SUMPRODUCT((PlanRotationPaturageS2&lt;&gt;"")/COUNTIF(PlanRotationPaturageS2,PlanRotationPaturageS2&amp;""))</f>
        <v>0</v>
      </c>
      <c r="L91" s="1607">
        <f>SUMIFS(L92:L101,PlanRotationPaturageS3,"&lt;&gt;")</f>
        <v>0</v>
      </c>
      <c r="M91" s="1606">
        <f>SUMPRODUCT((PlanRotationPaturageS3&lt;&gt;"")/COUNTIF(PlanRotationPaturageS3,PlanRotationPaturageS3&amp;""))</f>
        <v>0</v>
      </c>
      <c r="N91" s="1607">
        <f>SUMIFS(N92:N101,PlanRotationPaturageS4,"&lt;&gt;")</f>
        <v>0</v>
      </c>
      <c r="O91" s="1606">
        <f>SUMPRODUCT((PlanRotationPaturageS4&lt;&gt;"")/COUNTIF(PlanRotationPaturageS4,PlanRotationPaturageS4&amp;""))</f>
        <v>0</v>
      </c>
      <c r="P91" s="1607">
        <f>SUMIFS(P92:P101,PlanRotationPaturageS5,"&lt;&gt;")</f>
        <v>0</v>
      </c>
      <c r="Q91" s="1606">
        <f>SUMPRODUCT((PlanRotationPaturageS5&lt;&gt;"")/COUNTIF(PlanRotationPaturageS5,PlanRotationPaturageS5&amp;""))</f>
        <v>0</v>
      </c>
      <c r="R91" s="1692"/>
      <c r="S91" s="97"/>
    </row>
    <row r="92" spans="2:19">
      <c r="B92" s="412" t="s">
        <v>2</v>
      </c>
      <c r="D92" s="780" t="s">
        <v>809</v>
      </c>
      <c r="E92" s="1368" t="s">
        <v>1490</v>
      </c>
      <c r="F92" s="1943">
        <f>IF(OR(ISBLANK(G92),G92=0),0,IFERROR(G$38/COUNTIF(PlanRotationPaturageS0,$B92),0))</f>
        <v>0</v>
      </c>
      <c r="G92" s="644" t="str">
        <f>IF(fermeLaitière,$B92,"")</f>
        <v>Pâturage</v>
      </c>
      <c r="H92" s="1610"/>
      <c r="I92" s="1038"/>
      <c r="J92" s="1608"/>
      <c r="K92" s="1609"/>
      <c r="L92" s="1610"/>
      <c r="M92" s="1038"/>
      <c r="N92" s="1608"/>
      <c r="O92" s="1609"/>
      <c r="P92" s="1610"/>
      <c r="Q92" s="1611"/>
      <c r="R92" s="29"/>
      <c r="S92" s="29"/>
    </row>
    <row r="93" spans="2:19">
      <c r="B93" s="412" t="s">
        <v>2</v>
      </c>
      <c r="D93" s="780" t="s">
        <v>810</v>
      </c>
      <c r="E93" s="1368" t="s">
        <v>1490</v>
      </c>
      <c r="F93" s="1943"/>
      <c r="H93" s="1610"/>
      <c r="I93" s="1038"/>
      <c r="J93" s="1608"/>
      <c r="K93" s="1609"/>
      <c r="L93" s="1610"/>
      <c r="M93" s="1038"/>
      <c r="N93" s="1608"/>
      <c r="O93" s="1609"/>
      <c r="P93" s="1610"/>
      <c r="Q93" s="1611"/>
      <c r="R93" s="29"/>
      <c r="S93" s="29"/>
    </row>
    <row r="94" spans="2:19">
      <c r="B94" s="412" t="s">
        <v>2</v>
      </c>
      <c r="D94" s="780" t="s">
        <v>811</v>
      </c>
      <c r="E94" s="1368" t="s">
        <v>1490</v>
      </c>
      <c r="F94" s="1943"/>
      <c r="H94" s="1610"/>
      <c r="I94" s="1038"/>
      <c r="J94" s="1608"/>
      <c r="K94" s="1609"/>
      <c r="L94" s="1610"/>
      <c r="M94" s="1038"/>
      <c r="N94" s="1608"/>
      <c r="O94" s="1609"/>
      <c r="P94" s="1610"/>
      <c r="Q94" s="1611"/>
      <c r="R94" s="29"/>
      <c r="S94" s="29"/>
    </row>
    <row r="95" spans="2:19">
      <c r="B95" s="412" t="s">
        <v>2</v>
      </c>
      <c r="D95" s="780" t="s">
        <v>812</v>
      </c>
      <c r="E95" s="1368" t="s">
        <v>1490</v>
      </c>
      <c r="F95" s="1943"/>
      <c r="H95" s="1610"/>
      <c r="I95" s="1038"/>
      <c r="J95" s="1608"/>
      <c r="K95" s="1609"/>
      <c r="L95" s="1610"/>
      <c r="M95" s="1038"/>
      <c r="N95" s="1608"/>
      <c r="O95" s="1609"/>
      <c r="P95" s="1610"/>
      <c r="Q95" s="1611"/>
      <c r="R95" s="29"/>
      <c r="S95" s="29"/>
    </row>
    <row r="96" spans="2:19">
      <c r="B96" s="412" t="s">
        <v>2</v>
      </c>
      <c r="D96" s="780" t="s">
        <v>813</v>
      </c>
      <c r="E96" s="1368" t="s">
        <v>1490</v>
      </c>
      <c r="F96" s="1943"/>
      <c r="H96" s="1610"/>
      <c r="I96" s="1038"/>
      <c r="J96" s="1608"/>
      <c r="K96" s="1609"/>
      <c r="L96" s="1610"/>
      <c r="M96" s="1038"/>
      <c r="N96" s="1608"/>
      <c r="O96" s="1609"/>
      <c r="P96" s="1610"/>
      <c r="Q96" s="1611"/>
      <c r="R96" s="29"/>
      <c r="S96" s="29"/>
    </row>
    <row r="97" spans="1:19">
      <c r="B97" s="412" t="s">
        <v>2</v>
      </c>
      <c r="D97" s="780" t="s">
        <v>814</v>
      </c>
      <c r="E97" s="1368" t="s">
        <v>1490</v>
      </c>
      <c r="F97" s="1943"/>
      <c r="H97" s="1610"/>
      <c r="I97" s="1038"/>
      <c r="J97" s="1608"/>
      <c r="K97" s="1609"/>
      <c r="L97" s="1610"/>
      <c r="M97" s="1038"/>
      <c r="N97" s="1608"/>
      <c r="O97" s="1609"/>
      <c r="P97" s="1610"/>
      <c r="Q97" s="1611"/>
      <c r="R97" s="29"/>
      <c r="S97" s="29"/>
    </row>
    <row r="98" spans="1:19">
      <c r="B98" s="412" t="s">
        <v>2</v>
      </c>
      <c r="D98" s="780" t="s">
        <v>815</v>
      </c>
      <c r="E98" s="1368" t="s">
        <v>1490</v>
      </c>
      <c r="F98" s="1943"/>
      <c r="H98" s="1610"/>
      <c r="I98" s="1038"/>
      <c r="J98" s="1608"/>
      <c r="K98" s="1609"/>
      <c r="L98" s="1610"/>
      <c r="M98" s="1038"/>
      <c r="N98" s="1608"/>
      <c r="O98" s="1609"/>
      <c r="P98" s="1610"/>
      <c r="Q98" s="1611"/>
      <c r="R98" s="29"/>
      <c r="S98" s="29"/>
    </row>
    <row r="99" spans="1:19">
      <c r="B99" s="412" t="s">
        <v>2</v>
      </c>
      <c r="D99" s="780" t="s">
        <v>816</v>
      </c>
      <c r="E99" s="1368" t="s">
        <v>1490</v>
      </c>
      <c r="F99" s="1943"/>
      <c r="H99" s="1610"/>
      <c r="I99" s="1038"/>
      <c r="J99" s="1608"/>
      <c r="K99" s="1609"/>
      <c r="L99" s="1610"/>
      <c r="M99" s="1038"/>
      <c r="N99" s="1608"/>
      <c r="O99" s="1609"/>
      <c r="P99" s="1610"/>
      <c r="Q99" s="1611"/>
      <c r="R99" s="29"/>
      <c r="S99" s="29"/>
    </row>
    <row r="100" spans="1:19">
      <c r="B100" s="412" t="s">
        <v>2</v>
      </c>
      <c r="D100" s="780" t="s">
        <v>817</v>
      </c>
      <c r="E100" s="1368" t="s">
        <v>1490</v>
      </c>
      <c r="F100" s="1943"/>
      <c r="H100" s="1610"/>
      <c r="I100" s="1038"/>
      <c r="J100" s="1608"/>
      <c r="K100" s="1609"/>
      <c r="L100" s="1610"/>
      <c r="M100" s="1038"/>
      <c r="N100" s="1608"/>
      <c r="O100" s="1609"/>
      <c r="P100" s="1610"/>
      <c r="Q100" s="1611"/>
      <c r="R100" s="29"/>
      <c r="S100" s="29"/>
    </row>
    <row r="101" spans="1:19">
      <c r="B101" s="412" t="s">
        <v>2</v>
      </c>
      <c r="D101" s="780" t="s">
        <v>818</v>
      </c>
      <c r="E101" s="1368" t="s">
        <v>1490</v>
      </c>
      <c r="F101" s="1943"/>
      <c r="H101" s="1610"/>
      <c r="I101" s="1038"/>
      <c r="J101" s="1608"/>
      <c r="K101" s="1609"/>
      <c r="L101" s="1610"/>
      <c r="M101" s="1038"/>
      <c r="N101" s="1608"/>
      <c r="O101" s="1609"/>
      <c r="P101" s="1610"/>
      <c r="Q101" s="1611"/>
      <c r="R101" s="29"/>
      <c r="S101" s="29"/>
    </row>
    <row r="102" spans="1:19">
      <c r="B102" s="412" t="s">
        <v>2</v>
      </c>
      <c r="E102" s="1365"/>
      <c r="F102" s="1916"/>
      <c r="G102" s="623"/>
      <c r="H102" s="991"/>
      <c r="I102" s="992"/>
      <c r="J102" s="991"/>
      <c r="K102" s="992"/>
      <c r="L102" s="991"/>
      <c r="M102" s="992"/>
      <c r="N102" s="991"/>
      <c r="O102" s="992"/>
      <c r="P102" s="991"/>
      <c r="Q102" s="992"/>
    </row>
    <row r="103" spans="1:19" ht="19.5" thickBot="1">
      <c r="C103" s="806" t="s">
        <v>287</v>
      </c>
      <c r="D103" s="806"/>
      <c r="E103" s="1350"/>
      <c r="F103" s="624"/>
      <c r="G103" s="624"/>
      <c r="H103" s="1588"/>
      <c r="I103" s="1588"/>
      <c r="J103" s="1588"/>
      <c r="K103" s="1588"/>
      <c r="L103" s="1588"/>
      <c r="M103" s="1588"/>
      <c r="N103" s="1588"/>
      <c r="O103" s="1588"/>
      <c r="P103" s="1588"/>
      <c r="Q103" s="1588"/>
    </row>
    <row r="104" spans="1:19" s="46" customFormat="1" ht="15" thickTop="1">
      <c r="A104" s="409"/>
      <c r="B104" s="412"/>
      <c r="D104" s="345" t="s">
        <v>858</v>
      </c>
      <c r="E104" s="2089" t="s">
        <v>1002</v>
      </c>
      <c r="F104" s="1944"/>
      <c r="G104" s="1944"/>
      <c r="H104" s="992"/>
      <c r="I104" s="992"/>
      <c r="J104" s="992"/>
      <c r="K104" s="992"/>
      <c r="L104" s="992"/>
      <c r="M104" s="992"/>
      <c r="N104" s="992"/>
      <c r="O104" s="992"/>
      <c r="P104" s="992"/>
      <c r="Q104" s="992"/>
      <c r="R104" s="1692"/>
      <c r="S104" s="97"/>
    </row>
    <row r="105" spans="1:19" ht="25.5">
      <c r="C105" s="470"/>
      <c r="D105" s="2090" t="s">
        <v>1495</v>
      </c>
      <c r="E105" s="1365"/>
      <c r="F105" s="733"/>
      <c r="G105" s="623"/>
      <c r="H105" s="993"/>
      <c r="I105" s="992"/>
      <c r="J105" s="993"/>
      <c r="K105" s="992"/>
      <c r="L105" s="993"/>
      <c r="M105" s="992"/>
      <c r="N105" s="993"/>
      <c r="O105" s="992"/>
      <c r="P105" s="993"/>
      <c r="Q105" s="992"/>
      <c r="R105" s="1692"/>
    </row>
    <row r="106" spans="1:19">
      <c r="B106" s="412" t="str">
        <f t="shared" ref="B106:B111" si="0">D$106</f>
        <v>Pâturage</v>
      </c>
      <c r="C106" s="2087" t="s">
        <v>275</v>
      </c>
      <c r="D106" s="833" t="s">
        <v>2</v>
      </c>
      <c r="E106" s="1369" t="s">
        <v>224</v>
      </c>
      <c r="F106" s="1945" t="str">
        <f>IFERROR(G106/G$248,"")</f>
        <v/>
      </c>
      <c r="G106" s="1946">
        <f>SUMIFS(F$92:F$101,PlanRotationPaturageS0,$B106)+SUMIFS(F$78:F$87,PlanRotationS0,$B106)</f>
        <v>0</v>
      </c>
      <c r="H106" s="836" t="str">
        <f>IFERROR(I106/I$248,"")</f>
        <v/>
      </c>
      <c r="I106" s="843">
        <f>SUMIFS(H$92:H$101,PlanRotationPaturageS1,$B106)+SUMIFS(H$78:H$87,PlanRotationS1,$B106)</f>
        <v>0</v>
      </c>
      <c r="J106" s="836" t="str">
        <f>IFERROR(K106/K$248,"")</f>
        <v/>
      </c>
      <c r="K106" s="843">
        <f>SUMIFS(J$92:J$101,PlanRotationPaturageS2,$B106)+SUMIFS(J$78:J$87,PlanRotationS2,$B106)</f>
        <v>0</v>
      </c>
      <c r="L106" s="841" t="str">
        <f>IFERROR(M106/M$248,"")</f>
        <v/>
      </c>
      <c r="M106" s="843">
        <f>SUMIFS(L$92:L$101,PlanRotationPaturageS3,$B106)+SUMIFS(L$78:L$87,PlanRotationS3,$B106)</f>
        <v>0</v>
      </c>
      <c r="N106" s="841" t="str">
        <f>IFERROR(O106/O$248,"")</f>
        <v/>
      </c>
      <c r="O106" s="843">
        <f>SUMIFS(N$92:N$101,PlanRotationPaturageS4,$B106)+SUMIFS(N$78:N$87,PlanRotationS4,$B106)</f>
        <v>0</v>
      </c>
      <c r="P106" s="841" t="str">
        <f>IFERROR(Q106/Q$248,"")</f>
        <v/>
      </c>
      <c r="Q106" s="843">
        <f>SUMIFS(P$92:P$101,PlanRotationPaturageS5,$B106)+SUMIFS(P$78:P$87,PlanRotationS5,$B106)</f>
        <v>0</v>
      </c>
      <c r="S106" s="2084" t="s">
        <v>220</v>
      </c>
    </row>
    <row r="107" spans="1:19">
      <c r="B107" s="412" t="str">
        <f t="shared" si="0"/>
        <v>Pâturage</v>
      </c>
      <c r="C107" s="746"/>
      <c r="D107" s="781" t="s">
        <v>1171</v>
      </c>
      <c r="E107" s="1368" t="s">
        <v>254</v>
      </c>
      <c r="F107" s="1947"/>
      <c r="G107" s="1946">
        <f ca="1">OFFSET(RéfChamps!$BA$55,0,IF(ProdS0="Biologique",0,3))</f>
        <v>191.56360716268659</v>
      </c>
      <c r="H107" s="1814"/>
      <c r="I107" s="1815">
        <f ca="1">OFFSET(RéfChamps!$BA$55,0,IF(ProdS1="Biologique",0,3))</f>
        <v>299.8780137</v>
      </c>
      <c r="J107" s="1816"/>
      <c r="K107" s="1815">
        <f ca="1">OFFSET(RéfChamps!$BA$55,0,IF(ProdS2="Biologique",0,3))</f>
        <v>191.56360716268659</v>
      </c>
      <c r="L107" s="1000"/>
      <c r="M107" s="1815">
        <f ca="1">OFFSET(RéfChamps!$BA$55,0,IF(ProdS3="Biologique",0,3))</f>
        <v>191.56360716268659</v>
      </c>
      <c r="N107" s="1000"/>
      <c r="O107" s="1815">
        <f ca="1">OFFSET(RéfChamps!$BA$55,0,IF(ProdS4="Biologique",0,3))</f>
        <v>191.56360716268659</v>
      </c>
      <c r="P107" s="1000"/>
      <c r="Q107" s="1815">
        <f ca="1">OFFSET(RéfChamps!$BA$55,0,IF(ProdS5="Biologique",0,3))</f>
        <v>191.56360716268659</v>
      </c>
      <c r="S107" s="98"/>
    </row>
    <row r="108" spans="1:19">
      <c r="B108" s="412" t="str">
        <f t="shared" si="0"/>
        <v>Pâturage</v>
      </c>
      <c r="D108" s="781" t="s">
        <v>285</v>
      </c>
      <c r="E108" s="1368" t="s">
        <v>223</v>
      </c>
      <c r="F108" s="1945"/>
      <c r="G108" s="1948">
        <f>G37</f>
        <v>3.827</v>
      </c>
      <c r="H108" s="1817"/>
      <c r="I108" s="1818">
        <f>I37</f>
        <v>3.827</v>
      </c>
      <c r="J108" s="1819"/>
      <c r="K108" s="1818">
        <f>K37</f>
        <v>3.827</v>
      </c>
      <c r="L108" s="1820"/>
      <c r="M108" s="1818">
        <f>M37</f>
        <v>3.827</v>
      </c>
      <c r="N108" s="1820"/>
      <c r="O108" s="1818">
        <f>O37</f>
        <v>3.827</v>
      </c>
      <c r="P108" s="1820"/>
      <c r="Q108" s="1818">
        <f>Q37</f>
        <v>3.827</v>
      </c>
    </row>
    <row r="109" spans="1:19" ht="16.5">
      <c r="B109" s="412" t="str">
        <f t="shared" si="0"/>
        <v>Pâturage</v>
      </c>
      <c r="D109" s="781" t="s">
        <v>282</v>
      </c>
      <c r="E109" s="1368" t="s">
        <v>254</v>
      </c>
      <c r="F109" s="1949"/>
      <c r="G109" s="1946">
        <f ca="1">SUMPRODUCT(OFFSET(RéfChamps!$AY$5:$AY$9,0,IF(ProdS0="Biologique",0,3)),OFFSET(RéfChamps!$AZ$5:$AZ$9,0,IF(PrixS0="Biologique",0,3)))</f>
        <v>428.62400000000002</v>
      </c>
      <c r="H109" s="995"/>
      <c r="I109" s="1815">
        <f ca="1">SUMPRODUCT(OFFSET(RéfChamps!$AY$5:$AY$9,0,IF(ProdS1="Biologique",0,3)),OFFSET(RéfChamps!$AZ$5:$AZ$9,0,IF(PrixS1="Biologique",0,3)))</f>
        <v>428.62400000000002</v>
      </c>
      <c r="J109" s="1821"/>
      <c r="K109" s="1815">
        <f ca="1">SUMPRODUCT(OFFSET(RéfChamps!$AY$5:$AY$9,0,IF(ProdS2="Biologique",0,3)),OFFSET(RéfChamps!$AZ$5:$AZ$9,0,IF(PrixS2="Biologique",0,3)))</f>
        <v>428.62400000000002</v>
      </c>
      <c r="L109" s="1000"/>
      <c r="M109" s="1815">
        <f ca="1">SUMPRODUCT(OFFSET(RéfChamps!$AY$5:$AY$9,0,IF(ProdS3="Biologique",0,3)),OFFSET(RéfChamps!$AZ$5:$AZ$9,0,IF(PrixS3="Biologique",0,3)))</f>
        <v>428.62400000000002</v>
      </c>
      <c r="N109" s="1000"/>
      <c r="O109" s="1815">
        <f ca="1">SUMPRODUCT(OFFSET(RéfChamps!$AY$5:$AY$9,0,IF(ProdS4="Biologique",0,3)),OFFSET(RéfChamps!$AZ$5:$AZ$9,0,IF(PrixS4="Biologique",0,3)))</f>
        <v>428.62400000000002</v>
      </c>
      <c r="P109" s="1000"/>
      <c r="Q109" s="1815">
        <f ca="1">SUMPRODUCT(OFFSET(RéfChamps!$AY$5:$AY$9,0,IF(ProdS5="Biologique",0,3)),OFFSET(RéfChamps!$AZ$5:$AZ$9,0,IF(PrixS5="Biologique",0,3)))</f>
        <v>428.62400000000002</v>
      </c>
    </row>
    <row r="110" spans="1:19" s="28" customFormat="1" ht="17.25" thickBot="1">
      <c r="A110" s="413"/>
      <c r="B110" s="430" t="str">
        <f t="shared" si="0"/>
        <v>Pâturage</v>
      </c>
      <c r="C110" s="32"/>
      <c r="D110" s="782" t="s">
        <v>306</v>
      </c>
      <c r="E110" s="1355" t="s">
        <v>286</v>
      </c>
      <c r="F110" s="1949"/>
      <c r="G110" s="1946">
        <f ca="1">OFFSET(RéfChamps!$BA$82,0,IF(ProdS0="Biologique",0,3))/G108</f>
        <v>32.66266004703423</v>
      </c>
      <c r="H110" s="1814"/>
      <c r="I110" s="1815">
        <f ca="1">OFFSET(RéfChamps!$BA$82,0,IF(ProdS1="Biologique",0,3))/I108</f>
        <v>41.28560229945127</v>
      </c>
      <c r="J110" s="1816"/>
      <c r="K110" s="1815">
        <f ca="1">OFFSET(RéfChamps!$BA$82,0,IF(ProdS2="Biologique",0,3))/K108</f>
        <v>32.66266004703423</v>
      </c>
      <c r="L110" s="1000"/>
      <c r="M110" s="1815">
        <f ca="1">OFFSET(RéfChamps!$BA$82,0,IF(ProdS3="Biologique",0,3))/M108</f>
        <v>32.66266004703423</v>
      </c>
      <c r="N110" s="1000"/>
      <c r="O110" s="1815">
        <f ca="1">OFFSET(RéfChamps!$BA$82,0,IF(ProdS4="Biologique",0,3))/O108</f>
        <v>32.66266004703423</v>
      </c>
      <c r="P110" s="1000"/>
      <c r="Q110" s="1815">
        <f ca="1">OFFSET(RéfChamps!$BA$82,0,IF(ProdS5="Biologique",0,3))/Q108</f>
        <v>32.66266004703423</v>
      </c>
      <c r="R110" s="1696"/>
    </row>
    <row r="111" spans="1:19" s="28" customFormat="1" ht="15" thickTop="1">
      <c r="A111" s="411"/>
      <c r="B111" s="430" t="str">
        <f t="shared" si="0"/>
        <v>Pâturage</v>
      </c>
      <c r="C111" s="32"/>
      <c r="D111" s="2098" t="s">
        <v>1151</v>
      </c>
      <c r="E111" s="1355"/>
      <c r="F111" s="1950"/>
      <c r="G111" s="1946"/>
      <c r="H111" s="1822"/>
      <c r="I111" s="1074"/>
      <c r="J111" s="1823"/>
      <c r="K111" s="1074"/>
      <c r="L111" s="1075"/>
      <c r="M111" s="1074"/>
      <c r="N111" s="1075"/>
      <c r="O111" s="1074"/>
      <c r="P111" s="1075"/>
      <c r="Q111" s="1074"/>
      <c r="R111" s="1696"/>
    </row>
    <row r="112" spans="1:19">
      <c r="B112" s="412" t="str">
        <f t="shared" ref="B112:B117" si="1">D$112</f>
        <v>Prairies</v>
      </c>
      <c r="C112" s="2088" t="s">
        <v>275</v>
      </c>
      <c r="D112" s="832" t="s">
        <v>142</v>
      </c>
      <c r="E112" s="1370" t="s">
        <v>224</v>
      </c>
      <c r="F112" s="1945" t="str">
        <f>IFERROR(G112/G$248,"")</f>
        <v/>
      </c>
      <c r="G112" s="1946">
        <f>SUMIFS(F$92:F$101,PlanRotationPaturageS0,$B112)+SUMIFS(F$78:F$87,PlanRotationS0,$B112)</f>
        <v>0</v>
      </c>
      <c r="H112" s="1824" t="str">
        <f>IFERROR(I112/I$248,"")</f>
        <v/>
      </c>
      <c r="I112" s="1825">
        <f>SUMIFS(H$92:H$101,PlanRotationPaturageS1,$B112)+SUMIFS(H$78:H$87,PlanRotationS1,$B112)</f>
        <v>0</v>
      </c>
      <c r="J112" s="1824" t="str">
        <f>IFERROR(K112/K$248,"")</f>
        <v/>
      </c>
      <c r="K112" s="1825">
        <f>SUMIFS(J$92:J$101,PlanRotationPaturageS2,$B112)+SUMIFS(J$78:J$87,PlanRotationS2,$B112)</f>
        <v>0</v>
      </c>
      <c r="L112" s="1826" t="str">
        <f>IFERROR(M112/M$248,"")</f>
        <v/>
      </c>
      <c r="M112" s="1825">
        <f>SUMIFS(L$92:L$101,PlanRotationPaturageS3,$B112)+SUMIFS(L$78:L$87,PlanRotationS3,$B112)</f>
        <v>0</v>
      </c>
      <c r="N112" s="1826" t="str">
        <f>IFERROR(O112/O$248,"")</f>
        <v/>
      </c>
      <c r="O112" s="1825">
        <f>SUMIFS(N$92:N$101,PlanRotationPaturageS4,$B112)+SUMIFS(N$78:N$87,PlanRotationS4,$B112)</f>
        <v>0</v>
      </c>
      <c r="P112" s="1826" t="str">
        <f>IFERROR(Q112/Q$248,"")</f>
        <v/>
      </c>
      <c r="Q112" s="1825">
        <f>SUMIFS(P$92:P$101,PlanRotationPaturageS5,$B112)+SUMIFS(P$78:P$87,PlanRotationS5,$B112)</f>
        <v>0</v>
      </c>
      <c r="S112" s="2084" t="s">
        <v>221</v>
      </c>
    </row>
    <row r="113" spans="1:16383" ht="16.5">
      <c r="B113" s="412" t="str">
        <f t="shared" si="1"/>
        <v>Prairies</v>
      </c>
      <c r="C113" s="746"/>
      <c r="D113" s="765" t="s">
        <v>1171</v>
      </c>
      <c r="E113" s="1371" t="s">
        <v>254</v>
      </c>
      <c r="F113" s="1949"/>
      <c r="G113" s="1946">
        <f ca="1">OFFSET(RéfChamps!$BG$55,0,IF(ProdS0="Biologique",0,3))</f>
        <v>253.95671646268659</v>
      </c>
      <c r="H113" s="1815"/>
      <c r="I113" s="835">
        <f ca="1">OFFSET(RéfChamps!$BG$55,0,IF(ProdS1="Biologique",0,3))</f>
        <v>590.52298218750002</v>
      </c>
      <c r="J113" s="1827"/>
      <c r="K113" s="835">
        <f ca="1">OFFSET(RéfChamps!$BG$55,0,IF(ProdS2="Biologique",0,3))</f>
        <v>253.95671646268659</v>
      </c>
      <c r="L113" s="1073"/>
      <c r="M113" s="835">
        <f ca="1">OFFSET(RéfChamps!$BG$55,0,IF(ProdS3="Biologique",0,3))</f>
        <v>253.95671646268659</v>
      </c>
      <c r="N113" s="1073"/>
      <c r="O113" s="835">
        <f ca="1">OFFSET(RéfChamps!$BG$55,0,IF(ProdS4="Biologique",0,3))</f>
        <v>253.95671646268659</v>
      </c>
      <c r="P113" s="1073"/>
      <c r="Q113" s="835">
        <f ca="1">OFFSET(RéfChamps!$BG$55,0,IF(ProdS5="Biologique",0,3))</f>
        <v>253.95671646268659</v>
      </c>
      <c r="S113" s="14"/>
    </row>
    <row r="114" spans="1:16383" ht="16.5">
      <c r="B114" s="412" t="str">
        <f t="shared" si="1"/>
        <v>Prairies</v>
      </c>
      <c r="C114" s="746"/>
      <c r="D114" s="765" t="s">
        <v>285</v>
      </c>
      <c r="E114" s="1371" t="s">
        <v>223</v>
      </c>
      <c r="F114" s="1949"/>
      <c r="G114" s="1948">
        <f>G44</f>
        <v>5.21</v>
      </c>
      <c r="H114" s="1817"/>
      <c r="I114" s="1828">
        <f>I44</f>
        <v>5.21</v>
      </c>
      <c r="J114" s="1819"/>
      <c r="K114" s="1828">
        <f>K44</f>
        <v>5.21</v>
      </c>
      <c r="L114" s="1820"/>
      <c r="M114" s="1828">
        <f>M44</f>
        <v>5.21</v>
      </c>
      <c r="N114" s="1820"/>
      <c r="O114" s="1828">
        <f>O44</f>
        <v>5.21</v>
      </c>
      <c r="P114" s="1820"/>
      <c r="Q114" s="1828">
        <f>Q44</f>
        <v>5.21</v>
      </c>
    </row>
    <row r="115" spans="1:16383" ht="16.5">
      <c r="B115" s="412" t="str">
        <f t="shared" si="1"/>
        <v>Prairies</v>
      </c>
      <c r="C115" s="746"/>
      <c r="D115" s="765" t="s">
        <v>282</v>
      </c>
      <c r="E115" s="1371" t="s">
        <v>254</v>
      </c>
      <c r="F115" s="1949"/>
      <c r="G115" s="1946">
        <f ca="1">SUMPRODUCT(OFFSET(RéfChamps!$BE$5:$BE$9,0,IF(ProdS0="Biologique",0,3)),OFFSET(RéfChamps!$BF$5:$BF$9,0,IF(PrixS0="Biologique",0,3)))</f>
        <v>704.41687999999988</v>
      </c>
      <c r="H115" s="995"/>
      <c r="I115" s="835">
        <f ca="1">SUMPRODUCT(OFFSET(RéfChamps!$BE$5:$BE$9,0,IF(ProdS1="Biologique",0,3)),OFFSET(RéfChamps!$BF$5:$BF$9,0,IF(PrixS1="Biologique",0,3)))</f>
        <v>704.41687999999988</v>
      </c>
      <c r="J115" s="1816"/>
      <c r="K115" s="835">
        <f ca="1">SUMPRODUCT(OFFSET(RéfChamps!$BE$5:$BE$9,0,IF(ProdS2="Biologique",0,3)),OFFSET(RéfChamps!$BF$5:$BF$9,0,IF(PrixS2="Biologique",0,3)))</f>
        <v>704.41687999999988</v>
      </c>
      <c r="L115" s="1000"/>
      <c r="M115" s="835">
        <f ca="1">SUMPRODUCT(OFFSET(RéfChamps!$BE$5:$BE$9,0,IF(ProdS3="Biologique",0,3)),OFFSET(RéfChamps!$BF$5:$BF$9,0,IF(PrixS3="Biologique",0,3)))</f>
        <v>704.41687999999988</v>
      </c>
      <c r="N115" s="1000"/>
      <c r="O115" s="835">
        <f ca="1">SUMPRODUCT(OFFSET(RéfChamps!$BE$5:$BE$9,0,IF(ProdS4="Biologique",0,3)),OFFSET(RéfChamps!$BF$5:$BF$9,0,IF(PrixS4="Biologique",0,3)))</f>
        <v>804.10387999999989</v>
      </c>
      <c r="P115" s="1000"/>
      <c r="Q115" s="835">
        <f ca="1">SUMPRODUCT(OFFSET(RéfChamps!$BE$5:$BE$9,0,IF(ProdS5="Biologique",0,3)),OFFSET(RéfChamps!$BF$5:$BF$9,0,IF(PrixS5="Biologique",0,3)))</f>
        <v>804.10387999999989</v>
      </c>
    </row>
    <row r="116" spans="1:16383" s="346" customFormat="1" ht="17.25" thickBot="1">
      <c r="A116" s="413"/>
      <c r="B116" s="428" t="str">
        <f t="shared" si="1"/>
        <v>Prairies</v>
      </c>
      <c r="C116" s="746"/>
      <c r="D116" s="765" t="s">
        <v>306</v>
      </c>
      <c r="E116" s="1371" t="s">
        <v>286</v>
      </c>
      <c r="F116" s="1949"/>
      <c r="G116" s="1946">
        <f ca="1">OFFSET(RéfChamps!$BG$82,0,IF(ProdS0="Biologique",0,3))/G114</f>
        <v>24.37619961612284</v>
      </c>
      <c r="H116" s="995"/>
      <c r="I116" s="1829">
        <f ca="1">OFFSET(RéfChamps!$BG$82,0,IF(ProdS1="Biologique",0,3))/I114</f>
        <v>44.913627639155472</v>
      </c>
      <c r="J116" s="1821"/>
      <c r="K116" s="1829">
        <f ca="1">OFFSET(RéfChamps!$BG$82,0,IF(ProdS2="Biologique",0,3))/K114</f>
        <v>24.37619961612284</v>
      </c>
      <c r="L116" s="1830"/>
      <c r="M116" s="1829">
        <f ca="1">OFFSET(RéfChamps!$BG$82,0,IF(ProdS3="Biologique",0,3))/M114</f>
        <v>24.37619961612284</v>
      </c>
      <c r="N116" s="1830"/>
      <c r="O116" s="1829">
        <f ca="1">OFFSET(RéfChamps!$BG$82,0,IF(ProdS4="Biologique",0,3))/O114</f>
        <v>24.37619961612284</v>
      </c>
      <c r="P116" s="1830"/>
      <c r="Q116" s="1829">
        <f ca="1">OFFSET(RéfChamps!$BG$82,0,IF(ProdS5="Biologique",0,3))/Q114</f>
        <v>24.37619961612284</v>
      </c>
      <c r="R116" s="1698"/>
    </row>
    <row r="117" spans="1:16383" s="28" customFormat="1" ht="2.25" customHeight="1" thickTop="1" thickBot="1">
      <c r="A117" s="411"/>
      <c r="B117" s="428" t="str">
        <f t="shared" si="1"/>
        <v>Prairies</v>
      </c>
      <c r="C117" s="32"/>
      <c r="D117" s="2085" t="str">
        <f>"Détails pour les "&amp;LOWER(D112)</f>
        <v>Détails pour les prairies</v>
      </c>
      <c r="E117" s="1371"/>
      <c r="F117" s="1949"/>
      <c r="G117" s="1946"/>
      <c r="H117" s="995"/>
      <c r="I117" s="835"/>
      <c r="J117" s="1821"/>
      <c r="K117" s="835"/>
      <c r="L117" s="1000"/>
      <c r="M117" s="835"/>
      <c r="N117" s="1000"/>
      <c r="O117" s="835"/>
      <c r="P117" s="1000"/>
      <c r="Q117" s="835"/>
      <c r="R117" s="1696"/>
    </row>
    <row r="118" spans="1:16383" ht="15" thickTop="1">
      <c r="B118" s="412" t="str">
        <f t="shared" ref="B118:B125" si="2">D$118</f>
        <v>Maïs ensilage</v>
      </c>
      <c r="C118" s="2088" t="s">
        <v>275</v>
      </c>
      <c r="D118" s="832" t="s">
        <v>140</v>
      </c>
      <c r="E118" s="1370" t="s">
        <v>224</v>
      </c>
      <c r="F118" s="1945" t="str">
        <f>IFERROR(G118/G$248,"")</f>
        <v/>
      </c>
      <c r="G118" s="1946">
        <f>SUMIFS(F$92:F$101,PlanRotationPaturageS0,$B118)+SUMIFS(F$78:F$87,PlanRotationS0,$B118)</f>
        <v>0</v>
      </c>
      <c r="H118" s="838" t="str">
        <f>IFERROR(I118/I$248,"")</f>
        <v/>
      </c>
      <c r="I118" s="845">
        <f>SUMIFS(H$92:H$101,PlanRotationPaturageS1,$B118)+SUMIFS(H$78:H$87,PlanRotationS1,$B118)</f>
        <v>0</v>
      </c>
      <c r="J118" s="838" t="str">
        <f>IFERROR(K118/K$248,"")</f>
        <v/>
      </c>
      <c r="K118" s="845">
        <f>SUMIFS(J$92:J$101,PlanRotationPaturageS2,$B118)+SUMIFS(J$78:J$87,PlanRotationS2,$B118)</f>
        <v>0</v>
      </c>
      <c r="L118" s="1831" t="str">
        <f>IFERROR(M118/M$248,"")</f>
        <v/>
      </c>
      <c r="M118" s="845">
        <f>SUMIFS(L$92:L$101,PlanRotationPaturageS3,$B118)+SUMIFS(L$78:L$87,PlanRotationS3,$B118)</f>
        <v>0</v>
      </c>
      <c r="N118" s="1831" t="str">
        <f>IFERROR(O118/O$248,"")</f>
        <v/>
      </c>
      <c r="O118" s="845">
        <f>SUMIFS(N$92:N$101,PlanRotationPaturageS4,$B118)+SUMIFS(N$78:N$87,PlanRotationS4,$B118)</f>
        <v>0</v>
      </c>
      <c r="P118" s="1831" t="str">
        <f>IFERROR(Q118/Q$248,"")</f>
        <v/>
      </c>
      <c r="Q118" s="845">
        <f>SUMIFS(P$92:P$101,PlanRotationPaturageS5,$B118)+SUMIFS(P$78:P$87,PlanRotationS5,$B118)</f>
        <v>0</v>
      </c>
      <c r="S118" s="2084" t="s">
        <v>222</v>
      </c>
    </row>
    <row r="119" spans="1:16383" ht="16.5">
      <c r="B119" s="412" t="str">
        <f t="shared" si="2"/>
        <v>Maïs ensilage</v>
      </c>
      <c r="C119" s="746"/>
      <c r="D119" s="765" t="s">
        <v>1171</v>
      </c>
      <c r="E119" s="1371" t="s">
        <v>254</v>
      </c>
      <c r="F119" s="1949"/>
      <c r="G119" s="1946">
        <f ca="1">OFFSET(RéfChamps!$BM$55,0,IF(ProdS0="Biologique",0,3))</f>
        <v>899.92856409825868</v>
      </c>
      <c r="H119" s="748"/>
      <c r="I119" s="1829">
        <f ca="1">OFFSET(RéfChamps!$BM$55,0,IF(ProdS1="Biologique",0,3))</f>
        <v>1033.90879625</v>
      </c>
      <c r="J119" s="1821"/>
      <c r="K119" s="1829">
        <f ca="1">OFFSET(RéfChamps!$BM$55,0,IF(ProdS2="Biologique",0,3))</f>
        <v>899.92856409825868</v>
      </c>
      <c r="L119" s="1830"/>
      <c r="M119" s="1829">
        <f ca="1">OFFSET(RéfChamps!$BM$55,0,IF(ProdS3="Biologique",0,3))</f>
        <v>899.92856409825868</v>
      </c>
      <c r="N119" s="1830"/>
      <c r="O119" s="1829">
        <f ca="1">OFFSET(RéfChamps!$BM$55,0,IF(ProdS4="Biologique",0,3))</f>
        <v>899.92856409825868</v>
      </c>
      <c r="P119" s="1830"/>
      <c r="Q119" s="1829">
        <f ca="1">OFFSET(RéfChamps!$BM$55,0,IF(ProdS5="Biologique",0,3))</f>
        <v>899.92856409825868</v>
      </c>
      <c r="S119" s="14"/>
    </row>
    <row r="120" spans="1:16383" s="97" customFormat="1">
      <c r="A120" s="409"/>
      <c r="B120" s="412" t="str">
        <f t="shared" si="2"/>
        <v>Maïs ensilage</v>
      </c>
      <c r="C120" s="746"/>
      <c r="D120" s="765" t="s">
        <v>285</v>
      </c>
      <c r="E120" s="1371" t="s">
        <v>223</v>
      </c>
      <c r="F120" s="1945"/>
      <c r="G120" s="1948">
        <f>G49</f>
        <v>12.25</v>
      </c>
      <c r="H120" s="1817"/>
      <c r="I120" s="1818">
        <f>I49</f>
        <v>12.25</v>
      </c>
      <c r="J120" s="1827"/>
      <c r="K120" s="1818">
        <f>K49</f>
        <v>12.25</v>
      </c>
      <c r="L120" s="1073"/>
      <c r="M120" s="1818">
        <f>M49</f>
        <v>12.25</v>
      </c>
      <c r="N120" s="1073"/>
      <c r="O120" s="1818">
        <f>O49</f>
        <v>12.25</v>
      </c>
      <c r="P120" s="1073"/>
      <c r="Q120" s="1818">
        <f>Q49</f>
        <v>12.25</v>
      </c>
      <c r="R120" s="17"/>
      <c r="S120" s="14"/>
    </row>
    <row r="121" spans="1:16383" s="97" customFormat="1" ht="16.5">
      <c r="A121" s="409"/>
      <c r="B121" s="412" t="str">
        <f t="shared" si="2"/>
        <v>Maïs ensilage</v>
      </c>
      <c r="C121" s="746"/>
      <c r="D121" s="778" t="s">
        <v>306</v>
      </c>
      <c r="E121" s="1372" t="s">
        <v>286</v>
      </c>
      <c r="F121" s="1949"/>
      <c r="G121" s="1946">
        <f ca="1">IFERROR(OFFSET(RéfChamps!$BM$82,0,IF(ProdS0="Biologique",0,3))/G120,0)</f>
        <v>11.183673469387756</v>
      </c>
      <c r="H121" s="995"/>
      <c r="I121" s="1656">
        <f ca="1">IFERROR(OFFSET(RéfChamps!$BM$82,0,IF(ProdS1="Biologique",0,3))/I120,0)</f>
        <v>12.979591836734693</v>
      </c>
      <c r="J121" s="1657"/>
      <c r="K121" s="1656">
        <f ca="1">IFERROR(OFFSET(RéfChamps!$BM$82,0,IF(ProdS2="Biologique",0,3))/K120,0)</f>
        <v>11.183673469387756</v>
      </c>
      <c r="L121" s="1658"/>
      <c r="M121" s="1656">
        <f ca="1">IFERROR(OFFSET(RéfChamps!$BM$82,0,IF(ProdS3="Biologique",0,3))/M120,0)</f>
        <v>11.183673469387756</v>
      </c>
      <c r="N121" s="1658"/>
      <c r="O121" s="1656">
        <f ca="1">IFERROR(OFFSET(RéfChamps!$BM$82,0,IF(ProdS4="Biologique",0,3))/O120,0)</f>
        <v>11.183673469387756</v>
      </c>
      <c r="P121" s="1658"/>
      <c r="Q121" s="1656">
        <f ca="1">IFERROR(OFFSET(RéfChamps!$BM$82,0,IF(ProdS5="Biologique",0,3))/Q120,0)</f>
        <v>11.183673469387756</v>
      </c>
      <c r="R121" s="17"/>
      <c r="S121" s="14"/>
    </row>
    <row r="122" spans="1:16383" ht="16.5">
      <c r="B122" s="412" t="str">
        <f t="shared" si="2"/>
        <v>Maïs ensilage</v>
      </c>
      <c r="C122" s="746"/>
      <c r="D122" s="778" t="s">
        <v>253</v>
      </c>
      <c r="E122" s="1372" t="s">
        <v>225</v>
      </c>
      <c r="F122" s="1949"/>
      <c r="G122" s="1946">
        <f ca="1">OFFSET(RéfChamps!$BL$5,0,IF(PrixS0="Biologique",0,3))</f>
        <v>0</v>
      </c>
      <c r="H122" s="747"/>
      <c r="I122" s="835">
        <f ca="1">OFFSET(RéfChamps!$BL$5,0,IF(PrixS1="Biologique",0,3))</f>
        <v>0</v>
      </c>
      <c r="J122" s="997"/>
      <c r="K122" s="835">
        <f ca="1">OFFSET(RéfChamps!$BL$5,0,IF(PrixS2="Biologique",0,3))</f>
        <v>0</v>
      </c>
      <c r="L122" s="1000"/>
      <c r="M122" s="835">
        <f ca="1">OFFSET(RéfChamps!$BL$5,0,IF(PrixS3="Biologique",0,3))</f>
        <v>0</v>
      </c>
      <c r="N122" s="1000"/>
      <c r="O122" s="835">
        <f ca="1">OFFSET(RéfChamps!$BL$5,0,IF(PrixS4="Biologique",0,3))</f>
        <v>0</v>
      </c>
      <c r="P122" s="1000"/>
      <c r="Q122" s="835">
        <f ca="1">OFFSET(RéfChamps!$BL$5,0,IF(PrixS5="Biologique",0,3))</f>
        <v>0</v>
      </c>
      <c r="R122" s="1699"/>
      <c r="S122" s="746"/>
    </row>
    <row r="123" spans="1:16383" ht="16.5">
      <c r="B123" s="412" t="str">
        <f t="shared" si="2"/>
        <v>Maïs ensilage</v>
      </c>
      <c r="C123" s="746"/>
      <c r="D123" s="778" t="s">
        <v>282</v>
      </c>
      <c r="E123" s="1372" t="s">
        <v>254</v>
      </c>
      <c r="F123" s="1949"/>
      <c r="G123" s="1946">
        <f ca="1">SUMPRODUCT(OFFSET(RéfChamps!$BK$5:$BK$9,0,IF(ProdS0="Biologique",0,3)),OFFSET(RéfChamps!$BL$5:$BL$9,0,IF(PrixS0="Biologique",0,3)))</f>
        <v>1925</v>
      </c>
      <c r="H123" s="748"/>
      <c r="I123" s="834">
        <f ca="1">SUMPRODUCT(OFFSET(RéfChamps!$BK$5:$BK$9,0,IF(ProdS1="Biologique",0,3)),OFFSET(RéfChamps!$BL$5:$BL$9,0,IF(PrixS1="Biologique",0,3)))</f>
        <v>1925</v>
      </c>
      <c r="J123" s="996"/>
      <c r="K123" s="834">
        <f ca="1">SUMPRODUCT(OFFSET(RéfChamps!$BK$5:$BK$9,0,IF(ProdS2="Biologique",0,3)),OFFSET(RéfChamps!$BL$5:$BL$9,0,IF(PrixS2="Biologique",0,3)))</f>
        <v>1925</v>
      </c>
      <c r="L123" s="999"/>
      <c r="M123" s="834">
        <f ca="1">SUMPRODUCT(OFFSET(RéfChamps!$BK$5:$BK$9,0,IF(ProdS3="Biologique",0,3)),OFFSET(RéfChamps!$BL$5:$BL$9,0,IF(PrixS3="Biologique",0,3)))</f>
        <v>1925</v>
      </c>
      <c r="N123" s="999"/>
      <c r="O123" s="834">
        <f ca="1">SUMPRODUCT(OFFSET(RéfChamps!$BK$5:$BK$9,0,IF(ProdS4="Biologique",0,3)),OFFSET(RéfChamps!$BL$5:$BL$9,0,IF(PrixS4="Biologique",0,3)))</f>
        <v>1925</v>
      </c>
      <c r="P123" s="999"/>
      <c r="Q123" s="834">
        <f ca="1">SUMPRODUCT(OFFSET(RéfChamps!$BK$5:$BK$9,0,IF(ProdS5="Biologique",0,3)),OFFSET(RéfChamps!$BL$5:$BL$9,0,IF(PrixS5="Biologique",0,3)))</f>
        <v>1925</v>
      </c>
      <c r="R123" s="1699"/>
      <c r="S123" s="746"/>
    </row>
    <row r="124" spans="1:16383" s="346" customFormat="1" ht="17.25" thickBot="1">
      <c r="A124" s="413"/>
      <c r="B124" s="428" t="str">
        <f t="shared" si="2"/>
        <v>Maïs ensilage</v>
      </c>
      <c r="C124" s="749"/>
      <c r="D124" s="778" t="s">
        <v>1457</v>
      </c>
      <c r="E124" s="1372" t="s">
        <v>254</v>
      </c>
      <c r="F124" s="1949"/>
      <c r="G124" s="1951">
        <f ca="1">IFERROR(G123-G119,"Erreur")</f>
        <v>1025.0714359017413</v>
      </c>
      <c r="H124" s="748"/>
      <c r="I124" s="835">
        <f ca="1">IFERROR(I123-I119,"Erreur")</f>
        <v>891.09120374999998</v>
      </c>
      <c r="J124" s="996"/>
      <c r="K124" s="835">
        <f ca="1">IFERROR(K123-K119,"Erreur")</f>
        <v>1025.0714359017413</v>
      </c>
      <c r="L124" s="1000"/>
      <c r="M124" s="835">
        <f ca="1">IFERROR(M123-M119,"Erreur")</f>
        <v>1025.0714359017413</v>
      </c>
      <c r="N124" s="1000"/>
      <c r="O124" s="835">
        <f ca="1">IFERROR(O123-O119,"Erreur")</f>
        <v>1025.0714359017413</v>
      </c>
      <c r="P124" s="1000"/>
      <c r="Q124" s="835">
        <f ca="1">IFERROR(Q123-Q119,"Erreur")</f>
        <v>1025.0714359017413</v>
      </c>
      <c r="R124" s="1700"/>
      <c r="S124" s="749"/>
    </row>
    <row r="125" spans="1:16383" s="28" customFormat="1" ht="15.75" thickTop="1" thickBot="1">
      <c r="A125" s="411"/>
      <c r="B125" s="428" t="str">
        <f t="shared" si="2"/>
        <v>Maïs ensilage</v>
      </c>
      <c r="C125" s="36"/>
      <c r="D125" s="2085" t="str">
        <f>"Détails pour le "&amp;LOWER(D118)</f>
        <v>Détails pour le maïs ensilage</v>
      </c>
      <c r="E125" s="1371"/>
      <c r="F125" s="1952"/>
      <c r="G125" s="1951"/>
      <c r="H125" s="994"/>
      <c r="I125" s="1612"/>
      <c r="J125" s="1002"/>
      <c r="K125" s="1612"/>
      <c r="L125" s="1002"/>
      <c r="M125" s="1612"/>
      <c r="N125" s="1002"/>
      <c r="O125" s="1612"/>
      <c r="P125" s="1002"/>
      <c r="Q125" s="1612"/>
      <c r="R125" s="1701"/>
      <c r="S125" s="36"/>
      <c r="T125" s="36"/>
      <c r="U125" s="36"/>
      <c r="V125" s="36"/>
      <c r="W125" s="36"/>
      <c r="X125" s="36"/>
      <c r="Y125" s="36"/>
      <c r="Z125" s="36"/>
      <c r="AA125" s="36"/>
      <c r="AB125" s="36"/>
      <c r="AC125" s="36"/>
      <c r="AD125" s="36"/>
      <c r="AE125" s="36"/>
      <c r="AF125" s="36"/>
      <c r="AG125" s="36"/>
      <c r="AH125" s="36"/>
      <c r="AI125" s="36"/>
      <c r="AJ125" s="36"/>
      <c r="AK125" s="36"/>
      <c r="AL125" s="36"/>
      <c r="AM125" s="36"/>
      <c r="AN125" s="36"/>
      <c r="AO125" s="36"/>
      <c r="AP125" s="36"/>
      <c r="AQ125" s="36"/>
      <c r="AR125" s="36"/>
      <c r="AS125" s="36"/>
      <c r="AT125" s="36"/>
      <c r="AU125" s="36"/>
      <c r="AV125" s="36"/>
      <c r="AW125" s="36"/>
      <c r="AX125" s="36"/>
      <c r="AY125" s="36"/>
      <c r="AZ125" s="36"/>
      <c r="BA125" s="36"/>
      <c r="BB125" s="36"/>
      <c r="BC125" s="36"/>
      <c r="BD125" s="36"/>
      <c r="BE125" s="36"/>
      <c r="BF125" s="36"/>
      <c r="BG125" s="36"/>
      <c r="BH125" s="36"/>
      <c r="BI125" s="36"/>
      <c r="BJ125" s="36"/>
      <c r="BK125" s="36"/>
      <c r="BL125" s="36"/>
      <c r="BM125" s="36"/>
      <c r="BN125" s="36"/>
      <c r="BO125" s="36"/>
      <c r="BP125" s="36"/>
      <c r="BQ125" s="36"/>
      <c r="BR125" s="36"/>
      <c r="BS125" s="36"/>
      <c r="BT125" s="36"/>
      <c r="BU125" s="36"/>
      <c r="BV125" s="36"/>
      <c r="BW125" s="36"/>
      <c r="BX125" s="36"/>
      <c r="BY125" s="36"/>
      <c r="BZ125" s="36"/>
      <c r="CA125" s="36"/>
      <c r="CB125" s="36"/>
      <c r="CC125" s="36"/>
      <c r="CD125" s="36"/>
      <c r="CE125" s="36"/>
      <c r="CF125" s="36"/>
      <c r="CG125" s="36"/>
      <c r="CH125" s="36"/>
      <c r="CI125" s="36"/>
      <c r="CJ125" s="36"/>
      <c r="CK125" s="36"/>
      <c r="CL125" s="36"/>
      <c r="CM125" s="36"/>
      <c r="CN125" s="36"/>
      <c r="CO125" s="36"/>
      <c r="CP125" s="36"/>
      <c r="CQ125" s="36"/>
      <c r="CR125" s="36"/>
      <c r="CS125" s="36"/>
      <c r="CT125" s="36"/>
      <c r="CU125" s="36"/>
      <c r="CV125" s="36"/>
      <c r="CW125" s="36"/>
      <c r="CX125" s="36"/>
      <c r="CY125" s="36"/>
      <c r="CZ125" s="36"/>
      <c r="DA125" s="36"/>
      <c r="DB125" s="36"/>
      <c r="DC125" s="36"/>
      <c r="DD125" s="36"/>
      <c r="DE125" s="36"/>
      <c r="DF125" s="36"/>
      <c r="DG125" s="36"/>
      <c r="DH125" s="36"/>
      <c r="DI125" s="36"/>
      <c r="DJ125" s="36"/>
      <c r="DK125" s="36"/>
      <c r="DL125" s="36"/>
      <c r="DM125" s="36"/>
      <c r="DN125" s="36"/>
      <c r="DO125" s="36"/>
      <c r="DP125" s="36"/>
      <c r="DQ125" s="36"/>
      <c r="DR125" s="36"/>
      <c r="DS125" s="36"/>
      <c r="DT125" s="36"/>
      <c r="DU125" s="36"/>
      <c r="DV125" s="36"/>
      <c r="DW125" s="36"/>
      <c r="DX125" s="36"/>
      <c r="DY125" s="36"/>
      <c r="DZ125" s="36"/>
      <c r="EA125" s="36"/>
      <c r="EB125" s="36"/>
      <c r="EC125" s="36"/>
      <c r="ED125" s="36"/>
      <c r="EE125" s="36"/>
      <c r="EF125" s="36"/>
      <c r="EG125" s="36"/>
      <c r="EH125" s="36"/>
      <c r="EI125" s="36"/>
      <c r="EJ125" s="36"/>
      <c r="EK125" s="36"/>
      <c r="EL125" s="36"/>
      <c r="EM125" s="36"/>
      <c r="EN125" s="36"/>
      <c r="EO125" s="36"/>
      <c r="EP125" s="36"/>
      <c r="EQ125" s="36"/>
      <c r="ER125" s="36"/>
      <c r="ES125" s="36"/>
      <c r="ET125" s="36"/>
      <c r="EU125" s="36"/>
      <c r="EV125" s="36"/>
      <c r="EW125" s="36"/>
      <c r="EX125" s="36"/>
      <c r="EY125" s="36"/>
      <c r="EZ125" s="36"/>
      <c r="FA125" s="36"/>
      <c r="FB125" s="36"/>
      <c r="FC125" s="36"/>
      <c r="FD125" s="36"/>
      <c r="FE125" s="36"/>
      <c r="FF125" s="36"/>
      <c r="FG125" s="36"/>
      <c r="FH125" s="36"/>
      <c r="FI125" s="36"/>
      <c r="FJ125" s="36"/>
      <c r="FK125" s="36"/>
      <c r="FL125" s="36"/>
      <c r="FM125" s="36"/>
      <c r="FN125" s="36"/>
      <c r="FO125" s="36"/>
      <c r="FP125" s="36"/>
      <c r="FQ125" s="36"/>
      <c r="FR125" s="36"/>
      <c r="FS125" s="36"/>
      <c r="FT125" s="36"/>
      <c r="FU125" s="36"/>
      <c r="FV125" s="36"/>
      <c r="FW125" s="36"/>
      <c r="FX125" s="36"/>
      <c r="FY125" s="36"/>
      <c r="FZ125" s="36"/>
      <c r="GA125" s="36"/>
      <c r="GB125" s="36"/>
      <c r="GC125" s="36"/>
      <c r="GD125" s="36"/>
      <c r="GE125" s="36"/>
      <c r="GF125" s="36"/>
      <c r="GG125" s="36"/>
      <c r="GH125" s="36"/>
      <c r="GI125" s="36"/>
      <c r="GJ125" s="36"/>
      <c r="GK125" s="36"/>
      <c r="GL125" s="36"/>
      <c r="GM125" s="36"/>
      <c r="GN125" s="36"/>
      <c r="GO125" s="36"/>
      <c r="GP125" s="36"/>
      <c r="GQ125" s="36"/>
      <c r="GR125" s="36"/>
      <c r="GS125" s="36"/>
      <c r="GT125" s="36"/>
      <c r="GU125" s="36"/>
      <c r="GV125" s="36"/>
      <c r="GW125" s="36"/>
      <c r="GX125" s="36"/>
      <c r="GY125" s="36"/>
      <c r="GZ125" s="36"/>
      <c r="HA125" s="36"/>
      <c r="HB125" s="36"/>
      <c r="HC125" s="36"/>
      <c r="HD125" s="36"/>
      <c r="HE125" s="36"/>
      <c r="HF125" s="36"/>
      <c r="HG125" s="36"/>
      <c r="HH125" s="36"/>
      <c r="HI125" s="36"/>
      <c r="HJ125" s="36"/>
      <c r="HK125" s="36"/>
      <c r="HL125" s="36"/>
      <c r="HM125" s="36"/>
      <c r="HN125" s="36"/>
      <c r="HO125" s="36"/>
      <c r="HP125" s="36"/>
      <c r="HQ125" s="36"/>
      <c r="HR125" s="36"/>
      <c r="HS125" s="36"/>
      <c r="HT125" s="36"/>
      <c r="HU125" s="36"/>
      <c r="HV125" s="36"/>
      <c r="HW125" s="36"/>
      <c r="HX125" s="36"/>
      <c r="HY125" s="36"/>
      <c r="HZ125" s="36"/>
      <c r="IA125" s="36"/>
      <c r="IB125" s="36"/>
      <c r="IC125" s="36"/>
      <c r="ID125" s="36"/>
      <c r="IE125" s="36"/>
      <c r="IF125" s="36"/>
      <c r="IG125" s="36"/>
      <c r="IH125" s="36"/>
      <c r="II125" s="36"/>
      <c r="IJ125" s="36"/>
      <c r="IK125" s="36"/>
      <c r="IL125" s="36"/>
      <c r="IM125" s="36"/>
      <c r="IN125" s="36"/>
      <c r="IO125" s="36"/>
      <c r="IP125" s="36"/>
      <c r="IQ125" s="36"/>
      <c r="IR125" s="36"/>
      <c r="IS125" s="36"/>
      <c r="IT125" s="36"/>
      <c r="IU125" s="36"/>
      <c r="IV125" s="36"/>
      <c r="IW125" s="36"/>
      <c r="IX125" s="36"/>
      <c r="IY125" s="36"/>
      <c r="IZ125" s="36"/>
      <c r="JA125" s="36"/>
      <c r="JB125" s="36"/>
      <c r="JC125" s="36"/>
      <c r="JD125" s="36"/>
      <c r="JE125" s="36"/>
      <c r="JF125" s="36"/>
      <c r="JG125" s="36"/>
      <c r="JH125" s="36"/>
      <c r="JI125" s="36"/>
      <c r="JJ125" s="36"/>
      <c r="JK125" s="36"/>
      <c r="JL125" s="36"/>
      <c r="JM125" s="36"/>
      <c r="JN125" s="36"/>
      <c r="JO125" s="36"/>
      <c r="JP125" s="36"/>
      <c r="JQ125" s="36"/>
      <c r="JR125" s="36"/>
      <c r="JS125" s="36"/>
      <c r="JT125" s="36"/>
      <c r="JU125" s="36"/>
      <c r="JV125" s="36"/>
      <c r="JW125" s="36"/>
      <c r="JX125" s="36"/>
      <c r="JY125" s="36"/>
      <c r="JZ125" s="36"/>
      <c r="KA125" s="36"/>
      <c r="KB125" s="36"/>
      <c r="KC125" s="36"/>
      <c r="KD125" s="36"/>
      <c r="KE125" s="36"/>
      <c r="KF125" s="36"/>
      <c r="KG125" s="36"/>
      <c r="KH125" s="36"/>
      <c r="KI125" s="36"/>
      <c r="KJ125" s="36"/>
      <c r="KK125" s="36"/>
      <c r="KL125" s="36"/>
      <c r="KM125" s="36"/>
      <c r="KN125" s="36"/>
      <c r="KO125" s="36"/>
      <c r="KP125" s="36"/>
      <c r="KQ125" s="36"/>
      <c r="KR125" s="36"/>
      <c r="KS125" s="36"/>
      <c r="KT125" s="36"/>
      <c r="KU125" s="36"/>
      <c r="KV125" s="36"/>
      <c r="KW125" s="36"/>
      <c r="KX125" s="36"/>
      <c r="KY125" s="36"/>
      <c r="KZ125" s="36"/>
      <c r="LA125" s="36"/>
      <c r="LB125" s="36"/>
      <c r="LC125" s="36"/>
      <c r="LD125" s="36"/>
      <c r="LE125" s="36"/>
      <c r="LF125" s="36"/>
      <c r="LG125" s="36"/>
      <c r="LH125" s="36"/>
      <c r="LI125" s="36"/>
      <c r="LJ125" s="36"/>
      <c r="LK125" s="36"/>
      <c r="LL125" s="36"/>
      <c r="LM125" s="36"/>
      <c r="LN125" s="36"/>
      <c r="LO125" s="36"/>
      <c r="LP125" s="36"/>
      <c r="LQ125" s="36"/>
      <c r="LR125" s="36"/>
      <c r="LS125" s="36"/>
      <c r="LT125" s="36"/>
      <c r="LU125" s="36"/>
      <c r="LV125" s="36"/>
      <c r="LW125" s="36"/>
      <c r="LX125" s="36"/>
      <c r="LY125" s="36"/>
      <c r="LZ125" s="36"/>
      <c r="MA125" s="36"/>
      <c r="MB125" s="36"/>
      <c r="MC125" s="36"/>
      <c r="MD125" s="36"/>
      <c r="ME125" s="36"/>
      <c r="MF125" s="36"/>
      <c r="MG125" s="36"/>
      <c r="MH125" s="36"/>
      <c r="MI125" s="36"/>
      <c r="MJ125" s="36"/>
      <c r="MK125" s="36"/>
      <c r="ML125" s="36"/>
      <c r="MM125" s="36"/>
      <c r="MN125" s="36"/>
      <c r="MO125" s="36"/>
      <c r="MP125" s="36"/>
      <c r="MQ125" s="36"/>
      <c r="MR125" s="36"/>
      <c r="MS125" s="36"/>
      <c r="MT125" s="36"/>
      <c r="MU125" s="36"/>
      <c r="MV125" s="36"/>
      <c r="MW125" s="36"/>
      <c r="MX125" s="36"/>
      <c r="MY125" s="36"/>
      <c r="MZ125" s="36"/>
      <c r="NA125" s="36"/>
      <c r="NB125" s="36"/>
      <c r="NC125" s="36"/>
      <c r="ND125" s="36"/>
      <c r="NE125" s="36"/>
      <c r="NF125" s="36"/>
      <c r="NG125" s="36"/>
      <c r="NH125" s="36"/>
      <c r="NI125" s="36"/>
      <c r="NJ125" s="36"/>
      <c r="NK125" s="36"/>
      <c r="NL125" s="36"/>
      <c r="NM125" s="36"/>
      <c r="NN125" s="36"/>
      <c r="NO125" s="36"/>
      <c r="NP125" s="36"/>
      <c r="NQ125" s="36"/>
      <c r="NR125" s="36"/>
      <c r="NS125" s="36"/>
      <c r="NT125" s="36"/>
      <c r="NU125" s="36"/>
      <c r="NV125" s="36"/>
      <c r="NW125" s="36"/>
      <c r="NX125" s="36"/>
      <c r="NY125" s="36"/>
      <c r="NZ125" s="36"/>
      <c r="OA125" s="36"/>
      <c r="OB125" s="36"/>
      <c r="OC125" s="36"/>
      <c r="OD125" s="36"/>
      <c r="OE125" s="36"/>
      <c r="OF125" s="36"/>
      <c r="OG125" s="36"/>
      <c r="OH125" s="36"/>
      <c r="OI125" s="36"/>
      <c r="OJ125" s="36"/>
      <c r="OK125" s="36"/>
      <c r="OL125" s="36"/>
      <c r="OM125" s="36"/>
      <c r="ON125" s="36"/>
      <c r="OO125" s="36"/>
      <c r="OP125" s="36"/>
      <c r="OQ125" s="36"/>
      <c r="OR125" s="36"/>
      <c r="OS125" s="36"/>
      <c r="OT125" s="36"/>
      <c r="OU125" s="36"/>
      <c r="OV125" s="36"/>
      <c r="OW125" s="36"/>
      <c r="OX125" s="36"/>
      <c r="OY125" s="36"/>
      <c r="OZ125" s="36"/>
      <c r="PA125" s="36"/>
      <c r="PB125" s="36"/>
      <c r="PC125" s="36"/>
      <c r="PD125" s="36"/>
      <c r="PE125" s="36"/>
      <c r="PF125" s="36"/>
      <c r="PG125" s="36"/>
      <c r="PH125" s="36"/>
      <c r="PI125" s="36"/>
      <c r="PJ125" s="36"/>
      <c r="PK125" s="36"/>
      <c r="PL125" s="36"/>
      <c r="PM125" s="36"/>
      <c r="PN125" s="36"/>
      <c r="PO125" s="36"/>
      <c r="PP125" s="36"/>
      <c r="PQ125" s="36"/>
      <c r="PR125" s="36"/>
      <c r="PS125" s="36"/>
      <c r="PT125" s="36"/>
      <c r="PU125" s="36"/>
      <c r="PV125" s="36"/>
      <c r="PW125" s="36"/>
      <c r="PX125" s="36"/>
      <c r="PY125" s="36"/>
      <c r="PZ125" s="36"/>
      <c r="QA125" s="36"/>
      <c r="QB125" s="36"/>
      <c r="QC125" s="36"/>
      <c r="QD125" s="36"/>
      <c r="QE125" s="36"/>
      <c r="QF125" s="36"/>
      <c r="QG125" s="36"/>
      <c r="QH125" s="36"/>
      <c r="QI125" s="36"/>
      <c r="QJ125" s="36"/>
      <c r="QK125" s="36"/>
      <c r="QL125" s="36"/>
      <c r="QM125" s="36"/>
      <c r="QN125" s="36"/>
      <c r="QO125" s="36"/>
      <c r="QP125" s="36"/>
      <c r="QQ125" s="36"/>
      <c r="QR125" s="36"/>
      <c r="QS125" s="36"/>
      <c r="QT125" s="36"/>
      <c r="QU125" s="36"/>
      <c r="QV125" s="36"/>
      <c r="QW125" s="36"/>
      <c r="QX125" s="36"/>
      <c r="QY125" s="36"/>
      <c r="QZ125" s="36"/>
      <c r="RA125" s="36"/>
      <c r="RB125" s="36"/>
      <c r="RC125" s="36"/>
      <c r="RD125" s="36"/>
      <c r="RE125" s="36"/>
      <c r="RF125" s="36"/>
      <c r="RG125" s="36"/>
      <c r="RH125" s="36"/>
      <c r="RI125" s="36"/>
      <c r="RJ125" s="36"/>
      <c r="RK125" s="36"/>
      <c r="RL125" s="36"/>
      <c r="RM125" s="36"/>
      <c r="RN125" s="36"/>
      <c r="RO125" s="36"/>
      <c r="RP125" s="36"/>
      <c r="RQ125" s="36"/>
      <c r="RR125" s="36"/>
      <c r="RS125" s="36"/>
      <c r="RT125" s="36"/>
      <c r="RU125" s="36"/>
      <c r="RV125" s="36"/>
      <c r="RW125" s="36"/>
      <c r="RX125" s="36"/>
      <c r="RY125" s="36"/>
      <c r="RZ125" s="36"/>
      <c r="SA125" s="36"/>
      <c r="SB125" s="36"/>
      <c r="SC125" s="36"/>
      <c r="SD125" s="36"/>
      <c r="SE125" s="36"/>
      <c r="SF125" s="36"/>
      <c r="SG125" s="36"/>
      <c r="SH125" s="36"/>
      <c r="SI125" s="36"/>
      <c r="SJ125" s="36"/>
      <c r="SK125" s="36"/>
      <c r="SL125" s="36"/>
      <c r="SM125" s="36"/>
      <c r="SN125" s="36"/>
      <c r="SO125" s="36"/>
      <c r="SP125" s="36"/>
      <c r="SQ125" s="36"/>
      <c r="SR125" s="36"/>
      <c r="SS125" s="36"/>
      <c r="ST125" s="36"/>
      <c r="SU125" s="36"/>
      <c r="SV125" s="36"/>
      <c r="SW125" s="36"/>
      <c r="SX125" s="36"/>
      <c r="SY125" s="36"/>
      <c r="SZ125" s="36"/>
      <c r="TA125" s="36"/>
      <c r="TB125" s="36"/>
      <c r="TC125" s="36"/>
      <c r="TD125" s="36"/>
      <c r="TE125" s="36"/>
      <c r="TF125" s="36"/>
      <c r="TG125" s="36"/>
      <c r="TH125" s="36"/>
      <c r="TI125" s="36"/>
      <c r="TJ125" s="36"/>
      <c r="TK125" s="36"/>
      <c r="TL125" s="36"/>
      <c r="TM125" s="36"/>
      <c r="TN125" s="36"/>
      <c r="TO125" s="36"/>
      <c r="TP125" s="36"/>
      <c r="TQ125" s="36"/>
      <c r="TR125" s="36"/>
      <c r="TS125" s="36"/>
      <c r="TT125" s="36"/>
      <c r="TU125" s="36"/>
      <c r="TV125" s="36"/>
      <c r="TW125" s="36"/>
      <c r="TX125" s="36"/>
      <c r="TY125" s="36"/>
      <c r="TZ125" s="36"/>
      <c r="UA125" s="36"/>
      <c r="UB125" s="36"/>
      <c r="UC125" s="36"/>
      <c r="UD125" s="36"/>
      <c r="UE125" s="36"/>
      <c r="UF125" s="36"/>
      <c r="UG125" s="36"/>
      <c r="UH125" s="36"/>
      <c r="UI125" s="36"/>
      <c r="UJ125" s="36"/>
      <c r="UK125" s="36"/>
      <c r="UL125" s="36"/>
      <c r="UM125" s="36"/>
      <c r="UN125" s="36"/>
      <c r="UO125" s="36"/>
      <c r="UP125" s="36"/>
      <c r="UQ125" s="36"/>
      <c r="UR125" s="36"/>
      <c r="US125" s="36"/>
      <c r="UT125" s="36"/>
      <c r="UU125" s="36"/>
      <c r="UV125" s="36"/>
      <c r="UW125" s="36"/>
      <c r="UX125" s="36"/>
      <c r="UY125" s="36"/>
      <c r="UZ125" s="36"/>
      <c r="VA125" s="36"/>
      <c r="VB125" s="36"/>
      <c r="VC125" s="36"/>
      <c r="VD125" s="36"/>
      <c r="VE125" s="36"/>
      <c r="VF125" s="36"/>
      <c r="VG125" s="36"/>
      <c r="VH125" s="36"/>
      <c r="VI125" s="36"/>
      <c r="VJ125" s="36"/>
      <c r="VK125" s="36"/>
      <c r="VL125" s="36"/>
      <c r="VM125" s="36"/>
      <c r="VN125" s="36"/>
      <c r="VO125" s="36"/>
      <c r="VP125" s="36"/>
      <c r="VQ125" s="36"/>
      <c r="VR125" s="36"/>
      <c r="VS125" s="36"/>
      <c r="VT125" s="36"/>
      <c r="VU125" s="36"/>
      <c r="VV125" s="36"/>
      <c r="VW125" s="36"/>
      <c r="VX125" s="36"/>
      <c r="VY125" s="36"/>
      <c r="VZ125" s="36"/>
      <c r="WA125" s="36"/>
      <c r="WB125" s="36"/>
      <c r="WC125" s="36"/>
      <c r="WD125" s="36"/>
      <c r="WE125" s="36"/>
      <c r="WF125" s="36"/>
      <c r="WG125" s="36"/>
      <c r="WH125" s="36"/>
      <c r="WI125" s="36"/>
      <c r="WJ125" s="36"/>
      <c r="WK125" s="36"/>
      <c r="WL125" s="36"/>
      <c r="WM125" s="36"/>
      <c r="WN125" s="36"/>
      <c r="WO125" s="36"/>
      <c r="WP125" s="36"/>
      <c r="WQ125" s="36"/>
      <c r="WR125" s="36"/>
      <c r="WS125" s="36"/>
      <c r="WT125" s="36"/>
      <c r="WU125" s="36"/>
      <c r="WV125" s="36"/>
      <c r="WW125" s="36"/>
      <c r="WX125" s="36"/>
      <c r="WY125" s="36"/>
      <c r="WZ125" s="36"/>
      <c r="XA125" s="36"/>
      <c r="XB125" s="36"/>
      <c r="XC125" s="36"/>
      <c r="XD125" s="36"/>
      <c r="XE125" s="36"/>
      <c r="XF125" s="36"/>
      <c r="XG125" s="36"/>
      <c r="XH125" s="36"/>
      <c r="XI125" s="36"/>
      <c r="XJ125" s="36"/>
      <c r="XK125" s="36"/>
      <c r="XL125" s="36"/>
      <c r="XM125" s="36"/>
      <c r="XN125" s="36"/>
      <c r="XO125" s="36"/>
      <c r="XP125" s="36"/>
      <c r="XQ125" s="36"/>
      <c r="XR125" s="36"/>
      <c r="XS125" s="36"/>
      <c r="XT125" s="36"/>
      <c r="XU125" s="36"/>
      <c r="XV125" s="36"/>
      <c r="XW125" s="36"/>
      <c r="XX125" s="36"/>
      <c r="XY125" s="36"/>
      <c r="XZ125" s="36"/>
      <c r="YA125" s="36"/>
      <c r="YB125" s="36"/>
      <c r="YC125" s="36"/>
      <c r="YD125" s="36"/>
      <c r="YE125" s="36"/>
      <c r="YF125" s="36"/>
      <c r="YG125" s="36"/>
      <c r="YH125" s="36"/>
      <c r="YI125" s="36"/>
      <c r="YJ125" s="36"/>
      <c r="YK125" s="36"/>
      <c r="YL125" s="36"/>
      <c r="YM125" s="36"/>
      <c r="YN125" s="36"/>
      <c r="YO125" s="36"/>
      <c r="YP125" s="36"/>
      <c r="YQ125" s="36"/>
      <c r="YR125" s="36"/>
      <c r="YS125" s="36"/>
      <c r="YT125" s="36"/>
      <c r="YU125" s="36"/>
      <c r="YV125" s="36"/>
      <c r="YW125" s="36"/>
      <c r="YX125" s="36"/>
      <c r="YY125" s="36"/>
      <c r="YZ125" s="36"/>
      <c r="ZA125" s="36"/>
      <c r="ZB125" s="36"/>
      <c r="ZC125" s="36"/>
      <c r="ZD125" s="36"/>
      <c r="ZE125" s="36"/>
      <c r="ZF125" s="36"/>
      <c r="ZG125" s="36"/>
      <c r="ZH125" s="36"/>
      <c r="ZI125" s="36"/>
      <c r="ZJ125" s="36"/>
      <c r="ZK125" s="36"/>
      <c r="ZL125" s="36"/>
      <c r="ZM125" s="36"/>
      <c r="ZN125" s="36"/>
      <c r="ZO125" s="36"/>
      <c r="ZP125" s="36"/>
      <c r="ZQ125" s="36"/>
      <c r="ZR125" s="36"/>
      <c r="ZS125" s="36"/>
      <c r="ZT125" s="36"/>
      <c r="ZU125" s="36"/>
      <c r="ZV125" s="36"/>
      <c r="ZW125" s="36"/>
      <c r="ZX125" s="36"/>
      <c r="ZY125" s="36"/>
      <c r="ZZ125" s="36"/>
      <c r="AAA125" s="36"/>
      <c r="AAB125" s="36"/>
      <c r="AAC125" s="36"/>
      <c r="AAD125" s="36"/>
      <c r="AAE125" s="36"/>
      <c r="AAF125" s="36"/>
      <c r="AAG125" s="36"/>
      <c r="AAH125" s="36"/>
      <c r="AAI125" s="36"/>
      <c r="AAJ125" s="36"/>
      <c r="AAK125" s="36"/>
      <c r="AAL125" s="36"/>
      <c r="AAM125" s="36"/>
      <c r="AAN125" s="36"/>
      <c r="AAO125" s="36"/>
      <c r="AAP125" s="36"/>
      <c r="AAQ125" s="36"/>
      <c r="AAR125" s="36"/>
      <c r="AAS125" s="36"/>
      <c r="AAT125" s="36"/>
      <c r="AAU125" s="36"/>
      <c r="AAV125" s="36"/>
      <c r="AAW125" s="36"/>
      <c r="AAX125" s="36"/>
      <c r="AAY125" s="36"/>
      <c r="AAZ125" s="36"/>
      <c r="ABA125" s="36"/>
      <c r="ABB125" s="36"/>
      <c r="ABC125" s="36"/>
      <c r="ABD125" s="36"/>
      <c r="ABE125" s="36"/>
      <c r="ABF125" s="36"/>
      <c r="ABG125" s="36"/>
      <c r="ABH125" s="36"/>
      <c r="ABI125" s="36"/>
      <c r="ABJ125" s="36"/>
      <c r="ABK125" s="36"/>
      <c r="ABL125" s="36"/>
      <c r="ABM125" s="36"/>
      <c r="ABN125" s="36"/>
      <c r="ABO125" s="36"/>
      <c r="ABP125" s="36"/>
      <c r="ABQ125" s="36"/>
      <c r="ABR125" s="36"/>
      <c r="ABS125" s="36"/>
      <c r="ABT125" s="36"/>
      <c r="ABU125" s="36"/>
      <c r="ABV125" s="36"/>
      <c r="ABW125" s="36"/>
      <c r="ABX125" s="36"/>
      <c r="ABY125" s="36"/>
      <c r="ABZ125" s="36"/>
      <c r="ACA125" s="36"/>
      <c r="ACB125" s="36"/>
      <c r="ACC125" s="36"/>
      <c r="ACD125" s="36"/>
      <c r="ACE125" s="36"/>
      <c r="ACF125" s="36"/>
      <c r="ACG125" s="36"/>
      <c r="ACH125" s="36"/>
      <c r="ACI125" s="36"/>
      <c r="ACJ125" s="36"/>
      <c r="ACK125" s="36"/>
      <c r="ACL125" s="36"/>
      <c r="ACM125" s="36"/>
      <c r="ACN125" s="36"/>
      <c r="ACO125" s="36"/>
      <c r="ACP125" s="36"/>
      <c r="ACQ125" s="36"/>
      <c r="ACR125" s="36"/>
      <c r="ACS125" s="36"/>
      <c r="ACT125" s="36"/>
      <c r="ACU125" s="36"/>
      <c r="ACV125" s="36"/>
      <c r="ACW125" s="36"/>
      <c r="ACX125" s="36"/>
      <c r="ACY125" s="36"/>
      <c r="ACZ125" s="36"/>
      <c r="ADA125" s="36"/>
      <c r="ADB125" s="36"/>
      <c r="ADC125" s="36"/>
      <c r="ADD125" s="36"/>
      <c r="ADE125" s="36"/>
      <c r="ADF125" s="36"/>
      <c r="ADG125" s="36"/>
      <c r="ADH125" s="36"/>
      <c r="ADI125" s="36"/>
      <c r="ADJ125" s="36"/>
      <c r="ADK125" s="36"/>
      <c r="ADL125" s="36"/>
      <c r="ADM125" s="36"/>
      <c r="ADN125" s="36"/>
      <c r="ADO125" s="36"/>
      <c r="ADP125" s="36"/>
      <c r="ADQ125" s="36"/>
      <c r="ADR125" s="36"/>
      <c r="ADS125" s="36"/>
      <c r="ADT125" s="36"/>
      <c r="ADU125" s="36"/>
      <c r="ADV125" s="36"/>
      <c r="ADW125" s="36"/>
      <c r="ADX125" s="36"/>
      <c r="ADY125" s="36"/>
      <c r="ADZ125" s="36"/>
      <c r="AEA125" s="36"/>
      <c r="AEB125" s="36"/>
      <c r="AEC125" s="36"/>
      <c r="AED125" s="36"/>
      <c r="AEE125" s="36"/>
      <c r="AEF125" s="36"/>
      <c r="AEG125" s="36"/>
      <c r="AEH125" s="36"/>
      <c r="AEI125" s="36"/>
      <c r="AEJ125" s="36"/>
      <c r="AEK125" s="36"/>
      <c r="AEL125" s="36"/>
      <c r="AEM125" s="36"/>
      <c r="AEN125" s="36"/>
      <c r="AEO125" s="36"/>
      <c r="AEP125" s="36"/>
      <c r="AEQ125" s="36"/>
      <c r="AER125" s="36"/>
      <c r="AES125" s="36"/>
      <c r="AET125" s="36"/>
      <c r="AEU125" s="36"/>
      <c r="AEV125" s="36"/>
      <c r="AEW125" s="36"/>
      <c r="AEX125" s="36"/>
      <c r="AEY125" s="36"/>
      <c r="AEZ125" s="36"/>
      <c r="AFA125" s="36"/>
      <c r="AFB125" s="36"/>
      <c r="AFC125" s="36"/>
      <c r="AFD125" s="36"/>
      <c r="AFE125" s="36"/>
      <c r="AFF125" s="36"/>
      <c r="AFG125" s="36"/>
      <c r="AFH125" s="36"/>
      <c r="AFI125" s="36"/>
      <c r="AFJ125" s="36"/>
      <c r="AFK125" s="36"/>
      <c r="AFL125" s="36"/>
      <c r="AFM125" s="36"/>
      <c r="AFN125" s="36"/>
      <c r="AFO125" s="36"/>
      <c r="AFP125" s="36"/>
      <c r="AFQ125" s="36"/>
      <c r="AFR125" s="36"/>
      <c r="AFS125" s="36"/>
      <c r="AFT125" s="36"/>
      <c r="AFU125" s="36"/>
      <c r="AFV125" s="36"/>
      <c r="AFW125" s="36"/>
      <c r="AFX125" s="36"/>
      <c r="AFY125" s="36"/>
      <c r="AFZ125" s="36"/>
      <c r="AGA125" s="36"/>
      <c r="AGB125" s="36"/>
      <c r="AGC125" s="36"/>
      <c r="AGD125" s="36"/>
      <c r="AGE125" s="36"/>
      <c r="AGF125" s="36"/>
      <c r="AGG125" s="36"/>
      <c r="AGH125" s="36"/>
      <c r="AGI125" s="36"/>
      <c r="AGJ125" s="36"/>
      <c r="AGK125" s="36"/>
      <c r="AGL125" s="36"/>
      <c r="AGM125" s="36"/>
      <c r="AGN125" s="36"/>
      <c r="AGO125" s="36"/>
      <c r="AGP125" s="36"/>
      <c r="AGQ125" s="36"/>
      <c r="AGR125" s="36"/>
      <c r="AGS125" s="36"/>
      <c r="AGT125" s="36"/>
      <c r="AGU125" s="36"/>
      <c r="AGV125" s="36"/>
      <c r="AGW125" s="36"/>
      <c r="AGX125" s="36"/>
      <c r="AGY125" s="36"/>
      <c r="AGZ125" s="36"/>
      <c r="AHA125" s="36"/>
      <c r="AHB125" s="36"/>
      <c r="AHC125" s="36"/>
      <c r="AHD125" s="36"/>
      <c r="AHE125" s="36"/>
      <c r="AHF125" s="36"/>
      <c r="AHG125" s="36"/>
      <c r="AHH125" s="36"/>
      <c r="AHI125" s="36"/>
      <c r="AHJ125" s="36"/>
      <c r="AHK125" s="36"/>
      <c r="AHL125" s="36"/>
      <c r="AHM125" s="36"/>
      <c r="AHN125" s="36"/>
      <c r="AHO125" s="36"/>
      <c r="AHP125" s="36"/>
      <c r="AHQ125" s="36"/>
      <c r="AHR125" s="36"/>
      <c r="AHS125" s="36"/>
      <c r="AHT125" s="36"/>
      <c r="AHU125" s="36"/>
      <c r="AHV125" s="36"/>
      <c r="AHW125" s="36"/>
      <c r="AHX125" s="36"/>
      <c r="AHY125" s="36"/>
      <c r="AHZ125" s="36"/>
      <c r="AIA125" s="36"/>
      <c r="AIB125" s="36"/>
      <c r="AIC125" s="36"/>
      <c r="AID125" s="36"/>
      <c r="AIE125" s="36"/>
      <c r="AIF125" s="36"/>
      <c r="AIG125" s="36"/>
      <c r="AIH125" s="36"/>
      <c r="AII125" s="36"/>
      <c r="AIJ125" s="36"/>
      <c r="AIK125" s="36"/>
      <c r="AIL125" s="36"/>
      <c r="AIM125" s="36"/>
      <c r="AIN125" s="36"/>
      <c r="AIO125" s="36"/>
      <c r="AIP125" s="36"/>
      <c r="AIQ125" s="36"/>
      <c r="AIR125" s="36"/>
      <c r="AIS125" s="36"/>
      <c r="AIT125" s="36"/>
      <c r="AIU125" s="36"/>
      <c r="AIV125" s="36"/>
      <c r="AIW125" s="36"/>
      <c r="AIX125" s="36"/>
      <c r="AIY125" s="36"/>
      <c r="AIZ125" s="36"/>
      <c r="AJA125" s="36"/>
      <c r="AJB125" s="36"/>
      <c r="AJC125" s="36"/>
      <c r="AJD125" s="36"/>
      <c r="AJE125" s="36"/>
      <c r="AJF125" s="36"/>
      <c r="AJG125" s="36"/>
      <c r="AJH125" s="36"/>
      <c r="AJI125" s="36"/>
      <c r="AJJ125" s="36"/>
      <c r="AJK125" s="36"/>
      <c r="AJL125" s="36"/>
      <c r="AJM125" s="36"/>
      <c r="AJN125" s="36"/>
      <c r="AJO125" s="36"/>
      <c r="AJP125" s="36"/>
      <c r="AJQ125" s="36"/>
      <c r="AJR125" s="36"/>
      <c r="AJS125" s="36"/>
      <c r="AJT125" s="36"/>
      <c r="AJU125" s="36"/>
      <c r="AJV125" s="36"/>
      <c r="AJW125" s="36"/>
      <c r="AJX125" s="36"/>
      <c r="AJY125" s="36"/>
      <c r="AJZ125" s="36"/>
      <c r="AKA125" s="36"/>
      <c r="AKB125" s="36"/>
      <c r="AKC125" s="36"/>
      <c r="AKD125" s="36"/>
      <c r="AKE125" s="36"/>
      <c r="AKF125" s="36"/>
      <c r="AKG125" s="36"/>
      <c r="AKH125" s="36"/>
      <c r="AKI125" s="36"/>
      <c r="AKJ125" s="36"/>
      <c r="AKK125" s="36"/>
      <c r="AKL125" s="36"/>
      <c r="AKM125" s="36"/>
      <c r="AKN125" s="36"/>
      <c r="AKO125" s="36"/>
      <c r="AKP125" s="36"/>
      <c r="AKQ125" s="36"/>
      <c r="AKR125" s="36"/>
      <c r="AKS125" s="36"/>
      <c r="AKT125" s="36"/>
      <c r="AKU125" s="36"/>
      <c r="AKV125" s="36"/>
      <c r="AKW125" s="36"/>
      <c r="AKX125" s="36"/>
      <c r="AKY125" s="36"/>
      <c r="AKZ125" s="36"/>
      <c r="ALA125" s="36"/>
      <c r="ALB125" s="36"/>
      <c r="ALC125" s="36"/>
      <c r="ALD125" s="36"/>
      <c r="ALE125" s="36"/>
      <c r="ALF125" s="36"/>
      <c r="ALG125" s="36"/>
      <c r="ALH125" s="36"/>
      <c r="ALI125" s="36"/>
      <c r="ALJ125" s="36"/>
      <c r="ALK125" s="36"/>
      <c r="ALL125" s="36"/>
      <c r="ALM125" s="36"/>
      <c r="ALN125" s="36"/>
      <c r="ALO125" s="36"/>
      <c r="ALP125" s="36"/>
      <c r="ALQ125" s="36"/>
      <c r="ALR125" s="36"/>
      <c r="ALS125" s="36"/>
      <c r="ALT125" s="36"/>
      <c r="ALU125" s="36"/>
      <c r="ALV125" s="36"/>
      <c r="ALW125" s="36"/>
      <c r="ALX125" s="36"/>
      <c r="ALY125" s="36"/>
      <c r="ALZ125" s="36"/>
      <c r="AMA125" s="36"/>
      <c r="AMB125" s="36"/>
      <c r="AMC125" s="36"/>
      <c r="AMD125" s="36"/>
      <c r="AME125" s="36"/>
      <c r="AMF125" s="36"/>
      <c r="AMG125" s="36"/>
      <c r="AMH125" s="36"/>
      <c r="AMI125" s="36"/>
      <c r="AMJ125" s="36"/>
      <c r="AMK125" s="36"/>
      <c r="AML125" s="36"/>
      <c r="AMM125" s="36"/>
      <c r="AMN125" s="36"/>
      <c r="AMO125" s="36"/>
      <c r="AMP125" s="36"/>
      <c r="AMQ125" s="36"/>
      <c r="AMR125" s="36"/>
      <c r="AMS125" s="36"/>
      <c r="AMT125" s="36"/>
      <c r="AMU125" s="36"/>
      <c r="AMV125" s="36"/>
      <c r="AMW125" s="36"/>
      <c r="AMX125" s="36"/>
      <c r="AMY125" s="36"/>
      <c r="AMZ125" s="36"/>
      <c r="ANA125" s="36"/>
      <c r="ANB125" s="36"/>
      <c r="ANC125" s="36"/>
      <c r="AND125" s="36"/>
      <c r="ANE125" s="36"/>
      <c r="ANF125" s="36"/>
      <c r="ANG125" s="36"/>
      <c r="ANH125" s="36"/>
      <c r="ANI125" s="36"/>
      <c r="ANJ125" s="36"/>
      <c r="ANK125" s="36"/>
      <c r="ANL125" s="36"/>
      <c r="ANM125" s="36"/>
      <c r="ANN125" s="36"/>
      <c r="ANO125" s="36"/>
      <c r="ANP125" s="36"/>
      <c r="ANQ125" s="36"/>
      <c r="ANR125" s="36"/>
      <c r="ANS125" s="36"/>
      <c r="ANT125" s="36"/>
      <c r="ANU125" s="36"/>
      <c r="ANV125" s="36"/>
      <c r="ANW125" s="36"/>
      <c r="ANX125" s="36"/>
      <c r="ANY125" s="36"/>
      <c r="ANZ125" s="36"/>
      <c r="AOA125" s="36"/>
      <c r="AOB125" s="36"/>
      <c r="AOC125" s="36"/>
      <c r="AOD125" s="36"/>
      <c r="AOE125" s="36"/>
      <c r="AOF125" s="36"/>
      <c r="AOG125" s="36"/>
      <c r="AOH125" s="36"/>
      <c r="AOI125" s="36"/>
      <c r="AOJ125" s="36"/>
      <c r="AOK125" s="36"/>
      <c r="AOL125" s="36"/>
      <c r="AOM125" s="36"/>
      <c r="AON125" s="36"/>
      <c r="AOO125" s="36"/>
      <c r="AOP125" s="36"/>
      <c r="AOQ125" s="36"/>
      <c r="AOR125" s="36"/>
      <c r="AOS125" s="36"/>
      <c r="AOT125" s="36"/>
      <c r="AOU125" s="36"/>
      <c r="AOV125" s="36"/>
      <c r="AOW125" s="36"/>
      <c r="AOX125" s="36"/>
      <c r="AOY125" s="36"/>
      <c r="AOZ125" s="36"/>
      <c r="APA125" s="36"/>
      <c r="APB125" s="36"/>
      <c r="APC125" s="36"/>
      <c r="APD125" s="36"/>
      <c r="APE125" s="36"/>
      <c r="APF125" s="36"/>
      <c r="APG125" s="36"/>
      <c r="APH125" s="36"/>
      <c r="API125" s="36"/>
      <c r="APJ125" s="36"/>
      <c r="APK125" s="36"/>
      <c r="APL125" s="36"/>
      <c r="APM125" s="36"/>
      <c r="APN125" s="36"/>
      <c r="APO125" s="36"/>
      <c r="APP125" s="36"/>
      <c r="APQ125" s="36"/>
      <c r="APR125" s="36"/>
      <c r="APS125" s="36"/>
      <c r="APT125" s="36"/>
      <c r="APU125" s="36"/>
      <c r="APV125" s="36"/>
      <c r="APW125" s="36"/>
      <c r="APX125" s="36"/>
      <c r="APY125" s="36"/>
      <c r="APZ125" s="36"/>
      <c r="AQA125" s="36"/>
      <c r="AQB125" s="36"/>
      <c r="AQC125" s="36"/>
      <c r="AQD125" s="36"/>
      <c r="AQE125" s="36"/>
      <c r="AQF125" s="36"/>
      <c r="AQG125" s="36"/>
      <c r="AQH125" s="36"/>
      <c r="AQI125" s="36"/>
      <c r="AQJ125" s="36"/>
      <c r="AQK125" s="36"/>
      <c r="AQL125" s="36"/>
      <c r="AQM125" s="36"/>
      <c r="AQN125" s="36"/>
      <c r="AQO125" s="36"/>
      <c r="AQP125" s="36"/>
      <c r="AQQ125" s="36"/>
      <c r="AQR125" s="36"/>
      <c r="AQS125" s="36"/>
      <c r="AQT125" s="36"/>
      <c r="AQU125" s="36"/>
      <c r="AQV125" s="36"/>
      <c r="AQW125" s="36"/>
      <c r="AQX125" s="36"/>
      <c r="AQY125" s="36"/>
      <c r="AQZ125" s="36"/>
      <c r="ARA125" s="36"/>
      <c r="ARB125" s="36"/>
      <c r="ARC125" s="36"/>
      <c r="ARD125" s="36"/>
      <c r="ARE125" s="36"/>
      <c r="ARF125" s="36"/>
      <c r="ARG125" s="36"/>
      <c r="ARH125" s="36"/>
      <c r="ARI125" s="36"/>
      <c r="ARJ125" s="36"/>
      <c r="ARK125" s="36"/>
      <c r="ARL125" s="36"/>
      <c r="ARM125" s="36"/>
      <c r="ARN125" s="36"/>
      <c r="ARO125" s="36"/>
      <c r="ARP125" s="36"/>
      <c r="ARQ125" s="36"/>
      <c r="ARR125" s="36"/>
      <c r="ARS125" s="36"/>
      <c r="ART125" s="36"/>
      <c r="ARU125" s="36"/>
      <c r="ARV125" s="36"/>
      <c r="ARW125" s="36"/>
      <c r="ARX125" s="36"/>
      <c r="ARY125" s="36"/>
      <c r="ARZ125" s="36"/>
      <c r="ASA125" s="36"/>
      <c r="ASB125" s="36"/>
      <c r="ASC125" s="36"/>
      <c r="ASD125" s="36"/>
      <c r="ASE125" s="36"/>
      <c r="ASF125" s="36"/>
      <c r="ASG125" s="36"/>
      <c r="ASH125" s="36"/>
      <c r="ASI125" s="36"/>
      <c r="ASJ125" s="36"/>
      <c r="ASK125" s="36"/>
      <c r="ASL125" s="36"/>
      <c r="ASM125" s="36"/>
      <c r="ASN125" s="36"/>
      <c r="ASO125" s="36"/>
      <c r="ASP125" s="36"/>
      <c r="ASQ125" s="36"/>
      <c r="ASR125" s="36"/>
      <c r="ASS125" s="36"/>
      <c r="AST125" s="36"/>
      <c r="ASU125" s="36"/>
      <c r="ASV125" s="36"/>
      <c r="ASW125" s="36"/>
      <c r="ASX125" s="36"/>
      <c r="ASY125" s="36"/>
      <c r="ASZ125" s="36"/>
      <c r="ATA125" s="36"/>
      <c r="ATB125" s="36"/>
      <c r="ATC125" s="36"/>
      <c r="ATD125" s="36"/>
      <c r="ATE125" s="36"/>
      <c r="ATF125" s="36"/>
      <c r="ATG125" s="36"/>
      <c r="ATH125" s="36"/>
      <c r="ATI125" s="36"/>
      <c r="ATJ125" s="36"/>
      <c r="ATK125" s="36"/>
      <c r="ATL125" s="36"/>
      <c r="ATM125" s="36"/>
      <c r="ATN125" s="36"/>
      <c r="ATO125" s="36"/>
      <c r="ATP125" s="36"/>
      <c r="ATQ125" s="36"/>
      <c r="ATR125" s="36"/>
      <c r="ATS125" s="36"/>
      <c r="ATT125" s="36"/>
      <c r="ATU125" s="36"/>
      <c r="ATV125" s="36"/>
      <c r="ATW125" s="36"/>
      <c r="ATX125" s="36"/>
      <c r="ATY125" s="36"/>
      <c r="ATZ125" s="36"/>
      <c r="AUA125" s="36"/>
      <c r="AUB125" s="36"/>
      <c r="AUC125" s="36"/>
      <c r="AUD125" s="36"/>
      <c r="AUE125" s="36"/>
      <c r="AUF125" s="36"/>
      <c r="AUG125" s="36"/>
      <c r="AUH125" s="36"/>
      <c r="AUI125" s="36"/>
      <c r="AUJ125" s="36"/>
      <c r="AUK125" s="36"/>
      <c r="AUL125" s="36"/>
      <c r="AUM125" s="36"/>
      <c r="AUN125" s="36"/>
      <c r="AUO125" s="36"/>
      <c r="AUP125" s="36"/>
      <c r="AUQ125" s="36"/>
      <c r="AUR125" s="36"/>
      <c r="AUS125" s="36"/>
      <c r="AUT125" s="36"/>
      <c r="AUU125" s="36"/>
      <c r="AUV125" s="36"/>
      <c r="AUW125" s="36"/>
      <c r="AUX125" s="36"/>
      <c r="AUY125" s="36"/>
      <c r="AUZ125" s="36"/>
      <c r="AVA125" s="36"/>
      <c r="AVB125" s="36"/>
      <c r="AVC125" s="36"/>
      <c r="AVD125" s="36"/>
      <c r="AVE125" s="36"/>
      <c r="AVF125" s="36"/>
      <c r="AVG125" s="36"/>
      <c r="AVH125" s="36"/>
      <c r="AVI125" s="36"/>
      <c r="AVJ125" s="36"/>
      <c r="AVK125" s="36"/>
      <c r="AVL125" s="36"/>
      <c r="AVM125" s="36"/>
      <c r="AVN125" s="36"/>
      <c r="AVO125" s="36"/>
      <c r="AVP125" s="36"/>
      <c r="AVQ125" s="36"/>
      <c r="AVR125" s="36"/>
      <c r="AVS125" s="36"/>
      <c r="AVT125" s="36"/>
      <c r="AVU125" s="36"/>
      <c r="AVV125" s="36"/>
      <c r="AVW125" s="36"/>
      <c r="AVX125" s="36"/>
      <c r="AVY125" s="36"/>
      <c r="AVZ125" s="36"/>
      <c r="AWA125" s="36"/>
      <c r="AWB125" s="36"/>
      <c r="AWC125" s="36"/>
      <c r="AWD125" s="36"/>
      <c r="AWE125" s="36"/>
      <c r="AWF125" s="36"/>
      <c r="AWG125" s="36"/>
      <c r="AWH125" s="36"/>
      <c r="AWI125" s="36"/>
      <c r="AWJ125" s="36"/>
      <c r="AWK125" s="36"/>
      <c r="AWL125" s="36"/>
      <c r="AWM125" s="36"/>
      <c r="AWN125" s="36"/>
      <c r="AWO125" s="36"/>
      <c r="AWP125" s="36"/>
      <c r="AWQ125" s="36"/>
      <c r="AWR125" s="36"/>
      <c r="AWS125" s="36"/>
      <c r="AWT125" s="36"/>
      <c r="AWU125" s="36"/>
      <c r="AWV125" s="36"/>
      <c r="AWW125" s="36"/>
      <c r="AWX125" s="36"/>
      <c r="AWY125" s="36"/>
      <c r="AWZ125" s="36"/>
      <c r="AXA125" s="36"/>
      <c r="AXB125" s="36"/>
      <c r="AXC125" s="36"/>
      <c r="AXD125" s="36"/>
      <c r="AXE125" s="36"/>
      <c r="AXF125" s="36"/>
      <c r="AXG125" s="36"/>
      <c r="AXH125" s="36"/>
      <c r="AXI125" s="36"/>
      <c r="AXJ125" s="36"/>
      <c r="AXK125" s="36"/>
      <c r="AXL125" s="36"/>
      <c r="AXM125" s="36"/>
      <c r="AXN125" s="36"/>
      <c r="AXO125" s="36"/>
      <c r="AXP125" s="36"/>
      <c r="AXQ125" s="36"/>
      <c r="AXR125" s="36"/>
      <c r="AXS125" s="36"/>
      <c r="AXT125" s="36"/>
      <c r="AXU125" s="36"/>
      <c r="AXV125" s="36"/>
      <c r="AXW125" s="36"/>
      <c r="AXX125" s="36"/>
      <c r="AXY125" s="36"/>
      <c r="AXZ125" s="36"/>
      <c r="AYA125" s="36"/>
      <c r="AYB125" s="36"/>
      <c r="AYC125" s="36"/>
      <c r="AYD125" s="36"/>
      <c r="AYE125" s="36"/>
      <c r="AYF125" s="36"/>
      <c r="AYG125" s="36"/>
      <c r="AYH125" s="36"/>
      <c r="AYI125" s="36"/>
      <c r="AYJ125" s="36"/>
      <c r="AYK125" s="36"/>
      <c r="AYL125" s="36"/>
      <c r="AYM125" s="36"/>
      <c r="AYN125" s="36"/>
      <c r="AYO125" s="36"/>
      <c r="AYP125" s="36"/>
      <c r="AYQ125" s="36"/>
      <c r="AYR125" s="36"/>
      <c r="AYS125" s="36"/>
      <c r="AYT125" s="36"/>
      <c r="AYU125" s="36"/>
      <c r="AYV125" s="36"/>
      <c r="AYW125" s="36"/>
      <c r="AYX125" s="36"/>
      <c r="AYY125" s="36"/>
      <c r="AYZ125" s="36"/>
      <c r="AZA125" s="36"/>
      <c r="AZB125" s="36"/>
      <c r="AZC125" s="36"/>
      <c r="AZD125" s="36"/>
      <c r="AZE125" s="36"/>
      <c r="AZF125" s="36"/>
      <c r="AZG125" s="36"/>
      <c r="AZH125" s="36"/>
      <c r="AZI125" s="36"/>
      <c r="AZJ125" s="36"/>
      <c r="AZK125" s="36"/>
      <c r="AZL125" s="36"/>
      <c r="AZM125" s="36"/>
      <c r="AZN125" s="36"/>
      <c r="AZO125" s="36"/>
      <c r="AZP125" s="36"/>
      <c r="AZQ125" s="36"/>
      <c r="AZR125" s="36"/>
      <c r="AZS125" s="36"/>
      <c r="AZT125" s="36"/>
      <c r="AZU125" s="36"/>
      <c r="AZV125" s="36"/>
      <c r="AZW125" s="36"/>
      <c r="AZX125" s="36"/>
      <c r="AZY125" s="36"/>
      <c r="AZZ125" s="36"/>
      <c r="BAA125" s="36"/>
      <c r="BAB125" s="36"/>
      <c r="BAC125" s="36"/>
      <c r="BAD125" s="36"/>
      <c r="BAE125" s="36"/>
      <c r="BAF125" s="36"/>
      <c r="BAG125" s="36"/>
      <c r="BAH125" s="36"/>
      <c r="BAI125" s="36"/>
      <c r="BAJ125" s="36"/>
      <c r="BAK125" s="36"/>
      <c r="BAL125" s="36"/>
      <c r="BAM125" s="36"/>
      <c r="BAN125" s="36"/>
      <c r="BAO125" s="36"/>
      <c r="BAP125" s="36"/>
      <c r="BAQ125" s="36"/>
      <c r="BAR125" s="36"/>
      <c r="BAS125" s="36"/>
      <c r="BAT125" s="36"/>
      <c r="BAU125" s="36"/>
      <c r="BAV125" s="36"/>
      <c r="BAW125" s="36"/>
      <c r="BAX125" s="36"/>
      <c r="BAY125" s="36"/>
      <c r="BAZ125" s="36"/>
      <c r="BBA125" s="36"/>
      <c r="BBB125" s="36"/>
      <c r="BBC125" s="36"/>
      <c r="BBD125" s="36"/>
      <c r="BBE125" s="36"/>
      <c r="BBF125" s="36"/>
      <c r="BBG125" s="36"/>
      <c r="BBH125" s="36"/>
      <c r="BBI125" s="36"/>
      <c r="BBJ125" s="36"/>
      <c r="BBK125" s="36"/>
      <c r="BBL125" s="36"/>
      <c r="BBM125" s="36"/>
      <c r="BBN125" s="36"/>
      <c r="BBO125" s="36"/>
      <c r="BBP125" s="36"/>
      <c r="BBQ125" s="36"/>
      <c r="BBR125" s="36"/>
      <c r="BBS125" s="36"/>
      <c r="BBT125" s="36"/>
      <c r="BBU125" s="36"/>
      <c r="BBV125" s="36"/>
      <c r="BBW125" s="36"/>
      <c r="BBX125" s="36"/>
      <c r="BBY125" s="36"/>
      <c r="BBZ125" s="36"/>
      <c r="BCA125" s="36"/>
      <c r="BCB125" s="36"/>
      <c r="BCC125" s="36"/>
      <c r="BCD125" s="36"/>
      <c r="BCE125" s="36"/>
      <c r="BCF125" s="36"/>
      <c r="BCG125" s="36"/>
      <c r="BCH125" s="36"/>
      <c r="BCI125" s="36"/>
      <c r="BCJ125" s="36"/>
      <c r="BCK125" s="36"/>
      <c r="BCL125" s="36"/>
      <c r="BCM125" s="36"/>
      <c r="BCN125" s="36"/>
      <c r="BCO125" s="36"/>
      <c r="BCP125" s="36"/>
      <c r="BCQ125" s="36"/>
      <c r="BCR125" s="36"/>
      <c r="BCS125" s="36"/>
      <c r="BCT125" s="36"/>
      <c r="BCU125" s="36"/>
      <c r="BCV125" s="36"/>
      <c r="BCW125" s="36"/>
      <c r="BCX125" s="36"/>
      <c r="BCY125" s="36"/>
      <c r="BCZ125" s="36"/>
      <c r="BDA125" s="36"/>
      <c r="BDB125" s="36"/>
      <c r="BDC125" s="36"/>
      <c r="BDD125" s="36"/>
      <c r="BDE125" s="36"/>
      <c r="BDF125" s="36"/>
      <c r="BDG125" s="36"/>
      <c r="BDH125" s="36"/>
      <c r="BDI125" s="36"/>
      <c r="BDJ125" s="36"/>
      <c r="BDK125" s="36"/>
      <c r="BDL125" s="36"/>
      <c r="BDM125" s="36"/>
      <c r="BDN125" s="36"/>
      <c r="BDO125" s="36"/>
      <c r="BDP125" s="36"/>
      <c r="BDQ125" s="36"/>
      <c r="BDR125" s="36"/>
      <c r="BDS125" s="36"/>
      <c r="BDT125" s="36"/>
      <c r="BDU125" s="36"/>
      <c r="BDV125" s="36"/>
      <c r="BDW125" s="36"/>
      <c r="BDX125" s="36"/>
      <c r="BDY125" s="36"/>
      <c r="BDZ125" s="36"/>
      <c r="BEA125" s="36"/>
      <c r="BEB125" s="36"/>
      <c r="BEC125" s="36"/>
      <c r="BED125" s="36"/>
      <c r="BEE125" s="36"/>
      <c r="BEF125" s="36"/>
      <c r="BEG125" s="36"/>
      <c r="BEH125" s="36"/>
      <c r="BEI125" s="36"/>
      <c r="BEJ125" s="36"/>
      <c r="BEK125" s="36"/>
      <c r="BEL125" s="36"/>
      <c r="BEM125" s="36"/>
      <c r="BEN125" s="36"/>
      <c r="BEO125" s="36"/>
      <c r="BEP125" s="36"/>
      <c r="BEQ125" s="36"/>
      <c r="BER125" s="36"/>
      <c r="BES125" s="36"/>
      <c r="BET125" s="36"/>
      <c r="BEU125" s="36"/>
      <c r="BEV125" s="36"/>
      <c r="BEW125" s="36"/>
      <c r="BEX125" s="36"/>
      <c r="BEY125" s="36"/>
      <c r="BEZ125" s="36"/>
      <c r="BFA125" s="36"/>
      <c r="BFB125" s="36"/>
      <c r="BFC125" s="36"/>
      <c r="BFD125" s="36"/>
      <c r="BFE125" s="36"/>
      <c r="BFF125" s="36"/>
      <c r="BFG125" s="36"/>
      <c r="BFH125" s="36"/>
      <c r="BFI125" s="36"/>
      <c r="BFJ125" s="36"/>
      <c r="BFK125" s="36"/>
      <c r="BFL125" s="36"/>
      <c r="BFM125" s="36"/>
      <c r="BFN125" s="36"/>
      <c r="BFO125" s="36"/>
      <c r="BFP125" s="36"/>
      <c r="BFQ125" s="36"/>
      <c r="BFR125" s="36"/>
      <c r="BFS125" s="36"/>
      <c r="BFT125" s="36"/>
      <c r="BFU125" s="36"/>
      <c r="BFV125" s="36"/>
      <c r="BFW125" s="36"/>
      <c r="BFX125" s="36"/>
      <c r="BFY125" s="36"/>
      <c r="BFZ125" s="36"/>
      <c r="BGA125" s="36"/>
      <c r="BGB125" s="36"/>
      <c r="BGC125" s="36"/>
      <c r="BGD125" s="36"/>
      <c r="BGE125" s="36"/>
      <c r="BGF125" s="36"/>
      <c r="BGG125" s="36"/>
      <c r="BGH125" s="36"/>
      <c r="BGI125" s="36"/>
      <c r="BGJ125" s="36"/>
      <c r="BGK125" s="36"/>
      <c r="BGL125" s="36"/>
      <c r="BGM125" s="36"/>
      <c r="BGN125" s="36"/>
      <c r="BGO125" s="36"/>
      <c r="BGP125" s="36"/>
      <c r="BGQ125" s="36"/>
      <c r="BGR125" s="36"/>
      <c r="BGS125" s="36"/>
      <c r="BGT125" s="36"/>
      <c r="BGU125" s="36"/>
      <c r="BGV125" s="36"/>
      <c r="BGW125" s="36"/>
      <c r="BGX125" s="36"/>
      <c r="BGY125" s="36"/>
      <c r="BGZ125" s="36"/>
      <c r="BHA125" s="36"/>
      <c r="BHB125" s="36"/>
      <c r="BHC125" s="36"/>
      <c r="BHD125" s="36"/>
      <c r="BHE125" s="36"/>
      <c r="BHF125" s="36"/>
      <c r="BHG125" s="36"/>
      <c r="BHH125" s="36"/>
      <c r="BHI125" s="36"/>
      <c r="BHJ125" s="36"/>
      <c r="BHK125" s="36"/>
      <c r="BHL125" s="36"/>
      <c r="BHM125" s="36"/>
      <c r="BHN125" s="36"/>
      <c r="BHO125" s="36"/>
      <c r="BHP125" s="36"/>
      <c r="BHQ125" s="36"/>
      <c r="BHR125" s="36"/>
      <c r="BHS125" s="36"/>
      <c r="BHT125" s="36"/>
      <c r="BHU125" s="36"/>
      <c r="BHV125" s="36"/>
      <c r="BHW125" s="36"/>
      <c r="BHX125" s="36"/>
      <c r="BHY125" s="36"/>
      <c r="BHZ125" s="36"/>
      <c r="BIA125" s="36"/>
      <c r="BIB125" s="36"/>
      <c r="BIC125" s="36"/>
      <c r="BID125" s="36"/>
      <c r="BIE125" s="36"/>
      <c r="BIF125" s="36"/>
      <c r="BIG125" s="36"/>
      <c r="BIH125" s="36"/>
      <c r="BII125" s="36"/>
      <c r="BIJ125" s="36"/>
      <c r="BIK125" s="36"/>
      <c r="BIL125" s="36"/>
      <c r="BIM125" s="36"/>
      <c r="BIN125" s="36"/>
      <c r="BIO125" s="36"/>
      <c r="BIP125" s="36"/>
      <c r="BIQ125" s="36"/>
      <c r="BIR125" s="36"/>
      <c r="BIS125" s="36"/>
      <c r="BIT125" s="36"/>
      <c r="BIU125" s="36"/>
      <c r="BIV125" s="36"/>
      <c r="BIW125" s="36"/>
      <c r="BIX125" s="36"/>
      <c r="BIY125" s="36"/>
      <c r="BIZ125" s="36"/>
      <c r="BJA125" s="36"/>
      <c r="BJB125" s="36"/>
      <c r="BJC125" s="36"/>
      <c r="BJD125" s="36"/>
      <c r="BJE125" s="36"/>
      <c r="BJF125" s="36"/>
      <c r="BJG125" s="36"/>
      <c r="BJH125" s="36"/>
      <c r="BJI125" s="36"/>
      <c r="BJJ125" s="36"/>
      <c r="BJK125" s="36"/>
      <c r="BJL125" s="36"/>
      <c r="BJM125" s="36"/>
      <c r="BJN125" s="36"/>
      <c r="BJO125" s="36"/>
      <c r="BJP125" s="36"/>
      <c r="BJQ125" s="36"/>
      <c r="BJR125" s="36"/>
      <c r="BJS125" s="36"/>
      <c r="BJT125" s="36"/>
      <c r="BJU125" s="36"/>
      <c r="BJV125" s="36"/>
      <c r="BJW125" s="36"/>
      <c r="BJX125" s="36"/>
      <c r="BJY125" s="36"/>
      <c r="BJZ125" s="36"/>
      <c r="BKA125" s="36"/>
      <c r="BKB125" s="36"/>
      <c r="BKC125" s="36"/>
      <c r="BKD125" s="36"/>
      <c r="BKE125" s="36"/>
      <c r="BKF125" s="36"/>
      <c r="BKG125" s="36"/>
      <c r="BKH125" s="36"/>
      <c r="BKI125" s="36"/>
      <c r="BKJ125" s="36"/>
      <c r="BKK125" s="36"/>
      <c r="BKL125" s="36"/>
      <c r="BKM125" s="36"/>
      <c r="BKN125" s="36"/>
      <c r="BKO125" s="36"/>
      <c r="BKP125" s="36"/>
      <c r="BKQ125" s="36"/>
      <c r="BKR125" s="36"/>
      <c r="BKS125" s="36"/>
      <c r="BKT125" s="36"/>
      <c r="BKU125" s="36"/>
      <c r="BKV125" s="36"/>
      <c r="BKW125" s="36"/>
      <c r="BKX125" s="36"/>
      <c r="BKY125" s="36"/>
      <c r="BKZ125" s="36"/>
      <c r="BLA125" s="36"/>
      <c r="BLB125" s="36"/>
      <c r="BLC125" s="36"/>
      <c r="BLD125" s="36"/>
      <c r="BLE125" s="36"/>
      <c r="BLF125" s="36"/>
      <c r="BLG125" s="36"/>
      <c r="BLH125" s="36"/>
      <c r="BLI125" s="36"/>
      <c r="BLJ125" s="36"/>
      <c r="BLK125" s="36"/>
      <c r="BLL125" s="36"/>
      <c r="BLM125" s="36"/>
      <c r="BLN125" s="36"/>
      <c r="BLO125" s="36"/>
      <c r="BLP125" s="36"/>
      <c r="BLQ125" s="36"/>
      <c r="BLR125" s="36"/>
      <c r="BLS125" s="36"/>
      <c r="BLT125" s="36"/>
      <c r="BLU125" s="36"/>
      <c r="BLV125" s="36"/>
      <c r="BLW125" s="36"/>
      <c r="BLX125" s="36"/>
      <c r="BLY125" s="36"/>
      <c r="BLZ125" s="36"/>
      <c r="BMA125" s="36"/>
      <c r="BMB125" s="36"/>
      <c r="BMC125" s="36"/>
      <c r="BMD125" s="36"/>
      <c r="BME125" s="36"/>
      <c r="BMF125" s="36"/>
      <c r="BMG125" s="36"/>
      <c r="BMH125" s="36"/>
      <c r="BMI125" s="36"/>
      <c r="BMJ125" s="36"/>
      <c r="BMK125" s="36"/>
      <c r="BML125" s="36"/>
      <c r="BMM125" s="36"/>
      <c r="BMN125" s="36"/>
      <c r="BMO125" s="36"/>
      <c r="BMP125" s="36"/>
      <c r="BMQ125" s="36"/>
      <c r="BMR125" s="36"/>
      <c r="BMS125" s="36"/>
      <c r="BMT125" s="36"/>
      <c r="BMU125" s="36"/>
      <c r="BMV125" s="36"/>
      <c r="BMW125" s="36"/>
      <c r="BMX125" s="36"/>
      <c r="BMY125" s="36"/>
      <c r="BMZ125" s="36"/>
      <c r="BNA125" s="36"/>
      <c r="BNB125" s="36"/>
      <c r="BNC125" s="36"/>
      <c r="BND125" s="36"/>
      <c r="BNE125" s="36"/>
      <c r="BNF125" s="36"/>
      <c r="BNG125" s="36"/>
      <c r="BNH125" s="36"/>
      <c r="BNI125" s="36"/>
      <c r="BNJ125" s="36"/>
      <c r="BNK125" s="36"/>
      <c r="BNL125" s="36"/>
      <c r="BNM125" s="36"/>
      <c r="BNN125" s="36"/>
      <c r="BNO125" s="36"/>
      <c r="BNP125" s="36"/>
      <c r="BNQ125" s="36"/>
      <c r="BNR125" s="36"/>
      <c r="BNS125" s="36"/>
      <c r="BNT125" s="36"/>
      <c r="BNU125" s="36"/>
      <c r="BNV125" s="36"/>
      <c r="BNW125" s="36"/>
      <c r="BNX125" s="36"/>
      <c r="BNY125" s="36"/>
      <c r="BNZ125" s="36"/>
      <c r="BOA125" s="36"/>
      <c r="BOB125" s="36"/>
      <c r="BOC125" s="36"/>
      <c r="BOD125" s="36"/>
      <c r="BOE125" s="36"/>
      <c r="BOF125" s="36"/>
      <c r="BOG125" s="36"/>
      <c r="BOH125" s="36"/>
      <c r="BOI125" s="36"/>
      <c r="BOJ125" s="36"/>
      <c r="BOK125" s="36"/>
      <c r="BOL125" s="36"/>
      <c r="BOM125" s="36"/>
      <c r="BON125" s="36"/>
      <c r="BOO125" s="36"/>
      <c r="BOP125" s="36"/>
      <c r="BOQ125" s="36"/>
      <c r="BOR125" s="36"/>
      <c r="BOS125" s="36"/>
      <c r="BOT125" s="36"/>
      <c r="BOU125" s="36"/>
      <c r="BOV125" s="36"/>
      <c r="BOW125" s="36"/>
      <c r="BOX125" s="36"/>
      <c r="BOY125" s="36"/>
      <c r="BOZ125" s="36"/>
      <c r="BPA125" s="36"/>
      <c r="BPB125" s="36"/>
      <c r="BPC125" s="36"/>
      <c r="BPD125" s="36"/>
      <c r="BPE125" s="36"/>
      <c r="BPF125" s="36"/>
      <c r="BPG125" s="36"/>
      <c r="BPH125" s="36"/>
      <c r="BPI125" s="36"/>
      <c r="BPJ125" s="36"/>
      <c r="BPK125" s="36"/>
      <c r="BPL125" s="36"/>
      <c r="BPM125" s="36"/>
      <c r="BPN125" s="36"/>
      <c r="BPO125" s="36"/>
      <c r="BPP125" s="36"/>
      <c r="BPQ125" s="36"/>
      <c r="BPR125" s="36"/>
      <c r="BPS125" s="36"/>
      <c r="BPT125" s="36"/>
      <c r="BPU125" s="36"/>
      <c r="BPV125" s="36"/>
      <c r="BPW125" s="36"/>
      <c r="BPX125" s="36"/>
      <c r="BPY125" s="36"/>
      <c r="BPZ125" s="36"/>
      <c r="BQA125" s="36"/>
      <c r="BQB125" s="36"/>
      <c r="BQC125" s="36"/>
      <c r="BQD125" s="36"/>
      <c r="BQE125" s="36"/>
      <c r="BQF125" s="36"/>
      <c r="BQG125" s="36"/>
      <c r="BQH125" s="36"/>
      <c r="BQI125" s="36"/>
      <c r="BQJ125" s="36"/>
      <c r="BQK125" s="36"/>
      <c r="BQL125" s="36"/>
      <c r="BQM125" s="36"/>
      <c r="BQN125" s="36"/>
      <c r="BQO125" s="36"/>
      <c r="BQP125" s="36"/>
      <c r="BQQ125" s="36"/>
      <c r="BQR125" s="36"/>
      <c r="BQS125" s="36"/>
      <c r="BQT125" s="36"/>
      <c r="BQU125" s="36"/>
      <c r="BQV125" s="36"/>
      <c r="BQW125" s="36"/>
      <c r="BQX125" s="36"/>
      <c r="BQY125" s="36"/>
      <c r="BQZ125" s="36"/>
      <c r="BRA125" s="36"/>
      <c r="BRB125" s="36"/>
      <c r="BRC125" s="36"/>
      <c r="BRD125" s="36"/>
      <c r="BRE125" s="36"/>
      <c r="BRF125" s="36"/>
      <c r="BRG125" s="36"/>
      <c r="BRH125" s="36"/>
      <c r="BRI125" s="36"/>
      <c r="BRJ125" s="36"/>
      <c r="BRK125" s="36"/>
      <c r="BRL125" s="36"/>
      <c r="BRM125" s="36"/>
      <c r="BRN125" s="36"/>
      <c r="BRO125" s="36"/>
      <c r="BRP125" s="36"/>
      <c r="BRQ125" s="36"/>
      <c r="BRR125" s="36"/>
      <c r="BRS125" s="36"/>
      <c r="BRT125" s="36"/>
      <c r="BRU125" s="36"/>
      <c r="BRV125" s="36"/>
      <c r="BRW125" s="36"/>
      <c r="BRX125" s="36"/>
      <c r="BRY125" s="36"/>
      <c r="BRZ125" s="36"/>
      <c r="BSA125" s="36"/>
      <c r="BSB125" s="36"/>
      <c r="BSC125" s="36"/>
      <c r="BSD125" s="36"/>
      <c r="BSE125" s="36"/>
      <c r="BSF125" s="36"/>
      <c r="BSG125" s="36"/>
      <c r="BSH125" s="36"/>
      <c r="BSI125" s="36"/>
      <c r="BSJ125" s="36"/>
      <c r="BSK125" s="36"/>
      <c r="BSL125" s="36"/>
      <c r="BSM125" s="36"/>
      <c r="BSN125" s="36"/>
      <c r="BSO125" s="36"/>
      <c r="BSP125" s="36"/>
      <c r="BSQ125" s="36"/>
      <c r="BSR125" s="36"/>
      <c r="BSS125" s="36"/>
      <c r="BST125" s="36"/>
      <c r="BSU125" s="36"/>
      <c r="BSV125" s="36"/>
      <c r="BSW125" s="36"/>
      <c r="BSX125" s="36"/>
      <c r="BSY125" s="36"/>
      <c r="BSZ125" s="36"/>
      <c r="BTA125" s="36"/>
      <c r="BTB125" s="36"/>
      <c r="BTC125" s="36"/>
      <c r="BTD125" s="36"/>
      <c r="BTE125" s="36"/>
      <c r="BTF125" s="36"/>
      <c r="BTG125" s="36"/>
      <c r="BTH125" s="36"/>
      <c r="BTI125" s="36"/>
      <c r="BTJ125" s="36"/>
      <c r="BTK125" s="36"/>
      <c r="BTL125" s="36"/>
      <c r="BTM125" s="36"/>
      <c r="BTN125" s="36"/>
      <c r="BTO125" s="36"/>
      <c r="BTP125" s="36"/>
      <c r="BTQ125" s="36"/>
      <c r="BTR125" s="36"/>
      <c r="BTS125" s="36"/>
      <c r="BTT125" s="36"/>
      <c r="BTU125" s="36"/>
      <c r="BTV125" s="36"/>
      <c r="BTW125" s="36"/>
      <c r="BTX125" s="36"/>
      <c r="BTY125" s="36"/>
      <c r="BTZ125" s="36"/>
      <c r="BUA125" s="36"/>
      <c r="BUB125" s="36"/>
      <c r="BUC125" s="36"/>
      <c r="BUD125" s="36"/>
      <c r="BUE125" s="36"/>
      <c r="BUF125" s="36"/>
      <c r="BUG125" s="36"/>
      <c r="BUH125" s="36"/>
      <c r="BUI125" s="36"/>
      <c r="BUJ125" s="36"/>
      <c r="BUK125" s="36"/>
      <c r="BUL125" s="36"/>
      <c r="BUM125" s="36"/>
      <c r="BUN125" s="36"/>
      <c r="BUO125" s="36"/>
      <c r="BUP125" s="36"/>
      <c r="BUQ125" s="36"/>
      <c r="BUR125" s="36"/>
      <c r="BUS125" s="36"/>
      <c r="BUT125" s="36"/>
      <c r="BUU125" s="36"/>
      <c r="BUV125" s="36"/>
      <c r="BUW125" s="36"/>
      <c r="BUX125" s="36"/>
      <c r="BUY125" s="36"/>
      <c r="BUZ125" s="36"/>
      <c r="BVA125" s="36"/>
      <c r="BVB125" s="36"/>
      <c r="BVC125" s="36"/>
      <c r="BVD125" s="36"/>
      <c r="BVE125" s="36"/>
      <c r="BVF125" s="36"/>
      <c r="BVG125" s="36"/>
      <c r="BVH125" s="36"/>
      <c r="BVI125" s="36"/>
      <c r="BVJ125" s="36"/>
      <c r="BVK125" s="36"/>
      <c r="BVL125" s="36"/>
      <c r="BVM125" s="36"/>
      <c r="BVN125" s="36"/>
      <c r="BVO125" s="36"/>
      <c r="BVP125" s="36"/>
      <c r="BVQ125" s="36"/>
      <c r="BVR125" s="36"/>
      <c r="BVS125" s="36"/>
      <c r="BVT125" s="36"/>
      <c r="BVU125" s="36"/>
      <c r="BVV125" s="36"/>
      <c r="BVW125" s="36"/>
      <c r="BVX125" s="36"/>
      <c r="BVY125" s="36"/>
      <c r="BVZ125" s="36"/>
      <c r="BWA125" s="36"/>
      <c r="BWB125" s="36"/>
      <c r="BWC125" s="36"/>
      <c r="BWD125" s="36"/>
      <c r="BWE125" s="36"/>
      <c r="BWF125" s="36"/>
      <c r="BWG125" s="36"/>
      <c r="BWH125" s="36"/>
      <c r="BWI125" s="36"/>
      <c r="BWJ125" s="36"/>
      <c r="BWK125" s="36"/>
      <c r="BWL125" s="36"/>
      <c r="BWM125" s="36"/>
      <c r="BWN125" s="36"/>
      <c r="BWO125" s="36"/>
      <c r="BWP125" s="36"/>
      <c r="BWQ125" s="36"/>
      <c r="BWR125" s="36"/>
      <c r="BWS125" s="36"/>
      <c r="BWT125" s="36"/>
      <c r="BWU125" s="36"/>
      <c r="BWV125" s="36"/>
      <c r="BWW125" s="36"/>
      <c r="BWX125" s="36"/>
      <c r="BWY125" s="36"/>
      <c r="BWZ125" s="36"/>
      <c r="BXA125" s="36"/>
      <c r="BXB125" s="36"/>
      <c r="BXC125" s="36"/>
      <c r="BXD125" s="36"/>
      <c r="BXE125" s="36"/>
      <c r="BXF125" s="36"/>
      <c r="BXG125" s="36"/>
      <c r="BXH125" s="36"/>
      <c r="BXI125" s="36"/>
      <c r="BXJ125" s="36"/>
      <c r="BXK125" s="36"/>
      <c r="BXL125" s="36"/>
      <c r="BXM125" s="36"/>
      <c r="BXN125" s="36"/>
      <c r="BXO125" s="36"/>
      <c r="BXP125" s="36"/>
      <c r="BXQ125" s="36"/>
      <c r="BXR125" s="36"/>
      <c r="BXS125" s="36"/>
      <c r="BXT125" s="36"/>
      <c r="BXU125" s="36"/>
      <c r="BXV125" s="36"/>
      <c r="BXW125" s="36"/>
      <c r="BXX125" s="36"/>
      <c r="BXY125" s="36"/>
      <c r="BXZ125" s="36"/>
      <c r="BYA125" s="36"/>
      <c r="BYB125" s="36"/>
      <c r="BYC125" s="36"/>
      <c r="BYD125" s="36"/>
      <c r="BYE125" s="36"/>
      <c r="BYF125" s="36"/>
      <c r="BYG125" s="36"/>
      <c r="BYH125" s="36"/>
      <c r="BYI125" s="36"/>
      <c r="BYJ125" s="36"/>
      <c r="BYK125" s="36"/>
      <c r="BYL125" s="36"/>
      <c r="BYM125" s="36"/>
      <c r="BYN125" s="36"/>
      <c r="BYO125" s="36"/>
      <c r="BYP125" s="36"/>
      <c r="BYQ125" s="36"/>
      <c r="BYR125" s="36"/>
      <c r="BYS125" s="36"/>
      <c r="BYT125" s="36"/>
      <c r="BYU125" s="36"/>
      <c r="BYV125" s="36"/>
      <c r="BYW125" s="36"/>
      <c r="BYX125" s="36"/>
      <c r="BYY125" s="36"/>
      <c r="BYZ125" s="36"/>
      <c r="BZA125" s="36"/>
      <c r="BZB125" s="36"/>
      <c r="BZC125" s="36"/>
      <c r="BZD125" s="36"/>
      <c r="BZE125" s="36"/>
      <c r="BZF125" s="36"/>
      <c r="BZG125" s="36"/>
      <c r="BZH125" s="36"/>
      <c r="BZI125" s="36"/>
      <c r="BZJ125" s="36"/>
      <c r="BZK125" s="36"/>
      <c r="BZL125" s="36"/>
      <c r="BZM125" s="36"/>
      <c r="BZN125" s="36"/>
      <c r="BZO125" s="36"/>
      <c r="BZP125" s="36"/>
      <c r="BZQ125" s="36"/>
      <c r="BZR125" s="36"/>
      <c r="BZS125" s="36"/>
      <c r="BZT125" s="36"/>
      <c r="BZU125" s="36"/>
      <c r="BZV125" s="36"/>
      <c r="BZW125" s="36"/>
      <c r="BZX125" s="36"/>
      <c r="BZY125" s="36"/>
      <c r="BZZ125" s="36"/>
      <c r="CAA125" s="36"/>
      <c r="CAB125" s="36"/>
      <c r="CAC125" s="36"/>
      <c r="CAD125" s="36"/>
      <c r="CAE125" s="36"/>
      <c r="CAF125" s="36"/>
      <c r="CAG125" s="36"/>
      <c r="CAH125" s="36"/>
      <c r="CAI125" s="36"/>
      <c r="CAJ125" s="36"/>
      <c r="CAK125" s="36"/>
      <c r="CAL125" s="36"/>
      <c r="CAM125" s="36"/>
      <c r="CAN125" s="36"/>
      <c r="CAO125" s="36"/>
      <c r="CAP125" s="36"/>
      <c r="CAQ125" s="36"/>
      <c r="CAR125" s="36"/>
      <c r="CAS125" s="36"/>
      <c r="CAT125" s="36"/>
      <c r="CAU125" s="36"/>
      <c r="CAV125" s="36"/>
      <c r="CAW125" s="36"/>
      <c r="CAX125" s="36"/>
      <c r="CAY125" s="36"/>
      <c r="CAZ125" s="36"/>
      <c r="CBA125" s="36"/>
      <c r="CBB125" s="36"/>
      <c r="CBC125" s="36"/>
      <c r="CBD125" s="36"/>
      <c r="CBE125" s="36"/>
      <c r="CBF125" s="36"/>
      <c r="CBG125" s="36"/>
      <c r="CBH125" s="36"/>
      <c r="CBI125" s="36"/>
      <c r="CBJ125" s="36"/>
      <c r="CBK125" s="36"/>
      <c r="CBL125" s="36"/>
      <c r="CBM125" s="36"/>
      <c r="CBN125" s="36"/>
      <c r="CBO125" s="36"/>
      <c r="CBP125" s="36"/>
      <c r="CBQ125" s="36"/>
      <c r="CBR125" s="36"/>
      <c r="CBS125" s="36"/>
      <c r="CBT125" s="36"/>
      <c r="CBU125" s="36"/>
      <c r="CBV125" s="36"/>
      <c r="CBW125" s="36"/>
      <c r="CBX125" s="36"/>
      <c r="CBY125" s="36"/>
      <c r="CBZ125" s="36"/>
      <c r="CCA125" s="36"/>
      <c r="CCB125" s="36"/>
      <c r="CCC125" s="36"/>
      <c r="CCD125" s="36"/>
      <c r="CCE125" s="36"/>
      <c r="CCF125" s="36"/>
      <c r="CCG125" s="36"/>
      <c r="CCH125" s="36"/>
      <c r="CCI125" s="36"/>
      <c r="CCJ125" s="36"/>
      <c r="CCK125" s="36"/>
      <c r="CCL125" s="36"/>
      <c r="CCM125" s="36"/>
      <c r="CCN125" s="36"/>
      <c r="CCO125" s="36"/>
      <c r="CCP125" s="36"/>
      <c r="CCQ125" s="36"/>
      <c r="CCR125" s="36"/>
      <c r="CCS125" s="36"/>
      <c r="CCT125" s="36"/>
      <c r="CCU125" s="36"/>
      <c r="CCV125" s="36"/>
      <c r="CCW125" s="36"/>
      <c r="CCX125" s="36"/>
      <c r="CCY125" s="36"/>
      <c r="CCZ125" s="36"/>
      <c r="CDA125" s="36"/>
      <c r="CDB125" s="36"/>
      <c r="CDC125" s="36"/>
      <c r="CDD125" s="36"/>
      <c r="CDE125" s="36"/>
      <c r="CDF125" s="36"/>
      <c r="CDG125" s="36"/>
      <c r="CDH125" s="36"/>
      <c r="CDI125" s="36"/>
      <c r="CDJ125" s="36"/>
      <c r="CDK125" s="36"/>
      <c r="CDL125" s="36"/>
      <c r="CDM125" s="36"/>
      <c r="CDN125" s="36"/>
      <c r="CDO125" s="36"/>
      <c r="CDP125" s="36"/>
      <c r="CDQ125" s="36"/>
      <c r="CDR125" s="36"/>
      <c r="CDS125" s="36"/>
      <c r="CDT125" s="36"/>
      <c r="CDU125" s="36"/>
      <c r="CDV125" s="36"/>
      <c r="CDW125" s="36"/>
      <c r="CDX125" s="36"/>
      <c r="CDY125" s="36"/>
      <c r="CDZ125" s="36"/>
      <c r="CEA125" s="36"/>
      <c r="CEB125" s="36"/>
      <c r="CEC125" s="36"/>
      <c r="CED125" s="36"/>
      <c r="CEE125" s="36"/>
      <c r="CEF125" s="36"/>
      <c r="CEG125" s="36"/>
      <c r="CEH125" s="36"/>
      <c r="CEI125" s="36"/>
      <c r="CEJ125" s="36"/>
      <c r="CEK125" s="36"/>
      <c r="CEL125" s="36"/>
      <c r="CEM125" s="36"/>
      <c r="CEN125" s="36"/>
      <c r="CEO125" s="36"/>
      <c r="CEP125" s="36"/>
      <c r="CEQ125" s="36"/>
      <c r="CER125" s="36"/>
      <c r="CES125" s="36"/>
      <c r="CET125" s="36"/>
      <c r="CEU125" s="36"/>
      <c r="CEV125" s="36"/>
      <c r="CEW125" s="36"/>
      <c r="CEX125" s="36"/>
      <c r="CEY125" s="36"/>
      <c r="CEZ125" s="36"/>
      <c r="CFA125" s="36"/>
      <c r="CFB125" s="36"/>
      <c r="CFC125" s="36"/>
      <c r="CFD125" s="36"/>
      <c r="CFE125" s="36"/>
      <c r="CFF125" s="36"/>
      <c r="CFG125" s="36"/>
      <c r="CFH125" s="36"/>
      <c r="CFI125" s="36"/>
      <c r="CFJ125" s="36"/>
      <c r="CFK125" s="36"/>
      <c r="CFL125" s="36"/>
      <c r="CFM125" s="36"/>
      <c r="CFN125" s="36"/>
      <c r="CFO125" s="36"/>
      <c r="CFP125" s="36"/>
      <c r="CFQ125" s="36"/>
      <c r="CFR125" s="36"/>
      <c r="CFS125" s="36"/>
      <c r="CFT125" s="36"/>
      <c r="CFU125" s="36"/>
      <c r="CFV125" s="36"/>
      <c r="CFW125" s="36"/>
      <c r="CFX125" s="36"/>
      <c r="CFY125" s="36"/>
      <c r="CFZ125" s="36"/>
      <c r="CGA125" s="36"/>
      <c r="CGB125" s="36"/>
      <c r="CGC125" s="36"/>
      <c r="CGD125" s="36"/>
      <c r="CGE125" s="36"/>
      <c r="CGF125" s="36"/>
      <c r="CGG125" s="36"/>
      <c r="CGH125" s="36"/>
      <c r="CGI125" s="36"/>
      <c r="CGJ125" s="36"/>
      <c r="CGK125" s="36"/>
      <c r="CGL125" s="36"/>
      <c r="CGM125" s="36"/>
      <c r="CGN125" s="36"/>
      <c r="CGO125" s="36"/>
      <c r="CGP125" s="36"/>
      <c r="CGQ125" s="36"/>
      <c r="CGR125" s="36"/>
      <c r="CGS125" s="36"/>
      <c r="CGT125" s="36"/>
      <c r="CGU125" s="36"/>
      <c r="CGV125" s="36"/>
      <c r="CGW125" s="36"/>
      <c r="CGX125" s="36"/>
      <c r="CGY125" s="36"/>
      <c r="CGZ125" s="36"/>
      <c r="CHA125" s="36"/>
      <c r="CHB125" s="36"/>
      <c r="CHC125" s="36"/>
      <c r="CHD125" s="36"/>
      <c r="CHE125" s="36"/>
      <c r="CHF125" s="36"/>
      <c r="CHG125" s="36"/>
      <c r="CHH125" s="36"/>
      <c r="CHI125" s="36"/>
      <c r="CHJ125" s="36"/>
      <c r="CHK125" s="36"/>
      <c r="CHL125" s="36"/>
      <c r="CHM125" s="36"/>
      <c r="CHN125" s="36"/>
      <c r="CHO125" s="36"/>
      <c r="CHP125" s="36"/>
      <c r="CHQ125" s="36"/>
      <c r="CHR125" s="36"/>
      <c r="CHS125" s="36"/>
      <c r="CHT125" s="36"/>
      <c r="CHU125" s="36"/>
      <c r="CHV125" s="36"/>
      <c r="CHW125" s="36"/>
      <c r="CHX125" s="36"/>
      <c r="CHY125" s="36"/>
      <c r="CHZ125" s="36"/>
      <c r="CIA125" s="36"/>
      <c r="CIB125" s="36"/>
      <c r="CIC125" s="36"/>
      <c r="CID125" s="36"/>
      <c r="CIE125" s="36"/>
      <c r="CIF125" s="36"/>
      <c r="CIG125" s="36"/>
      <c r="CIH125" s="36"/>
      <c r="CII125" s="36"/>
      <c r="CIJ125" s="36"/>
      <c r="CIK125" s="36"/>
      <c r="CIL125" s="36"/>
      <c r="CIM125" s="36"/>
      <c r="CIN125" s="36"/>
      <c r="CIO125" s="36"/>
      <c r="CIP125" s="36"/>
      <c r="CIQ125" s="36"/>
      <c r="CIR125" s="36"/>
      <c r="CIS125" s="36"/>
      <c r="CIT125" s="36"/>
      <c r="CIU125" s="36"/>
      <c r="CIV125" s="36"/>
      <c r="CIW125" s="36"/>
      <c r="CIX125" s="36"/>
      <c r="CIY125" s="36"/>
      <c r="CIZ125" s="36"/>
      <c r="CJA125" s="36"/>
      <c r="CJB125" s="36"/>
      <c r="CJC125" s="36"/>
      <c r="CJD125" s="36"/>
      <c r="CJE125" s="36"/>
      <c r="CJF125" s="36"/>
      <c r="CJG125" s="36"/>
      <c r="CJH125" s="36"/>
      <c r="CJI125" s="36"/>
      <c r="CJJ125" s="36"/>
      <c r="CJK125" s="36"/>
      <c r="CJL125" s="36"/>
      <c r="CJM125" s="36"/>
      <c r="CJN125" s="36"/>
      <c r="CJO125" s="36"/>
      <c r="CJP125" s="36"/>
      <c r="CJQ125" s="36"/>
      <c r="CJR125" s="36"/>
      <c r="CJS125" s="36"/>
      <c r="CJT125" s="36"/>
      <c r="CJU125" s="36"/>
      <c r="CJV125" s="36"/>
      <c r="CJW125" s="36"/>
      <c r="CJX125" s="36"/>
      <c r="CJY125" s="36"/>
      <c r="CJZ125" s="36"/>
      <c r="CKA125" s="36"/>
      <c r="CKB125" s="36"/>
      <c r="CKC125" s="36"/>
      <c r="CKD125" s="36"/>
      <c r="CKE125" s="36"/>
      <c r="CKF125" s="36"/>
      <c r="CKG125" s="36"/>
      <c r="CKH125" s="36"/>
      <c r="CKI125" s="36"/>
      <c r="CKJ125" s="36"/>
      <c r="CKK125" s="36"/>
      <c r="CKL125" s="36"/>
      <c r="CKM125" s="36"/>
      <c r="CKN125" s="36"/>
      <c r="CKO125" s="36"/>
      <c r="CKP125" s="36"/>
      <c r="CKQ125" s="36"/>
      <c r="CKR125" s="36"/>
      <c r="CKS125" s="36"/>
      <c r="CKT125" s="36"/>
      <c r="CKU125" s="36"/>
      <c r="CKV125" s="36"/>
      <c r="CKW125" s="36"/>
      <c r="CKX125" s="36"/>
      <c r="CKY125" s="36"/>
      <c r="CKZ125" s="36"/>
      <c r="CLA125" s="36"/>
      <c r="CLB125" s="36"/>
      <c r="CLC125" s="36"/>
      <c r="CLD125" s="36"/>
      <c r="CLE125" s="36"/>
      <c r="CLF125" s="36"/>
      <c r="CLG125" s="36"/>
      <c r="CLH125" s="36"/>
      <c r="CLI125" s="36"/>
      <c r="CLJ125" s="36"/>
      <c r="CLK125" s="36"/>
      <c r="CLL125" s="36"/>
      <c r="CLM125" s="36"/>
      <c r="CLN125" s="36"/>
      <c r="CLO125" s="36"/>
      <c r="CLP125" s="36"/>
      <c r="CLQ125" s="36"/>
      <c r="CLR125" s="36"/>
      <c r="CLS125" s="36"/>
      <c r="CLT125" s="36"/>
      <c r="CLU125" s="36"/>
      <c r="CLV125" s="36"/>
      <c r="CLW125" s="36"/>
      <c r="CLX125" s="36"/>
      <c r="CLY125" s="36"/>
      <c r="CLZ125" s="36"/>
      <c r="CMA125" s="36"/>
      <c r="CMB125" s="36"/>
      <c r="CMC125" s="36"/>
      <c r="CMD125" s="36"/>
      <c r="CME125" s="36"/>
      <c r="CMF125" s="36"/>
      <c r="CMG125" s="36"/>
      <c r="CMH125" s="36"/>
      <c r="CMI125" s="36"/>
      <c r="CMJ125" s="36"/>
      <c r="CMK125" s="36"/>
      <c r="CML125" s="36"/>
      <c r="CMM125" s="36"/>
      <c r="CMN125" s="36"/>
      <c r="CMO125" s="36"/>
      <c r="CMP125" s="36"/>
      <c r="CMQ125" s="36"/>
      <c r="CMR125" s="36"/>
      <c r="CMS125" s="36"/>
      <c r="CMT125" s="36"/>
      <c r="CMU125" s="36"/>
      <c r="CMV125" s="36"/>
      <c r="CMW125" s="36"/>
      <c r="CMX125" s="36"/>
      <c r="CMY125" s="36"/>
      <c r="CMZ125" s="36"/>
      <c r="CNA125" s="36"/>
      <c r="CNB125" s="36"/>
      <c r="CNC125" s="36"/>
      <c r="CND125" s="36"/>
      <c r="CNE125" s="36"/>
      <c r="CNF125" s="36"/>
      <c r="CNG125" s="36"/>
      <c r="CNH125" s="36"/>
      <c r="CNI125" s="36"/>
      <c r="CNJ125" s="36"/>
      <c r="CNK125" s="36"/>
      <c r="CNL125" s="36"/>
      <c r="CNM125" s="36"/>
      <c r="CNN125" s="36"/>
      <c r="CNO125" s="36"/>
      <c r="CNP125" s="36"/>
      <c r="CNQ125" s="36"/>
      <c r="CNR125" s="36"/>
      <c r="CNS125" s="36"/>
      <c r="CNT125" s="36"/>
      <c r="CNU125" s="36"/>
      <c r="CNV125" s="36"/>
      <c r="CNW125" s="36"/>
      <c r="CNX125" s="36"/>
      <c r="CNY125" s="36"/>
      <c r="CNZ125" s="36"/>
      <c r="COA125" s="36"/>
      <c r="COB125" s="36"/>
      <c r="COC125" s="36"/>
      <c r="COD125" s="36"/>
      <c r="COE125" s="36"/>
      <c r="COF125" s="36"/>
      <c r="COG125" s="36"/>
      <c r="COH125" s="36"/>
      <c r="COI125" s="36"/>
      <c r="COJ125" s="36"/>
      <c r="COK125" s="36"/>
      <c r="COL125" s="36"/>
      <c r="COM125" s="36"/>
      <c r="CON125" s="36"/>
      <c r="COO125" s="36"/>
      <c r="COP125" s="36"/>
      <c r="COQ125" s="36"/>
      <c r="COR125" s="36"/>
      <c r="COS125" s="36"/>
      <c r="COT125" s="36"/>
      <c r="COU125" s="36"/>
      <c r="COV125" s="36"/>
      <c r="COW125" s="36"/>
      <c r="COX125" s="36"/>
      <c r="COY125" s="36"/>
      <c r="COZ125" s="36"/>
      <c r="CPA125" s="36"/>
      <c r="CPB125" s="36"/>
      <c r="CPC125" s="36"/>
      <c r="CPD125" s="36"/>
      <c r="CPE125" s="36"/>
      <c r="CPF125" s="36"/>
      <c r="CPG125" s="36"/>
      <c r="CPH125" s="36"/>
      <c r="CPI125" s="36"/>
      <c r="CPJ125" s="36"/>
      <c r="CPK125" s="36"/>
      <c r="CPL125" s="36"/>
      <c r="CPM125" s="36"/>
      <c r="CPN125" s="36"/>
      <c r="CPO125" s="36"/>
      <c r="CPP125" s="36"/>
      <c r="CPQ125" s="36"/>
      <c r="CPR125" s="36"/>
      <c r="CPS125" s="36"/>
      <c r="CPT125" s="36"/>
      <c r="CPU125" s="36"/>
      <c r="CPV125" s="36"/>
      <c r="CPW125" s="36"/>
      <c r="CPX125" s="36"/>
      <c r="CPY125" s="36"/>
      <c r="CPZ125" s="36"/>
      <c r="CQA125" s="36"/>
      <c r="CQB125" s="36"/>
      <c r="CQC125" s="36"/>
      <c r="CQD125" s="36"/>
      <c r="CQE125" s="36"/>
      <c r="CQF125" s="36"/>
      <c r="CQG125" s="36"/>
      <c r="CQH125" s="36"/>
      <c r="CQI125" s="36"/>
      <c r="CQJ125" s="36"/>
      <c r="CQK125" s="36"/>
      <c r="CQL125" s="36"/>
      <c r="CQM125" s="36"/>
      <c r="CQN125" s="36"/>
      <c r="CQO125" s="36"/>
      <c r="CQP125" s="36"/>
      <c r="CQQ125" s="36"/>
      <c r="CQR125" s="36"/>
      <c r="CQS125" s="36"/>
      <c r="CQT125" s="36"/>
      <c r="CQU125" s="36"/>
      <c r="CQV125" s="36"/>
      <c r="CQW125" s="36"/>
      <c r="CQX125" s="36"/>
      <c r="CQY125" s="36"/>
      <c r="CQZ125" s="36"/>
      <c r="CRA125" s="36"/>
      <c r="CRB125" s="36"/>
      <c r="CRC125" s="36"/>
      <c r="CRD125" s="36"/>
      <c r="CRE125" s="36"/>
      <c r="CRF125" s="36"/>
      <c r="CRG125" s="36"/>
      <c r="CRH125" s="36"/>
      <c r="CRI125" s="36"/>
      <c r="CRJ125" s="36"/>
      <c r="CRK125" s="36"/>
      <c r="CRL125" s="36"/>
      <c r="CRM125" s="36"/>
      <c r="CRN125" s="36"/>
      <c r="CRO125" s="36"/>
      <c r="CRP125" s="36"/>
      <c r="CRQ125" s="36"/>
      <c r="CRR125" s="36"/>
      <c r="CRS125" s="36"/>
      <c r="CRT125" s="36"/>
      <c r="CRU125" s="36"/>
      <c r="CRV125" s="36"/>
      <c r="CRW125" s="36"/>
      <c r="CRX125" s="36"/>
      <c r="CRY125" s="36"/>
      <c r="CRZ125" s="36"/>
      <c r="CSA125" s="36"/>
      <c r="CSB125" s="36"/>
      <c r="CSC125" s="36"/>
      <c r="CSD125" s="36"/>
      <c r="CSE125" s="36"/>
      <c r="CSF125" s="36"/>
      <c r="CSG125" s="36"/>
      <c r="CSH125" s="36"/>
      <c r="CSI125" s="36"/>
      <c r="CSJ125" s="36"/>
      <c r="CSK125" s="36"/>
      <c r="CSL125" s="36"/>
      <c r="CSM125" s="36"/>
      <c r="CSN125" s="36"/>
      <c r="CSO125" s="36"/>
      <c r="CSP125" s="36"/>
      <c r="CSQ125" s="36"/>
      <c r="CSR125" s="36"/>
      <c r="CSS125" s="36"/>
      <c r="CST125" s="36"/>
      <c r="CSU125" s="36"/>
      <c r="CSV125" s="36"/>
      <c r="CSW125" s="36"/>
      <c r="CSX125" s="36"/>
      <c r="CSY125" s="36"/>
      <c r="CSZ125" s="36"/>
      <c r="CTA125" s="36"/>
      <c r="CTB125" s="36"/>
      <c r="CTC125" s="36"/>
      <c r="CTD125" s="36"/>
      <c r="CTE125" s="36"/>
      <c r="CTF125" s="36"/>
      <c r="CTG125" s="36"/>
      <c r="CTH125" s="36"/>
      <c r="CTI125" s="36"/>
      <c r="CTJ125" s="36"/>
      <c r="CTK125" s="36"/>
      <c r="CTL125" s="36"/>
      <c r="CTM125" s="36"/>
      <c r="CTN125" s="36"/>
      <c r="CTO125" s="36"/>
      <c r="CTP125" s="36"/>
      <c r="CTQ125" s="36"/>
      <c r="CTR125" s="36"/>
      <c r="CTS125" s="36"/>
      <c r="CTT125" s="36"/>
      <c r="CTU125" s="36"/>
      <c r="CTV125" s="36"/>
      <c r="CTW125" s="36"/>
      <c r="CTX125" s="36"/>
      <c r="CTY125" s="36"/>
      <c r="CTZ125" s="36"/>
      <c r="CUA125" s="36"/>
      <c r="CUB125" s="36"/>
      <c r="CUC125" s="36"/>
      <c r="CUD125" s="36"/>
      <c r="CUE125" s="36"/>
      <c r="CUF125" s="36"/>
      <c r="CUG125" s="36"/>
      <c r="CUH125" s="36"/>
      <c r="CUI125" s="36"/>
      <c r="CUJ125" s="36"/>
      <c r="CUK125" s="36"/>
      <c r="CUL125" s="36"/>
      <c r="CUM125" s="36"/>
      <c r="CUN125" s="36"/>
      <c r="CUO125" s="36"/>
      <c r="CUP125" s="36"/>
      <c r="CUQ125" s="36"/>
      <c r="CUR125" s="36"/>
      <c r="CUS125" s="36"/>
      <c r="CUT125" s="36"/>
      <c r="CUU125" s="36"/>
      <c r="CUV125" s="36"/>
      <c r="CUW125" s="36"/>
      <c r="CUX125" s="36"/>
      <c r="CUY125" s="36"/>
      <c r="CUZ125" s="36"/>
      <c r="CVA125" s="36"/>
      <c r="CVB125" s="36"/>
      <c r="CVC125" s="36"/>
      <c r="CVD125" s="36"/>
      <c r="CVE125" s="36"/>
      <c r="CVF125" s="36"/>
      <c r="CVG125" s="36"/>
      <c r="CVH125" s="36"/>
      <c r="CVI125" s="36"/>
      <c r="CVJ125" s="36"/>
      <c r="CVK125" s="36"/>
      <c r="CVL125" s="36"/>
      <c r="CVM125" s="36"/>
      <c r="CVN125" s="36"/>
      <c r="CVO125" s="36"/>
      <c r="CVP125" s="36"/>
      <c r="CVQ125" s="36"/>
      <c r="CVR125" s="36"/>
      <c r="CVS125" s="36"/>
      <c r="CVT125" s="36"/>
      <c r="CVU125" s="36"/>
      <c r="CVV125" s="36"/>
      <c r="CVW125" s="36"/>
      <c r="CVX125" s="36"/>
      <c r="CVY125" s="36"/>
      <c r="CVZ125" s="36"/>
      <c r="CWA125" s="36"/>
      <c r="CWB125" s="36"/>
      <c r="CWC125" s="36"/>
      <c r="CWD125" s="36"/>
      <c r="CWE125" s="36"/>
      <c r="CWF125" s="36"/>
      <c r="CWG125" s="36"/>
      <c r="CWH125" s="36"/>
      <c r="CWI125" s="36"/>
      <c r="CWJ125" s="36"/>
      <c r="CWK125" s="36"/>
      <c r="CWL125" s="36"/>
      <c r="CWM125" s="36"/>
      <c r="CWN125" s="36"/>
      <c r="CWO125" s="36"/>
      <c r="CWP125" s="36"/>
      <c r="CWQ125" s="36"/>
      <c r="CWR125" s="36"/>
      <c r="CWS125" s="36"/>
      <c r="CWT125" s="36"/>
      <c r="CWU125" s="36"/>
      <c r="CWV125" s="36"/>
      <c r="CWW125" s="36"/>
      <c r="CWX125" s="36"/>
      <c r="CWY125" s="36"/>
      <c r="CWZ125" s="36"/>
      <c r="CXA125" s="36"/>
      <c r="CXB125" s="36"/>
      <c r="CXC125" s="36"/>
      <c r="CXD125" s="36"/>
      <c r="CXE125" s="36"/>
      <c r="CXF125" s="36"/>
      <c r="CXG125" s="36"/>
      <c r="CXH125" s="36"/>
      <c r="CXI125" s="36"/>
      <c r="CXJ125" s="36"/>
      <c r="CXK125" s="36"/>
      <c r="CXL125" s="36"/>
      <c r="CXM125" s="36"/>
      <c r="CXN125" s="36"/>
      <c r="CXO125" s="36"/>
      <c r="CXP125" s="36"/>
      <c r="CXQ125" s="36"/>
      <c r="CXR125" s="36"/>
      <c r="CXS125" s="36"/>
      <c r="CXT125" s="36"/>
      <c r="CXU125" s="36"/>
      <c r="CXV125" s="36"/>
      <c r="CXW125" s="36"/>
      <c r="CXX125" s="36"/>
      <c r="CXY125" s="36"/>
      <c r="CXZ125" s="36"/>
      <c r="CYA125" s="36"/>
      <c r="CYB125" s="36"/>
      <c r="CYC125" s="36"/>
      <c r="CYD125" s="36"/>
      <c r="CYE125" s="36"/>
      <c r="CYF125" s="36"/>
      <c r="CYG125" s="36"/>
      <c r="CYH125" s="36"/>
      <c r="CYI125" s="36"/>
      <c r="CYJ125" s="36"/>
      <c r="CYK125" s="36"/>
      <c r="CYL125" s="36"/>
      <c r="CYM125" s="36"/>
      <c r="CYN125" s="36"/>
      <c r="CYO125" s="36"/>
      <c r="CYP125" s="36"/>
      <c r="CYQ125" s="36"/>
      <c r="CYR125" s="36"/>
      <c r="CYS125" s="36"/>
      <c r="CYT125" s="36"/>
      <c r="CYU125" s="36"/>
      <c r="CYV125" s="36"/>
      <c r="CYW125" s="36"/>
      <c r="CYX125" s="36"/>
      <c r="CYY125" s="36"/>
      <c r="CYZ125" s="36"/>
      <c r="CZA125" s="36"/>
      <c r="CZB125" s="36"/>
      <c r="CZC125" s="36"/>
      <c r="CZD125" s="36"/>
      <c r="CZE125" s="36"/>
      <c r="CZF125" s="36"/>
      <c r="CZG125" s="36"/>
      <c r="CZH125" s="36"/>
      <c r="CZI125" s="36"/>
      <c r="CZJ125" s="36"/>
      <c r="CZK125" s="36"/>
      <c r="CZL125" s="36"/>
      <c r="CZM125" s="36"/>
      <c r="CZN125" s="36"/>
      <c r="CZO125" s="36"/>
      <c r="CZP125" s="36"/>
      <c r="CZQ125" s="36"/>
      <c r="CZR125" s="36"/>
      <c r="CZS125" s="36"/>
      <c r="CZT125" s="36"/>
      <c r="CZU125" s="36"/>
      <c r="CZV125" s="36"/>
      <c r="CZW125" s="36"/>
      <c r="CZX125" s="36"/>
      <c r="CZY125" s="36"/>
      <c r="CZZ125" s="36"/>
      <c r="DAA125" s="36"/>
      <c r="DAB125" s="36"/>
      <c r="DAC125" s="36"/>
      <c r="DAD125" s="36"/>
      <c r="DAE125" s="36"/>
      <c r="DAF125" s="36"/>
      <c r="DAG125" s="36"/>
      <c r="DAH125" s="36"/>
      <c r="DAI125" s="36"/>
      <c r="DAJ125" s="36"/>
      <c r="DAK125" s="36"/>
      <c r="DAL125" s="36"/>
      <c r="DAM125" s="36"/>
      <c r="DAN125" s="36"/>
      <c r="DAO125" s="36"/>
      <c r="DAP125" s="36"/>
      <c r="DAQ125" s="36"/>
      <c r="DAR125" s="36"/>
      <c r="DAS125" s="36"/>
      <c r="DAT125" s="36"/>
      <c r="DAU125" s="36"/>
      <c r="DAV125" s="36"/>
      <c r="DAW125" s="36"/>
      <c r="DAX125" s="36"/>
      <c r="DAY125" s="36"/>
      <c r="DAZ125" s="36"/>
      <c r="DBA125" s="36"/>
      <c r="DBB125" s="36"/>
      <c r="DBC125" s="36"/>
      <c r="DBD125" s="36"/>
      <c r="DBE125" s="36"/>
      <c r="DBF125" s="36"/>
      <c r="DBG125" s="36"/>
      <c r="DBH125" s="36"/>
      <c r="DBI125" s="36"/>
      <c r="DBJ125" s="36"/>
      <c r="DBK125" s="36"/>
      <c r="DBL125" s="36"/>
      <c r="DBM125" s="36"/>
      <c r="DBN125" s="36"/>
      <c r="DBO125" s="36"/>
      <c r="DBP125" s="36"/>
      <c r="DBQ125" s="36"/>
      <c r="DBR125" s="36"/>
      <c r="DBS125" s="36"/>
      <c r="DBT125" s="36"/>
      <c r="DBU125" s="36"/>
      <c r="DBV125" s="36"/>
      <c r="DBW125" s="36"/>
      <c r="DBX125" s="36"/>
      <c r="DBY125" s="36"/>
      <c r="DBZ125" s="36"/>
      <c r="DCA125" s="36"/>
      <c r="DCB125" s="36"/>
      <c r="DCC125" s="36"/>
      <c r="DCD125" s="36"/>
      <c r="DCE125" s="36"/>
      <c r="DCF125" s="36"/>
      <c r="DCG125" s="36"/>
      <c r="DCH125" s="36"/>
      <c r="DCI125" s="36"/>
      <c r="DCJ125" s="36"/>
      <c r="DCK125" s="36"/>
      <c r="DCL125" s="36"/>
      <c r="DCM125" s="36"/>
      <c r="DCN125" s="36"/>
      <c r="DCO125" s="36"/>
      <c r="DCP125" s="36"/>
      <c r="DCQ125" s="36"/>
      <c r="DCR125" s="36"/>
      <c r="DCS125" s="36"/>
      <c r="DCT125" s="36"/>
      <c r="DCU125" s="36"/>
      <c r="DCV125" s="36"/>
      <c r="DCW125" s="36"/>
      <c r="DCX125" s="36"/>
      <c r="DCY125" s="36"/>
      <c r="DCZ125" s="36"/>
      <c r="DDA125" s="36"/>
      <c r="DDB125" s="36"/>
      <c r="DDC125" s="36"/>
      <c r="DDD125" s="36"/>
      <c r="DDE125" s="36"/>
      <c r="DDF125" s="36"/>
      <c r="DDG125" s="36"/>
      <c r="DDH125" s="36"/>
      <c r="DDI125" s="36"/>
      <c r="DDJ125" s="36"/>
      <c r="DDK125" s="36"/>
      <c r="DDL125" s="36"/>
      <c r="DDM125" s="36"/>
      <c r="DDN125" s="36"/>
      <c r="DDO125" s="36"/>
      <c r="DDP125" s="36"/>
      <c r="DDQ125" s="36"/>
      <c r="DDR125" s="36"/>
      <c r="DDS125" s="36"/>
      <c r="DDT125" s="36"/>
      <c r="DDU125" s="36"/>
      <c r="DDV125" s="36"/>
      <c r="DDW125" s="36"/>
      <c r="DDX125" s="36"/>
      <c r="DDY125" s="36"/>
      <c r="DDZ125" s="36"/>
      <c r="DEA125" s="36"/>
      <c r="DEB125" s="36"/>
      <c r="DEC125" s="36"/>
      <c r="DED125" s="36"/>
      <c r="DEE125" s="36"/>
      <c r="DEF125" s="36"/>
      <c r="DEG125" s="36"/>
      <c r="DEH125" s="36"/>
      <c r="DEI125" s="36"/>
      <c r="DEJ125" s="36"/>
      <c r="DEK125" s="36"/>
      <c r="DEL125" s="36"/>
      <c r="DEM125" s="36"/>
      <c r="DEN125" s="36"/>
      <c r="DEO125" s="36"/>
      <c r="DEP125" s="36"/>
      <c r="DEQ125" s="36"/>
      <c r="DER125" s="36"/>
      <c r="DES125" s="36"/>
      <c r="DET125" s="36"/>
      <c r="DEU125" s="36"/>
      <c r="DEV125" s="36"/>
      <c r="DEW125" s="36"/>
      <c r="DEX125" s="36"/>
      <c r="DEY125" s="36"/>
      <c r="DEZ125" s="36"/>
      <c r="DFA125" s="36"/>
      <c r="DFB125" s="36"/>
      <c r="DFC125" s="36"/>
      <c r="DFD125" s="36"/>
      <c r="DFE125" s="36"/>
      <c r="DFF125" s="36"/>
      <c r="DFG125" s="36"/>
      <c r="DFH125" s="36"/>
      <c r="DFI125" s="36"/>
      <c r="DFJ125" s="36"/>
      <c r="DFK125" s="36"/>
      <c r="DFL125" s="36"/>
      <c r="DFM125" s="36"/>
      <c r="DFN125" s="36"/>
      <c r="DFO125" s="36"/>
      <c r="DFP125" s="36"/>
      <c r="DFQ125" s="36"/>
      <c r="DFR125" s="36"/>
      <c r="DFS125" s="36"/>
      <c r="DFT125" s="36"/>
      <c r="DFU125" s="36"/>
      <c r="DFV125" s="36"/>
      <c r="DFW125" s="36"/>
      <c r="DFX125" s="36"/>
      <c r="DFY125" s="36"/>
      <c r="DFZ125" s="36"/>
      <c r="DGA125" s="36"/>
      <c r="DGB125" s="36"/>
      <c r="DGC125" s="36"/>
      <c r="DGD125" s="36"/>
      <c r="DGE125" s="36"/>
      <c r="DGF125" s="36"/>
      <c r="DGG125" s="36"/>
      <c r="DGH125" s="36"/>
      <c r="DGI125" s="36"/>
      <c r="DGJ125" s="36"/>
      <c r="DGK125" s="36"/>
      <c r="DGL125" s="36"/>
      <c r="DGM125" s="36"/>
      <c r="DGN125" s="36"/>
      <c r="DGO125" s="36"/>
      <c r="DGP125" s="36"/>
      <c r="DGQ125" s="36"/>
      <c r="DGR125" s="36"/>
      <c r="DGS125" s="36"/>
      <c r="DGT125" s="36"/>
      <c r="DGU125" s="36"/>
      <c r="DGV125" s="36"/>
      <c r="DGW125" s="36"/>
      <c r="DGX125" s="36"/>
      <c r="DGY125" s="36"/>
      <c r="DGZ125" s="36"/>
      <c r="DHA125" s="36"/>
      <c r="DHB125" s="36"/>
      <c r="DHC125" s="36"/>
      <c r="DHD125" s="36"/>
      <c r="DHE125" s="36"/>
      <c r="DHF125" s="36"/>
      <c r="DHG125" s="36"/>
      <c r="DHH125" s="36"/>
      <c r="DHI125" s="36"/>
      <c r="DHJ125" s="36"/>
      <c r="DHK125" s="36"/>
      <c r="DHL125" s="36"/>
      <c r="DHM125" s="36"/>
      <c r="DHN125" s="36"/>
      <c r="DHO125" s="36"/>
      <c r="DHP125" s="36"/>
      <c r="DHQ125" s="36"/>
      <c r="DHR125" s="36"/>
      <c r="DHS125" s="36"/>
      <c r="DHT125" s="36"/>
      <c r="DHU125" s="36"/>
      <c r="DHV125" s="36"/>
      <c r="DHW125" s="36"/>
      <c r="DHX125" s="36"/>
      <c r="DHY125" s="36"/>
      <c r="DHZ125" s="36"/>
      <c r="DIA125" s="36"/>
      <c r="DIB125" s="36"/>
      <c r="DIC125" s="36"/>
      <c r="DID125" s="36"/>
      <c r="DIE125" s="36"/>
      <c r="DIF125" s="36"/>
      <c r="DIG125" s="36"/>
      <c r="DIH125" s="36"/>
      <c r="DII125" s="36"/>
      <c r="DIJ125" s="36"/>
      <c r="DIK125" s="36"/>
      <c r="DIL125" s="36"/>
      <c r="DIM125" s="36"/>
      <c r="DIN125" s="36"/>
      <c r="DIO125" s="36"/>
      <c r="DIP125" s="36"/>
      <c r="DIQ125" s="36"/>
      <c r="DIR125" s="36"/>
      <c r="DIS125" s="36"/>
      <c r="DIT125" s="36"/>
      <c r="DIU125" s="36"/>
      <c r="DIV125" s="36"/>
      <c r="DIW125" s="36"/>
      <c r="DIX125" s="36"/>
      <c r="DIY125" s="36"/>
      <c r="DIZ125" s="36"/>
      <c r="DJA125" s="36"/>
      <c r="DJB125" s="36"/>
      <c r="DJC125" s="36"/>
      <c r="DJD125" s="36"/>
      <c r="DJE125" s="36"/>
      <c r="DJF125" s="36"/>
      <c r="DJG125" s="36"/>
      <c r="DJH125" s="36"/>
      <c r="DJI125" s="36"/>
      <c r="DJJ125" s="36"/>
      <c r="DJK125" s="36"/>
      <c r="DJL125" s="36"/>
      <c r="DJM125" s="36"/>
      <c r="DJN125" s="36"/>
      <c r="DJO125" s="36"/>
      <c r="DJP125" s="36"/>
      <c r="DJQ125" s="36"/>
      <c r="DJR125" s="36"/>
      <c r="DJS125" s="36"/>
      <c r="DJT125" s="36"/>
      <c r="DJU125" s="36"/>
      <c r="DJV125" s="36"/>
      <c r="DJW125" s="36"/>
      <c r="DJX125" s="36"/>
      <c r="DJY125" s="36"/>
      <c r="DJZ125" s="36"/>
      <c r="DKA125" s="36"/>
      <c r="DKB125" s="36"/>
      <c r="DKC125" s="36"/>
      <c r="DKD125" s="36"/>
      <c r="DKE125" s="36"/>
      <c r="DKF125" s="36"/>
      <c r="DKG125" s="36"/>
      <c r="DKH125" s="36"/>
      <c r="DKI125" s="36"/>
      <c r="DKJ125" s="36"/>
      <c r="DKK125" s="36"/>
      <c r="DKL125" s="36"/>
      <c r="DKM125" s="36"/>
      <c r="DKN125" s="36"/>
      <c r="DKO125" s="36"/>
      <c r="DKP125" s="36"/>
      <c r="DKQ125" s="36"/>
      <c r="DKR125" s="36"/>
      <c r="DKS125" s="36"/>
      <c r="DKT125" s="36"/>
      <c r="DKU125" s="36"/>
      <c r="DKV125" s="36"/>
      <c r="DKW125" s="36"/>
      <c r="DKX125" s="36"/>
      <c r="DKY125" s="36"/>
      <c r="DKZ125" s="36"/>
      <c r="DLA125" s="36"/>
      <c r="DLB125" s="36"/>
      <c r="DLC125" s="36"/>
      <c r="DLD125" s="36"/>
      <c r="DLE125" s="36"/>
      <c r="DLF125" s="36"/>
      <c r="DLG125" s="36"/>
      <c r="DLH125" s="36"/>
      <c r="DLI125" s="36"/>
      <c r="DLJ125" s="36"/>
      <c r="DLK125" s="36"/>
      <c r="DLL125" s="36"/>
      <c r="DLM125" s="36"/>
      <c r="DLN125" s="36"/>
      <c r="DLO125" s="36"/>
      <c r="DLP125" s="36"/>
      <c r="DLQ125" s="36"/>
      <c r="DLR125" s="36"/>
      <c r="DLS125" s="36"/>
      <c r="DLT125" s="36"/>
      <c r="DLU125" s="36"/>
      <c r="DLV125" s="36"/>
      <c r="DLW125" s="36"/>
      <c r="DLX125" s="36"/>
      <c r="DLY125" s="36"/>
      <c r="DLZ125" s="36"/>
      <c r="DMA125" s="36"/>
      <c r="DMB125" s="36"/>
      <c r="DMC125" s="36"/>
      <c r="DMD125" s="36"/>
      <c r="DME125" s="36"/>
      <c r="DMF125" s="36"/>
      <c r="DMG125" s="36"/>
      <c r="DMH125" s="36"/>
      <c r="DMI125" s="36"/>
      <c r="DMJ125" s="36"/>
      <c r="DMK125" s="36"/>
      <c r="DML125" s="36"/>
      <c r="DMM125" s="36"/>
      <c r="DMN125" s="36"/>
      <c r="DMO125" s="36"/>
      <c r="DMP125" s="36"/>
      <c r="DMQ125" s="36"/>
      <c r="DMR125" s="36"/>
      <c r="DMS125" s="36"/>
      <c r="DMT125" s="36"/>
      <c r="DMU125" s="36"/>
      <c r="DMV125" s="36"/>
      <c r="DMW125" s="36"/>
      <c r="DMX125" s="36"/>
      <c r="DMY125" s="36"/>
      <c r="DMZ125" s="36"/>
      <c r="DNA125" s="36"/>
      <c r="DNB125" s="36"/>
      <c r="DNC125" s="36"/>
      <c r="DND125" s="36"/>
      <c r="DNE125" s="36"/>
      <c r="DNF125" s="36"/>
      <c r="DNG125" s="36"/>
      <c r="DNH125" s="36"/>
      <c r="DNI125" s="36"/>
      <c r="DNJ125" s="36"/>
      <c r="DNK125" s="36"/>
      <c r="DNL125" s="36"/>
      <c r="DNM125" s="36"/>
      <c r="DNN125" s="36"/>
      <c r="DNO125" s="36"/>
      <c r="DNP125" s="36"/>
      <c r="DNQ125" s="36"/>
      <c r="DNR125" s="36"/>
      <c r="DNS125" s="36"/>
      <c r="DNT125" s="36"/>
      <c r="DNU125" s="36"/>
      <c r="DNV125" s="36"/>
      <c r="DNW125" s="36"/>
      <c r="DNX125" s="36"/>
      <c r="DNY125" s="36"/>
      <c r="DNZ125" s="36"/>
      <c r="DOA125" s="36"/>
      <c r="DOB125" s="36"/>
      <c r="DOC125" s="36"/>
      <c r="DOD125" s="36"/>
      <c r="DOE125" s="36"/>
      <c r="DOF125" s="36"/>
      <c r="DOG125" s="36"/>
      <c r="DOH125" s="36"/>
      <c r="DOI125" s="36"/>
      <c r="DOJ125" s="36"/>
      <c r="DOK125" s="36"/>
      <c r="DOL125" s="36"/>
      <c r="DOM125" s="36"/>
      <c r="DON125" s="36"/>
      <c r="DOO125" s="36"/>
      <c r="DOP125" s="36"/>
      <c r="DOQ125" s="36"/>
      <c r="DOR125" s="36"/>
      <c r="DOS125" s="36"/>
      <c r="DOT125" s="36"/>
      <c r="DOU125" s="36"/>
      <c r="DOV125" s="36"/>
      <c r="DOW125" s="36"/>
      <c r="DOX125" s="36"/>
      <c r="DOY125" s="36"/>
      <c r="DOZ125" s="36"/>
      <c r="DPA125" s="36"/>
      <c r="DPB125" s="36"/>
      <c r="DPC125" s="36"/>
      <c r="DPD125" s="36"/>
      <c r="DPE125" s="36"/>
      <c r="DPF125" s="36"/>
      <c r="DPG125" s="36"/>
      <c r="DPH125" s="36"/>
      <c r="DPI125" s="36"/>
      <c r="DPJ125" s="36"/>
      <c r="DPK125" s="36"/>
      <c r="DPL125" s="36"/>
      <c r="DPM125" s="36"/>
      <c r="DPN125" s="36"/>
      <c r="DPO125" s="36"/>
      <c r="DPP125" s="36"/>
      <c r="DPQ125" s="36"/>
      <c r="DPR125" s="36"/>
      <c r="DPS125" s="36"/>
      <c r="DPT125" s="36"/>
      <c r="DPU125" s="36"/>
      <c r="DPV125" s="36"/>
      <c r="DPW125" s="36"/>
      <c r="DPX125" s="36"/>
      <c r="DPY125" s="36"/>
      <c r="DPZ125" s="36"/>
      <c r="DQA125" s="36"/>
      <c r="DQB125" s="36"/>
      <c r="DQC125" s="36"/>
      <c r="DQD125" s="36"/>
      <c r="DQE125" s="36"/>
      <c r="DQF125" s="36"/>
      <c r="DQG125" s="36"/>
      <c r="DQH125" s="36"/>
      <c r="DQI125" s="36"/>
      <c r="DQJ125" s="36"/>
      <c r="DQK125" s="36"/>
      <c r="DQL125" s="36"/>
      <c r="DQM125" s="36"/>
      <c r="DQN125" s="36"/>
      <c r="DQO125" s="36"/>
      <c r="DQP125" s="36"/>
      <c r="DQQ125" s="36"/>
      <c r="DQR125" s="36"/>
      <c r="DQS125" s="36"/>
      <c r="DQT125" s="36"/>
      <c r="DQU125" s="36"/>
      <c r="DQV125" s="36"/>
      <c r="DQW125" s="36"/>
      <c r="DQX125" s="36"/>
      <c r="DQY125" s="36"/>
      <c r="DQZ125" s="36"/>
      <c r="DRA125" s="36"/>
      <c r="DRB125" s="36"/>
      <c r="DRC125" s="36"/>
      <c r="DRD125" s="36"/>
      <c r="DRE125" s="36"/>
      <c r="DRF125" s="36"/>
      <c r="DRG125" s="36"/>
      <c r="DRH125" s="36"/>
      <c r="DRI125" s="36"/>
      <c r="DRJ125" s="36"/>
      <c r="DRK125" s="36"/>
      <c r="DRL125" s="36"/>
      <c r="DRM125" s="36"/>
      <c r="DRN125" s="36"/>
      <c r="DRO125" s="36"/>
      <c r="DRP125" s="36"/>
      <c r="DRQ125" s="36"/>
      <c r="DRR125" s="36"/>
      <c r="DRS125" s="36"/>
      <c r="DRT125" s="36"/>
      <c r="DRU125" s="36"/>
      <c r="DRV125" s="36"/>
      <c r="DRW125" s="36"/>
      <c r="DRX125" s="36"/>
      <c r="DRY125" s="36"/>
      <c r="DRZ125" s="36"/>
      <c r="DSA125" s="36"/>
      <c r="DSB125" s="36"/>
      <c r="DSC125" s="36"/>
      <c r="DSD125" s="36"/>
      <c r="DSE125" s="36"/>
      <c r="DSF125" s="36"/>
      <c r="DSG125" s="36"/>
      <c r="DSH125" s="36"/>
      <c r="DSI125" s="36"/>
      <c r="DSJ125" s="36"/>
      <c r="DSK125" s="36"/>
      <c r="DSL125" s="36"/>
      <c r="DSM125" s="36"/>
      <c r="DSN125" s="36"/>
      <c r="DSO125" s="36"/>
      <c r="DSP125" s="36"/>
      <c r="DSQ125" s="36"/>
      <c r="DSR125" s="36"/>
      <c r="DSS125" s="36"/>
      <c r="DST125" s="36"/>
      <c r="DSU125" s="36"/>
      <c r="DSV125" s="36"/>
      <c r="DSW125" s="36"/>
      <c r="DSX125" s="36"/>
      <c r="DSY125" s="36"/>
      <c r="DSZ125" s="36"/>
      <c r="DTA125" s="36"/>
      <c r="DTB125" s="36"/>
      <c r="DTC125" s="36"/>
      <c r="DTD125" s="36"/>
      <c r="DTE125" s="36"/>
      <c r="DTF125" s="36"/>
      <c r="DTG125" s="36"/>
      <c r="DTH125" s="36"/>
      <c r="DTI125" s="36"/>
      <c r="DTJ125" s="36"/>
      <c r="DTK125" s="36"/>
      <c r="DTL125" s="36"/>
      <c r="DTM125" s="36"/>
      <c r="DTN125" s="36"/>
      <c r="DTO125" s="36"/>
      <c r="DTP125" s="36"/>
      <c r="DTQ125" s="36"/>
      <c r="DTR125" s="36"/>
      <c r="DTS125" s="36"/>
      <c r="DTT125" s="36"/>
      <c r="DTU125" s="36"/>
      <c r="DTV125" s="36"/>
      <c r="DTW125" s="36"/>
      <c r="DTX125" s="36"/>
      <c r="DTY125" s="36"/>
      <c r="DTZ125" s="36"/>
      <c r="DUA125" s="36"/>
      <c r="DUB125" s="36"/>
      <c r="DUC125" s="36"/>
      <c r="DUD125" s="36"/>
      <c r="DUE125" s="36"/>
      <c r="DUF125" s="36"/>
      <c r="DUG125" s="36"/>
      <c r="DUH125" s="36"/>
      <c r="DUI125" s="36"/>
      <c r="DUJ125" s="36"/>
      <c r="DUK125" s="36"/>
      <c r="DUL125" s="36"/>
      <c r="DUM125" s="36"/>
      <c r="DUN125" s="36"/>
      <c r="DUO125" s="36"/>
      <c r="DUP125" s="36"/>
      <c r="DUQ125" s="36"/>
      <c r="DUR125" s="36"/>
      <c r="DUS125" s="36"/>
      <c r="DUT125" s="36"/>
      <c r="DUU125" s="36"/>
      <c r="DUV125" s="36"/>
      <c r="DUW125" s="36"/>
      <c r="DUX125" s="36"/>
      <c r="DUY125" s="36"/>
      <c r="DUZ125" s="36"/>
      <c r="DVA125" s="36"/>
      <c r="DVB125" s="36"/>
      <c r="DVC125" s="36"/>
      <c r="DVD125" s="36"/>
      <c r="DVE125" s="36"/>
      <c r="DVF125" s="36"/>
      <c r="DVG125" s="36"/>
      <c r="DVH125" s="36"/>
      <c r="DVI125" s="36"/>
      <c r="DVJ125" s="36"/>
      <c r="DVK125" s="36"/>
      <c r="DVL125" s="36"/>
      <c r="DVM125" s="36"/>
      <c r="DVN125" s="36"/>
      <c r="DVO125" s="36"/>
      <c r="DVP125" s="36"/>
      <c r="DVQ125" s="36"/>
      <c r="DVR125" s="36"/>
      <c r="DVS125" s="36"/>
      <c r="DVT125" s="36"/>
      <c r="DVU125" s="36"/>
      <c r="DVV125" s="36"/>
      <c r="DVW125" s="36"/>
      <c r="DVX125" s="36"/>
      <c r="DVY125" s="36"/>
      <c r="DVZ125" s="36"/>
      <c r="DWA125" s="36"/>
      <c r="DWB125" s="36"/>
      <c r="DWC125" s="36"/>
      <c r="DWD125" s="36"/>
      <c r="DWE125" s="36"/>
      <c r="DWF125" s="36"/>
      <c r="DWG125" s="36"/>
      <c r="DWH125" s="36"/>
      <c r="DWI125" s="36"/>
      <c r="DWJ125" s="36"/>
      <c r="DWK125" s="36"/>
      <c r="DWL125" s="36"/>
      <c r="DWM125" s="36"/>
      <c r="DWN125" s="36"/>
      <c r="DWO125" s="36"/>
      <c r="DWP125" s="36"/>
      <c r="DWQ125" s="36"/>
      <c r="DWR125" s="36"/>
      <c r="DWS125" s="36"/>
      <c r="DWT125" s="36"/>
      <c r="DWU125" s="36"/>
      <c r="DWV125" s="36"/>
      <c r="DWW125" s="36"/>
      <c r="DWX125" s="36"/>
      <c r="DWY125" s="36"/>
      <c r="DWZ125" s="36"/>
      <c r="DXA125" s="36"/>
      <c r="DXB125" s="36"/>
      <c r="DXC125" s="36"/>
      <c r="DXD125" s="36"/>
      <c r="DXE125" s="36"/>
      <c r="DXF125" s="36"/>
      <c r="DXG125" s="36"/>
      <c r="DXH125" s="36"/>
      <c r="DXI125" s="36"/>
      <c r="DXJ125" s="36"/>
      <c r="DXK125" s="36"/>
      <c r="DXL125" s="36"/>
      <c r="DXM125" s="36"/>
      <c r="DXN125" s="36"/>
      <c r="DXO125" s="36"/>
      <c r="DXP125" s="36"/>
      <c r="DXQ125" s="36"/>
      <c r="DXR125" s="36"/>
      <c r="DXS125" s="36"/>
      <c r="DXT125" s="36"/>
      <c r="DXU125" s="36"/>
      <c r="DXV125" s="36"/>
      <c r="DXW125" s="36"/>
      <c r="DXX125" s="36"/>
      <c r="DXY125" s="36"/>
      <c r="DXZ125" s="36"/>
      <c r="DYA125" s="36"/>
      <c r="DYB125" s="36"/>
      <c r="DYC125" s="36"/>
      <c r="DYD125" s="36"/>
      <c r="DYE125" s="36"/>
      <c r="DYF125" s="36"/>
      <c r="DYG125" s="36"/>
      <c r="DYH125" s="36"/>
      <c r="DYI125" s="36"/>
      <c r="DYJ125" s="36"/>
      <c r="DYK125" s="36"/>
      <c r="DYL125" s="36"/>
      <c r="DYM125" s="36"/>
      <c r="DYN125" s="36"/>
      <c r="DYO125" s="36"/>
      <c r="DYP125" s="36"/>
      <c r="DYQ125" s="36"/>
      <c r="DYR125" s="36"/>
      <c r="DYS125" s="36"/>
      <c r="DYT125" s="36"/>
      <c r="DYU125" s="36"/>
      <c r="DYV125" s="36"/>
      <c r="DYW125" s="36"/>
      <c r="DYX125" s="36"/>
      <c r="DYY125" s="36"/>
      <c r="DYZ125" s="36"/>
      <c r="DZA125" s="36"/>
      <c r="DZB125" s="36"/>
      <c r="DZC125" s="36"/>
      <c r="DZD125" s="36"/>
      <c r="DZE125" s="36"/>
      <c r="DZF125" s="36"/>
      <c r="DZG125" s="36"/>
      <c r="DZH125" s="36"/>
      <c r="DZI125" s="36"/>
      <c r="DZJ125" s="36"/>
      <c r="DZK125" s="36"/>
      <c r="DZL125" s="36"/>
      <c r="DZM125" s="36"/>
      <c r="DZN125" s="36"/>
      <c r="DZO125" s="36"/>
      <c r="DZP125" s="36"/>
      <c r="DZQ125" s="36"/>
      <c r="DZR125" s="36"/>
      <c r="DZS125" s="36"/>
      <c r="DZT125" s="36"/>
      <c r="DZU125" s="36"/>
      <c r="DZV125" s="36"/>
      <c r="DZW125" s="36"/>
      <c r="DZX125" s="36"/>
      <c r="DZY125" s="36"/>
      <c r="DZZ125" s="36"/>
      <c r="EAA125" s="36"/>
      <c r="EAB125" s="36"/>
      <c r="EAC125" s="36"/>
      <c r="EAD125" s="36"/>
      <c r="EAE125" s="36"/>
      <c r="EAF125" s="36"/>
      <c r="EAG125" s="36"/>
      <c r="EAH125" s="36"/>
      <c r="EAI125" s="36"/>
      <c r="EAJ125" s="36"/>
      <c r="EAK125" s="36"/>
      <c r="EAL125" s="36"/>
      <c r="EAM125" s="36"/>
      <c r="EAN125" s="36"/>
      <c r="EAO125" s="36"/>
      <c r="EAP125" s="36"/>
      <c r="EAQ125" s="36"/>
      <c r="EAR125" s="36"/>
      <c r="EAS125" s="36"/>
      <c r="EAT125" s="36"/>
      <c r="EAU125" s="36"/>
      <c r="EAV125" s="36"/>
      <c r="EAW125" s="36"/>
      <c r="EAX125" s="36"/>
      <c r="EAY125" s="36"/>
      <c r="EAZ125" s="36"/>
      <c r="EBA125" s="36"/>
      <c r="EBB125" s="36"/>
      <c r="EBC125" s="36"/>
      <c r="EBD125" s="36"/>
      <c r="EBE125" s="36"/>
      <c r="EBF125" s="36"/>
      <c r="EBG125" s="36"/>
      <c r="EBH125" s="36"/>
      <c r="EBI125" s="36"/>
      <c r="EBJ125" s="36"/>
      <c r="EBK125" s="36"/>
      <c r="EBL125" s="36"/>
      <c r="EBM125" s="36"/>
      <c r="EBN125" s="36"/>
      <c r="EBO125" s="36"/>
      <c r="EBP125" s="36"/>
      <c r="EBQ125" s="36"/>
      <c r="EBR125" s="36"/>
      <c r="EBS125" s="36"/>
      <c r="EBT125" s="36"/>
      <c r="EBU125" s="36"/>
      <c r="EBV125" s="36"/>
      <c r="EBW125" s="36"/>
      <c r="EBX125" s="36"/>
      <c r="EBY125" s="36"/>
      <c r="EBZ125" s="36"/>
      <c r="ECA125" s="36"/>
      <c r="ECB125" s="36"/>
      <c r="ECC125" s="36"/>
      <c r="ECD125" s="36"/>
      <c r="ECE125" s="36"/>
      <c r="ECF125" s="36"/>
      <c r="ECG125" s="36"/>
      <c r="ECH125" s="36"/>
      <c r="ECI125" s="36"/>
      <c r="ECJ125" s="36"/>
      <c r="ECK125" s="36"/>
      <c r="ECL125" s="36"/>
      <c r="ECM125" s="36"/>
      <c r="ECN125" s="36"/>
      <c r="ECO125" s="36"/>
      <c r="ECP125" s="36"/>
      <c r="ECQ125" s="36"/>
      <c r="ECR125" s="36"/>
      <c r="ECS125" s="36"/>
      <c r="ECT125" s="36"/>
      <c r="ECU125" s="36"/>
      <c r="ECV125" s="36"/>
      <c r="ECW125" s="36"/>
      <c r="ECX125" s="36"/>
      <c r="ECY125" s="36"/>
      <c r="ECZ125" s="36"/>
      <c r="EDA125" s="36"/>
      <c r="EDB125" s="36"/>
      <c r="EDC125" s="36"/>
      <c r="EDD125" s="36"/>
      <c r="EDE125" s="36"/>
      <c r="EDF125" s="36"/>
      <c r="EDG125" s="36"/>
      <c r="EDH125" s="36"/>
      <c r="EDI125" s="36"/>
      <c r="EDJ125" s="36"/>
      <c r="EDK125" s="36"/>
      <c r="EDL125" s="36"/>
      <c r="EDM125" s="36"/>
      <c r="EDN125" s="36"/>
      <c r="EDO125" s="36"/>
      <c r="EDP125" s="36"/>
      <c r="EDQ125" s="36"/>
      <c r="EDR125" s="36"/>
      <c r="EDS125" s="36"/>
      <c r="EDT125" s="36"/>
      <c r="EDU125" s="36"/>
      <c r="EDV125" s="36"/>
      <c r="EDW125" s="36"/>
      <c r="EDX125" s="36"/>
      <c r="EDY125" s="36"/>
      <c r="EDZ125" s="36"/>
      <c r="EEA125" s="36"/>
      <c r="EEB125" s="36"/>
      <c r="EEC125" s="36"/>
      <c r="EED125" s="36"/>
      <c r="EEE125" s="36"/>
      <c r="EEF125" s="36"/>
      <c r="EEG125" s="36"/>
      <c r="EEH125" s="36"/>
      <c r="EEI125" s="36"/>
      <c r="EEJ125" s="36"/>
      <c r="EEK125" s="36"/>
      <c r="EEL125" s="36"/>
      <c r="EEM125" s="36"/>
      <c r="EEN125" s="36"/>
      <c r="EEO125" s="36"/>
      <c r="EEP125" s="36"/>
      <c r="EEQ125" s="36"/>
      <c r="EER125" s="36"/>
      <c r="EES125" s="36"/>
      <c r="EET125" s="36"/>
      <c r="EEU125" s="36"/>
      <c r="EEV125" s="36"/>
      <c r="EEW125" s="36"/>
      <c r="EEX125" s="36"/>
      <c r="EEY125" s="36"/>
      <c r="EEZ125" s="36"/>
      <c r="EFA125" s="36"/>
      <c r="EFB125" s="36"/>
      <c r="EFC125" s="36"/>
      <c r="EFD125" s="36"/>
      <c r="EFE125" s="36"/>
      <c r="EFF125" s="36"/>
      <c r="EFG125" s="36"/>
      <c r="EFH125" s="36"/>
      <c r="EFI125" s="36"/>
      <c r="EFJ125" s="36"/>
      <c r="EFK125" s="36"/>
      <c r="EFL125" s="36"/>
      <c r="EFM125" s="36"/>
      <c r="EFN125" s="36"/>
      <c r="EFO125" s="36"/>
      <c r="EFP125" s="36"/>
      <c r="EFQ125" s="36"/>
      <c r="EFR125" s="36"/>
      <c r="EFS125" s="36"/>
      <c r="EFT125" s="36"/>
      <c r="EFU125" s="36"/>
      <c r="EFV125" s="36"/>
      <c r="EFW125" s="36"/>
      <c r="EFX125" s="36"/>
      <c r="EFY125" s="36"/>
      <c r="EFZ125" s="36"/>
      <c r="EGA125" s="36"/>
      <c r="EGB125" s="36"/>
      <c r="EGC125" s="36"/>
      <c r="EGD125" s="36"/>
      <c r="EGE125" s="36"/>
      <c r="EGF125" s="36"/>
      <c r="EGG125" s="36"/>
      <c r="EGH125" s="36"/>
      <c r="EGI125" s="36"/>
      <c r="EGJ125" s="36"/>
      <c r="EGK125" s="36"/>
      <c r="EGL125" s="36"/>
      <c r="EGM125" s="36"/>
      <c r="EGN125" s="36"/>
      <c r="EGO125" s="36"/>
      <c r="EGP125" s="36"/>
      <c r="EGQ125" s="36"/>
      <c r="EGR125" s="36"/>
      <c r="EGS125" s="36"/>
      <c r="EGT125" s="36"/>
      <c r="EGU125" s="36"/>
      <c r="EGV125" s="36"/>
      <c r="EGW125" s="36"/>
      <c r="EGX125" s="36"/>
      <c r="EGY125" s="36"/>
      <c r="EGZ125" s="36"/>
      <c r="EHA125" s="36"/>
      <c r="EHB125" s="36"/>
      <c r="EHC125" s="36"/>
      <c r="EHD125" s="36"/>
      <c r="EHE125" s="36"/>
      <c r="EHF125" s="36"/>
      <c r="EHG125" s="36"/>
      <c r="EHH125" s="36"/>
      <c r="EHI125" s="36"/>
      <c r="EHJ125" s="36"/>
      <c r="EHK125" s="36"/>
      <c r="EHL125" s="36"/>
      <c r="EHM125" s="36"/>
      <c r="EHN125" s="36"/>
      <c r="EHO125" s="36"/>
      <c r="EHP125" s="36"/>
      <c r="EHQ125" s="36"/>
      <c r="EHR125" s="36"/>
      <c r="EHS125" s="36"/>
      <c r="EHT125" s="36"/>
      <c r="EHU125" s="36"/>
      <c r="EHV125" s="36"/>
      <c r="EHW125" s="36"/>
      <c r="EHX125" s="36"/>
      <c r="EHY125" s="36"/>
      <c r="EHZ125" s="36"/>
      <c r="EIA125" s="36"/>
      <c r="EIB125" s="36"/>
      <c r="EIC125" s="36"/>
      <c r="EID125" s="36"/>
      <c r="EIE125" s="36"/>
      <c r="EIF125" s="36"/>
      <c r="EIG125" s="36"/>
      <c r="EIH125" s="36"/>
      <c r="EII125" s="36"/>
      <c r="EIJ125" s="36"/>
      <c r="EIK125" s="36"/>
      <c r="EIL125" s="36"/>
      <c r="EIM125" s="36"/>
      <c r="EIN125" s="36"/>
      <c r="EIO125" s="36"/>
      <c r="EIP125" s="36"/>
      <c r="EIQ125" s="36"/>
      <c r="EIR125" s="36"/>
      <c r="EIS125" s="36"/>
      <c r="EIT125" s="36"/>
      <c r="EIU125" s="36"/>
      <c r="EIV125" s="36"/>
      <c r="EIW125" s="36"/>
      <c r="EIX125" s="36"/>
      <c r="EIY125" s="36"/>
      <c r="EIZ125" s="36"/>
      <c r="EJA125" s="36"/>
      <c r="EJB125" s="36"/>
      <c r="EJC125" s="36"/>
      <c r="EJD125" s="36"/>
      <c r="EJE125" s="36"/>
      <c r="EJF125" s="36"/>
      <c r="EJG125" s="36"/>
      <c r="EJH125" s="36"/>
      <c r="EJI125" s="36"/>
      <c r="EJJ125" s="36"/>
      <c r="EJK125" s="36"/>
      <c r="EJL125" s="36"/>
      <c r="EJM125" s="36"/>
      <c r="EJN125" s="36"/>
      <c r="EJO125" s="36"/>
      <c r="EJP125" s="36"/>
      <c r="EJQ125" s="36"/>
      <c r="EJR125" s="36"/>
      <c r="EJS125" s="36"/>
      <c r="EJT125" s="36"/>
      <c r="EJU125" s="36"/>
      <c r="EJV125" s="36"/>
      <c r="EJW125" s="36"/>
      <c r="EJX125" s="36"/>
      <c r="EJY125" s="36"/>
      <c r="EJZ125" s="36"/>
      <c r="EKA125" s="36"/>
      <c r="EKB125" s="36"/>
      <c r="EKC125" s="36"/>
      <c r="EKD125" s="36"/>
      <c r="EKE125" s="36"/>
      <c r="EKF125" s="36"/>
      <c r="EKG125" s="36"/>
      <c r="EKH125" s="36"/>
      <c r="EKI125" s="36"/>
      <c r="EKJ125" s="36"/>
      <c r="EKK125" s="36"/>
      <c r="EKL125" s="36"/>
      <c r="EKM125" s="36"/>
      <c r="EKN125" s="36"/>
      <c r="EKO125" s="36"/>
      <c r="EKP125" s="36"/>
      <c r="EKQ125" s="36"/>
      <c r="EKR125" s="36"/>
      <c r="EKS125" s="36"/>
      <c r="EKT125" s="36"/>
      <c r="EKU125" s="36"/>
      <c r="EKV125" s="36"/>
      <c r="EKW125" s="36"/>
      <c r="EKX125" s="36"/>
      <c r="EKY125" s="36"/>
      <c r="EKZ125" s="36"/>
      <c r="ELA125" s="36"/>
      <c r="ELB125" s="36"/>
      <c r="ELC125" s="36"/>
      <c r="ELD125" s="36"/>
      <c r="ELE125" s="36"/>
      <c r="ELF125" s="36"/>
      <c r="ELG125" s="36"/>
      <c r="ELH125" s="36"/>
      <c r="ELI125" s="36"/>
      <c r="ELJ125" s="36"/>
      <c r="ELK125" s="36"/>
      <c r="ELL125" s="36"/>
      <c r="ELM125" s="36"/>
      <c r="ELN125" s="36"/>
      <c r="ELO125" s="36"/>
      <c r="ELP125" s="36"/>
      <c r="ELQ125" s="36"/>
      <c r="ELR125" s="36"/>
      <c r="ELS125" s="36"/>
      <c r="ELT125" s="36"/>
      <c r="ELU125" s="36"/>
      <c r="ELV125" s="36"/>
      <c r="ELW125" s="36"/>
      <c r="ELX125" s="36"/>
      <c r="ELY125" s="36"/>
      <c r="ELZ125" s="36"/>
      <c r="EMA125" s="36"/>
      <c r="EMB125" s="36"/>
      <c r="EMC125" s="36"/>
      <c r="EMD125" s="36"/>
      <c r="EME125" s="36"/>
      <c r="EMF125" s="36"/>
      <c r="EMG125" s="36"/>
      <c r="EMH125" s="36"/>
      <c r="EMI125" s="36"/>
      <c r="EMJ125" s="36"/>
      <c r="EMK125" s="36"/>
      <c r="EML125" s="36"/>
      <c r="EMM125" s="36"/>
      <c r="EMN125" s="36"/>
      <c r="EMO125" s="36"/>
      <c r="EMP125" s="36"/>
      <c r="EMQ125" s="36"/>
      <c r="EMR125" s="36"/>
      <c r="EMS125" s="36"/>
      <c r="EMT125" s="36"/>
      <c r="EMU125" s="36"/>
      <c r="EMV125" s="36"/>
      <c r="EMW125" s="36"/>
      <c r="EMX125" s="36"/>
      <c r="EMY125" s="36"/>
      <c r="EMZ125" s="36"/>
      <c r="ENA125" s="36"/>
      <c r="ENB125" s="36"/>
      <c r="ENC125" s="36"/>
      <c r="END125" s="36"/>
      <c r="ENE125" s="36"/>
      <c r="ENF125" s="36"/>
      <c r="ENG125" s="36"/>
      <c r="ENH125" s="36"/>
      <c r="ENI125" s="36"/>
      <c r="ENJ125" s="36"/>
      <c r="ENK125" s="36"/>
      <c r="ENL125" s="36"/>
      <c r="ENM125" s="36"/>
      <c r="ENN125" s="36"/>
      <c r="ENO125" s="36"/>
      <c r="ENP125" s="36"/>
      <c r="ENQ125" s="36"/>
      <c r="ENR125" s="36"/>
      <c r="ENS125" s="36"/>
      <c r="ENT125" s="36"/>
      <c r="ENU125" s="36"/>
      <c r="ENV125" s="36"/>
      <c r="ENW125" s="36"/>
      <c r="ENX125" s="36"/>
      <c r="ENY125" s="36"/>
      <c r="ENZ125" s="36"/>
      <c r="EOA125" s="36"/>
      <c r="EOB125" s="36"/>
      <c r="EOC125" s="36"/>
      <c r="EOD125" s="36"/>
      <c r="EOE125" s="36"/>
      <c r="EOF125" s="36"/>
      <c r="EOG125" s="36"/>
      <c r="EOH125" s="36"/>
      <c r="EOI125" s="36"/>
      <c r="EOJ125" s="36"/>
      <c r="EOK125" s="36"/>
      <c r="EOL125" s="36"/>
      <c r="EOM125" s="36"/>
      <c r="EON125" s="36"/>
      <c r="EOO125" s="36"/>
      <c r="EOP125" s="36"/>
      <c r="EOQ125" s="36"/>
      <c r="EOR125" s="36"/>
      <c r="EOS125" s="36"/>
      <c r="EOT125" s="36"/>
      <c r="EOU125" s="36"/>
      <c r="EOV125" s="36"/>
      <c r="EOW125" s="36"/>
      <c r="EOX125" s="36"/>
      <c r="EOY125" s="36"/>
      <c r="EOZ125" s="36"/>
      <c r="EPA125" s="36"/>
      <c r="EPB125" s="36"/>
      <c r="EPC125" s="36"/>
      <c r="EPD125" s="36"/>
      <c r="EPE125" s="36"/>
      <c r="EPF125" s="36"/>
      <c r="EPG125" s="36"/>
      <c r="EPH125" s="36"/>
      <c r="EPI125" s="36"/>
      <c r="EPJ125" s="36"/>
      <c r="EPK125" s="36"/>
      <c r="EPL125" s="36"/>
      <c r="EPM125" s="36"/>
      <c r="EPN125" s="36"/>
      <c r="EPO125" s="36"/>
      <c r="EPP125" s="36"/>
      <c r="EPQ125" s="36"/>
      <c r="EPR125" s="36"/>
      <c r="EPS125" s="36"/>
      <c r="EPT125" s="36"/>
      <c r="EPU125" s="36"/>
      <c r="EPV125" s="36"/>
      <c r="EPW125" s="36"/>
      <c r="EPX125" s="36"/>
      <c r="EPY125" s="36"/>
      <c r="EPZ125" s="36"/>
      <c r="EQA125" s="36"/>
      <c r="EQB125" s="36"/>
      <c r="EQC125" s="36"/>
      <c r="EQD125" s="36"/>
      <c r="EQE125" s="36"/>
      <c r="EQF125" s="36"/>
      <c r="EQG125" s="36"/>
      <c r="EQH125" s="36"/>
      <c r="EQI125" s="36"/>
      <c r="EQJ125" s="36"/>
      <c r="EQK125" s="36"/>
      <c r="EQL125" s="36"/>
      <c r="EQM125" s="36"/>
      <c r="EQN125" s="36"/>
      <c r="EQO125" s="36"/>
      <c r="EQP125" s="36"/>
      <c r="EQQ125" s="36"/>
      <c r="EQR125" s="36"/>
      <c r="EQS125" s="36"/>
      <c r="EQT125" s="36"/>
      <c r="EQU125" s="36"/>
      <c r="EQV125" s="36"/>
      <c r="EQW125" s="36"/>
      <c r="EQX125" s="36"/>
      <c r="EQY125" s="36"/>
      <c r="EQZ125" s="36"/>
      <c r="ERA125" s="36"/>
      <c r="ERB125" s="36"/>
      <c r="ERC125" s="36"/>
      <c r="ERD125" s="36"/>
      <c r="ERE125" s="36"/>
      <c r="ERF125" s="36"/>
      <c r="ERG125" s="36"/>
      <c r="ERH125" s="36"/>
      <c r="ERI125" s="36"/>
      <c r="ERJ125" s="36"/>
      <c r="ERK125" s="36"/>
      <c r="ERL125" s="36"/>
      <c r="ERM125" s="36"/>
      <c r="ERN125" s="36"/>
      <c r="ERO125" s="36"/>
      <c r="ERP125" s="36"/>
      <c r="ERQ125" s="36"/>
      <c r="ERR125" s="36"/>
      <c r="ERS125" s="36"/>
      <c r="ERT125" s="36"/>
      <c r="ERU125" s="36"/>
      <c r="ERV125" s="36"/>
      <c r="ERW125" s="36"/>
      <c r="ERX125" s="36"/>
      <c r="ERY125" s="36"/>
      <c r="ERZ125" s="36"/>
      <c r="ESA125" s="36"/>
      <c r="ESB125" s="36"/>
      <c r="ESC125" s="36"/>
      <c r="ESD125" s="36"/>
      <c r="ESE125" s="36"/>
      <c r="ESF125" s="36"/>
      <c r="ESG125" s="36"/>
      <c r="ESH125" s="36"/>
      <c r="ESI125" s="36"/>
      <c r="ESJ125" s="36"/>
      <c r="ESK125" s="36"/>
      <c r="ESL125" s="36"/>
      <c r="ESM125" s="36"/>
      <c r="ESN125" s="36"/>
      <c r="ESO125" s="36"/>
      <c r="ESP125" s="36"/>
      <c r="ESQ125" s="36"/>
      <c r="ESR125" s="36"/>
      <c r="ESS125" s="36"/>
      <c r="EST125" s="36"/>
      <c r="ESU125" s="36"/>
      <c r="ESV125" s="36"/>
      <c r="ESW125" s="36"/>
      <c r="ESX125" s="36"/>
      <c r="ESY125" s="36"/>
      <c r="ESZ125" s="36"/>
      <c r="ETA125" s="36"/>
      <c r="ETB125" s="36"/>
      <c r="ETC125" s="36"/>
      <c r="ETD125" s="36"/>
      <c r="ETE125" s="36"/>
      <c r="ETF125" s="36"/>
      <c r="ETG125" s="36"/>
      <c r="ETH125" s="36"/>
      <c r="ETI125" s="36"/>
      <c r="ETJ125" s="36"/>
      <c r="ETK125" s="36"/>
      <c r="ETL125" s="36"/>
      <c r="ETM125" s="36"/>
      <c r="ETN125" s="36"/>
      <c r="ETO125" s="36"/>
      <c r="ETP125" s="36"/>
      <c r="ETQ125" s="36"/>
      <c r="ETR125" s="36"/>
      <c r="ETS125" s="36"/>
      <c r="ETT125" s="36"/>
      <c r="ETU125" s="36"/>
      <c r="ETV125" s="36"/>
      <c r="ETW125" s="36"/>
      <c r="ETX125" s="36"/>
      <c r="ETY125" s="36"/>
      <c r="ETZ125" s="36"/>
      <c r="EUA125" s="36"/>
      <c r="EUB125" s="36"/>
      <c r="EUC125" s="36"/>
      <c r="EUD125" s="36"/>
      <c r="EUE125" s="36"/>
      <c r="EUF125" s="36"/>
      <c r="EUG125" s="36"/>
      <c r="EUH125" s="36"/>
      <c r="EUI125" s="36"/>
      <c r="EUJ125" s="36"/>
      <c r="EUK125" s="36"/>
      <c r="EUL125" s="36"/>
      <c r="EUM125" s="36"/>
      <c r="EUN125" s="36"/>
      <c r="EUO125" s="36"/>
      <c r="EUP125" s="36"/>
      <c r="EUQ125" s="36"/>
      <c r="EUR125" s="36"/>
      <c r="EUS125" s="36"/>
      <c r="EUT125" s="36"/>
      <c r="EUU125" s="36"/>
      <c r="EUV125" s="36"/>
      <c r="EUW125" s="36"/>
      <c r="EUX125" s="36"/>
      <c r="EUY125" s="36"/>
      <c r="EUZ125" s="36"/>
      <c r="EVA125" s="36"/>
      <c r="EVB125" s="36"/>
      <c r="EVC125" s="36"/>
      <c r="EVD125" s="36"/>
      <c r="EVE125" s="36"/>
      <c r="EVF125" s="36"/>
      <c r="EVG125" s="36"/>
      <c r="EVH125" s="36"/>
      <c r="EVI125" s="36"/>
      <c r="EVJ125" s="36"/>
      <c r="EVK125" s="36"/>
      <c r="EVL125" s="36"/>
      <c r="EVM125" s="36"/>
      <c r="EVN125" s="36"/>
      <c r="EVO125" s="36"/>
      <c r="EVP125" s="36"/>
      <c r="EVQ125" s="36"/>
      <c r="EVR125" s="36"/>
      <c r="EVS125" s="36"/>
      <c r="EVT125" s="36"/>
      <c r="EVU125" s="36"/>
      <c r="EVV125" s="36"/>
      <c r="EVW125" s="36"/>
      <c r="EVX125" s="36"/>
      <c r="EVY125" s="36"/>
      <c r="EVZ125" s="36"/>
      <c r="EWA125" s="36"/>
      <c r="EWB125" s="36"/>
      <c r="EWC125" s="36"/>
      <c r="EWD125" s="36"/>
      <c r="EWE125" s="36"/>
      <c r="EWF125" s="36"/>
      <c r="EWG125" s="36"/>
      <c r="EWH125" s="36"/>
      <c r="EWI125" s="36"/>
      <c r="EWJ125" s="36"/>
      <c r="EWK125" s="36"/>
      <c r="EWL125" s="36"/>
      <c r="EWM125" s="36"/>
      <c r="EWN125" s="36"/>
      <c r="EWO125" s="36"/>
      <c r="EWP125" s="36"/>
      <c r="EWQ125" s="36"/>
      <c r="EWR125" s="36"/>
      <c r="EWS125" s="36"/>
      <c r="EWT125" s="36"/>
      <c r="EWU125" s="36"/>
      <c r="EWV125" s="36"/>
      <c r="EWW125" s="36"/>
      <c r="EWX125" s="36"/>
      <c r="EWY125" s="36"/>
      <c r="EWZ125" s="36"/>
      <c r="EXA125" s="36"/>
      <c r="EXB125" s="36"/>
      <c r="EXC125" s="36"/>
      <c r="EXD125" s="36"/>
      <c r="EXE125" s="36"/>
      <c r="EXF125" s="36"/>
      <c r="EXG125" s="36"/>
      <c r="EXH125" s="36"/>
      <c r="EXI125" s="36"/>
      <c r="EXJ125" s="36"/>
      <c r="EXK125" s="36"/>
      <c r="EXL125" s="36"/>
      <c r="EXM125" s="36"/>
      <c r="EXN125" s="36"/>
      <c r="EXO125" s="36"/>
      <c r="EXP125" s="36"/>
      <c r="EXQ125" s="36"/>
      <c r="EXR125" s="36"/>
      <c r="EXS125" s="36"/>
      <c r="EXT125" s="36"/>
      <c r="EXU125" s="36"/>
      <c r="EXV125" s="36"/>
      <c r="EXW125" s="36"/>
      <c r="EXX125" s="36"/>
      <c r="EXY125" s="36"/>
      <c r="EXZ125" s="36"/>
      <c r="EYA125" s="36"/>
      <c r="EYB125" s="36"/>
      <c r="EYC125" s="36"/>
      <c r="EYD125" s="36"/>
      <c r="EYE125" s="36"/>
      <c r="EYF125" s="36"/>
      <c r="EYG125" s="36"/>
      <c r="EYH125" s="36"/>
      <c r="EYI125" s="36"/>
      <c r="EYJ125" s="36"/>
      <c r="EYK125" s="36"/>
      <c r="EYL125" s="36"/>
      <c r="EYM125" s="36"/>
      <c r="EYN125" s="36"/>
      <c r="EYO125" s="36"/>
      <c r="EYP125" s="36"/>
      <c r="EYQ125" s="36"/>
      <c r="EYR125" s="36"/>
      <c r="EYS125" s="36"/>
      <c r="EYT125" s="36"/>
      <c r="EYU125" s="36"/>
      <c r="EYV125" s="36"/>
      <c r="EYW125" s="36"/>
      <c r="EYX125" s="36"/>
      <c r="EYY125" s="36"/>
      <c r="EYZ125" s="36"/>
      <c r="EZA125" s="36"/>
      <c r="EZB125" s="36"/>
      <c r="EZC125" s="36"/>
      <c r="EZD125" s="36"/>
      <c r="EZE125" s="36"/>
      <c r="EZF125" s="36"/>
      <c r="EZG125" s="36"/>
      <c r="EZH125" s="36"/>
      <c r="EZI125" s="36"/>
      <c r="EZJ125" s="36"/>
      <c r="EZK125" s="36"/>
      <c r="EZL125" s="36"/>
      <c r="EZM125" s="36"/>
      <c r="EZN125" s="36"/>
      <c r="EZO125" s="36"/>
      <c r="EZP125" s="36"/>
      <c r="EZQ125" s="36"/>
      <c r="EZR125" s="36"/>
      <c r="EZS125" s="36"/>
      <c r="EZT125" s="36"/>
      <c r="EZU125" s="36"/>
      <c r="EZV125" s="36"/>
      <c r="EZW125" s="36"/>
      <c r="EZX125" s="36"/>
      <c r="EZY125" s="36"/>
      <c r="EZZ125" s="36"/>
      <c r="FAA125" s="36"/>
      <c r="FAB125" s="36"/>
      <c r="FAC125" s="36"/>
      <c r="FAD125" s="36"/>
      <c r="FAE125" s="36"/>
      <c r="FAF125" s="36"/>
      <c r="FAG125" s="36"/>
      <c r="FAH125" s="36"/>
      <c r="FAI125" s="36"/>
      <c r="FAJ125" s="36"/>
      <c r="FAK125" s="36"/>
      <c r="FAL125" s="36"/>
      <c r="FAM125" s="36"/>
      <c r="FAN125" s="36"/>
      <c r="FAO125" s="36"/>
      <c r="FAP125" s="36"/>
      <c r="FAQ125" s="36"/>
      <c r="FAR125" s="36"/>
      <c r="FAS125" s="36"/>
      <c r="FAT125" s="36"/>
      <c r="FAU125" s="36"/>
      <c r="FAV125" s="36"/>
      <c r="FAW125" s="36"/>
      <c r="FAX125" s="36"/>
      <c r="FAY125" s="36"/>
      <c r="FAZ125" s="36"/>
      <c r="FBA125" s="36"/>
      <c r="FBB125" s="36"/>
      <c r="FBC125" s="36"/>
      <c r="FBD125" s="36"/>
      <c r="FBE125" s="36"/>
      <c r="FBF125" s="36"/>
      <c r="FBG125" s="36"/>
      <c r="FBH125" s="36"/>
      <c r="FBI125" s="36"/>
      <c r="FBJ125" s="36"/>
      <c r="FBK125" s="36"/>
      <c r="FBL125" s="36"/>
      <c r="FBM125" s="36"/>
      <c r="FBN125" s="36"/>
      <c r="FBO125" s="36"/>
      <c r="FBP125" s="36"/>
      <c r="FBQ125" s="36"/>
      <c r="FBR125" s="36"/>
      <c r="FBS125" s="36"/>
      <c r="FBT125" s="36"/>
      <c r="FBU125" s="36"/>
      <c r="FBV125" s="36"/>
      <c r="FBW125" s="36"/>
      <c r="FBX125" s="36"/>
      <c r="FBY125" s="36"/>
      <c r="FBZ125" s="36"/>
      <c r="FCA125" s="36"/>
      <c r="FCB125" s="36"/>
      <c r="FCC125" s="36"/>
      <c r="FCD125" s="36"/>
      <c r="FCE125" s="36"/>
      <c r="FCF125" s="36"/>
      <c r="FCG125" s="36"/>
      <c r="FCH125" s="36"/>
      <c r="FCI125" s="36"/>
      <c r="FCJ125" s="36"/>
      <c r="FCK125" s="36"/>
      <c r="FCL125" s="36"/>
      <c r="FCM125" s="36"/>
      <c r="FCN125" s="36"/>
      <c r="FCO125" s="36"/>
      <c r="FCP125" s="36"/>
      <c r="FCQ125" s="36"/>
      <c r="FCR125" s="36"/>
      <c r="FCS125" s="36"/>
      <c r="FCT125" s="36"/>
      <c r="FCU125" s="36"/>
      <c r="FCV125" s="36"/>
      <c r="FCW125" s="36"/>
      <c r="FCX125" s="36"/>
      <c r="FCY125" s="36"/>
      <c r="FCZ125" s="36"/>
      <c r="FDA125" s="36"/>
      <c r="FDB125" s="36"/>
      <c r="FDC125" s="36"/>
      <c r="FDD125" s="36"/>
      <c r="FDE125" s="36"/>
      <c r="FDF125" s="36"/>
      <c r="FDG125" s="36"/>
      <c r="FDH125" s="36"/>
      <c r="FDI125" s="36"/>
      <c r="FDJ125" s="36"/>
      <c r="FDK125" s="36"/>
      <c r="FDL125" s="36"/>
      <c r="FDM125" s="36"/>
      <c r="FDN125" s="36"/>
      <c r="FDO125" s="36"/>
      <c r="FDP125" s="36"/>
      <c r="FDQ125" s="36"/>
      <c r="FDR125" s="36"/>
      <c r="FDS125" s="36"/>
      <c r="FDT125" s="36"/>
      <c r="FDU125" s="36"/>
      <c r="FDV125" s="36"/>
      <c r="FDW125" s="36"/>
      <c r="FDX125" s="36"/>
      <c r="FDY125" s="36"/>
      <c r="FDZ125" s="36"/>
      <c r="FEA125" s="36"/>
      <c r="FEB125" s="36"/>
      <c r="FEC125" s="36"/>
      <c r="FED125" s="36"/>
      <c r="FEE125" s="36"/>
      <c r="FEF125" s="36"/>
      <c r="FEG125" s="36"/>
      <c r="FEH125" s="36"/>
      <c r="FEI125" s="36"/>
      <c r="FEJ125" s="36"/>
      <c r="FEK125" s="36"/>
      <c r="FEL125" s="36"/>
      <c r="FEM125" s="36"/>
      <c r="FEN125" s="36"/>
      <c r="FEO125" s="36"/>
      <c r="FEP125" s="36"/>
      <c r="FEQ125" s="36"/>
      <c r="FER125" s="36"/>
      <c r="FES125" s="36"/>
      <c r="FET125" s="36"/>
      <c r="FEU125" s="36"/>
      <c r="FEV125" s="36"/>
      <c r="FEW125" s="36"/>
      <c r="FEX125" s="36"/>
      <c r="FEY125" s="36"/>
      <c r="FEZ125" s="36"/>
      <c r="FFA125" s="36"/>
      <c r="FFB125" s="36"/>
      <c r="FFC125" s="36"/>
      <c r="FFD125" s="36"/>
      <c r="FFE125" s="36"/>
      <c r="FFF125" s="36"/>
      <c r="FFG125" s="36"/>
      <c r="FFH125" s="36"/>
      <c r="FFI125" s="36"/>
      <c r="FFJ125" s="36"/>
      <c r="FFK125" s="36"/>
      <c r="FFL125" s="36"/>
      <c r="FFM125" s="36"/>
      <c r="FFN125" s="36"/>
      <c r="FFO125" s="36"/>
      <c r="FFP125" s="36"/>
      <c r="FFQ125" s="36"/>
      <c r="FFR125" s="36"/>
      <c r="FFS125" s="36"/>
      <c r="FFT125" s="36"/>
      <c r="FFU125" s="36"/>
      <c r="FFV125" s="36"/>
      <c r="FFW125" s="36"/>
      <c r="FFX125" s="36"/>
      <c r="FFY125" s="36"/>
      <c r="FFZ125" s="36"/>
      <c r="FGA125" s="36"/>
      <c r="FGB125" s="36"/>
      <c r="FGC125" s="36"/>
      <c r="FGD125" s="36"/>
      <c r="FGE125" s="36"/>
      <c r="FGF125" s="36"/>
      <c r="FGG125" s="36"/>
      <c r="FGH125" s="36"/>
      <c r="FGI125" s="36"/>
      <c r="FGJ125" s="36"/>
      <c r="FGK125" s="36"/>
      <c r="FGL125" s="36"/>
      <c r="FGM125" s="36"/>
      <c r="FGN125" s="36"/>
      <c r="FGO125" s="36"/>
      <c r="FGP125" s="36"/>
      <c r="FGQ125" s="36"/>
      <c r="FGR125" s="36"/>
      <c r="FGS125" s="36"/>
      <c r="FGT125" s="36"/>
      <c r="FGU125" s="36"/>
      <c r="FGV125" s="36"/>
      <c r="FGW125" s="36"/>
      <c r="FGX125" s="36"/>
      <c r="FGY125" s="36"/>
      <c r="FGZ125" s="36"/>
      <c r="FHA125" s="36"/>
      <c r="FHB125" s="36"/>
      <c r="FHC125" s="36"/>
      <c r="FHD125" s="36"/>
      <c r="FHE125" s="36"/>
      <c r="FHF125" s="36"/>
      <c r="FHG125" s="36"/>
      <c r="FHH125" s="36"/>
      <c r="FHI125" s="36"/>
      <c r="FHJ125" s="36"/>
      <c r="FHK125" s="36"/>
      <c r="FHL125" s="36"/>
      <c r="FHM125" s="36"/>
      <c r="FHN125" s="36"/>
      <c r="FHO125" s="36"/>
      <c r="FHP125" s="36"/>
      <c r="FHQ125" s="36"/>
      <c r="FHR125" s="36"/>
      <c r="FHS125" s="36"/>
      <c r="FHT125" s="36"/>
      <c r="FHU125" s="36"/>
      <c r="FHV125" s="36"/>
      <c r="FHW125" s="36"/>
      <c r="FHX125" s="36"/>
      <c r="FHY125" s="36"/>
      <c r="FHZ125" s="36"/>
      <c r="FIA125" s="36"/>
      <c r="FIB125" s="36"/>
      <c r="FIC125" s="36"/>
      <c r="FID125" s="36"/>
      <c r="FIE125" s="36"/>
      <c r="FIF125" s="36"/>
      <c r="FIG125" s="36"/>
      <c r="FIH125" s="36"/>
      <c r="FII125" s="36"/>
      <c r="FIJ125" s="36"/>
      <c r="FIK125" s="36"/>
      <c r="FIL125" s="36"/>
      <c r="FIM125" s="36"/>
      <c r="FIN125" s="36"/>
      <c r="FIO125" s="36"/>
      <c r="FIP125" s="36"/>
      <c r="FIQ125" s="36"/>
      <c r="FIR125" s="36"/>
      <c r="FIS125" s="36"/>
      <c r="FIT125" s="36"/>
      <c r="FIU125" s="36"/>
      <c r="FIV125" s="36"/>
      <c r="FIW125" s="36"/>
      <c r="FIX125" s="36"/>
      <c r="FIY125" s="36"/>
      <c r="FIZ125" s="36"/>
      <c r="FJA125" s="36"/>
      <c r="FJB125" s="36"/>
      <c r="FJC125" s="36"/>
      <c r="FJD125" s="36"/>
      <c r="FJE125" s="36"/>
      <c r="FJF125" s="36"/>
      <c r="FJG125" s="36"/>
      <c r="FJH125" s="36"/>
      <c r="FJI125" s="36"/>
      <c r="FJJ125" s="36"/>
      <c r="FJK125" s="36"/>
      <c r="FJL125" s="36"/>
      <c r="FJM125" s="36"/>
      <c r="FJN125" s="36"/>
      <c r="FJO125" s="36"/>
      <c r="FJP125" s="36"/>
      <c r="FJQ125" s="36"/>
      <c r="FJR125" s="36"/>
      <c r="FJS125" s="36"/>
      <c r="FJT125" s="36"/>
      <c r="FJU125" s="36"/>
      <c r="FJV125" s="36"/>
      <c r="FJW125" s="36"/>
      <c r="FJX125" s="36"/>
      <c r="FJY125" s="36"/>
      <c r="FJZ125" s="36"/>
      <c r="FKA125" s="36"/>
      <c r="FKB125" s="36"/>
      <c r="FKC125" s="36"/>
      <c r="FKD125" s="36"/>
      <c r="FKE125" s="36"/>
      <c r="FKF125" s="36"/>
      <c r="FKG125" s="36"/>
      <c r="FKH125" s="36"/>
      <c r="FKI125" s="36"/>
      <c r="FKJ125" s="36"/>
      <c r="FKK125" s="36"/>
      <c r="FKL125" s="36"/>
      <c r="FKM125" s="36"/>
      <c r="FKN125" s="36"/>
      <c r="FKO125" s="36"/>
      <c r="FKP125" s="36"/>
      <c r="FKQ125" s="36"/>
      <c r="FKR125" s="36"/>
      <c r="FKS125" s="36"/>
      <c r="FKT125" s="36"/>
      <c r="FKU125" s="36"/>
      <c r="FKV125" s="36"/>
      <c r="FKW125" s="36"/>
      <c r="FKX125" s="36"/>
      <c r="FKY125" s="36"/>
      <c r="FKZ125" s="36"/>
      <c r="FLA125" s="36"/>
      <c r="FLB125" s="36"/>
      <c r="FLC125" s="36"/>
      <c r="FLD125" s="36"/>
      <c r="FLE125" s="36"/>
      <c r="FLF125" s="36"/>
      <c r="FLG125" s="36"/>
      <c r="FLH125" s="36"/>
      <c r="FLI125" s="36"/>
      <c r="FLJ125" s="36"/>
      <c r="FLK125" s="36"/>
      <c r="FLL125" s="36"/>
      <c r="FLM125" s="36"/>
      <c r="FLN125" s="36"/>
      <c r="FLO125" s="36"/>
      <c r="FLP125" s="36"/>
      <c r="FLQ125" s="36"/>
      <c r="FLR125" s="36"/>
      <c r="FLS125" s="36"/>
      <c r="FLT125" s="36"/>
      <c r="FLU125" s="36"/>
      <c r="FLV125" s="36"/>
      <c r="FLW125" s="36"/>
      <c r="FLX125" s="36"/>
      <c r="FLY125" s="36"/>
      <c r="FLZ125" s="36"/>
      <c r="FMA125" s="36"/>
      <c r="FMB125" s="36"/>
      <c r="FMC125" s="36"/>
      <c r="FMD125" s="36"/>
      <c r="FME125" s="36"/>
      <c r="FMF125" s="36"/>
      <c r="FMG125" s="36"/>
      <c r="FMH125" s="36"/>
      <c r="FMI125" s="36"/>
      <c r="FMJ125" s="36"/>
      <c r="FMK125" s="36"/>
      <c r="FML125" s="36"/>
      <c r="FMM125" s="36"/>
      <c r="FMN125" s="36"/>
      <c r="FMO125" s="36"/>
      <c r="FMP125" s="36"/>
      <c r="FMQ125" s="36"/>
      <c r="FMR125" s="36"/>
      <c r="FMS125" s="36"/>
      <c r="FMT125" s="36"/>
      <c r="FMU125" s="36"/>
      <c r="FMV125" s="36"/>
      <c r="FMW125" s="36"/>
      <c r="FMX125" s="36"/>
      <c r="FMY125" s="36"/>
      <c r="FMZ125" s="36"/>
      <c r="FNA125" s="36"/>
      <c r="FNB125" s="36"/>
      <c r="FNC125" s="36"/>
      <c r="FND125" s="36"/>
      <c r="FNE125" s="36"/>
      <c r="FNF125" s="36"/>
      <c r="FNG125" s="36"/>
      <c r="FNH125" s="36"/>
      <c r="FNI125" s="36"/>
      <c r="FNJ125" s="36"/>
      <c r="FNK125" s="36"/>
      <c r="FNL125" s="36"/>
      <c r="FNM125" s="36"/>
      <c r="FNN125" s="36"/>
      <c r="FNO125" s="36"/>
      <c r="FNP125" s="36"/>
      <c r="FNQ125" s="36"/>
      <c r="FNR125" s="36"/>
      <c r="FNS125" s="36"/>
      <c r="FNT125" s="36"/>
      <c r="FNU125" s="36"/>
      <c r="FNV125" s="36"/>
      <c r="FNW125" s="36"/>
      <c r="FNX125" s="36"/>
      <c r="FNY125" s="36"/>
      <c r="FNZ125" s="36"/>
      <c r="FOA125" s="36"/>
      <c r="FOB125" s="36"/>
      <c r="FOC125" s="36"/>
      <c r="FOD125" s="36"/>
      <c r="FOE125" s="36"/>
      <c r="FOF125" s="36"/>
      <c r="FOG125" s="36"/>
      <c r="FOH125" s="36"/>
      <c r="FOI125" s="36"/>
      <c r="FOJ125" s="36"/>
      <c r="FOK125" s="36"/>
      <c r="FOL125" s="36"/>
      <c r="FOM125" s="36"/>
      <c r="FON125" s="36"/>
      <c r="FOO125" s="36"/>
      <c r="FOP125" s="36"/>
      <c r="FOQ125" s="36"/>
      <c r="FOR125" s="36"/>
      <c r="FOS125" s="36"/>
      <c r="FOT125" s="36"/>
      <c r="FOU125" s="36"/>
      <c r="FOV125" s="36"/>
      <c r="FOW125" s="36"/>
      <c r="FOX125" s="36"/>
      <c r="FOY125" s="36"/>
      <c r="FOZ125" s="36"/>
      <c r="FPA125" s="36"/>
      <c r="FPB125" s="36"/>
      <c r="FPC125" s="36"/>
      <c r="FPD125" s="36"/>
      <c r="FPE125" s="36"/>
      <c r="FPF125" s="36"/>
      <c r="FPG125" s="36"/>
      <c r="FPH125" s="36"/>
      <c r="FPI125" s="36"/>
      <c r="FPJ125" s="36"/>
      <c r="FPK125" s="36"/>
      <c r="FPL125" s="36"/>
      <c r="FPM125" s="36"/>
      <c r="FPN125" s="36"/>
      <c r="FPO125" s="36"/>
      <c r="FPP125" s="36"/>
      <c r="FPQ125" s="36"/>
      <c r="FPR125" s="36"/>
      <c r="FPS125" s="36"/>
      <c r="FPT125" s="36"/>
      <c r="FPU125" s="36"/>
      <c r="FPV125" s="36"/>
      <c r="FPW125" s="36"/>
      <c r="FPX125" s="36"/>
      <c r="FPY125" s="36"/>
      <c r="FPZ125" s="36"/>
      <c r="FQA125" s="36"/>
      <c r="FQB125" s="36"/>
      <c r="FQC125" s="36"/>
      <c r="FQD125" s="36"/>
      <c r="FQE125" s="36"/>
      <c r="FQF125" s="36"/>
      <c r="FQG125" s="36"/>
      <c r="FQH125" s="36"/>
      <c r="FQI125" s="36"/>
      <c r="FQJ125" s="36"/>
      <c r="FQK125" s="36"/>
      <c r="FQL125" s="36"/>
      <c r="FQM125" s="36"/>
      <c r="FQN125" s="36"/>
      <c r="FQO125" s="36"/>
      <c r="FQP125" s="36"/>
      <c r="FQQ125" s="36"/>
      <c r="FQR125" s="36"/>
      <c r="FQS125" s="36"/>
      <c r="FQT125" s="36"/>
      <c r="FQU125" s="36"/>
      <c r="FQV125" s="36"/>
      <c r="FQW125" s="36"/>
      <c r="FQX125" s="36"/>
      <c r="FQY125" s="36"/>
      <c r="FQZ125" s="36"/>
      <c r="FRA125" s="36"/>
      <c r="FRB125" s="36"/>
      <c r="FRC125" s="36"/>
      <c r="FRD125" s="36"/>
      <c r="FRE125" s="36"/>
      <c r="FRF125" s="36"/>
      <c r="FRG125" s="36"/>
      <c r="FRH125" s="36"/>
      <c r="FRI125" s="36"/>
      <c r="FRJ125" s="36"/>
      <c r="FRK125" s="36"/>
      <c r="FRL125" s="36"/>
      <c r="FRM125" s="36"/>
      <c r="FRN125" s="36"/>
      <c r="FRO125" s="36"/>
      <c r="FRP125" s="36"/>
      <c r="FRQ125" s="36"/>
      <c r="FRR125" s="36"/>
      <c r="FRS125" s="36"/>
      <c r="FRT125" s="36"/>
      <c r="FRU125" s="36"/>
      <c r="FRV125" s="36"/>
      <c r="FRW125" s="36"/>
      <c r="FRX125" s="36"/>
      <c r="FRY125" s="36"/>
      <c r="FRZ125" s="36"/>
      <c r="FSA125" s="36"/>
      <c r="FSB125" s="36"/>
      <c r="FSC125" s="36"/>
      <c r="FSD125" s="36"/>
      <c r="FSE125" s="36"/>
      <c r="FSF125" s="36"/>
      <c r="FSG125" s="36"/>
      <c r="FSH125" s="36"/>
      <c r="FSI125" s="36"/>
      <c r="FSJ125" s="36"/>
      <c r="FSK125" s="36"/>
      <c r="FSL125" s="36"/>
      <c r="FSM125" s="36"/>
      <c r="FSN125" s="36"/>
      <c r="FSO125" s="36"/>
      <c r="FSP125" s="36"/>
      <c r="FSQ125" s="36"/>
      <c r="FSR125" s="36"/>
      <c r="FSS125" s="36"/>
      <c r="FST125" s="36"/>
      <c r="FSU125" s="36"/>
      <c r="FSV125" s="36"/>
      <c r="FSW125" s="36"/>
      <c r="FSX125" s="36"/>
      <c r="FSY125" s="36"/>
      <c r="FSZ125" s="36"/>
      <c r="FTA125" s="36"/>
      <c r="FTB125" s="36"/>
      <c r="FTC125" s="36"/>
      <c r="FTD125" s="36"/>
      <c r="FTE125" s="36"/>
      <c r="FTF125" s="36"/>
      <c r="FTG125" s="36"/>
      <c r="FTH125" s="36"/>
      <c r="FTI125" s="36"/>
      <c r="FTJ125" s="36"/>
      <c r="FTK125" s="36"/>
      <c r="FTL125" s="36"/>
      <c r="FTM125" s="36"/>
      <c r="FTN125" s="36"/>
      <c r="FTO125" s="36"/>
      <c r="FTP125" s="36"/>
      <c r="FTQ125" s="36"/>
      <c r="FTR125" s="36"/>
      <c r="FTS125" s="36"/>
      <c r="FTT125" s="36"/>
      <c r="FTU125" s="36"/>
      <c r="FTV125" s="36"/>
      <c r="FTW125" s="36"/>
      <c r="FTX125" s="36"/>
      <c r="FTY125" s="36"/>
      <c r="FTZ125" s="36"/>
      <c r="FUA125" s="36"/>
      <c r="FUB125" s="36"/>
      <c r="FUC125" s="36"/>
      <c r="FUD125" s="36"/>
      <c r="FUE125" s="36"/>
      <c r="FUF125" s="36"/>
      <c r="FUG125" s="36"/>
      <c r="FUH125" s="36"/>
      <c r="FUI125" s="36"/>
      <c r="FUJ125" s="36"/>
      <c r="FUK125" s="36"/>
      <c r="FUL125" s="36"/>
      <c r="FUM125" s="36"/>
      <c r="FUN125" s="36"/>
      <c r="FUO125" s="36"/>
      <c r="FUP125" s="36"/>
      <c r="FUQ125" s="36"/>
      <c r="FUR125" s="36"/>
      <c r="FUS125" s="36"/>
      <c r="FUT125" s="36"/>
      <c r="FUU125" s="36"/>
      <c r="FUV125" s="36"/>
      <c r="FUW125" s="36"/>
      <c r="FUX125" s="36"/>
      <c r="FUY125" s="36"/>
      <c r="FUZ125" s="36"/>
      <c r="FVA125" s="36"/>
      <c r="FVB125" s="36"/>
      <c r="FVC125" s="36"/>
      <c r="FVD125" s="36"/>
      <c r="FVE125" s="36"/>
      <c r="FVF125" s="36"/>
      <c r="FVG125" s="36"/>
      <c r="FVH125" s="36"/>
      <c r="FVI125" s="36"/>
      <c r="FVJ125" s="36"/>
      <c r="FVK125" s="36"/>
      <c r="FVL125" s="36"/>
      <c r="FVM125" s="36"/>
      <c r="FVN125" s="36"/>
      <c r="FVO125" s="36"/>
      <c r="FVP125" s="36"/>
      <c r="FVQ125" s="36"/>
      <c r="FVR125" s="36"/>
      <c r="FVS125" s="36"/>
      <c r="FVT125" s="36"/>
      <c r="FVU125" s="36"/>
      <c r="FVV125" s="36"/>
      <c r="FVW125" s="36"/>
      <c r="FVX125" s="36"/>
      <c r="FVY125" s="36"/>
      <c r="FVZ125" s="36"/>
      <c r="FWA125" s="36"/>
      <c r="FWB125" s="36"/>
      <c r="FWC125" s="36"/>
      <c r="FWD125" s="36"/>
      <c r="FWE125" s="36"/>
      <c r="FWF125" s="36"/>
      <c r="FWG125" s="36"/>
      <c r="FWH125" s="36"/>
      <c r="FWI125" s="36"/>
      <c r="FWJ125" s="36"/>
      <c r="FWK125" s="36"/>
      <c r="FWL125" s="36"/>
      <c r="FWM125" s="36"/>
      <c r="FWN125" s="36"/>
      <c r="FWO125" s="36"/>
      <c r="FWP125" s="36"/>
      <c r="FWQ125" s="36"/>
      <c r="FWR125" s="36"/>
      <c r="FWS125" s="36"/>
      <c r="FWT125" s="36"/>
      <c r="FWU125" s="36"/>
      <c r="FWV125" s="36"/>
      <c r="FWW125" s="36"/>
      <c r="FWX125" s="36"/>
      <c r="FWY125" s="36"/>
      <c r="FWZ125" s="36"/>
      <c r="FXA125" s="36"/>
      <c r="FXB125" s="36"/>
      <c r="FXC125" s="36"/>
      <c r="FXD125" s="36"/>
      <c r="FXE125" s="36"/>
      <c r="FXF125" s="36"/>
      <c r="FXG125" s="36"/>
      <c r="FXH125" s="36"/>
      <c r="FXI125" s="36"/>
      <c r="FXJ125" s="36"/>
      <c r="FXK125" s="36"/>
      <c r="FXL125" s="36"/>
      <c r="FXM125" s="36"/>
      <c r="FXN125" s="36"/>
      <c r="FXO125" s="36"/>
      <c r="FXP125" s="36"/>
      <c r="FXQ125" s="36"/>
      <c r="FXR125" s="36"/>
      <c r="FXS125" s="36"/>
      <c r="FXT125" s="36"/>
      <c r="FXU125" s="36"/>
      <c r="FXV125" s="36"/>
      <c r="FXW125" s="36"/>
      <c r="FXX125" s="36"/>
      <c r="FXY125" s="36"/>
      <c r="FXZ125" s="36"/>
      <c r="FYA125" s="36"/>
      <c r="FYB125" s="36"/>
      <c r="FYC125" s="36"/>
      <c r="FYD125" s="36"/>
      <c r="FYE125" s="36"/>
      <c r="FYF125" s="36"/>
      <c r="FYG125" s="36"/>
      <c r="FYH125" s="36"/>
      <c r="FYI125" s="36"/>
      <c r="FYJ125" s="36"/>
      <c r="FYK125" s="36"/>
      <c r="FYL125" s="36"/>
      <c r="FYM125" s="36"/>
      <c r="FYN125" s="36"/>
      <c r="FYO125" s="36"/>
      <c r="FYP125" s="36"/>
      <c r="FYQ125" s="36"/>
      <c r="FYR125" s="36"/>
      <c r="FYS125" s="36"/>
      <c r="FYT125" s="36"/>
      <c r="FYU125" s="36"/>
      <c r="FYV125" s="36"/>
      <c r="FYW125" s="36"/>
      <c r="FYX125" s="36"/>
      <c r="FYY125" s="36"/>
      <c r="FYZ125" s="36"/>
      <c r="FZA125" s="36"/>
      <c r="FZB125" s="36"/>
      <c r="FZC125" s="36"/>
      <c r="FZD125" s="36"/>
      <c r="FZE125" s="36"/>
      <c r="FZF125" s="36"/>
      <c r="FZG125" s="36"/>
      <c r="FZH125" s="36"/>
      <c r="FZI125" s="36"/>
      <c r="FZJ125" s="36"/>
      <c r="FZK125" s="36"/>
      <c r="FZL125" s="36"/>
      <c r="FZM125" s="36"/>
      <c r="FZN125" s="36"/>
      <c r="FZO125" s="36"/>
      <c r="FZP125" s="36"/>
      <c r="FZQ125" s="36"/>
      <c r="FZR125" s="36"/>
      <c r="FZS125" s="36"/>
      <c r="FZT125" s="36"/>
      <c r="FZU125" s="36"/>
      <c r="FZV125" s="36"/>
      <c r="FZW125" s="36"/>
      <c r="FZX125" s="36"/>
      <c r="FZY125" s="36"/>
      <c r="FZZ125" s="36"/>
      <c r="GAA125" s="36"/>
      <c r="GAB125" s="36"/>
      <c r="GAC125" s="36"/>
      <c r="GAD125" s="36"/>
      <c r="GAE125" s="36"/>
      <c r="GAF125" s="36"/>
      <c r="GAG125" s="36"/>
      <c r="GAH125" s="36"/>
      <c r="GAI125" s="36"/>
      <c r="GAJ125" s="36"/>
      <c r="GAK125" s="36"/>
      <c r="GAL125" s="36"/>
      <c r="GAM125" s="36"/>
      <c r="GAN125" s="36"/>
      <c r="GAO125" s="36"/>
      <c r="GAP125" s="36"/>
      <c r="GAQ125" s="36"/>
      <c r="GAR125" s="36"/>
      <c r="GAS125" s="36"/>
      <c r="GAT125" s="36"/>
      <c r="GAU125" s="36"/>
      <c r="GAV125" s="36"/>
      <c r="GAW125" s="36"/>
      <c r="GAX125" s="36"/>
      <c r="GAY125" s="36"/>
      <c r="GAZ125" s="36"/>
      <c r="GBA125" s="36"/>
      <c r="GBB125" s="36"/>
      <c r="GBC125" s="36"/>
      <c r="GBD125" s="36"/>
      <c r="GBE125" s="36"/>
      <c r="GBF125" s="36"/>
      <c r="GBG125" s="36"/>
      <c r="GBH125" s="36"/>
      <c r="GBI125" s="36"/>
      <c r="GBJ125" s="36"/>
      <c r="GBK125" s="36"/>
      <c r="GBL125" s="36"/>
      <c r="GBM125" s="36"/>
      <c r="GBN125" s="36"/>
      <c r="GBO125" s="36"/>
      <c r="GBP125" s="36"/>
      <c r="GBQ125" s="36"/>
      <c r="GBR125" s="36"/>
      <c r="GBS125" s="36"/>
      <c r="GBT125" s="36"/>
      <c r="GBU125" s="36"/>
      <c r="GBV125" s="36"/>
      <c r="GBW125" s="36"/>
      <c r="GBX125" s="36"/>
      <c r="GBY125" s="36"/>
      <c r="GBZ125" s="36"/>
      <c r="GCA125" s="36"/>
      <c r="GCB125" s="36"/>
      <c r="GCC125" s="36"/>
      <c r="GCD125" s="36"/>
      <c r="GCE125" s="36"/>
      <c r="GCF125" s="36"/>
      <c r="GCG125" s="36"/>
      <c r="GCH125" s="36"/>
      <c r="GCI125" s="36"/>
      <c r="GCJ125" s="36"/>
      <c r="GCK125" s="36"/>
      <c r="GCL125" s="36"/>
      <c r="GCM125" s="36"/>
      <c r="GCN125" s="36"/>
      <c r="GCO125" s="36"/>
      <c r="GCP125" s="36"/>
      <c r="GCQ125" s="36"/>
      <c r="GCR125" s="36"/>
      <c r="GCS125" s="36"/>
      <c r="GCT125" s="36"/>
      <c r="GCU125" s="36"/>
      <c r="GCV125" s="36"/>
      <c r="GCW125" s="36"/>
      <c r="GCX125" s="36"/>
      <c r="GCY125" s="36"/>
      <c r="GCZ125" s="36"/>
      <c r="GDA125" s="36"/>
      <c r="GDB125" s="36"/>
      <c r="GDC125" s="36"/>
      <c r="GDD125" s="36"/>
      <c r="GDE125" s="36"/>
      <c r="GDF125" s="36"/>
      <c r="GDG125" s="36"/>
      <c r="GDH125" s="36"/>
      <c r="GDI125" s="36"/>
      <c r="GDJ125" s="36"/>
      <c r="GDK125" s="36"/>
      <c r="GDL125" s="36"/>
      <c r="GDM125" s="36"/>
      <c r="GDN125" s="36"/>
      <c r="GDO125" s="36"/>
      <c r="GDP125" s="36"/>
      <c r="GDQ125" s="36"/>
      <c r="GDR125" s="36"/>
      <c r="GDS125" s="36"/>
      <c r="GDT125" s="36"/>
      <c r="GDU125" s="36"/>
      <c r="GDV125" s="36"/>
      <c r="GDW125" s="36"/>
      <c r="GDX125" s="36"/>
      <c r="GDY125" s="36"/>
      <c r="GDZ125" s="36"/>
      <c r="GEA125" s="36"/>
      <c r="GEB125" s="36"/>
      <c r="GEC125" s="36"/>
      <c r="GED125" s="36"/>
      <c r="GEE125" s="36"/>
      <c r="GEF125" s="36"/>
      <c r="GEG125" s="36"/>
      <c r="GEH125" s="36"/>
      <c r="GEI125" s="36"/>
      <c r="GEJ125" s="36"/>
      <c r="GEK125" s="36"/>
      <c r="GEL125" s="36"/>
      <c r="GEM125" s="36"/>
      <c r="GEN125" s="36"/>
      <c r="GEO125" s="36"/>
      <c r="GEP125" s="36"/>
      <c r="GEQ125" s="36"/>
      <c r="GER125" s="36"/>
      <c r="GES125" s="36"/>
      <c r="GET125" s="36"/>
      <c r="GEU125" s="36"/>
      <c r="GEV125" s="36"/>
      <c r="GEW125" s="36"/>
      <c r="GEX125" s="36"/>
      <c r="GEY125" s="36"/>
      <c r="GEZ125" s="36"/>
      <c r="GFA125" s="36"/>
      <c r="GFB125" s="36"/>
      <c r="GFC125" s="36"/>
      <c r="GFD125" s="36"/>
      <c r="GFE125" s="36"/>
      <c r="GFF125" s="36"/>
      <c r="GFG125" s="36"/>
      <c r="GFH125" s="36"/>
      <c r="GFI125" s="36"/>
      <c r="GFJ125" s="36"/>
      <c r="GFK125" s="36"/>
      <c r="GFL125" s="36"/>
      <c r="GFM125" s="36"/>
      <c r="GFN125" s="36"/>
      <c r="GFO125" s="36"/>
      <c r="GFP125" s="36"/>
      <c r="GFQ125" s="36"/>
      <c r="GFR125" s="36"/>
      <c r="GFS125" s="36"/>
      <c r="GFT125" s="36"/>
      <c r="GFU125" s="36"/>
      <c r="GFV125" s="36"/>
      <c r="GFW125" s="36"/>
      <c r="GFX125" s="36"/>
      <c r="GFY125" s="36"/>
      <c r="GFZ125" s="36"/>
      <c r="GGA125" s="36"/>
      <c r="GGB125" s="36"/>
      <c r="GGC125" s="36"/>
      <c r="GGD125" s="36"/>
      <c r="GGE125" s="36"/>
      <c r="GGF125" s="36"/>
      <c r="GGG125" s="36"/>
      <c r="GGH125" s="36"/>
      <c r="GGI125" s="36"/>
      <c r="GGJ125" s="36"/>
      <c r="GGK125" s="36"/>
      <c r="GGL125" s="36"/>
      <c r="GGM125" s="36"/>
      <c r="GGN125" s="36"/>
      <c r="GGO125" s="36"/>
      <c r="GGP125" s="36"/>
      <c r="GGQ125" s="36"/>
      <c r="GGR125" s="36"/>
      <c r="GGS125" s="36"/>
      <c r="GGT125" s="36"/>
      <c r="GGU125" s="36"/>
      <c r="GGV125" s="36"/>
      <c r="GGW125" s="36"/>
      <c r="GGX125" s="36"/>
      <c r="GGY125" s="36"/>
      <c r="GGZ125" s="36"/>
      <c r="GHA125" s="36"/>
      <c r="GHB125" s="36"/>
      <c r="GHC125" s="36"/>
      <c r="GHD125" s="36"/>
      <c r="GHE125" s="36"/>
      <c r="GHF125" s="36"/>
      <c r="GHG125" s="36"/>
      <c r="GHH125" s="36"/>
      <c r="GHI125" s="36"/>
      <c r="GHJ125" s="36"/>
      <c r="GHK125" s="36"/>
      <c r="GHL125" s="36"/>
      <c r="GHM125" s="36"/>
      <c r="GHN125" s="36"/>
      <c r="GHO125" s="36"/>
      <c r="GHP125" s="36"/>
      <c r="GHQ125" s="36"/>
      <c r="GHR125" s="36"/>
      <c r="GHS125" s="36"/>
      <c r="GHT125" s="36"/>
      <c r="GHU125" s="36"/>
      <c r="GHV125" s="36"/>
      <c r="GHW125" s="36"/>
      <c r="GHX125" s="36"/>
      <c r="GHY125" s="36"/>
      <c r="GHZ125" s="36"/>
      <c r="GIA125" s="36"/>
      <c r="GIB125" s="36"/>
      <c r="GIC125" s="36"/>
      <c r="GID125" s="36"/>
      <c r="GIE125" s="36"/>
      <c r="GIF125" s="36"/>
      <c r="GIG125" s="36"/>
      <c r="GIH125" s="36"/>
      <c r="GII125" s="36"/>
      <c r="GIJ125" s="36"/>
      <c r="GIK125" s="36"/>
      <c r="GIL125" s="36"/>
      <c r="GIM125" s="36"/>
      <c r="GIN125" s="36"/>
      <c r="GIO125" s="36"/>
      <c r="GIP125" s="36"/>
      <c r="GIQ125" s="36"/>
      <c r="GIR125" s="36"/>
      <c r="GIS125" s="36"/>
      <c r="GIT125" s="36"/>
      <c r="GIU125" s="36"/>
      <c r="GIV125" s="36"/>
      <c r="GIW125" s="36"/>
      <c r="GIX125" s="36"/>
      <c r="GIY125" s="36"/>
      <c r="GIZ125" s="36"/>
      <c r="GJA125" s="36"/>
      <c r="GJB125" s="36"/>
      <c r="GJC125" s="36"/>
      <c r="GJD125" s="36"/>
      <c r="GJE125" s="36"/>
      <c r="GJF125" s="36"/>
      <c r="GJG125" s="36"/>
      <c r="GJH125" s="36"/>
      <c r="GJI125" s="36"/>
      <c r="GJJ125" s="36"/>
      <c r="GJK125" s="36"/>
      <c r="GJL125" s="36"/>
      <c r="GJM125" s="36"/>
      <c r="GJN125" s="36"/>
      <c r="GJO125" s="36"/>
      <c r="GJP125" s="36"/>
      <c r="GJQ125" s="36"/>
      <c r="GJR125" s="36"/>
      <c r="GJS125" s="36"/>
      <c r="GJT125" s="36"/>
      <c r="GJU125" s="36"/>
      <c r="GJV125" s="36"/>
      <c r="GJW125" s="36"/>
      <c r="GJX125" s="36"/>
      <c r="GJY125" s="36"/>
      <c r="GJZ125" s="36"/>
      <c r="GKA125" s="36"/>
      <c r="GKB125" s="36"/>
      <c r="GKC125" s="36"/>
      <c r="GKD125" s="36"/>
      <c r="GKE125" s="36"/>
      <c r="GKF125" s="36"/>
      <c r="GKG125" s="36"/>
      <c r="GKH125" s="36"/>
      <c r="GKI125" s="36"/>
      <c r="GKJ125" s="36"/>
      <c r="GKK125" s="36"/>
      <c r="GKL125" s="36"/>
      <c r="GKM125" s="36"/>
      <c r="GKN125" s="36"/>
      <c r="GKO125" s="36"/>
      <c r="GKP125" s="36"/>
      <c r="GKQ125" s="36"/>
      <c r="GKR125" s="36"/>
      <c r="GKS125" s="36"/>
      <c r="GKT125" s="36"/>
      <c r="GKU125" s="36"/>
      <c r="GKV125" s="36"/>
      <c r="GKW125" s="36"/>
      <c r="GKX125" s="36"/>
      <c r="GKY125" s="36"/>
      <c r="GKZ125" s="36"/>
      <c r="GLA125" s="36"/>
      <c r="GLB125" s="36"/>
      <c r="GLC125" s="36"/>
      <c r="GLD125" s="36"/>
      <c r="GLE125" s="36"/>
      <c r="GLF125" s="36"/>
      <c r="GLG125" s="36"/>
      <c r="GLH125" s="36"/>
      <c r="GLI125" s="36"/>
      <c r="GLJ125" s="36"/>
      <c r="GLK125" s="36"/>
      <c r="GLL125" s="36"/>
      <c r="GLM125" s="36"/>
      <c r="GLN125" s="36"/>
      <c r="GLO125" s="36"/>
      <c r="GLP125" s="36"/>
      <c r="GLQ125" s="36"/>
      <c r="GLR125" s="36"/>
      <c r="GLS125" s="36"/>
      <c r="GLT125" s="36"/>
      <c r="GLU125" s="36"/>
      <c r="GLV125" s="36"/>
      <c r="GLW125" s="36"/>
      <c r="GLX125" s="36"/>
      <c r="GLY125" s="36"/>
      <c r="GLZ125" s="36"/>
      <c r="GMA125" s="36"/>
      <c r="GMB125" s="36"/>
      <c r="GMC125" s="36"/>
      <c r="GMD125" s="36"/>
      <c r="GME125" s="36"/>
      <c r="GMF125" s="36"/>
      <c r="GMG125" s="36"/>
      <c r="GMH125" s="36"/>
      <c r="GMI125" s="36"/>
      <c r="GMJ125" s="36"/>
      <c r="GMK125" s="36"/>
      <c r="GML125" s="36"/>
      <c r="GMM125" s="36"/>
      <c r="GMN125" s="36"/>
      <c r="GMO125" s="36"/>
      <c r="GMP125" s="36"/>
      <c r="GMQ125" s="36"/>
      <c r="GMR125" s="36"/>
      <c r="GMS125" s="36"/>
      <c r="GMT125" s="36"/>
      <c r="GMU125" s="36"/>
      <c r="GMV125" s="36"/>
      <c r="GMW125" s="36"/>
      <c r="GMX125" s="36"/>
      <c r="GMY125" s="36"/>
      <c r="GMZ125" s="36"/>
      <c r="GNA125" s="36"/>
      <c r="GNB125" s="36"/>
      <c r="GNC125" s="36"/>
      <c r="GND125" s="36"/>
      <c r="GNE125" s="36"/>
      <c r="GNF125" s="36"/>
      <c r="GNG125" s="36"/>
      <c r="GNH125" s="36"/>
      <c r="GNI125" s="36"/>
      <c r="GNJ125" s="36"/>
      <c r="GNK125" s="36"/>
      <c r="GNL125" s="36"/>
      <c r="GNM125" s="36"/>
      <c r="GNN125" s="36"/>
      <c r="GNO125" s="36"/>
      <c r="GNP125" s="36"/>
      <c r="GNQ125" s="36"/>
      <c r="GNR125" s="36"/>
      <c r="GNS125" s="36"/>
      <c r="GNT125" s="36"/>
      <c r="GNU125" s="36"/>
      <c r="GNV125" s="36"/>
      <c r="GNW125" s="36"/>
      <c r="GNX125" s="36"/>
      <c r="GNY125" s="36"/>
      <c r="GNZ125" s="36"/>
      <c r="GOA125" s="36"/>
      <c r="GOB125" s="36"/>
      <c r="GOC125" s="36"/>
      <c r="GOD125" s="36"/>
      <c r="GOE125" s="36"/>
      <c r="GOF125" s="36"/>
      <c r="GOG125" s="36"/>
      <c r="GOH125" s="36"/>
      <c r="GOI125" s="36"/>
      <c r="GOJ125" s="36"/>
      <c r="GOK125" s="36"/>
      <c r="GOL125" s="36"/>
      <c r="GOM125" s="36"/>
      <c r="GON125" s="36"/>
      <c r="GOO125" s="36"/>
      <c r="GOP125" s="36"/>
      <c r="GOQ125" s="36"/>
      <c r="GOR125" s="36"/>
      <c r="GOS125" s="36"/>
      <c r="GOT125" s="36"/>
      <c r="GOU125" s="36"/>
      <c r="GOV125" s="36"/>
      <c r="GOW125" s="36"/>
      <c r="GOX125" s="36"/>
      <c r="GOY125" s="36"/>
      <c r="GOZ125" s="36"/>
      <c r="GPA125" s="36"/>
      <c r="GPB125" s="36"/>
      <c r="GPC125" s="36"/>
      <c r="GPD125" s="36"/>
      <c r="GPE125" s="36"/>
      <c r="GPF125" s="36"/>
      <c r="GPG125" s="36"/>
      <c r="GPH125" s="36"/>
      <c r="GPI125" s="36"/>
      <c r="GPJ125" s="36"/>
      <c r="GPK125" s="36"/>
      <c r="GPL125" s="36"/>
      <c r="GPM125" s="36"/>
      <c r="GPN125" s="36"/>
      <c r="GPO125" s="36"/>
      <c r="GPP125" s="36"/>
      <c r="GPQ125" s="36"/>
      <c r="GPR125" s="36"/>
      <c r="GPS125" s="36"/>
      <c r="GPT125" s="36"/>
      <c r="GPU125" s="36"/>
      <c r="GPV125" s="36"/>
      <c r="GPW125" s="36"/>
      <c r="GPX125" s="36"/>
      <c r="GPY125" s="36"/>
      <c r="GPZ125" s="36"/>
      <c r="GQA125" s="36"/>
      <c r="GQB125" s="36"/>
      <c r="GQC125" s="36"/>
      <c r="GQD125" s="36"/>
      <c r="GQE125" s="36"/>
      <c r="GQF125" s="36"/>
      <c r="GQG125" s="36"/>
      <c r="GQH125" s="36"/>
      <c r="GQI125" s="36"/>
      <c r="GQJ125" s="36"/>
      <c r="GQK125" s="36"/>
      <c r="GQL125" s="36"/>
      <c r="GQM125" s="36"/>
      <c r="GQN125" s="36"/>
      <c r="GQO125" s="36"/>
      <c r="GQP125" s="36"/>
      <c r="GQQ125" s="36"/>
      <c r="GQR125" s="36"/>
      <c r="GQS125" s="36"/>
      <c r="GQT125" s="36"/>
      <c r="GQU125" s="36"/>
      <c r="GQV125" s="36"/>
      <c r="GQW125" s="36"/>
      <c r="GQX125" s="36"/>
      <c r="GQY125" s="36"/>
      <c r="GQZ125" s="36"/>
      <c r="GRA125" s="36"/>
      <c r="GRB125" s="36"/>
      <c r="GRC125" s="36"/>
      <c r="GRD125" s="36"/>
      <c r="GRE125" s="36"/>
      <c r="GRF125" s="36"/>
      <c r="GRG125" s="36"/>
      <c r="GRH125" s="36"/>
      <c r="GRI125" s="36"/>
      <c r="GRJ125" s="36"/>
      <c r="GRK125" s="36"/>
      <c r="GRL125" s="36"/>
      <c r="GRM125" s="36"/>
      <c r="GRN125" s="36"/>
      <c r="GRO125" s="36"/>
      <c r="GRP125" s="36"/>
      <c r="GRQ125" s="36"/>
      <c r="GRR125" s="36"/>
      <c r="GRS125" s="36"/>
      <c r="GRT125" s="36"/>
      <c r="GRU125" s="36"/>
      <c r="GRV125" s="36"/>
      <c r="GRW125" s="36"/>
      <c r="GRX125" s="36"/>
      <c r="GRY125" s="36"/>
      <c r="GRZ125" s="36"/>
      <c r="GSA125" s="36"/>
      <c r="GSB125" s="36"/>
      <c r="GSC125" s="36"/>
      <c r="GSD125" s="36"/>
      <c r="GSE125" s="36"/>
      <c r="GSF125" s="36"/>
      <c r="GSG125" s="36"/>
      <c r="GSH125" s="36"/>
      <c r="GSI125" s="36"/>
      <c r="GSJ125" s="36"/>
      <c r="GSK125" s="36"/>
      <c r="GSL125" s="36"/>
      <c r="GSM125" s="36"/>
      <c r="GSN125" s="36"/>
      <c r="GSO125" s="36"/>
      <c r="GSP125" s="36"/>
      <c r="GSQ125" s="36"/>
      <c r="GSR125" s="36"/>
      <c r="GSS125" s="36"/>
      <c r="GST125" s="36"/>
      <c r="GSU125" s="36"/>
      <c r="GSV125" s="36"/>
      <c r="GSW125" s="36"/>
      <c r="GSX125" s="36"/>
      <c r="GSY125" s="36"/>
      <c r="GSZ125" s="36"/>
      <c r="GTA125" s="36"/>
      <c r="GTB125" s="36"/>
      <c r="GTC125" s="36"/>
      <c r="GTD125" s="36"/>
      <c r="GTE125" s="36"/>
      <c r="GTF125" s="36"/>
      <c r="GTG125" s="36"/>
      <c r="GTH125" s="36"/>
      <c r="GTI125" s="36"/>
      <c r="GTJ125" s="36"/>
      <c r="GTK125" s="36"/>
      <c r="GTL125" s="36"/>
      <c r="GTM125" s="36"/>
      <c r="GTN125" s="36"/>
      <c r="GTO125" s="36"/>
      <c r="GTP125" s="36"/>
      <c r="GTQ125" s="36"/>
      <c r="GTR125" s="36"/>
      <c r="GTS125" s="36"/>
      <c r="GTT125" s="36"/>
      <c r="GTU125" s="36"/>
      <c r="GTV125" s="36"/>
      <c r="GTW125" s="36"/>
      <c r="GTX125" s="36"/>
      <c r="GTY125" s="36"/>
      <c r="GTZ125" s="36"/>
      <c r="GUA125" s="36"/>
      <c r="GUB125" s="36"/>
      <c r="GUC125" s="36"/>
      <c r="GUD125" s="36"/>
      <c r="GUE125" s="36"/>
      <c r="GUF125" s="36"/>
      <c r="GUG125" s="36"/>
      <c r="GUH125" s="36"/>
      <c r="GUI125" s="36"/>
      <c r="GUJ125" s="36"/>
      <c r="GUK125" s="36"/>
      <c r="GUL125" s="36"/>
      <c r="GUM125" s="36"/>
      <c r="GUN125" s="36"/>
      <c r="GUO125" s="36"/>
      <c r="GUP125" s="36"/>
      <c r="GUQ125" s="36"/>
      <c r="GUR125" s="36"/>
      <c r="GUS125" s="36"/>
      <c r="GUT125" s="36"/>
      <c r="GUU125" s="36"/>
      <c r="GUV125" s="36"/>
      <c r="GUW125" s="36"/>
      <c r="GUX125" s="36"/>
      <c r="GUY125" s="36"/>
      <c r="GUZ125" s="36"/>
      <c r="GVA125" s="36"/>
      <c r="GVB125" s="36"/>
      <c r="GVC125" s="36"/>
      <c r="GVD125" s="36"/>
      <c r="GVE125" s="36"/>
      <c r="GVF125" s="36"/>
      <c r="GVG125" s="36"/>
      <c r="GVH125" s="36"/>
      <c r="GVI125" s="36"/>
      <c r="GVJ125" s="36"/>
      <c r="GVK125" s="36"/>
      <c r="GVL125" s="36"/>
      <c r="GVM125" s="36"/>
      <c r="GVN125" s="36"/>
      <c r="GVO125" s="36"/>
      <c r="GVP125" s="36"/>
      <c r="GVQ125" s="36"/>
      <c r="GVR125" s="36"/>
      <c r="GVS125" s="36"/>
      <c r="GVT125" s="36"/>
      <c r="GVU125" s="36"/>
      <c r="GVV125" s="36"/>
      <c r="GVW125" s="36"/>
      <c r="GVX125" s="36"/>
      <c r="GVY125" s="36"/>
      <c r="GVZ125" s="36"/>
      <c r="GWA125" s="36"/>
      <c r="GWB125" s="36"/>
      <c r="GWC125" s="36"/>
      <c r="GWD125" s="36"/>
      <c r="GWE125" s="36"/>
      <c r="GWF125" s="36"/>
      <c r="GWG125" s="36"/>
      <c r="GWH125" s="36"/>
      <c r="GWI125" s="36"/>
      <c r="GWJ125" s="36"/>
      <c r="GWK125" s="36"/>
      <c r="GWL125" s="36"/>
      <c r="GWM125" s="36"/>
      <c r="GWN125" s="36"/>
      <c r="GWO125" s="36"/>
      <c r="GWP125" s="36"/>
      <c r="GWQ125" s="36"/>
      <c r="GWR125" s="36"/>
      <c r="GWS125" s="36"/>
      <c r="GWT125" s="36"/>
      <c r="GWU125" s="36"/>
      <c r="GWV125" s="36"/>
      <c r="GWW125" s="36"/>
      <c r="GWX125" s="36"/>
      <c r="GWY125" s="36"/>
      <c r="GWZ125" s="36"/>
      <c r="GXA125" s="36"/>
      <c r="GXB125" s="36"/>
      <c r="GXC125" s="36"/>
      <c r="GXD125" s="36"/>
      <c r="GXE125" s="36"/>
      <c r="GXF125" s="36"/>
      <c r="GXG125" s="36"/>
      <c r="GXH125" s="36"/>
      <c r="GXI125" s="36"/>
      <c r="GXJ125" s="36"/>
      <c r="GXK125" s="36"/>
      <c r="GXL125" s="36"/>
      <c r="GXM125" s="36"/>
      <c r="GXN125" s="36"/>
      <c r="GXO125" s="36"/>
      <c r="GXP125" s="36"/>
      <c r="GXQ125" s="36"/>
      <c r="GXR125" s="36"/>
      <c r="GXS125" s="36"/>
      <c r="GXT125" s="36"/>
      <c r="GXU125" s="36"/>
      <c r="GXV125" s="36"/>
      <c r="GXW125" s="36"/>
      <c r="GXX125" s="36"/>
      <c r="GXY125" s="36"/>
      <c r="GXZ125" s="36"/>
      <c r="GYA125" s="36"/>
      <c r="GYB125" s="36"/>
      <c r="GYC125" s="36"/>
      <c r="GYD125" s="36"/>
      <c r="GYE125" s="36"/>
      <c r="GYF125" s="36"/>
      <c r="GYG125" s="36"/>
      <c r="GYH125" s="36"/>
      <c r="GYI125" s="36"/>
      <c r="GYJ125" s="36"/>
      <c r="GYK125" s="36"/>
      <c r="GYL125" s="36"/>
      <c r="GYM125" s="36"/>
      <c r="GYN125" s="36"/>
      <c r="GYO125" s="36"/>
      <c r="GYP125" s="36"/>
      <c r="GYQ125" s="36"/>
      <c r="GYR125" s="36"/>
      <c r="GYS125" s="36"/>
      <c r="GYT125" s="36"/>
      <c r="GYU125" s="36"/>
      <c r="GYV125" s="36"/>
      <c r="GYW125" s="36"/>
      <c r="GYX125" s="36"/>
      <c r="GYY125" s="36"/>
      <c r="GYZ125" s="36"/>
      <c r="GZA125" s="36"/>
      <c r="GZB125" s="36"/>
      <c r="GZC125" s="36"/>
      <c r="GZD125" s="36"/>
      <c r="GZE125" s="36"/>
      <c r="GZF125" s="36"/>
      <c r="GZG125" s="36"/>
      <c r="GZH125" s="36"/>
      <c r="GZI125" s="36"/>
      <c r="GZJ125" s="36"/>
      <c r="GZK125" s="36"/>
      <c r="GZL125" s="36"/>
      <c r="GZM125" s="36"/>
      <c r="GZN125" s="36"/>
      <c r="GZO125" s="36"/>
      <c r="GZP125" s="36"/>
      <c r="GZQ125" s="36"/>
      <c r="GZR125" s="36"/>
      <c r="GZS125" s="36"/>
      <c r="GZT125" s="36"/>
      <c r="GZU125" s="36"/>
      <c r="GZV125" s="36"/>
      <c r="GZW125" s="36"/>
      <c r="GZX125" s="36"/>
      <c r="GZY125" s="36"/>
      <c r="GZZ125" s="36"/>
      <c r="HAA125" s="36"/>
      <c r="HAB125" s="36"/>
      <c r="HAC125" s="36"/>
      <c r="HAD125" s="36"/>
      <c r="HAE125" s="36"/>
      <c r="HAF125" s="36"/>
      <c r="HAG125" s="36"/>
      <c r="HAH125" s="36"/>
      <c r="HAI125" s="36"/>
      <c r="HAJ125" s="36"/>
      <c r="HAK125" s="36"/>
      <c r="HAL125" s="36"/>
      <c r="HAM125" s="36"/>
      <c r="HAN125" s="36"/>
      <c r="HAO125" s="36"/>
      <c r="HAP125" s="36"/>
      <c r="HAQ125" s="36"/>
      <c r="HAR125" s="36"/>
      <c r="HAS125" s="36"/>
      <c r="HAT125" s="36"/>
      <c r="HAU125" s="36"/>
      <c r="HAV125" s="36"/>
      <c r="HAW125" s="36"/>
      <c r="HAX125" s="36"/>
      <c r="HAY125" s="36"/>
      <c r="HAZ125" s="36"/>
      <c r="HBA125" s="36"/>
      <c r="HBB125" s="36"/>
      <c r="HBC125" s="36"/>
      <c r="HBD125" s="36"/>
      <c r="HBE125" s="36"/>
      <c r="HBF125" s="36"/>
      <c r="HBG125" s="36"/>
      <c r="HBH125" s="36"/>
      <c r="HBI125" s="36"/>
      <c r="HBJ125" s="36"/>
      <c r="HBK125" s="36"/>
      <c r="HBL125" s="36"/>
      <c r="HBM125" s="36"/>
      <c r="HBN125" s="36"/>
      <c r="HBO125" s="36"/>
      <c r="HBP125" s="36"/>
      <c r="HBQ125" s="36"/>
      <c r="HBR125" s="36"/>
      <c r="HBS125" s="36"/>
      <c r="HBT125" s="36"/>
      <c r="HBU125" s="36"/>
      <c r="HBV125" s="36"/>
      <c r="HBW125" s="36"/>
      <c r="HBX125" s="36"/>
      <c r="HBY125" s="36"/>
      <c r="HBZ125" s="36"/>
      <c r="HCA125" s="36"/>
      <c r="HCB125" s="36"/>
      <c r="HCC125" s="36"/>
      <c r="HCD125" s="36"/>
      <c r="HCE125" s="36"/>
      <c r="HCF125" s="36"/>
      <c r="HCG125" s="36"/>
      <c r="HCH125" s="36"/>
      <c r="HCI125" s="36"/>
      <c r="HCJ125" s="36"/>
      <c r="HCK125" s="36"/>
      <c r="HCL125" s="36"/>
      <c r="HCM125" s="36"/>
      <c r="HCN125" s="36"/>
      <c r="HCO125" s="36"/>
      <c r="HCP125" s="36"/>
      <c r="HCQ125" s="36"/>
      <c r="HCR125" s="36"/>
      <c r="HCS125" s="36"/>
      <c r="HCT125" s="36"/>
      <c r="HCU125" s="36"/>
      <c r="HCV125" s="36"/>
      <c r="HCW125" s="36"/>
      <c r="HCX125" s="36"/>
      <c r="HCY125" s="36"/>
      <c r="HCZ125" s="36"/>
      <c r="HDA125" s="36"/>
      <c r="HDB125" s="36"/>
      <c r="HDC125" s="36"/>
      <c r="HDD125" s="36"/>
      <c r="HDE125" s="36"/>
      <c r="HDF125" s="36"/>
      <c r="HDG125" s="36"/>
      <c r="HDH125" s="36"/>
      <c r="HDI125" s="36"/>
      <c r="HDJ125" s="36"/>
      <c r="HDK125" s="36"/>
      <c r="HDL125" s="36"/>
      <c r="HDM125" s="36"/>
      <c r="HDN125" s="36"/>
      <c r="HDO125" s="36"/>
      <c r="HDP125" s="36"/>
      <c r="HDQ125" s="36"/>
      <c r="HDR125" s="36"/>
      <c r="HDS125" s="36"/>
      <c r="HDT125" s="36"/>
      <c r="HDU125" s="36"/>
      <c r="HDV125" s="36"/>
      <c r="HDW125" s="36"/>
      <c r="HDX125" s="36"/>
      <c r="HDY125" s="36"/>
      <c r="HDZ125" s="36"/>
      <c r="HEA125" s="36"/>
      <c r="HEB125" s="36"/>
      <c r="HEC125" s="36"/>
      <c r="HED125" s="36"/>
      <c r="HEE125" s="36"/>
      <c r="HEF125" s="36"/>
      <c r="HEG125" s="36"/>
      <c r="HEH125" s="36"/>
      <c r="HEI125" s="36"/>
      <c r="HEJ125" s="36"/>
      <c r="HEK125" s="36"/>
      <c r="HEL125" s="36"/>
      <c r="HEM125" s="36"/>
      <c r="HEN125" s="36"/>
      <c r="HEO125" s="36"/>
      <c r="HEP125" s="36"/>
      <c r="HEQ125" s="36"/>
      <c r="HER125" s="36"/>
      <c r="HES125" s="36"/>
      <c r="HET125" s="36"/>
      <c r="HEU125" s="36"/>
      <c r="HEV125" s="36"/>
      <c r="HEW125" s="36"/>
      <c r="HEX125" s="36"/>
      <c r="HEY125" s="36"/>
      <c r="HEZ125" s="36"/>
      <c r="HFA125" s="36"/>
      <c r="HFB125" s="36"/>
      <c r="HFC125" s="36"/>
      <c r="HFD125" s="36"/>
      <c r="HFE125" s="36"/>
      <c r="HFF125" s="36"/>
      <c r="HFG125" s="36"/>
      <c r="HFH125" s="36"/>
      <c r="HFI125" s="36"/>
      <c r="HFJ125" s="36"/>
      <c r="HFK125" s="36"/>
      <c r="HFL125" s="36"/>
      <c r="HFM125" s="36"/>
      <c r="HFN125" s="36"/>
      <c r="HFO125" s="36"/>
      <c r="HFP125" s="36"/>
      <c r="HFQ125" s="36"/>
      <c r="HFR125" s="36"/>
      <c r="HFS125" s="36"/>
      <c r="HFT125" s="36"/>
      <c r="HFU125" s="36"/>
      <c r="HFV125" s="36"/>
      <c r="HFW125" s="36"/>
      <c r="HFX125" s="36"/>
      <c r="HFY125" s="36"/>
      <c r="HFZ125" s="36"/>
      <c r="HGA125" s="36"/>
      <c r="HGB125" s="36"/>
      <c r="HGC125" s="36"/>
      <c r="HGD125" s="36"/>
      <c r="HGE125" s="36"/>
      <c r="HGF125" s="36"/>
      <c r="HGG125" s="36"/>
      <c r="HGH125" s="36"/>
      <c r="HGI125" s="36"/>
      <c r="HGJ125" s="36"/>
      <c r="HGK125" s="36"/>
      <c r="HGL125" s="36"/>
      <c r="HGM125" s="36"/>
      <c r="HGN125" s="36"/>
      <c r="HGO125" s="36"/>
      <c r="HGP125" s="36"/>
      <c r="HGQ125" s="36"/>
      <c r="HGR125" s="36"/>
      <c r="HGS125" s="36"/>
      <c r="HGT125" s="36"/>
      <c r="HGU125" s="36"/>
      <c r="HGV125" s="36"/>
      <c r="HGW125" s="36"/>
      <c r="HGX125" s="36"/>
      <c r="HGY125" s="36"/>
      <c r="HGZ125" s="36"/>
      <c r="HHA125" s="36"/>
      <c r="HHB125" s="36"/>
      <c r="HHC125" s="36"/>
      <c r="HHD125" s="36"/>
      <c r="HHE125" s="36"/>
      <c r="HHF125" s="36"/>
      <c r="HHG125" s="36"/>
      <c r="HHH125" s="36"/>
      <c r="HHI125" s="36"/>
      <c r="HHJ125" s="36"/>
      <c r="HHK125" s="36"/>
      <c r="HHL125" s="36"/>
      <c r="HHM125" s="36"/>
      <c r="HHN125" s="36"/>
      <c r="HHO125" s="36"/>
      <c r="HHP125" s="36"/>
      <c r="HHQ125" s="36"/>
      <c r="HHR125" s="36"/>
      <c r="HHS125" s="36"/>
      <c r="HHT125" s="36"/>
      <c r="HHU125" s="36"/>
      <c r="HHV125" s="36"/>
      <c r="HHW125" s="36"/>
      <c r="HHX125" s="36"/>
      <c r="HHY125" s="36"/>
      <c r="HHZ125" s="36"/>
      <c r="HIA125" s="36"/>
      <c r="HIB125" s="36"/>
      <c r="HIC125" s="36"/>
      <c r="HID125" s="36"/>
      <c r="HIE125" s="36"/>
      <c r="HIF125" s="36"/>
      <c r="HIG125" s="36"/>
      <c r="HIH125" s="36"/>
      <c r="HII125" s="36"/>
      <c r="HIJ125" s="36"/>
      <c r="HIK125" s="36"/>
      <c r="HIL125" s="36"/>
      <c r="HIM125" s="36"/>
      <c r="HIN125" s="36"/>
      <c r="HIO125" s="36"/>
      <c r="HIP125" s="36"/>
      <c r="HIQ125" s="36"/>
      <c r="HIR125" s="36"/>
      <c r="HIS125" s="36"/>
      <c r="HIT125" s="36"/>
      <c r="HIU125" s="36"/>
      <c r="HIV125" s="36"/>
      <c r="HIW125" s="36"/>
      <c r="HIX125" s="36"/>
      <c r="HIY125" s="36"/>
      <c r="HIZ125" s="36"/>
      <c r="HJA125" s="36"/>
      <c r="HJB125" s="36"/>
      <c r="HJC125" s="36"/>
      <c r="HJD125" s="36"/>
      <c r="HJE125" s="36"/>
      <c r="HJF125" s="36"/>
      <c r="HJG125" s="36"/>
      <c r="HJH125" s="36"/>
      <c r="HJI125" s="36"/>
      <c r="HJJ125" s="36"/>
      <c r="HJK125" s="36"/>
      <c r="HJL125" s="36"/>
      <c r="HJM125" s="36"/>
      <c r="HJN125" s="36"/>
      <c r="HJO125" s="36"/>
      <c r="HJP125" s="36"/>
      <c r="HJQ125" s="36"/>
      <c r="HJR125" s="36"/>
      <c r="HJS125" s="36"/>
      <c r="HJT125" s="36"/>
      <c r="HJU125" s="36"/>
      <c r="HJV125" s="36"/>
      <c r="HJW125" s="36"/>
      <c r="HJX125" s="36"/>
      <c r="HJY125" s="36"/>
      <c r="HJZ125" s="36"/>
      <c r="HKA125" s="36"/>
      <c r="HKB125" s="36"/>
      <c r="HKC125" s="36"/>
      <c r="HKD125" s="36"/>
      <c r="HKE125" s="36"/>
      <c r="HKF125" s="36"/>
      <c r="HKG125" s="36"/>
      <c r="HKH125" s="36"/>
      <c r="HKI125" s="36"/>
      <c r="HKJ125" s="36"/>
      <c r="HKK125" s="36"/>
      <c r="HKL125" s="36"/>
      <c r="HKM125" s="36"/>
      <c r="HKN125" s="36"/>
      <c r="HKO125" s="36"/>
      <c r="HKP125" s="36"/>
      <c r="HKQ125" s="36"/>
      <c r="HKR125" s="36"/>
      <c r="HKS125" s="36"/>
      <c r="HKT125" s="36"/>
      <c r="HKU125" s="36"/>
      <c r="HKV125" s="36"/>
      <c r="HKW125" s="36"/>
      <c r="HKX125" s="36"/>
      <c r="HKY125" s="36"/>
      <c r="HKZ125" s="36"/>
      <c r="HLA125" s="36"/>
      <c r="HLB125" s="36"/>
      <c r="HLC125" s="36"/>
      <c r="HLD125" s="36"/>
      <c r="HLE125" s="36"/>
      <c r="HLF125" s="36"/>
      <c r="HLG125" s="36"/>
      <c r="HLH125" s="36"/>
      <c r="HLI125" s="36"/>
      <c r="HLJ125" s="36"/>
      <c r="HLK125" s="36"/>
      <c r="HLL125" s="36"/>
      <c r="HLM125" s="36"/>
      <c r="HLN125" s="36"/>
      <c r="HLO125" s="36"/>
      <c r="HLP125" s="36"/>
      <c r="HLQ125" s="36"/>
      <c r="HLR125" s="36"/>
      <c r="HLS125" s="36"/>
      <c r="HLT125" s="36"/>
      <c r="HLU125" s="36"/>
      <c r="HLV125" s="36"/>
      <c r="HLW125" s="36"/>
      <c r="HLX125" s="36"/>
      <c r="HLY125" s="36"/>
      <c r="HLZ125" s="36"/>
      <c r="HMA125" s="36"/>
      <c r="HMB125" s="36"/>
      <c r="HMC125" s="36"/>
      <c r="HMD125" s="36"/>
      <c r="HME125" s="36"/>
      <c r="HMF125" s="36"/>
      <c r="HMG125" s="36"/>
      <c r="HMH125" s="36"/>
      <c r="HMI125" s="36"/>
      <c r="HMJ125" s="36"/>
      <c r="HMK125" s="36"/>
      <c r="HML125" s="36"/>
      <c r="HMM125" s="36"/>
      <c r="HMN125" s="36"/>
      <c r="HMO125" s="36"/>
      <c r="HMP125" s="36"/>
      <c r="HMQ125" s="36"/>
      <c r="HMR125" s="36"/>
      <c r="HMS125" s="36"/>
      <c r="HMT125" s="36"/>
      <c r="HMU125" s="36"/>
      <c r="HMV125" s="36"/>
      <c r="HMW125" s="36"/>
      <c r="HMX125" s="36"/>
      <c r="HMY125" s="36"/>
      <c r="HMZ125" s="36"/>
      <c r="HNA125" s="36"/>
      <c r="HNB125" s="36"/>
      <c r="HNC125" s="36"/>
      <c r="HND125" s="36"/>
      <c r="HNE125" s="36"/>
      <c r="HNF125" s="36"/>
      <c r="HNG125" s="36"/>
      <c r="HNH125" s="36"/>
      <c r="HNI125" s="36"/>
      <c r="HNJ125" s="36"/>
      <c r="HNK125" s="36"/>
      <c r="HNL125" s="36"/>
      <c r="HNM125" s="36"/>
      <c r="HNN125" s="36"/>
      <c r="HNO125" s="36"/>
      <c r="HNP125" s="36"/>
      <c r="HNQ125" s="36"/>
      <c r="HNR125" s="36"/>
      <c r="HNS125" s="36"/>
      <c r="HNT125" s="36"/>
      <c r="HNU125" s="36"/>
      <c r="HNV125" s="36"/>
      <c r="HNW125" s="36"/>
      <c r="HNX125" s="36"/>
      <c r="HNY125" s="36"/>
      <c r="HNZ125" s="36"/>
      <c r="HOA125" s="36"/>
      <c r="HOB125" s="36"/>
      <c r="HOC125" s="36"/>
      <c r="HOD125" s="36"/>
      <c r="HOE125" s="36"/>
      <c r="HOF125" s="36"/>
      <c r="HOG125" s="36"/>
      <c r="HOH125" s="36"/>
      <c r="HOI125" s="36"/>
      <c r="HOJ125" s="36"/>
      <c r="HOK125" s="36"/>
      <c r="HOL125" s="36"/>
      <c r="HOM125" s="36"/>
      <c r="HON125" s="36"/>
      <c r="HOO125" s="36"/>
      <c r="HOP125" s="36"/>
      <c r="HOQ125" s="36"/>
      <c r="HOR125" s="36"/>
      <c r="HOS125" s="36"/>
      <c r="HOT125" s="36"/>
      <c r="HOU125" s="36"/>
      <c r="HOV125" s="36"/>
      <c r="HOW125" s="36"/>
      <c r="HOX125" s="36"/>
      <c r="HOY125" s="36"/>
      <c r="HOZ125" s="36"/>
      <c r="HPA125" s="36"/>
      <c r="HPB125" s="36"/>
      <c r="HPC125" s="36"/>
      <c r="HPD125" s="36"/>
      <c r="HPE125" s="36"/>
      <c r="HPF125" s="36"/>
      <c r="HPG125" s="36"/>
      <c r="HPH125" s="36"/>
      <c r="HPI125" s="36"/>
      <c r="HPJ125" s="36"/>
      <c r="HPK125" s="36"/>
      <c r="HPL125" s="36"/>
      <c r="HPM125" s="36"/>
      <c r="HPN125" s="36"/>
      <c r="HPO125" s="36"/>
      <c r="HPP125" s="36"/>
      <c r="HPQ125" s="36"/>
      <c r="HPR125" s="36"/>
      <c r="HPS125" s="36"/>
      <c r="HPT125" s="36"/>
      <c r="HPU125" s="36"/>
      <c r="HPV125" s="36"/>
      <c r="HPW125" s="36"/>
      <c r="HPX125" s="36"/>
      <c r="HPY125" s="36"/>
      <c r="HPZ125" s="36"/>
      <c r="HQA125" s="36"/>
      <c r="HQB125" s="36"/>
      <c r="HQC125" s="36"/>
      <c r="HQD125" s="36"/>
      <c r="HQE125" s="36"/>
      <c r="HQF125" s="36"/>
      <c r="HQG125" s="36"/>
      <c r="HQH125" s="36"/>
      <c r="HQI125" s="36"/>
      <c r="HQJ125" s="36"/>
      <c r="HQK125" s="36"/>
      <c r="HQL125" s="36"/>
      <c r="HQM125" s="36"/>
      <c r="HQN125" s="36"/>
      <c r="HQO125" s="36"/>
      <c r="HQP125" s="36"/>
      <c r="HQQ125" s="36"/>
      <c r="HQR125" s="36"/>
      <c r="HQS125" s="36"/>
      <c r="HQT125" s="36"/>
      <c r="HQU125" s="36"/>
      <c r="HQV125" s="36"/>
      <c r="HQW125" s="36"/>
      <c r="HQX125" s="36"/>
      <c r="HQY125" s="36"/>
      <c r="HQZ125" s="36"/>
      <c r="HRA125" s="36"/>
      <c r="HRB125" s="36"/>
      <c r="HRC125" s="36"/>
      <c r="HRD125" s="36"/>
      <c r="HRE125" s="36"/>
      <c r="HRF125" s="36"/>
      <c r="HRG125" s="36"/>
      <c r="HRH125" s="36"/>
      <c r="HRI125" s="36"/>
      <c r="HRJ125" s="36"/>
      <c r="HRK125" s="36"/>
      <c r="HRL125" s="36"/>
      <c r="HRM125" s="36"/>
      <c r="HRN125" s="36"/>
      <c r="HRO125" s="36"/>
      <c r="HRP125" s="36"/>
      <c r="HRQ125" s="36"/>
      <c r="HRR125" s="36"/>
      <c r="HRS125" s="36"/>
      <c r="HRT125" s="36"/>
      <c r="HRU125" s="36"/>
      <c r="HRV125" s="36"/>
      <c r="HRW125" s="36"/>
      <c r="HRX125" s="36"/>
      <c r="HRY125" s="36"/>
      <c r="HRZ125" s="36"/>
      <c r="HSA125" s="36"/>
      <c r="HSB125" s="36"/>
      <c r="HSC125" s="36"/>
      <c r="HSD125" s="36"/>
      <c r="HSE125" s="36"/>
      <c r="HSF125" s="36"/>
      <c r="HSG125" s="36"/>
      <c r="HSH125" s="36"/>
      <c r="HSI125" s="36"/>
      <c r="HSJ125" s="36"/>
      <c r="HSK125" s="36"/>
      <c r="HSL125" s="36"/>
      <c r="HSM125" s="36"/>
      <c r="HSN125" s="36"/>
      <c r="HSO125" s="36"/>
      <c r="HSP125" s="36"/>
      <c r="HSQ125" s="36"/>
      <c r="HSR125" s="36"/>
      <c r="HSS125" s="36"/>
      <c r="HST125" s="36"/>
      <c r="HSU125" s="36"/>
      <c r="HSV125" s="36"/>
      <c r="HSW125" s="36"/>
      <c r="HSX125" s="36"/>
      <c r="HSY125" s="36"/>
      <c r="HSZ125" s="36"/>
      <c r="HTA125" s="36"/>
      <c r="HTB125" s="36"/>
      <c r="HTC125" s="36"/>
      <c r="HTD125" s="36"/>
      <c r="HTE125" s="36"/>
      <c r="HTF125" s="36"/>
      <c r="HTG125" s="36"/>
      <c r="HTH125" s="36"/>
      <c r="HTI125" s="36"/>
      <c r="HTJ125" s="36"/>
      <c r="HTK125" s="36"/>
      <c r="HTL125" s="36"/>
      <c r="HTM125" s="36"/>
      <c r="HTN125" s="36"/>
      <c r="HTO125" s="36"/>
      <c r="HTP125" s="36"/>
      <c r="HTQ125" s="36"/>
      <c r="HTR125" s="36"/>
      <c r="HTS125" s="36"/>
      <c r="HTT125" s="36"/>
      <c r="HTU125" s="36"/>
      <c r="HTV125" s="36"/>
      <c r="HTW125" s="36"/>
      <c r="HTX125" s="36"/>
      <c r="HTY125" s="36"/>
      <c r="HTZ125" s="36"/>
      <c r="HUA125" s="36"/>
      <c r="HUB125" s="36"/>
      <c r="HUC125" s="36"/>
      <c r="HUD125" s="36"/>
      <c r="HUE125" s="36"/>
      <c r="HUF125" s="36"/>
      <c r="HUG125" s="36"/>
      <c r="HUH125" s="36"/>
      <c r="HUI125" s="36"/>
      <c r="HUJ125" s="36"/>
      <c r="HUK125" s="36"/>
      <c r="HUL125" s="36"/>
      <c r="HUM125" s="36"/>
      <c r="HUN125" s="36"/>
      <c r="HUO125" s="36"/>
      <c r="HUP125" s="36"/>
      <c r="HUQ125" s="36"/>
      <c r="HUR125" s="36"/>
      <c r="HUS125" s="36"/>
      <c r="HUT125" s="36"/>
      <c r="HUU125" s="36"/>
      <c r="HUV125" s="36"/>
      <c r="HUW125" s="36"/>
      <c r="HUX125" s="36"/>
      <c r="HUY125" s="36"/>
      <c r="HUZ125" s="36"/>
      <c r="HVA125" s="36"/>
      <c r="HVB125" s="36"/>
      <c r="HVC125" s="36"/>
      <c r="HVD125" s="36"/>
      <c r="HVE125" s="36"/>
      <c r="HVF125" s="36"/>
      <c r="HVG125" s="36"/>
      <c r="HVH125" s="36"/>
      <c r="HVI125" s="36"/>
      <c r="HVJ125" s="36"/>
      <c r="HVK125" s="36"/>
      <c r="HVL125" s="36"/>
      <c r="HVM125" s="36"/>
      <c r="HVN125" s="36"/>
      <c r="HVO125" s="36"/>
      <c r="HVP125" s="36"/>
      <c r="HVQ125" s="36"/>
      <c r="HVR125" s="36"/>
      <c r="HVS125" s="36"/>
      <c r="HVT125" s="36"/>
      <c r="HVU125" s="36"/>
      <c r="HVV125" s="36"/>
      <c r="HVW125" s="36"/>
      <c r="HVX125" s="36"/>
      <c r="HVY125" s="36"/>
      <c r="HVZ125" s="36"/>
      <c r="HWA125" s="36"/>
      <c r="HWB125" s="36"/>
      <c r="HWC125" s="36"/>
      <c r="HWD125" s="36"/>
      <c r="HWE125" s="36"/>
      <c r="HWF125" s="36"/>
      <c r="HWG125" s="36"/>
      <c r="HWH125" s="36"/>
      <c r="HWI125" s="36"/>
      <c r="HWJ125" s="36"/>
      <c r="HWK125" s="36"/>
      <c r="HWL125" s="36"/>
      <c r="HWM125" s="36"/>
      <c r="HWN125" s="36"/>
      <c r="HWO125" s="36"/>
      <c r="HWP125" s="36"/>
      <c r="HWQ125" s="36"/>
      <c r="HWR125" s="36"/>
      <c r="HWS125" s="36"/>
      <c r="HWT125" s="36"/>
      <c r="HWU125" s="36"/>
      <c r="HWV125" s="36"/>
      <c r="HWW125" s="36"/>
      <c r="HWX125" s="36"/>
      <c r="HWY125" s="36"/>
      <c r="HWZ125" s="36"/>
      <c r="HXA125" s="36"/>
      <c r="HXB125" s="36"/>
      <c r="HXC125" s="36"/>
      <c r="HXD125" s="36"/>
      <c r="HXE125" s="36"/>
      <c r="HXF125" s="36"/>
      <c r="HXG125" s="36"/>
      <c r="HXH125" s="36"/>
      <c r="HXI125" s="36"/>
      <c r="HXJ125" s="36"/>
      <c r="HXK125" s="36"/>
      <c r="HXL125" s="36"/>
      <c r="HXM125" s="36"/>
      <c r="HXN125" s="36"/>
      <c r="HXO125" s="36"/>
      <c r="HXP125" s="36"/>
      <c r="HXQ125" s="36"/>
      <c r="HXR125" s="36"/>
      <c r="HXS125" s="36"/>
      <c r="HXT125" s="36"/>
      <c r="HXU125" s="36"/>
      <c r="HXV125" s="36"/>
      <c r="HXW125" s="36"/>
      <c r="HXX125" s="36"/>
      <c r="HXY125" s="36"/>
      <c r="HXZ125" s="36"/>
      <c r="HYA125" s="36"/>
      <c r="HYB125" s="36"/>
      <c r="HYC125" s="36"/>
      <c r="HYD125" s="36"/>
      <c r="HYE125" s="36"/>
      <c r="HYF125" s="36"/>
      <c r="HYG125" s="36"/>
      <c r="HYH125" s="36"/>
      <c r="HYI125" s="36"/>
      <c r="HYJ125" s="36"/>
      <c r="HYK125" s="36"/>
      <c r="HYL125" s="36"/>
      <c r="HYM125" s="36"/>
      <c r="HYN125" s="36"/>
      <c r="HYO125" s="36"/>
      <c r="HYP125" s="36"/>
      <c r="HYQ125" s="36"/>
      <c r="HYR125" s="36"/>
      <c r="HYS125" s="36"/>
      <c r="HYT125" s="36"/>
      <c r="HYU125" s="36"/>
      <c r="HYV125" s="36"/>
      <c r="HYW125" s="36"/>
      <c r="HYX125" s="36"/>
      <c r="HYY125" s="36"/>
      <c r="HYZ125" s="36"/>
      <c r="HZA125" s="36"/>
      <c r="HZB125" s="36"/>
      <c r="HZC125" s="36"/>
      <c r="HZD125" s="36"/>
      <c r="HZE125" s="36"/>
      <c r="HZF125" s="36"/>
      <c r="HZG125" s="36"/>
      <c r="HZH125" s="36"/>
      <c r="HZI125" s="36"/>
      <c r="HZJ125" s="36"/>
      <c r="HZK125" s="36"/>
      <c r="HZL125" s="36"/>
      <c r="HZM125" s="36"/>
      <c r="HZN125" s="36"/>
      <c r="HZO125" s="36"/>
      <c r="HZP125" s="36"/>
      <c r="HZQ125" s="36"/>
      <c r="HZR125" s="36"/>
      <c r="HZS125" s="36"/>
      <c r="HZT125" s="36"/>
      <c r="HZU125" s="36"/>
      <c r="HZV125" s="36"/>
      <c r="HZW125" s="36"/>
      <c r="HZX125" s="36"/>
      <c r="HZY125" s="36"/>
      <c r="HZZ125" s="36"/>
      <c r="IAA125" s="36"/>
      <c r="IAB125" s="36"/>
      <c r="IAC125" s="36"/>
      <c r="IAD125" s="36"/>
      <c r="IAE125" s="36"/>
      <c r="IAF125" s="36"/>
      <c r="IAG125" s="36"/>
      <c r="IAH125" s="36"/>
      <c r="IAI125" s="36"/>
      <c r="IAJ125" s="36"/>
      <c r="IAK125" s="36"/>
      <c r="IAL125" s="36"/>
      <c r="IAM125" s="36"/>
      <c r="IAN125" s="36"/>
      <c r="IAO125" s="36"/>
      <c r="IAP125" s="36"/>
      <c r="IAQ125" s="36"/>
      <c r="IAR125" s="36"/>
      <c r="IAS125" s="36"/>
      <c r="IAT125" s="36"/>
      <c r="IAU125" s="36"/>
      <c r="IAV125" s="36"/>
      <c r="IAW125" s="36"/>
      <c r="IAX125" s="36"/>
      <c r="IAY125" s="36"/>
      <c r="IAZ125" s="36"/>
      <c r="IBA125" s="36"/>
      <c r="IBB125" s="36"/>
      <c r="IBC125" s="36"/>
      <c r="IBD125" s="36"/>
      <c r="IBE125" s="36"/>
      <c r="IBF125" s="36"/>
      <c r="IBG125" s="36"/>
      <c r="IBH125" s="36"/>
      <c r="IBI125" s="36"/>
      <c r="IBJ125" s="36"/>
      <c r="IBK125" s="36"/>
      <c r="IBL125" s="36"/>
      <c r="IBM125" s="36"/>
      <c r="IBN125" s="36"/>
      <c r="IBO125" s="36"/>
      <c r="IBP125" s="36"/>
      <c r="IBQ125" s="36"/>
      <c r="IBR125" s="36"/>
      <c r="IBS125" s="36"/>
      <c r="IBT125" s="36"/>
      <c r="IBU125" s="36"/>
      <c r="IBV125" s="36"/>
      <c r="IBW125" s="36"/>
      <c r="IBX125" s="36"/>
      <c r="IBY125" s="36"/>
      <c r="IBZ125" s="36"/>
      <c r="ICA125" s="36"/>
      <c r="ICB125" s="36"/>
      <c r="ICC125" s="36"/>
      <c r="ICD125" s="36"/>
      <c r="ICE125" s="36"/>
      <c r="ICF125" s="36"/>
      <c r="ICG125" s="36"/>
      <c r="ICH125" s="36"/>
      <c r="ICI125" s="36"/>
      <c r="ICJ125" s="36"/>
      <c r="ICK125" s="36"/>
      <c r="ICL125" s="36"/>
      <c r="ICM125" s="36"/>
      <c r="ICN125" s="36"/>
      <c r="ICO125" s="36"/>
      <c r="ICP125" s="36"/>
      <c r="ICQ125" s="36"/>
      <c r="ICR125" s="36"/>
      <c r="ICS125" s="36"/>
      <c r="ICT125" s="36"/>
      <c r="ICU125" s="36"/>
      <c r="ICV125" s="36"/>
      <c r="ICW125" s="36"/>
      <c r="ICX125" s="36"/>
      <c r="ICY125" s="36"/>
      <c r="ICZ125" s="36"/>
      <c r="IDA125" s="36"/>
      <c r="IDB125" s="36"/>
      <c r="IDC125" s="36"/>
      <c r="IDD125" s="36"/>
      <c r="IDE125" s="36"/>
      <c r="IDF125" s="36"/>
      <c r="IDG125" s="36"/>
      <c r="IDH125" s="36"/>
      <c r="IDI125" s="36"/>
      <c r="IDJ125" s="36"/>
      <c r="IDK125" s="36"/>
      <c r="IDL125" s="36"/>
      <c r="IDM125" s="36"/>
      <c r="IDN125" s="36"/>
      <c r="IDO125" s="36"/>
      <c r="IDP125" s="36"/>
      <c r="IDQ125" s="36"/>
      <c r="IDR125" s="36"/>
      <c r="IDS125" s="36"/>
      <c r="IDT125" s="36"/>
      <c r="IDU125" s="36"/>
      <c r="IDV125" s="36"/>
      <c r="IDW125" s="36"/>
      <c r="IDX125" s="36"/>
      <c r="IDY125" s="36"/>
      <c r="IDZ125" s="36"/>
      <c r="IEA125" s="36"/>
      <c r="IEB125" s="36"/>
      <c r="IEC125" s="36"/>
      <c r="IED125" s="36"/>
      <c r="IEE125" s="36"/>
      <c r="IEF125" s="36"/>
      <c r="IEG125" s="36"/>
      <c r="IEH125" s="36"/>
      <c r="IEI125" s="36"/>
      <c r="IEJ125" s="36"/>
      <c r="IEK125" s="36"/>
      <c r="IEL125" s="36"/>
      <c r="IEM125" s="36"/>
      <c r="IEN125" s="36"/>
      <c r="IEO125" s="36"/>
      <c r="IEP125" s="36"/>
      <c r="IEQ125" s="36"/>
      <c r="IER125" s="36"/>
      <c r="IES125" s="36"/>
      <c r="IET125" s="36"/>
      <c r="IEU125" s="36"/>
      <c r="IEV125" s="36"/>
      <c r="IEW125" s="36"/>
      <c r="IEX125" s="36"/>
      <c r="IEY125" s="36"/>
      <c r="IEZ125" s="36"/>
      <c r="IFA125" s="36"/>
      <c r="IFB125" s="36"/>
      <c r="IFC125" s="36"/>
      <c r="IFD125" s="36"/>
      <c r="IFE125" s="36"/>
      <c r="IFF125" s="36"/>
      <c r="IFG125" s="36"/>
      <c r="IFH125" s="36"/>
      <c r="IFI125" s="36"/>
      <c r="IFJ125" s="36"/>
      <c r="IFK125" s="36"/>
      <c r="IFL125" s="36"/>
      <c r="IFM125" s="36"/>
      <c r="IFN125" s="36"/>
      <c r="IFO125" s="36"/>
      <c r="IFP125" s="36"/>
      <c r="IFQ125" s="36"/>
      <c r="IFR125" s="36"/>
      <c r="IFS125" s="36"/>
      <c r="IFT125" s="36"/>
      <c r="IFU125" s="36"/>
      <c r="IFV125" s="36"/>
      <c r="IFW125" s="36"/>
      <c r="IFX125" s="36"/>
      <c r="IFY125" s="36"/>
      <c r="IFZ125" s="36"/>
      <c r="IGA125" s="36"/>
      <c r="IGB125" s="36"/>
      <c r="IGC125" s="36"/>
      <c r="IGD125" s="36"/>
      <c r="IGE125" s="36"/>
      <c r="IGF125" s="36"/>
      <c r="IGG125" s="36"/>
      <c r="IGH125" s="36"/>
      <c r="IGI125" s="36"/>
      <c r="IGJ125" s="36"/>
      <c r="IGK125" s="36"/>
      <c r="IGL125" s="36"/>
      <c r="IGM125" s="36"/>
      <c r="IGN125" s="36"/>
      <c r="IGO125" s="36"/>
      <c r="IGP125" s="36"/>
      <c r="IGQ125" s="36"/>
      <c r="IGR125" s="36"/>
      <c r="IGS125" s="36"/>
      <c r="IGT125" s="36"/>
      <c r="IGU125" s="36"/>
      <c r="IGV125" s="36"/>
      <c r="IGW125" s="36"/>
      <c r="IGX125" s="36"/>
      <c r="IGY125" s="36"/>
      <c r="IGZ125" s="36"/>
      <c r="IHA125" s="36"/>
      <c r="IHB125" s="36"/>
      <c r="IHC125" s="36"/>
      <c r="IHD125" s="36"/>
      <c r="IHE125" s="36"/>
      <c r="IHF125" s="36"/>
      <c r="IHG125" s="36"/>
      <c r="IHH125" s="36"/>
      <c r="IHI125" s="36"/>
      <c r="IHJ125" s="36"/>
      <c r="IHK125" s="36"/>
      <c r="IHL125" s="36"/>
      <c r="IHM125" s="36"/>
      <c r="IHN125" s="36"/>
      <c r="IHO125" s="36"/>
      <c r="IHP125" s="36"/>
      <c r="IHQ125" s="36"/>
      <c r="IHR125" s="36"/>
      <c r="IHS125" s="36"/>
      <c r="IHT125" s="36"/>
      <c r="IHU125" s="36"/>
      <c r="IHV125" s="36"/>
      <c r="IHW125" s="36"/>
      <c r="IHX125" s="36"/>
      <c r="IHY125" s="36"/>
      <c r="IHZ125" s="36"/>
      <c r="IIA125" s="36"/>
      <c r="IIB125" s="36"/>
      <c r="IIC125" s="36"/>
      <c r="IID125" s="36"/>
      <c r="IIE125" s="36"/>
      <c r="IIF125" s="36"/>
      <c r="IIG125" s="36"/>
      <c r="IIH125" s="36"/>
      <c r="III125" s="36"/>
      <c r="IIJ125" s="36"/>
      <c r="IIK125" s="36"/>
      <c r="IIL125" s="36"/>
      <c r="IIM125" s="36"/>
      <c r="IIN125" s="36"/>
      <c r="IIO125" s="36"/>
      <c r="IIP125" s="36"/>
      <c r="IIQ125" s="36"/>
      <c r="IIR125" s="36"/>
      <c r="IIS125" s="36"/>
      <c r="IIT125" s="36"/>
      <c r="IIU125" s="36"/>
      <c r="IIV125" s="36"/>
      <c r="IIW125" s="36"/>
      <c r="IIX125" s="36"/>
      <c r="IIY125" s="36"/>
      <c r="IIZ125" s="36"/>
      <c r="IJA125" s="36"/>
      <c r="IJB125" s="36"/>
      <c r="IJC125" s="36"/>
      <c r="IJD125" s="36"/>
      <c r="IJE125" s="36"/>
      <c r="IJF125" s="36"/>
      <c r="IJG125" s="36"/>
      <c r="IJH125" s="36"/>
      <c r="IJI125" s="36"/>
      <c r="IJJ125" s="36"/>
      <c r="IJK125" s="36"/>
      <c r="IJL125" s="36"/>
      <c r="IJM125" s="36"/>
      <c r="IJN125" s="36"/>
      <c r="IJO125" s="36"/>
      <c r="IJP125" s="36"/>
      <c r="IJQ125" s="36"/>
      <c r="IJR125" s="36"/>
      <c r="IJS125" s="36"/>
      <c r="IJT125" s="36"/>
      <c r="IJU125" s="36"/>
      <c r="IJV125" s="36"/>
      <c r="IJW125" s="36"/>
      <c r="IJX125" s="36"/>
      <c r="IJY125" s="36"/>
      <c r="IJZ125" s="36"/>
      <c r="IKA125" s="36"/>
      <c r="IKB125" s="36"/>
      <c r="IKC125" s="36"/>
      <c r="IKD125" s="36"/>
      <c r="IKE125" s="36"/>
      <c r="IKF125" s="36"/>
      <c r="IKG125" s="36"/>
      <c r="IKH125" s="36"/>
      <c r="IKI125" s="36"/>
      <c r="IKJ125" s="36"/>
      <c r="IKK125" s="36"/>
      <c r="IKL125" s="36"/>
      <c r="IKM125" s="36"/>
      <c r="IKN125" s="36"/>
      <c r="IKO125" s="36"/>
      <c r="IKP125" s="36"/>
      <c r="IKQ125" s="36"/>
      <c r="IKR125" s="36"/>
      <c r="IKS125" s="36"/>
      <c r="IKT125" s="36"/>
      <c r="IKU125" s="36"/>
      <c r="IKV125" s="36"/>
      <c r="IKW125" s="36"/>
      <c r="IKX125" s="36"/>
      <c r="IKY125" s="36"/>
      <c r="IKZ125" s="36"/>
      <c r="ILA125" s="36"/>
      <c r="ILB125" s="36"/>
      <c r="ILC125" s="36"/>
      <c r="ILD125" s="36"/>
      <c r="ILE125" s="36"/>
      <c r="ILF125" s="36"/>
      <c r="ILG125" s="36"/>
      <c r="ILH125" s="36"/>
      <c r="ILI125" s="36"/>
      <c r="ILJ125" s="36"/>
      <c r="ILK125" s="36"/>
      <c r="ILL125" s="36"/>
      <c r="ILM125" s="36"/>
      <c r="ILN125" s="36"/>
      <c r="ILO125" s="36"/>
      <c r="ILP125" s="36"/>
      <c r="ILQ125" s="36"/>
      <c r="ILR125" s="36"/>
      <c r="ILS125" s="36"/>
      <c r="ILT125" s="36"/>
      <c r="ILU125" s="36"/>
      <c r="ILV125" s="36"/>
      <c r="ILW125" s="36"/>
      <c r="ILX125" s="36"/>
      <c r="ILY125" s="36"/>
      <c r="ILZ125" s="36"/>
      <c r="IMA125" s="36"/>
      <c r="IMB125" s="36"/>
      <c r="IMC125" s="36"/>
      <c r="IMD125" s="36"/>
      <c r="IME125" s="36"/>
      <c r="IMF125" s="36"/>
      <c r="IMG125" s="36"/>
      <c r="IMH125" s="36"/>
      <c r="IMI125" s="36"/>
      <c r="IMJ125" s="36"/>
      <c r="IMK125" s="36"/>
      <c r="IML125" s="36"/>
      <c r="IMM125" s="36"/>
      <c r="IMN125" s="36"/>
      <c r="IMO125" s="36"/>
      <c r="IMP125" s="36"/>
      <c r="IMQ125" s="36"/>
      <c r="IMR125" s="36"/>
      <c r="IMS125" s="36"/>
      <c r="IMT125" s="36"/>
      <c r="IMU125" s="36"/>
      <c r="IMV125" s="36"/>
      <c r="IMW125" s="36"/>
      <c r="IMX125" s="36"/>
      <c r="IMY125" s="36"/>
      <c r="IMZ125" s="36"/>
      <c r="INA125" s="36"/>
      <c r="INB125" s="36"/>
      <c r="INC125" s="36"/>
      <c r="IND125" s="36"/>
      <c r="INE125" s="36"/>
      <c r="INF125" s="36"/>
      <c r="ING125" s="36"/>
      <c r="INH125" s="36"/>
      <c r="INI125" s="36"/>
      <c r="INJ125" s="36"/>
      <c r="INK125" s="36"/>
      <c r="INL125" s="36"/>
      <c r="INM125" s="36"/>
      <c r="INN125" s="36"/>
      <c r="INO125" s="36"/>
      <c r="INP125" s="36"/>
      <c r="INQ125" s="36"/>
      <c r="INR125" s="36"/>
      <c r="INS125" s="36"/>
      <c r="INT125" s="36"/>
      <c r="INU125" s="36"/>
      <c r="INV125" s="36"/>
      <c r="INW125" s="36"/>
      <c r="INX125" s="36"/>
      <c r="INY125" s="36"/>
      <c r="INZ125" s="36"/>
      <c r="IOA125" s="36"/>
      <c r="IOB125" s="36"/>
      <c r="IOC125" s="36"/>
      <c r="IOD125" s="36"/>
      <c r="IOE125" s="36"/>
      <c r="IOF125" s="36"/>
      <c r="IOG125" s="36"/>
      <c r="IOH125" s="36"/>
      <c r="IOI125" s="36"/>
      <c r="IOJ125" s="36"/>
      <c r="IOK125" s="36"/>
      <c r="IOL125" s="36"/>
      <c r="IOM125" s="36"/>
      <c r="ION125" s="36"/>
      <c r="IOO125" s="36"/>
      <c r="IOP125" s="36"/>
      <c r="IOQ125" s="36"/>
      <c r="IOR125" s="36"/>
      <c r="IOS125" s="36"/>
      <c r="IOT125" s="36"/>
      <c r="IOU125" s="36"/>
      <c r="IOV125" s="36"/>
      <c r="IOW125" s="36"/>
      <c r="IOX125" s="36"/>
      <c r="IOY125" s="36"/>
      <c r="IOZ125" s="36"/>
      <c r="IPA125" s="36"/>
      <c r="IPB125" s="36"/>
      <c r="IPC125" s="36"/>
      <c r="IPD125" s="36"/>
      <c r="IPE125" s="36"/>
      <c r="IPF125" s="36"/>
      <c r="IPG125" s="36"/>
      <c r="IPH125" s="36"/>
      <c r="IPI125" s="36"/>
      <c r="IPJ125" s="36"/>
      <c r="IPK125" s="36"/>
      <c r="IPL125" s="36"/>
      <c r="IPM125" s="36"/>
      <c r="IPN125" s="36"/>
      <c r="IPO125" s="36"/>
      <c r="IPP125" s="36"/>
      <c r="IPQ125" s="36"/>
      <c r="IPR125" s="36"/>
      <c r="IPS125" s="36"/>
      <c r="IPT125" s="36"/>
      <c r="IPU125" s="36"/>
      <c r="IPV125" s="36"/>
      <c r="IPW125" s="36"/>
      <c r="IPX125" s="36"/>
      <c r="IPY125" s="36"/>
      <c r="IPZ125" s="36"/>
      <c r="IQA125" s="36"/>
      <c r="IQB125" s="36"/>
      <c r="IQC125" s="36"/>
      <c r="IQD125" s="36"/>
      <c r="IQE125" s="36"/>
      <c r="IQF125" s="36"/>
      <c r="IQG125" s="36"/>
      <c r="IQH125" s="36"/>
      <c r="IQI125" s="36"/>
      <c r="IQJ125" s="36"/>
      <c r="IQK125" s="36"/>
      <c r="IQL125" s="36"/>
      <c r="IQM125" s="36"/>
      <c r="IQN125" s="36"/>
      <c r="IQO125" s="36"/>
      <c r="IQP125" s="36"/>
      <c r="IQQ125" s="36"/>
      <c r="IQR125" s="36"/>
      <c r="IQS125" s="36"/>
      <c r="IQT125" s="36"/>
      <c r="IQU125" s="36"/>
      <c r="IQV125" s="36"/>
      <c r="IQW125" s="36"/>
      <c r="IQX125" s="36"/>
      <c r="IQY125" s="36"/>
      <c r="IQZ125" s="36"/>
      <c r="IRA125" s="36"/>
      <c r="IRB125" s="36"/>
      <c r="IRC125" s="36"/>
      <c r="IRD125" s="36"/>
      <c r="IRE125" s="36"/>
      <c r="IRF125" s="36"/>
      <c r="IRG125" s="36"/>
      <c r="IRH125" s="36"/>
      <c r="IRI125" s="36"/>
      <c r="IRJ125" s="36"/>
      <c r="IRK125" s="36"/>
      <c r="IRL125" s="36"/>
      <c r="IRM125" s="36"/>
      <c r="IRN125" s="36"/>
      <c r="IRO125" s="36"/>
      <c r="IRP125" s="36"/>
      <c r="IRQ125" s="36"/>
      <c r="IRR125" s="36"/>
      <c r="IRS125" s="36"/>
      <c r="IRT125" s="36"/>
      <c r="IRU125" s="36"/>
      <c r="IRV125" s="36"/>
      <c r="IRW125" s="36"/>
      <c r="IRX125" s="36"/>
      <c r="IRY125" s="36"/>
      <c r="IRZ125" s="36"/>
      <c r="ISA125" s="36"/>
      <c r="ISB125" s="36"/>
      <c r="ISC125" s="36"/>
      <c r="ISD125" s="36"/>
      <c r="ISE125" s="36"/>
      <c r="ISF125" s="36"/>
      <c r="ISG125" s="36"/>
      <c r="ISH125" s="36"/>
      <c r="ISI125" s="36"/>
      <c r="ISJ125" s="36"/>
      <c r="ISK125" s="36"/>
      <c r="ISL125" s="36"/>
      <c r="ISM125" s="36"/>
      <c r="ISN125" s="36"/>
      <c r="ISO125" s="36"/>
      <c r="ISP125" s="36"/>
      <c r="ISQ125" s="36"/>
      <c r="ISR125" s="36"/>
      <c r="ISS125" s="36"/>
      <c r="IST125" s="36"/>
      <c r="ISU125" s="36"/>
      <c r="ISV125" s="36"/>
      <c r="ISW125" s="36"/>
      <c r="ISX125" s="36"/>
      <c r="ISY125" s="36"/>
      <c r="ISZ125" s="36"/>
      <c r="ITA125" s="36"/>
      <c r="ITB125" s="36"/>
      <c r="ITC125" s="36"/>
      <c r="ITD125" s="36"/>
      <c r="ITE125" s="36"/>
      <c r="ITF125" s="36"/>
      <c r="ITG125" s="36"/>
      <c r="ITH125" s="36"/>
      <c r="ITI125" s="36"/>
      <c r="ITJ125" s="36"/>
      <c r="ITK125" s="36"/>
      <c r="ITL125" s="36"/>
      <c r="ITM125" s="36"/>
      <c r="ITN125" s="36"/>
      <c r="ITO125" s="36"/>
      <c r="ITP125" s="36"/>
      <c r="ITQ125" s="36"/>
      <c r="ITR125" s="36"/>
      <c r="ITS125" s="36"/>
      <c r="ITT125" s="36"/>
      <c r="ITU125" s="36"/>
      <c r="ITV125" s="36"/>
      <c r="ITW125" s="36"/>
      <c r="ITX125" s="36"/>
      <c r="ITY125" s="36"/>
      <c r="ITZ125" s="36"/>
      <c r="IUA125" s="36"/>
      <c r="IUB125" s="36"/>
      <c r="IUC125" s="36"/>
      <c r="IUD125" s="36"/>
      <c r="IUE125" s="36"/>
      <c r="IUF125" s="36"/>
      <c r="IUG125" s="36"/>
      <c r="IUH125" s="36"/>
      <c r="IUI125" s="36"/>
      <c r="IUJ125" s="36"/>
      <c r="IUK125" s="36"/>
      <c r="IUL125" s="36"/>
      <c r="IUM125" s="36"/>
      <c r="IUN125" s="36"/>
      <c r="IUO125" s="36"/>
      <c r="IUP125" s="36"/>
      <c r="IUQ125" s="36"/>
      <c r="IUR125" s="36"/>
      <c r="IUS125" s="36"/>
      <c r="IUT125" s="36"/>
      <c r="IUU125" s="36"/>
      <c r="IUV125" s="36"/>
      <c r="IUW125" s="36"/>
      <c r="IUX125" s="36"/>
      <c r="IUY125" s="36"/>
      <c r="IUZ125" s="36"/>
      <c r="IVA125" s="36"/>
      <c r="IVB125" s="36"/>
      <c r="IVC125" s="36"/>
      <c r="IVD125" s="36"/>
      <c r="IVE125" s="36"/>
      <c r="IVF125" s="36"/>
      <c r="IVG125" s="36"/>
      <c r="IVH125" s="36"/>
      <c r="IVI125" s="36"/>
      <c r="IVJ125" s="36"/>
      <c r="IVK125" s="36"/>
      <c r="IVL125" s="36"/>
      <c r="IVM125" s="36"/>
      <c r="IVN125" s="36"/>
      <c r="IVO125" s="36"/>
      <c r="IVP125" s="36"/>
      <c r="IVQ125" s="36"/>
      <c r="IVR125" s="36"/>
      <c r="IVS125" s="36"/>
      <c r="IVT125" s="36"/>
      <c r="IVU125" s="36"/>
      <c r="IVV125" s="36"/>
      <c r="IVW125" s="36"/>
      <c r="IVX125" s="36"/>
      <c r="IVY125" s="36"/>
      <c r="IVZ125" s="36"/>
      <c r="IWA125" s="36"/>
      <c r="IWB125" s="36"/>
      <c r="IWC125" s="36"/>
      <c r="IWD125" s="36"/>
      <c r="IWE125" s="36"/>
      <c r="IWF125" s="36"/>
      <c r="IWG125" s="36"/>
      <c r="IWH125" s="36"/>
      <c r="IWI125" s="36"/>
      <c r="IWJ125" s="36"/>
      <c r="IWK125" s="36"/>
      <c r="IWL125" s="36"/>
      <c r="IWM125" s="36"/>
      <c r="IWN125" s="36"/>
      <c r="IWO125" s="36"/>
      <c r="IWP125" s="36"/>
      <c r="IWQ125" s="36"/>
      <c r="IWR125" s="36"/>
      <c r="IWS125" s="36"/>
      <c r="IWT125" s="36"/>
      <c r="IWU125" s="36"/>
      <c r="IWV125" s="36"/>
      <c r="IWW125" s="36"/>
      <c r="IWX125" s="36"/>
      <c r="IWY125" s="36"/>
      <c r="IWZ125" s="36"/>
      <c r="IXA125" s="36"/>
      <c r="IXB125" s="36"/>
      <c r="IXC125" s="36"/>
      <c r="IXD125" s="36"/>
      <c r="IXE125" s="36"/>
      <c r="IXF125" s="36"/>
      <c r="IXG125" s="36"/>
      <c r="IXH125" s="36"/>
      <c r="IXI125" s="36"/>
      <c r="IXJ125" s="36"/>
      <c r="IXK125" s="36"/>
      <c r="IXL125" s="36"/>
      <c r="IXM125" s="36"/>
      <c r="IXN125" s="36"/>
      <c r="IXO125" s="36"/>
      <c r="IXP125" s="36"/>
      <c r="IXQ125" s="36"/>
      <c r="IXR125" s="36"/>
      <c r="IXS125" s="36"/>
      <c r="IXT125" s="36"/>
      <c r="IXU125" s="36"/>
      <c r="IXV125" s="36"/>
      <c r="IXW125" s="36"/>
      <c r="IXX125" s="36"/>
      <c r="IXY125" s="36"/>
      <c r="IXZ125" s="36"/>
      <c r="IYA125" s="36"/>
      <c r="IYB125" s="36"/>
      <c r="IYC125" s="36"/>
      <c r="IYD125" s="36"/>
      <c r="IYE125" s="36"/>
      <c r="IYF125" s="36"/>
      <c r="IYG125" s="36"/>
      <c r="IYH125" s="36"/>
      <c r="IYI125" s="36"/>
      <c r="IYJ125" s="36"/>
      <c r="IYK125" s="36"/>
      <c r="IYL125" s="36"/>
      <c r="IYM125" s="36"/>
      <c r="IYN125" s="36"/>
      <c r="IYO125" s="36"/>
      <c r="IYP125" s="36"/>
      <c r="IYQ125" s="36"/>
      <c r="IYR125" s="36"/>
      <c r="IYS125" s="36"/>
      <c r="IYT125" s="36"/>
      <c r="IYU125" s="36"/>
      <c r="IYV125" s="36"/>
      <c r="IYW125" s="36"/>
      <c r="IYX125" s="36"/>
      <c r="IYY125" s="36"/>
      <c r="IYZ125" s="36"/>
      <c r="IZA125" s="36"/>
      <c r="IZB125" s="36"/>
      <c r="IZC125" s="36"/>
      <c r="IZD125" s="36"/>
      <c r="IZE125" s="36"/>
      <c r="IZF125" s="36"/>
      <c r="IZG125" s="36"/>
      <c r="IZH125" s="36"/>
      <c r="IZI125" s="36"/>
      <c r="IZJ125" s="36"/>
      <c r="IZK125" s="36"/>
      <c r="IZL125" s="36"/>
      <c r="IZM125" s="36"/>
      <c r="IZN125" s="36"/>
      <c r="IZO125" s="36"/>
      <c r="IZP125" s="36"/>
      <c r="IZQ125" s="36"/>
      <c r="IZR125" s="36"/>
      <c r="IZS125" s="36"/>
      <c r="IZT125" s="36"/>
      <c r="IZU125" s="36"/>
      <c r="IZV125" s="36"/>
      <c r="IZW125" s="36"/>
      <c r="IZX125" s="36"/>
      <c r="IZY125" s="36"/>
      <c r="IZZ125" s="36"/>
      <c r="JAA125" s="36"/>
      <c r="JAB125" s="36"/>
      <c r="JAC125" s="36"/>
      <c r="JAD125" s="36"/>
      <c r="JAE125" s="36"/>
      <c r="JAF125" s="36"/>
      <c r="JAG125" s="36"/>
      <c r="JAH125" s="36"/>
      <c r="JAI125" s="36"/>
      <c r="JAJ125" s="36"/>
      <c r="JAK125" s="36"/>
      <c r="JAL125" s="36"/>
      <c r="JAM125" s="36"/>
      <c r="JAN125" s="36"/>
      <c r="JAO125" s="36"/>
      <c r="JAP125" s="36"/>
      <c r="JAQ125" s="36"/>
      <c r="JAR125" s="36"/>
      <c r="JAS125" s="36"/>
      <c r="JAT125" s="36"/>
      <c r="JAU125" s="36"/>
      <c r="JAV125" s="36"/>
      <c r="JAW125" s="36"/>
      <c r="JAX125" s="36"/>
      <c r="JAY125" s="36"/>
      <c r="JAZ125" s="36"/>
      <c r="JBA125" s="36"/>
      <c r="JBB125" s="36"/>
      <c r="JBC125" s="36"/>
      <c r="JBD125" s="36"/>
      <c r="JBE125" s="36"/>
      <c r="JBF125" s="36"/>
      <c r="JBG125" s="36"/>
      <c r="JBH125" s="36"/>
      <c r="JBI125" s="36"/>
      <c r="JBJ125" s="36"/>
      <c r="JBK125" s="36"/>
      <c r="JBL125" s="36"/>
      <c r="JBM125" s="36"/>
      <c r="JBN125" s="36"/>
      <c r="JBO125" s="36"/>
      <c r="JBP125" s="36"/>
      <c r="JBQ125" s="36"/>
      <c r="JBR125" s="36"/>
      <c r="JBS125" s="36"/>
      <c r="JBT125" s="36"/>
      <c r="JBU125" s="36"/>
      <c r="JBV125" s="36"/>
      <c r="JBW125" s="36"/>
      <c r="JBX125" s="36"/>
      <c r="JBY125" s="36"/>
      <c r="JBZ125" s="36"/>
      <c r="JCA125" s="36"/>
      <c r="JCB125" s="36"/>
      <c r="JCC125" s="36"/>
      <c r="JCD125" s="36"/>
      <c r="JCE125" s="36"/>
      <c r="JCF125" s="36"/>
      <c r="JCG125" s="36"/>
      <c r="JCH125" s="36"/>
      <c r="JCI125" s="36"/>
      <c r="JCJ125" s="36"/>
      <c r="JCK125" s="36"/>
      <c r="JCL125" s="36"/>
      <c r="JCM125" s="36"/>
      <c r="JCN125" s="36"/>
      <c r="JCO125" s="36"/>
      <c r="JCP125" s="36"/>
      <c r="JCQ125" s="36"/>
      <c r="JCR125" s="36"/>
      <c r="JCS125" s="36"/>
      <c r="JCT125" s="36"/>
      <c r="JCU125" s="36"/>
      <c r="JCV125" s="36"/>
      <c r="JCW125" s="36"/>
      <c r="JCX125" s="36"/>
      <c r="JCY125" s="36"/>
      <c r="JCZ125" s="36"/>
      <c r="JDA125" s="36"/>
      <c r="JDB125" s="36"/>
      <c r="JDC125" s="36"/>
      <c r="JDD125" s="36"/>
      <c r="JDE125" s="36"/>
      <c r="JDF125" s="36"/>
      <c r="JDG125" s="36"/>
      <c r="JDH125" s="36"/>
      <c r="JDI125" s="36"/>
      <c r="JDJ125" s="36"/>
      <c r="JDK125" s="36"/>
      <c r="JDL125" s="36"/>
      <c r="JDM125" s="36"/>
      <c r="JDN125" s="36"/>
      <c r="JDO125" s="36"/>
      <c r="JDP125" s="36"/>
      <c r="JDQ125" s="36"/>
      <c r="JDR125" s="36"/>
      <c r="JDS125" s="36"/>
      <c r="JDT125" s="36"/>
      <c r="JDU125" s="36"/>
      <c r="JDV125" s="36"/>
      <c r="JDW125" s="36"/>
      <c r="JDX125" s="36"/>
      <c r="JDY125" s="36"/>
      <c r="JDZ125" s="36"/>
      <c r="JEA125" s="36"/>
      <c r="JEB125" s="36"/>
      <c r="JEC125" s="36"/>
      <c r="JED125" s="36"/>
      <c r="JEE125" s="36"/>
      <c r="JEF125" s="36"/>
      <c r="JEG125" s="36"/>
      <c r="JEH125" s="36"/>
      <c r="JEI125" s="36"/>
      <c r="JEJ125" s="36"/>
      <c r="JEK125" s="36"/>
      <c r="JEL125" s="36"/>
      <c r="JEM125" s="36"/>
      <c r="JEN125" s="36"/>
      <c r="JEO125" s="36"/>
      <c r="JEP125" s="36"/>
      <c r="JEQ125" s="36"/>
      <c r="JER125" s="36"/>
      <c r="JES125" s="36"/>
      <c r="JET125" s="36"/>
      <c r="JEU125" s="36"/>
      <c r="JEV125" s="36"/>
      <c r="JEW125" s="36"/>
      <c r="JEX125" s="36"/>
      <c r="JEY125" s="36"/>
      <c r="JEZ125" s="36"/>
      <c r="JFA125" s="36"/>
      <c r="JFB125" s="36"/>
      <c r="JFC125" s="36"/>
      <c r="JFD125" s="36"/>
      <c r="JFE125" s="36"/>
      <c r="JFF125" s="36"/>
      <c r="JFG125" s="36"/>
      <c r="JFH125" s="36"/>
      <c r="JFI125" s="36"/>
      <c r="JFJ125" s="36"/>
      <c r="JFK125" s="36"/>
      <c r="JFL125" s="36"/>
      <c r="JFM125" s="36"/>
      <c r="JFN125" s="36"/>
      <c r="JFO125" s="36"/>
      <c r="JFP125" s="36"/>
      <c r="JFQ125" s="36"/>
      <c r="JFR125" s="36"/>
      <c r="JFS125" s="36"/>
      <c r="JFT125" s="36"/>
      <c r="JFU125" s="36"/>
      <c r="JFV125" s="36"/>
      <c r="JFW125" s="36"/>
      <c r="JFX125" s="36"/>
      <c r="JFY125" s="36"/>
      <c r="JFZ125" s="36"/>
      <c r="JGA125" s="36"/>
      <c r="JGB125" s="36"/>
      <c r="JGC125" s="36"/>
      <c r="JGD125" s="36"/>
      <c r="JGE125" s="36"/>
      <c r="JGF125" s="36"/>
      <c r="JGG125" s="36"/>
      <c r="JGH125" s="36"/>
      <c r="JGI125" s="36"/>
      <c r="JGJ125" s="36"/>
      <c r="JGK125" s="36"/>
      <c r="JGL125" s="36"/>
      <c r="JGM125" s="36"/>
      <c r="JGN125" s="36"/>
      <c r="JGO125" s="36"/>
      <c r="JGP125" s="36"/>
      <c r="JGQ125" s="36"/>
      <c r="JGR125" s="36"/>
      <c r="JGS125" s="36"/>
      <c r="JGT125" s="36"/>
      <c r="JGU125" s="36"/>
      <c r="JGV125" s="36"/>
      <c r="JGW125" s="36"/>
      <c r="JGX125" s="36"/>
      <c r="JGY125" s="36"/>
      <c r="JGZ125" s="36"/>
      <c r="JHA125" s="36"/>
      <c r="JHB125" s="36"/>
      <c r="JHC125" s="36"/>
      <c r="JHD125" s="36"/>
      <c r="JHE125" s="36"/>
      <c r="JHF125" s="36"/>
      <c r="JHG125" s="36"/>
      <c r="JHH125" s="36"/>
      <c r="JHI125" s="36"/>
      <c r="JHJ125" s="36"/>
      <c r="JHK125" s="36"/>
      <c r="JHL125" s="36"/>
      <c r="JHM125" s="36"/>
      <c r="JHN125" s="36"/>
      <c r="JHO125" s="36"/>
      <c r="JHP125" s="36"/>
      <c r="JHQ125" s="36"/>
      <c r="JHR125" s="36"/>
      <c r="JHS125" s="36"/>
      <c r="JHT125" s="36"/>
      <c r="JHU125" s="36"/>
      <c r="JHV125" s="36"/>
      <c r="JHW125" s="36"/>
      <c r="JHX125" s="36"/>
      <c r="JHY125" s="36"/>
      <c r="JHZ125" s="36"/>
      <c r="JIA125" s="36"/>
      <c r="JIB125" s="36"/>
      <c r="JIC125" s="36"/>
      <c r="JID125" s="36"/>
      <c r="JIE125" s="36"/>
      <c r="JIF125" s="36"/>
      <c r="JIG125" s="36"/>
      <c r="JIH125" s="36"/>
      <c r="JII125" s="36"/>
      <c r="JIJ125" s="36"/>
      <c r="JIK125" s="36"/>
      <c r="JIL125" s="36"/>
      <c r="JIM125" s="36"/>
      <c r="JIN125" s="36"/>
      <c r="JIO125" s="36"/>
      <c r="JIP125" s="36"/>
      <c r="JIQ125" s="36"/>
      <c r="JIR125" s="36"/>
      <c r="JIS125" s="36"/>
      <c r="JIT125" s="36"/>
      <c r="JIU125" s="36"/>
      <c r="JIV125" s="36"/>
      <c r="JIW125" s="36"/>
      <c r="JIX125" s="36"/>
      <c r="JIY125" s="36"/>
      <c r="JIZ125" s="36"/>
      <c r="JJA125" s="36"/>
      <c r="JJB125" s="36"/>
      <c r="JJC125" s="36"/>
      <c r="JJD125" s="36"/>
      <c r="JJE125" s="36"/>
      <c r="JJF125" s="36"/>
      <c r="JJG125" s="36"/>
      <c r="JJH125" s="36"/>
      <c r="JJI125" s="36"/>
      <c r="JJJ125" s="36"/>
      <c r="JJK125" s="36"/>
      <c r="JJL125" s="36"/>
      <c r="JJM125" s="36"/>
      <c r="JJN125" s="36"/>
      <c r="JJO125" s="36"/>
      <c r="JJP125" s="36"/>
      <c r="JJQ125" s="36"/>
      <c r="JJR125" s="36"/>
      <c r="JJS125" s="36"/>
      <c r="JJT125" s="36"/>
      <c r="JJU125" s="36"/>
      <c r="JJV125" s="36"/>
      <c r="JJW125" s="36"/>
      <c r="JJX125" s="36"/>
      <c r="JJY125" s="36"/>
      <c r="JJZ125" s="36"/>
      <c r="JKA125" s="36"/>
      <c r="JKB125" s="36"/>
      <c r="JKC125" s="36"/>
      <c r="JKD125" s="36"/>
      <c r="JKE125" s="36"/>
      <c r="JKF125" s="36"/>
      <c r="JKG125" s="36"/>
      <c r="JKH125" s="36"/>
      <c r="JKI125" s="36"/>
      <c r="JKJ125" s="36"/>
      <c r="JKK125" s="36"/>
      <c r="JKL125" s="36"/>
      <c r="JKM125" s="36"/>
      <c r="JKN125" s="36"/>
      <c r="JKO125" s="36"/>
      <c r="JKP125" s="36"/>
      <c r="JKQ125" s="36"/>
      <c r="JKR125" s="36"/>
      <c r="JKS125" s="36"/>
      <c r="JKT125" s="36"/>
      <c r="JKU125" s="36"/>
      <c r="JKV125" s="36"/>
      <c r="JKW125" s="36"/>
      <c r="JKX125" s="36"/>
      <c r="JKY125" s="36"/>
      <c r="JKZ125" s="36"/>
      <c r="JLA125" s="36"/>
      <c r="JLB125" s="36"/>
      <c r="JLC125" s="36"/>
      <c r="JLD125" s="36"/>
      <c r="JLE125" s="36"/>
      <c r="JLF125" s="36"/>
      <c r="JLG125" s="36"/>
      <c r="JLH125" s="36"/>
      <c r="JLI125" s="36"/>
      <c r="JLJ125" s="36"/>
      <c r="JLK125" s="36"/>
      <c r="JLL125" s="36"/>
      <c r="JLM125" s="36"/>
      <c r="JLN125" s="36"/>
      <c r="JLO125" s="36"/>
      <c r="JLP125" s="36"/>
      <c r="JLQ125" s="36"/>
      <c r="JLR125" s="36"/>
      <c r="JLS125" s="36"/>
      <c r="JLT125" s="36"/>
      <c r="JLU125" s="36"/>
      <c r="JLV125" s="36"/>
      <c r="JLW125" s="36"/>
      <c r="JLX125" s="36"/>
      <c r="JLY125" s="36"/>
      <c r="JLZ125" s="36"/>
      <c r="JMA125" s="36"/>
      <c r="JMB125" s="36"/>
      <c r="JMC125" s="36"/>
      <c r="JMD125" s="36"/>
      <c r="JME125" s="36"/>
      <c r="JMF125" s="36"/>
      <c r="JMG125" s="36"/>
      <c r="JMH125" s="36"/>
      <c r="JMI125" s="36"/>
      <c r="JMJ125" s="36"/>
      <c r="JMK125" s="36"/>
      <c r="JML125" s="36"/>
      <c r="JMM125" s="36"/>
      <c r="JMN125" s="36"/>
      <c r="JMO125" s="36"/>
      <c r="JMP125" s="36"/>
      <c r="JMQ125" s="36"/>
      <c r="JMR125" s="36"/>
      <c r="JMS125" s="36"/>
      <c r="JMT125" s="36"/>
      <c r="JMU125" s="36"/>
      <c r="JMV125" s="36"/>
      <c r="JMW125" s="36"/>
      <c r="JMX125" s="36"/>
      <c r="JMY125" s="36"/>
      <c r="JMZ125" s="36"/>
      <c r="JNA125" s="36"/>
      <c r="JNB125" s="36"/>
      <c r="JNC125" s="36"/>
      <c r="JND125" s="36"/>
      <c r="JNE125" s="36"/>
      <c r="JNF125" s="36"/>
      <c r="JNG125" s="36"/>
      <c r="JNH125" s="36"/>
      <c r="JNI125" s="36"/>
      <c r="JNJ125" s="36"/>
      <c r="JNK125" s="36"/>
      <c r="JNL125" s="36"/>
      <c r="JNM125" s="36"/>
      <c r="JNN125" s="36"/>
      <c r="JNO125" s="36"/>
      <c r="JNP125" s="36"/>
      <c r="JNQ125" s="36"/>
      <c r="JNR125" s="36"/>
      <c r="JNS125" s="36"/>
      <c r="JNT125" s="36"/>
      <c r="JNU125" s="36"/>
      <c r="JNV125" s="36"/>
      <c r="JNW125" s="36"/>
      <c r="JNX125" s="36"/>
      <c r="JNY125" s="36"/>
      <c r="JNZ125" s="36"/>
      <c r="JOA125" s="36"/>
      <c r="JOB125" s="36"/>
      <c r="JOC125" s="36"/>
      <c r="JOD125" s="36"/>
      <c r="JOE125" s="36"/>
      <c r="JOF125" s="36"/>
      <c r="JOG125" s="36"/>
      <c r="JOH125" s="36"/>
      <c r="JOI125" s="36"/>
      <c r="JOJ125" s="36"/>
      <c r="JOK125" s="36"/>
      <c r="JOL125" s="36"/>
      <c r="JOM125" s="36"/>
      <c r="JON125" s="36"/>
      <c r="JOO125" s="36"/>
      <c r="JOP125" s="36"/>
      <c r="JOQ125" s="36"/>
      <c r="JOR125" s="36"/>
      <c r="JOS125" s="36"/>
      <c r="JOT125" s="36"/>
      <c r="JOU125" s="36"/>
      <c r="JOV125" s="36"/>
      <c r="JOW125" s="36"/>
      <c r="JOX125" s="36"/>
      <c r="JOY125" s="36"/>
      <c r="JOZ125" s="36"/>
      <c r="JPA125" s="36"/>
      <c r="JPB125" s="36"/>
      <c r="JPC125" s="36"/>
      <c r="JPD125" s="36"/>
      <c r="JPE125" s="36"/>
      <c r="JPF125" s="36"/>
      <c r="JPG125" s="36"/>
      <c r="JPH125" s="36"/>
      <c r="JPI125" s="36"/>
      <c r="JPJ125" s="36"/>
      <c r="JPK125" s="36"/>
      <c r="JPL125" s="36"/>
      <c r="JPM125" s="36"/>
      <c r="JPN125" s="36"/>
      <c r="JPO125" s="36"/>
      <c r="JPP125" s="36"/>
      <c r="JPQ125" s="36"/>
      <c r="JPR125" s="36"/>
      <c r="JPS125" s="36"/>
      <c r="JPT125" s="36"/>
      <c r="JPU125" s="36"/>
      <c r="JPV125" s="36"/>
      <c r="JPW125" s="36"/>
      <c r="JPX125" s="36"/>
      <c r="JPY125" s="36"/>
      <c r="JPZ125" s="36"/>
      <c r="JQA125" s="36"/>
      <c r="JQB125" s="36"/>
      <c r="JQC125" s="36"/>
      <c r="JQD125" s="36"/>
      <c r="JQE125" s="36"/>
      <c r="JQF125" s="36"/>
      <c r="JQG125" s="36"/>
      <c r="JQH125" s="36"/>
      <c r="JQI125" s="36"/>
      <c r="JQJ125" s="36"/>
      <c r="JQK125" s="36"/>
      <c r="JQL125" s="36"/>
      <c r="JQM125" s="36"/>
      <c r="JQN125" s="36"/>
      <c r="JQO125" s="36"/>
      <c r="JQP125" s="36"/>
      <c r="JQQ125" s="36"/>
      <c r="JQR125" s="36"/>
      <c r="JQS125" s="36"/>
      <c r="JQT125" s="36"/>
      <c r="JQU125" s="36"/>
      <c r="JQV125" s="36"/>
      <c r="JQW125" s="36"/>
      <c r="JQX125" s="36"/>
      <c r="JQY125" s="36"/>
      <c r="JQZ125" s="36"/>
      <c r="JRA125" s="36"/>
      <c r="JRB125" s="36"/>
      <c r="JRC125" s="36"/>
      <c r="JRD125" s="36"/>
      <c r="JRE125" s="36"/>
      <c r="JRF125" s="36"/>
      <c r="JRG125" s="36"/>
      <c r="JRH125" s="36"/>
      <c r="JRI125" s="36"/>
      <c r="JRJ125" s="36"/>
      <c r="JRK125" s="36"/>
      <c r="JRL125" s="36"/>
      <c r="JRM125" s="36"/>
      <c r="JRN125" s="36"/>
      <c r="JRO125" s="36"/>
      <c r="JRP125" s="36"/>
      <c r="JRQ125" s="36"/>
      <c r="JRR125" s="36"/>
      <c r="JRS125" s="36"/>
      <c r="JRT125" s="36"/>
      <c r="JRU125" s="36"/>
      <c r="JRV125" s="36"/>
      <c r="JRW125" s="36"/>
      <c r="JRX125" s="36"/>
      <c r="JRY125" s="36"/>
      <c r="JRZ125" s="36"/>
      <c r="JSA125" s="36"/>
      <c r="JSB125" s="36"/>
      <c r="JSC125" s="36"/>
      <c r="JSD125" s="36"/>
      <c r="JSE125" s="36"/>
      <c r="JSF125" s="36"/>
      <c r="JSG125" s="36"/>
      <c r="JSH125" s="36"/>
      <c r="JSI125" s="36"/>
      <c r="JSJ125" s="36"/>
      <c r="JSK125" s="36"/>
      <c r="JSL125" s="36"/>
      <c r="JSM125" s="36"/>
      <c r="JSN125" s="36"/>
      <c r="JSO125" s="36"/>
      <c r="JSP125" s="36"/>
      <c r="JSQ125" s="36"/>
      <c r="JSR125" s="36"/>
      <c r="JSS125" s="36"/>
      <c r="JST125" s="36"/>
      <c r="JSU125" s="36"/>
      <c r="JSV125" s="36"/>
      <c r="JSW125" s="36"/>
      <c r="JSX125" s="36"/>
      <c r="JSY125" s="36"/>
      <c r="JSZ125" s="36"/>
      <c r="JTA125" s="36"/>
      <c r="JTB125" s="36"/>
      <c r="JTC125" s="36"/>
      <c r="JTD125" s="36"/>
      <c r="JTE125" s="36"/>
      <c r="JTF125" s="36"/>
      <c r="JTG125" s="36"/>
      <c r="JTH125" s="36"/>
      <c r="JTI125" s="36"/>
      <c r="JTJ125" s="36"/>
      <c r="JTK125" s="36"/>
      <c r="JTL125" s="36"/>
      <c r="JTM125" s="36"/>
      <c r="JTN125" s="36"/>
      <c r="JTO125" s="36"/>
      <c r="JTP125" s="36"/>
      <c r="JTQ125" s="36"/>
      <c r="JTR125" s="36"/>
      <c r="JTS125" s="36"/>
      <c r="JTT125" s="36"/>
      <c r="JTU125" s="36"/>
      <c r="JTV125" s="36"/>
      <c r="JTW125" s="36"/>
      <c r="JTX125" s="36"/>
      <c r="JTY125" s="36"/>
      <c r="JTZ125" s="36"/>
      <c r="JUA125" s="36"/>
      <c r="JUB125" s="36"/>
      <c r="JUC125" s="36"/>
      <c r="JUD125" s="36"/>
      <c r="JUE125" s="36"/>
      <c r="JUF125" s="36"/>
      <c r="JUG125" s="36"/>
      <c r="JUH125" s="36"/>
      <c r="JUI125" s="36"/>
      <c r="JUJ125" s="36"/>
      <c r="JUK125" s="36"/>
      <c r="JUL125" s="36"/>
      <c r="JUM125" s="36"/>
      <c r="JUN125" s="36"/>
      <c r="JUO125" s="36"/>
      <c r="JUP125" s="36"/>
      <c r="JUQ125" s="36"/>
      <c r="JUR125" s="36"/>
      <c r="JUS125" s="36"/>
      <c r="JUT125" s="36"/>
      <c r="JUU125" s="36"/>
      <c r="JUV125" s="36"/>
      <c r="JUW125" s="36"/>
      <c r="JUX125" s="36"/>
      <c r="JUY125" s="36"/>
      <c r="JUZ125" s="36"/>
      <c r="JVA125" s="36"/>
      <c r="JVB125" s="36"/>
      <c r="JVC125" s="36"/>
      <c r="JVD125" s="36"/>
      <c r="JVE125" s="36"/>
      <c r="JVF125" s="36"/>
      <c r="JVG125" s="36"/>
      <c r="JVH125" s="36"/>
      <c r="JVI125" s="36"/>
      <c r="JVJ125" s="36"/>
      <c r="JVK125" s="36"/>
      <c r="JVL125" s="36"/>
      <c r="JVM125" s="36"/>
      <c r="JVN125" s="36"/>
      <c r="JVO125" s="36"/>
      <c r="JVP125" s="36"/>
      <c r="JVQ125" s="36"/>
      <c r="JVR125" s="36"/>
      <c r="JVS125" s="36"/>
      <c r="JVT125" s="36"/>
      <c r="JVU125" s="36"/>
      <c r="JVV125" s="36"/>
      <c r="JVW125" s="36"/>
      <c r="JVX125" s="36"/>
      <c r="JVY125" s="36"/>
      <c r="JVZ125" s="36"/>
      <c r="JWA125" s="36"/>
      <c r="JWB125" s="36"/>
      <c r="JWC125" s="36"/>
      <c r="JWD125" s="36"/>
      <c r="JWE125" s="36"/>
      <c r="JWF125" s="36"/>
      <c r="JWG125" s="36"/>
      <c r="JWH125" s="36"/>
      <c r="JWI125" s="36"/>
      <c r="JWJ125" s="36"/>
      <c r="JWK125" s="36"/>
      <c r="JWL125" s="36"/>
      <c r="JWM125" s="36"/>
      <c r="JWN125" s="36"/>
      <c r="JWO125" s="36"/>
      <c r="JWP125" s="36"/>
      <c r="JWQ125" s="36"/>
      <c r="JWR125" s="36"/>
      <c r="JWS125" s="36"/>
      <c r="JWT125" s="36"/>
      <c r="JWU125" s="36"/>
      <c r="JWV125" s="36"/>
      <c r="JWW125" s="36"/>
      <c r="JWX125" s="36"/>
      <c r="JWY125" s="36"/>
      <c r="JWZ125" s="36"/>
      <c r="JXA125" s="36"/>
      <c r="JXB125" s="36"/>
      <c r="JXC125" s="36"/>
      <c r="JXD125" s="36"/>
      <c r="JXE125" s="36"/>
      <c r="JXF125" s="36"/>
      <c r="JXG125" s="36"/>
      <c r="JXH125" s="36"/>
      <c r="JXI125" s="36"/>
      <c r="JXJ125" s="36"/>
      <c r="JXK125" s="36"/>
      <c r="JXL125" s="36"/>
      <c r="JXM125" s="36"/>
      <c r="JXN125" s="36"/>
      <c r="JXO125" s="36"/>
      <c r="JXP125" s="36"/>
      <c r="JXQ125" s="36"/>
      <c r="JXR125" s="36"/>
      <c r="JXS125" s="36"/>
      <c r="JXT125" s="36"/>
      <c r="JXU125" s="36"/>
      <c r="JXV125" s="36"/>
      <c r="JXW125" s="36"/>
      <c r="JXX125" s="36"/>
      <c r="JXY125" s="36"/>
      <c r="JXZ125" s="36"/>
      <c r="JYA125" s="36"/>
      <c r="JYB125" s="36"/>
      <c r="JYC125" s="36"/>
      <c r="JYD125" s="36"/>
      <c r="JYE125" s="36"/>
      <c r="JYF125" s="36"/>
      <c r="JYG125" s="36"/>
      <c r="JYH125" s="36"/>
      <c r="JYI125" s="36"/>
      <c r="JYJ125" s="36"/>
      <c r="JYK125" s="36"/>
      <c r="JYL125" s="36"/>
      <c r="JYM125" s="36"/>
      <c r="JYN125" s="36"/>
      <c r="JYO125" s="36"/>
      <c r="JYP125" s="36"/>
      <c r="JYQ125" s="36"/>
      <c r="JYR125" s="36"/>
      <c r="JYS125" s="36"/>
      <c r="JYT125" s="36"/>
      <c r="JYU125" s="36"/>
      <c r="JYV125" s="36"/>
      <c r="JYW125" s="36"/>
      <c r="JYX125" s="36"/>
      <c r="JYY125" s="36"/>
      <c r="JYZ125" s="36"/>
      <c r="JZA125" s="36"/>
      <c r="JZB125" s="36"/>
      <c r="JZC125" s="36"/>
      <c r="JZD125" s="36"/>
      <c r="JZE125" s="36"/>
      <c r="JZF125" s="36"/>
      <c r="JZG125" s="36"/>
      <c r="JZH125" s="36"/>
      <c r="JZI125" s="36"/>
      <c r="JZJ125" s="36"/>
      <c r="JZK125" s="36"/>
      <c r="JZL125" s="36"/>
      <c r="JZM125" s="36"/>
      <c r="JZN125" s="36"/>
      <c r="JZO125" s="36"/>
      <c r="JZP125" s="36"/>
      <c r="JZQ125" s="36"/>
      <c r="JZR125" s="36"/>
      <c r="JZS125" s="36"/>
      <c r="JZT125" s="36"/>
      <c r="JZU125" s="36"/>
      <c r="JZV125" s="36"/>
      <c r="JZW125" s="36"/>
      <c r="JZX125" s="36"/>
      <c r="JZY125" s="36"/>
      <c r="JZZ125" s="36"/>
      <c r="KAA125" s="36"/>
      <c r="KAB125" s="36"/>
      <c r="KAC125" s="36"/>
      <c r="KAD125" s="36"/>
      <c r="KAE125" s="36"/>
      <c r="KAF125" s="36"/>
      <c r="KAG125" s="36"/>
      <c r="KAH125" s="36"/>
      <c r="KAI125" s="36"/>
      <c r="KAJ125" s="36"/>
      <c r="KAK125" s="36"/>
      <c r="KAL125" s="36"/>
      <c r="KAM125" s="36"/>
      <c r="KAN125" s="36"/>
      <c r="KAO125" s="36"/>
      <c r="KAP125" s="36"/>
      <c r="KAQ125" s="36"/>
      <c r="KAR125" s="36"/>
      <c r="KAS125" s="36"/>
      <c r="KAT125" s="36"/>
      <c r="KAU125" s="36"/>
      <c r="KAV125" s="36"/>
      <c r="KAW125" s="36"/>
      <c r="KAX125" s="36"/>
      <c r="KAY125" s="36"/>
      <c r="KAZ125" s="36"/>
      <c r="KBA125" s="36"/>
      <c r="KBB125" s="36"/>
      <c r="KBC125" s="36"/>
      <c r="KBD125" s="36"/>
      <c r="KBE125" s="36"/>
      <c r="KBF125" s="36"/>
      <c r="KBG125" s="36"/>
      <c r="KBH125" s="36"/>
      <c r="KBI125" s="36"/>
      <c r="KBJ125" s="36"/>
      <c r="KBK125" s="36"/>
      <c r="KBL125" s="36"/>
      <c r="KBM125" s="36"/>
      <c r="KBN125" s="36"/>
      <c r="KBO125" s="36"/>
      <c r="KBP125" s="36"/>
      <c r="KBQ125" s="36"/>
      <c r="KBR125" s="36"/>
      <c r="KBS125" s="36"/>
      <c r="KBT125" s="36"/>
      <c r="KBU125" s="36"/>
      <c r="KBV125" s="36"/>
      <c r="KBW125" s="36"/>
      <c r="KBX125" s="36"/>
      <c r="KBY125" s="36"/>
      <c r="KBZ125" s="36"/>
      <c r="KCA125" s="36"/>
      <c r="KCB125" s="36"/>
      <c r="KCC125" s="36"/>
      <c r="KCD125" s="36"/>
      <c r="KCE125" s="36"/>
      <c r="KCF125" s="36"/>
      <c r="KCG125" s="36"/>
      <c r="KCH125" s="36"/>
      <c r="KCI125" s="36"/>
      <c r="KCJ125" s="36"/>
      <c r="KCK125" s="36"/>
      <c r="KCL125" s="36"/>
      <c r="KCM125" s="36"/>
      <c r="KCN125" s="36"/>
      <c r="KCO125" s="36"/>
      <c r="KCP125" s="36"/>
      <c r="KCQ125" s="36"/>
      <c r="KCR125" s="36"/>
      <c r="KCS125" s="36"/>
      <c r="KCT125" s="36"/>
      <c r="KCU125" s="36"/>
      <c r="KCV125" s="36"/>
      <c r="KCW125" s="36"/>
      <c r="KCX125" s="36"/>
      <c r="KCY125" s="36"/>
      <c r="KCZ125" s="36"/>
      <c r="KDA125" s="36"/>
      <c r="KDB125" s="36"/>
      <c r="KDC125" s="36"/>
      <c r="KDD125" s="36"/>
      <c r="KDE125" s="36"/>
      <c r="KDF125" s="36"/>
      <c r="KDG125" s="36"/>
      <c r="KDH125" s="36"/>
      <c r="KDI125" s="36"/>
      <c r="KDJ125" s="36"/>
      <c r="KDK125" s="36"/>
      <c r="KDL125" s="36"/>
      <c r="KDM125" s="36"/>
      <c r="KDN125" s="36"/>
      <c r="KDO125" s="36"/>
      <c r="KDP125" s="36"/>
      <c r="KDQ125" s="36"/>
      <c r="KDR125" s="36"/>
      <c r="KDS125" s="36"/>
      <c r="KDT125" s="36"/>
      <c r="KDU125" s="36"/>
      <c r="KDV125" s="36"/>
      <c r="KDW125" s="36"/>
      <c r="KDX125" s="36"/>
      <c r="KDY125" s="36"/>
      <c r="KDZ125" s="36"/>
      <c r="KEA125" s="36"/>
      <c r="KEB125" s="36"/>
      <c r="KEC125" s="36"/>
      <c r="KED125" s="36"/>
      <c r="KEE125" s="36"/>
      <c r="KEF125" s="36"/>
      <c r="KEG125" s="36"/>
      <c r="KEH125" s="36"/>
      <c r="KEI125" s="36"/>
      <c r="KEJ125" s="36"/>
      <c r="KEK125" s="36"/>
      <c r="KEL125" s="36"/>
      <c r="KEM125" s="36"/>
      <c r="KEN125" s="36"/>
      <c r="KEO125" s="36"/>
      <c r="KEP125" s="36"/>
      <c r="KEQ125" s="36"/>
      <c r="KER125" s="36"/>
      <c r="KES125" s="36"/>
      <c r="KET125" s="36"/>
      <c r="KEU125" s="36"/>
      <c r="KEV125" s="36"/>
      <c r="KEW125" s="36"/>
      <c r="KEX125" s="36"/>
      <c r="KEY125" s="36"/>
      <c r="KEZ125" s="36"/>
      <c r="KFA125" s="36"/>
      <c r="KFB125" s="36"/>
      <c r="KFC125" s="36"/>
      <c r="KFD125" s="36"/>
      <c r="KFE125" s="36"/>
      <c r="KFF125" s="36"/>
      <c r="KFG125" s="36"/>
      <c r="KFH125" s="36"/>
      <c r="KFI125" s="36"/>
      <c r="KFJ125" s="36"/>
      <c r="KFK125" s="36"/>
      <c r="KFL125" s="36"/>
      <c r="KFM125" s="36"/>
      <c r="KFN125" s="36"/>
      <c r="KFO125" s="36"/>
      <c r="KFP125" s="36"/>
      <c r="KFQ125" s="36"/>
      <c r="KFR125" s="36"/>
      <c r="KFS125" s="36"/>
      <c r="KFT125" s="36"/>
      <c r="KFU125" s="36"/>
      <c r="KFV125" s="36"/>
      <c r="KFW125" s="36"/>
      <c r="KFX125" s="36"/>
      <c r="KFY125" s="36"/>
      <c r="KFZ125" s="36"/>
      <c r="KGA125" s="36"/>
      <c r="KGB125" s="36"/>
      <c r="KGC125" s="36"/>
      <c r="KGD125" s="36"/>
      <c r="KGE125" s="36"/>
      <c r="KGF125" s="36"/>
      <c r="KGG125" s="36"/>
      <c r="KGH125" s="36"/>
      <c r="KGI125" s="36"/>
      <c r="KGJ125" s="36"/>
      <c r="KGK125" s="36"/>
      <c r="KGL125" s="36"/>
      <c r="KGM125" s="36"/>
      <c r="KGN125" s="36"/>
      <c r="KGO125" s="36"/>
      <c r="KGP125" s="36"/>
      <c r="KGQ125" s="36"/>
      <c r="KGR125" s="36"/>
      <c r="KGS125" s="36"/>
      <c r="KGT125" s="36"/>
      <c r="KGU125" s="36"/>
      <c r="KGV125" s="36"/>
      <c r="KGW125" s="36"/>
      <c r="KGX125" s="36"/>
      <c r="KGY125" s="36"/>
      <c r="KGZ125" s="36"/>
      <c r="KHA125" s="36"/>
      <c r="KHB125" s="36"/>
      <c r="KHC125" s="36"/>
      <c r="KHD125" s="36"/>
      <c r="KHE125" s="36"/>
      <c r="KHF125" s="36"/>
      <c r="KHG125" s="36"/>
      <c r="KHH125" s="36"/>
      <c r="KHI125" s="36"/>
      <c r="KHJ125" s="36"/>
      <c r="KHK125" s="36"/>
      <c r="KHL125" s="36"/>
      <c r="KHM125" s="36"/>
      <c r="KHN125" s="36"/>
      <c r="KHO125" s="36"/>
      <c r="KHP125" s="36"/>
      <c r="KHQ125" s="36"/>
      <c r="KHR125" s="36"/>
      <c r="KHS125" s="36"/>
      <c r="KHT125" s="36"/>
      <c r="KHU125" s="36"/>
      <c r="KHV125" s="36"/>
      <c r="KHW125" s="36"/>
      <c r="KHX125" s="36"/>
      <c r="KHY125" s="36"/>
      <c r="KHZ125" s="36"/>
      <c r="KIA125" s="36"/>
      <c r="KIB125" s="36"/>
      <c r="KIC125" s="36"/>
      <c r="KID125" s="36"/>
      <c r="KIE125" s="36"/>
      <c r="KIF125" s="36"/>
      <c r="KIG125" s="36"/>
      <c r="KIH125" s="36"/>
      <c r="KII125" s="36"/>
      <c r="KIJ125" s="36"/>
      <c r="KIK125" s="36"/>
      <c r="KIL125" s="36"/>
      <c r="KIM125" s="36"/>
      <c r="KIN125" s="36"/>
      <c r="KIO125" s="36"/>
      <c r="KIP125" s="36"/>
      <c r="KIQ125" s="36"/>
      <c r="KIR125" s="36"/>
      <c r="KIS125" s="36"/>
      <c r="KIT125" s="36"/>
      <c r="KIU125" s="36"/>
      <c r="KIV125" s="36"/>
      <c r="KIW125" s="36"/>
      <c r="KIX125" s="36"/>
      <c r="KIY125" s="36"/>
      <c r="KIZ125" s="36"/>
      <c r="KJA125" s="36"/>
      <c r="KJB125" s="36"/>
      <c r="KJC125" s="36"/>
      <c r="KJD125" s="36"/>
      <c r="KJE125" s="36"/>
      <c r="KJF125" s="36"/>
      <c r="KJG125" s="36"/>
      <c r="KJH125" s="36"/>
      <c r="KJI125" s="36"/>
      <c r="KJJ125" s="36"/>
      <c r="KJK125" s="36"/>
      <c r="KJL125" s="36"/>
      <c r="KJM125" s="36"/>
      <c r="KJN125" s="36"/>
      <c r="KJO125" s="36"/>
      <c r="KJP125" s="36"/>
      <c r="KJQ125" s="36"/>
      <c r="KJR125" s="36"/>
      <c r="KJS125" s="36"/>
      <c r="KJT125" s="36"/>
      <c r="KJU125" s="36"/>
      <c r="KJV125" s="36"/>
      <c r="KJW125" s="36"/>
      <c r="KJX125" s="36"/>
      <c r="KJY125" s="36"/>
      <c r="KJZ125" s="36"/>
      <c r="KKA125" s="36"/>
      <c r="KKB125" s="36"/>
      <c r="KKC125" s="36"/>
      <c r="KKD125" s="36"/>
      <c r="KKE125" s="36"/>
      <c r="KKF125" s="36"/>
      <c r="KKG125" s="36"/>
      <c r="KKH125" s="36"/>
      <c r="KKI125" s="36"/>
      <c r="KKJ125" s="36"/>
      <c r="KKK125" s="36"/>
      <c r="KKL125" s="36"/>
      <c r="KKM125" s="36"/>
      <c r="KKN125" s="36"/>
      <c r="KKO125" s="36"/>
      <c r="KKP125" s="36"/>
      <c r="KKQ125" s="36"/>
      <c r="KKR125" s="36"/>
      <c r="KKS125" s="36"/>
      <c r="KKT125" s="36"/>
      <c r="KKU125" s="36"/>
      <c r="KKV125" s="36"/>
      <c r="KKW125" s="36"/>
      <c r="KKX125" s="36"/>
      <c r="KKY125" s="36"/>
      <c r="KKZ125" s="36"/>
      <c r="KLA125" s="36"/>
      <c r="KLB125" s="36"/>
      <c r="KLC125" s="36"/>
      <c r="KLD125" s="36"/>
      <c r="KLE125" s="36"/>
      <c r="KLF125" s="36"/>
      <c r="KLG125" s="36"/>
      <c r="KLH125" s="36"/>
      <c r="KLI125" s="36"/>
      <c r="KLJ125" s="36"/>
      <c r="KLK125" s="36"/>
      <c r="KLL125" s="36"/>
      <c r="KLM125" s="36"/>
      <c r="KLN125" s="36"/>
      <c r="KLO125" s="36"/>
      <c r="KLP125" s="36"/>
      <c r="KLQ125" s="36"/>
      <c r="KLR125" s="36"/>
      <c r="KLS125" s="36"/>
      <c r="KLT125" s="36"/>
      <c r="KLU125" s="36"/>
      <c r="KLV125" s="36"/>
      <c r="KLW125" s="36"/>
      <c r="KLX125" s="36"/>
      <c r="KLY125" s="36"/>
      <c r="KLZ125" s="36"/>
      <c r="KMA125" s="36"/>
      <c r="KMB125" s="36"/>
      <c r="KMC125" s="36"/>
      <c r="KMD125" s="36"/>
      <c r="KME125" s="36"/>
      <c r="KMF125" s="36"/>
      <c r="KMG125" s="36"/>
      <c r="KMH125" s="36"/>
      <c r="KMI125" s="36"/>
      <c r="KMJ125" s="36"/>
      <c r="KMK125" s="36"/>
      <c r="KML125" s="36"/>
      <c r="KMM125" s="36"/>
      <c r="KMN125" s="36"/>
      <c r="KMO125" s="36"/>
      <c r="KMP125" s="36"/>
      <c r="KMQ125" s="36"/>
      <c r="KMR125" s="36"/>
      <c r="KMS125" s="36"/>
      <c r="KMT125" s="36"/>
      <c r="KMU125" s="36"/>
      <c r="KMV125" s="36"/>
      <c r="KMW125" s="36"/>
      <c r="KMX125" s="36"/>
      <c r="KMY125" s="36"/>
      <c r="KMZ125" s="36"/>
      <c r="KNA125" s="36"/>
      <c r="KNB125" s="36"/>
      <c r="KNC125" s="36"/>
      <c r="KND125" s="36"/>
      <c r="KNE125" s="36"/>
      <c r="KNF125" s="36"/>
      <c r="KNG125" s="36"/>
      <c r="KNH125" s="36"/>
      <c r="KNI125" s="36"/>
      <c r="KNJ125" s="36"/>
      <c r="KNK125" s="36"/>
      <c r="KNL125" s="36"/>
      <c r="KNM125" s="36"/>
      <c r="KNN125" s="36"/>
      <c r="KNO125" s="36"/>
      <c r="KNP125" s="36"/>
      <c r="KNQ125" s="36"/>
      <c r="KNR125" s="36"/>
      <c r="KNS125" s="36"/>
      <c r="KNT125" s="36"/>
      <c r="KNU125" s="36"/>
      <c r="KNV125" s="36"/>
      <c r="KNW125" s="36"/>
      <c r="KNX125" s="36"/>
      <c r="KNY125" s="36"/>
      <c r="KNZ125" s="36"/>
      <c r="KOA125" s="36"/>
      <c r="KOB125" s="36"/>
      <c r="KOC125" s="36"/>
      <c r="KOD125" s="36"/>
      <c r="KOE125" s="36"/>
      <c r="KOF125" s="36"/>
      <c r="KOG125" s="36"/>
      <c r="KOH125" s="36"/>
      <c r="KOI125" s="36"/>
      <c r="KOJ125" s="36"/>
      <c r="KOK125" s="36"/>
      <c r="KOL125" s="36"/>
      <c r="KOM125" s="36"/>
      <c r="KON125" s="36"/>
      <c r="KOO125" s="36"/>
      <c r="KOP125" s="36"/>
      <c r="KOQ125" s="36"/>
      <c r="KOR125" s="36"/>
      <c r="KOS125" s="36"/>
      <c r="KOT125" s="36"/>
      <c r="KOU125" s="36"/>
      <c r="KOV125" s="36"/>
      <c r="KOW125" s="36"/>
      <c r="KOX125" s="36"/>
      <c r="KOY125" s="36"/>
      <c r="KOZ125" s="36"/>
      <c r="KPA125" s="36"/>
      <c r="KPB125" s="36"/>
      <c r="KPC125" s="36"/>
      <c r="KPD125" s="36"/>
      <c r="KPE125" s="36"/>
      <c r="KPF125" s="36"/>
      <c r="KPG125" s="36"/>
      <c r="KPH125" s="36"/>
      <c r="KPI125" s="36"/>
      <c r="KPJ125" s="36"/>
      <c r="KPK125" s="36"/>
      <c r="KPL125" s="36"/>
      <c r="KPM125" s="36"/>
      <c r="KPN125" s="36"/>
      <c r="KPO125" s="36"/>
      <c r="KPP125" s="36"/>
      <c r="KPQ125" s="36"/>
      <c r="KPR125" s="36"/>
      <c r="KPS125" s="36"/>
      <c r="KPT125" s="36"/>
      <c r="KPU125" s="36"/>
      <c r="KPV125" s="36"/>
      <c r="KPW125" s="36"/>
      <c r="KPX125" s="36"/>
      <c r="KPY125" s="36"/>
      <c r="KPZ125" s="36"/>
      <c r="KQA125" s="36"/>
      <c r="KQB125" s="36"/>
      <c r="KQC125" s="36"/>
      <c r="KQD125" s="36"/>
      <c r="KQE125" s="36"/>
      <c r="KQF125" s="36"/>
      <c r="KQG125" s="36"/>
      <c r="KQH125" s="36"/>
      <c r="KQI125" s="36"/>
      <c r="KQJ125" s="36"/>
      <c r="KQK125" s="36"/>
      <c r="KQL125" s="36"/>
      <c r="KQM125" s="36"/>
      <c r="KQN125" s="36"/>
      <c r="KQO125" s="36"/>
      <c r="KQP125" s="36"/>
      <c r="KQQ125" s="36"/>
      <c r="KQR125" s="36"/>
      <c r="KQS125" s="36"/>
      <c r="KQT125" s="36"/>
      <c r="KQU125" s="36"/>
      <c r="KQV125" s="36"/>
      <c r="KQW125" s="36"/>
      <c r="KQX125" s="36"/>
      <c r="KQY125" s="36"/>
      <c r="KQZ125" s="36"/>
      <c r="KRA125" s="36"/>
      <c r="KRB125" s="36"/>
      <c r="KRC125" s="36"/>
      <c r="KRD125" s="36"/>
      <c r="KRE125" s="36"/>
      <c r="KRF125" s="36"/>
      <c r="KRG125" s="36"/>
      <c r="KRH125" s="36"/>
      <c r="KRI125" s="36"/>
      <c r="KRJ125" s="36"/>
      <c r="KRK125" s="36"/>
      <c r="KRL125" s="36"/>
      <c r="KRM125" s="36"/>
      <c r="KRN125" s="36"/>
      <c r="KRO125" s="36"/>
      <c r="KRP125" s="36"/>
      <c r="KRQ125" s="36"/>
      <c r="KRR125" s="36"/>
      <c r="KRS125" s="36"/>
      <c r="KRT125" s="36"/>
      <c r="KRU125" s="36"/>
      <c r="KRV125" s="36"/>
      <c r="KRW125" s="36"/>
      <c r="KRX125" s="36"/>
      <c r="KRY125" s="36"/>
      <c r="KRZ125" s="36"/>
      <c r="KSA125" s="36"/>
      <c r="KSB125" s="36"/>
      <c r="KSC125" s="36"/>
      <c r="KSD125" s="36"/>
      <c r="KSE125" s="36"/>
      <c r="KSF125" s="36"/>
      <c r="KSG125" s="36"/>
      <c r="KSH125" s="36"/>
      <c r="KSI125" s="36"/>
      <c r="KSJ125" s="36"/>
      <c r="KSK125" s="36"/>
      <c r="KSL125" s="36"/>
      <c r="KSM125" s="36"/>
      <c r="KSN125" s="36"/>
      <c r="KSO125" s="36"/>
      <c r="KSP125" s="36"/>
      <c r="KSQ125" s="36"/>
      <c r="KSR125" s="36"/>
      <c r="KSS125" s="36"/>
      <c r="KST125" s="36"/>
      <c r="KSU125" s="36"/>
      <c r="KSV125" s="36"/>
      <c r="KSW125" s="36"/>
      <c r="KSX125" s="36"/>
      <c r="KSY125" s="36"/>
      <c r="KSZ125" s="36"/>
      <c r="KTA125" s="36"/>
      <c r="KTB125" s="36"/>
      <c r="KTC125" s="36"/>
      <c r="KTD125" s="36"/>
      <c r="KTE125" s="36"/>
      <c r="KTF125" s="36"/>
      <c r="KTG125" s="36"/>
      <c r="KTH125" s="36"/>
      <c r="KTI125" s="36"/>
      <c r="KTJ125" s="36"/>
      <c r="KTK125" s="36"/>
      <c r="KTL125" s="36"/>
      <c r="KTM125" s="36"/>
      <c r="KTN125" s="36"/>
      <c r="KTO125" s="36"/>
      <c r="KTP125" s="36"/>
      <c r="KTQ125" s="36"/>
      <c r="KTR125" s="36"/>
      <c r="KTS125" s="36"/>
      <c r="KTT125" s="36"/>
      <c r="KTU125" s="36"/>
      <c r="KTV125" s="36"/>
      <c r="KTW125" s="36"/>
      <c r="KTX125" s="36"/>
      <c r="KTY125" s="36"/>
      <c r="KTZ125" s="36"/>
      <c r="KUA125" s="36"/>
      <c r="KUB125" s="36"/>
      <c r="KUC125" s="36"/>
      <c r="KUD125" s="36"/>
      <c r="KUE125" s="36"/>
      <c r="KUF125" s="36"/>
      <c r="KUG125" s="36"/>
      <c r="KUH125" s="36"/>
      <c r="KUI125" s="36"/>
      <c r="KUJ125" s="36"/>
      <c r="KUK125" s="36"/>
      <c r="KUL125" s="36"/>
      <c r="KUM125" s="36"/>
      <c r="KUN125" s="36"/>
      <c r="KUO125" s="36"/>
      <c r="KUP125" s="36"/>
      <c r="KUQ125" s="36"/>
      <c r="KUR125" s="36"/>
      <c r="KUS125" s="36"/>
      <c r="KUT125" s="36"/>
      <c r="KUU125" s="36"/>
      <c r="KUV125" s="36"/>
      <c r="KUW125" s="36"/>
      <c r="KUX125" s="36"/>
      <c r="KUY125" s="36"/>
      <c r="KUZ125" s="36"/>
      <c r="KVA125" s="36"/>
      <c r="KVB125" s="36"/>
      <c r="KVC125" s="36"/>
      <c r="KVD125" s="36"/>
      <c r="KVE125" s="36"/>
      <c r="KVF125" s="36"/>
      <c r="KVG125" s="36"/>
      <c r="KVH125" s="36"/>
      <c r="KVI125" s="36"/>
      <c r="KVJ125" s="36"/>
      <c r="KVK125" s="36"/>
      <c r="KVL125" s="36"/>
      <c r="KVM125" s="36"/>
      <c r="KVN125" s="36"/>
      <c r="KVO125" s="36"/>
      <c r="KVP125" s="36"/>
      <c r="KVQ125" s="36"/>
      <c r="KVR125" s="36"/>
      <c r="KVS125" s="36"/>
      <c r="KVT125" s="36"/>
      <c r="KVU125" s="36"/>
      <c r="KVV125" s="36"/>
      <c r="KVW125" s="36"/>
      <c r="KVX125" s="36"/>
      <c r="KVY125" s="36"/>
      <c r="KVZ125" s="36"/>
      <c r="KWA125" s="36"/>
      <c r="KWB125" s="36"/>
      <c r="KWC125" s="36"/>
      <c r="KWD125" s="36"/>
      <c r="KWE125" s="36"/>
      <c r="KWF125" s="36"/>
      <c r="KWG125" s="36"/>
      <c r="KWH125" s="36"/>
      <c r="KWI125" s="36"/>
      <c r="KWJ125" s="36"/>
      <c r="KWK125" s="36"/>
      <c r="KWL125" s="36"/>
      <c r="KWM125" s="36"/>
      <c r="KWN125" s="36"/>
      <c r="KWO125" s="36"/>
      <c r="KWP125" s="36"/>
      <c r="KWQ125" s="36"/>
      <c r="KWR125" s="36"/>
      <c r="KWS125" s="36"/>
      <c r="KWT125" s="36"/>
      <c r="KWU125" s="36"/>
      <c r="KWV125" s="36"/>
      <c r="KWW125" s="36"/>
      <c r="KWX125" s="36"/>
      <c r="KWY125" s="36"/>
      <c r="KWZ125" s="36"/>
      <c r="KXA125" s="36"/>
      <c r="KXB125" s="36"/>
      <c r="KXC125" s="36"/>
      <c r="KXD125" s="36"/>
      <c r="KXE125" s="36"/>
      <c r="KXF125" s="36"/>
      <c r="KXG125" s="36"/>
      <c r="KXH125" s="36"/>
      <c r="KXI125" s="36"/>
      <c r="KXJ125" s="36"/>
      <c r="KXK125" s="36"/>
      <c r="KXL125" s="36"/>
      <c r="KXM125" s="36"/>
      <c r="KXN125" s="36"/>
      <c r="KXO125" s="36"/>
      <c r="KXP125" s="36"/>
      <c r="KXQ125" s="36"/>
      <c r="KXR125" s="36"/>
      <c r="KXS125" s="36"/>
      <c r="KXT125" s="36"/>
      <c r="KXU125" s="36"/>
      <c r="KXV125" s="36"/>
      <c r="KXW125" s="36"/>
      <c r="KXX125" s="36"/>
      <c r="KXY125" s="36"/>
      <c r="KXZ125" s="36"/>
      <c r="KYA125" s="36"/>
      <c r="KYB125" s="36"/>
      <c r="KYC125" s="36"/>
      <c r="KYD125" s="36"/>
      <c r="KYE125" s="36"/>
      <c r="KYF125" s="36"/>
      <c r="KYG125" s="36"/>
      <c r="KYH125" s="36"/>
      <c r="KYI125" s="36"/>
      <c r="KYJ125" s="36"/>
      <c r="KYK125" s="36"/>
      <c r="KYL125" s="36"/>
      <c r="KYM125" s="36"/>
      <c r="KYN125" s="36"/>
      <c r="KYO125" s="36"/>
      <c r="KYP125" s="36"/>
      <c r="KYQ125" s="36"/>
      <c r="KYR125" s="36"/>
      <c r="KYS125" s="36"/>
      <c r="KYT125" s="36"/>
      <c r="KYU125" s="36"/>
      <c r="KYV125" s="36"/>
      <c r="KYW125" s="36"/>
      <c r="KYX125" s="36"/>
      <c r="KYY125" s="36"/>
      <c r="KYZ125" s="36"/>
      <c r="KZA125" s="36"/>
      <c r="KZB125" s="36"/>
      <c r="KZC125" s="36"/>
      <c r="KZD125" s="36"/>
      <c r="KZE125" s="36"/>
      <c r="KZF125" s="36"/>
      <c r="KZG125" s="36"/>
      <c r="KZH125" s="36"/>
      <c r="KZI125" s="36"/>
      <c r="KZJ125" s="36"/>
      <c r="KZK125" s="36"/>
      <c r="KZL125" s="36"/>
      <c r="KZM125" s="36"/>
      <c r="KZN125" s="36"/>
      <c r="KZO125" s="36"/>
      <c r="KZP125" s="36"/>
      <c r="KZQ125" s="36"/>
      <c r="KZR125" s="36"/>
      <c r="KZS125" s="36"/>
      <c r="KZT125" s="36"/>
      <c r="KZU125" s="36"/>
      <c r="KZV125" s="36"/>
      <c r="KZW125" s="36"/>
      <c r="KZX125" s="36"/>
      <c r="KZY125" s="36"/>
      <c r="KZZ125" s="36"/>
      <c r="LAA125" s="36"/>
      <c r="LAB125" s="36"/>
      <c r="LAC125" s="36"/>
      <c r="LAD125" s="36"/>
      <c r="LAE125" s="36"/>
      <c r="LAF125" s="36"/>
      <c r="LAG125" s="36"/>
      <c r="LAH125" s="36"/>
      <c r="LAI125" s="36"/>
      <c r="LAJ125" s="36"/>
      <c r="LAK125" s="36"/>
      <c r="LAL125" s="36"/>
      <c r="LAM125" s="36"/>
      <c r="LAN125" s="36"/>
      <c r="LAO125" s="36"/>
      <c r="LAP125" s="36"/>
      <c r="LAQ125" s="36"/>
      <c r="LAR125" s="36"/>
      <c r="LAS125" s="36"/>
      <c r="LAT125" s="36"/>
      <c r="LAU125" s="36"/>
      <c r="LAV125" s="36"/>
      <c r="LAW125" s="36"/>
      <c r="LAX125" s="36"/>
      <c r="LAY125" s="36"/>
      <c r="LAZ125" s="36"/>
      <c r="LBA125" s="36"/>
      <c r="LBB125" s="36"/>
      <c r="LBC125" s="36"/>
      <c r="LBD125" s="36"/>
      <c r="LBE125" s="36"/>
      <c r="LBF125" s="36"/>
      <c r="LBG125" s="36"/>
      <c r="LBH125" s="36"/>
      <c r="LBI125" s="36"/>
      <c r="LBJ125" s="36"/>
      <c r="LBK125" s="36"/>
      <c r="LBL125" s="36"/>
      <c r="LBM125" s="36"/>
      <c r="LBN125" s="36"/>
      <c r="LBO125" s="36"/>
      <c r="LBP125" s="36"/>
      <c r="LBQ125" s="36"/>
      <c r="LBR125" s="36"/>
      <c r="LBS125" s="36"/>
      <c r="LBT125" s="36"/>
      <c r="LBU125" s="36"/>
      <c r="LBV125" s="36"/>
      <c r="LBW125" s="36"/>
      <c r="LBX125" s="36"/>
      <c r="LBY125" s="36"/>
      <c r="LBZ125" s="36"/>
      <c r="LCA125" s="36"/>
      <c r="LCB125" s="36"/>
      <c r="LCC125" s="36"/>
      <c r="LCD125" s="36"/>
      <c r="LCE125" s="36"/>
      <c r="LCF125" s="36"/>
      <c r="LCG125" s="36"/>
      <c r="LCH125" s="36"/>
      <c r="LCI125" s="36"/>
      <c r="LCJ125" s="36"/>
      <c r="LCK125" s="36"/>
      <c r="LCL125" s="36"/>
      <c r="LCM125" s="36"/>
      <c r="LCN125" s="36"/>
      <c r="LCO125" s="36"/>
      <c r="LCP125" s="36"/>
      <c r="LCQ125" s="36"/>
      <c r="LCR125" s="36"/>
      <c r="LCS125" s="36"/>
      <c r="LCT125" s="36"/>
      <c r="LCU125" s="36"/>
      <c r="LCV125" s="36"/>
      <c r="LCW125" s="36"/>
      <c r="LCX125" s="36"/>
      <c r="LCY125" s="36"/>
      <c r="LCZ125" s="36"/>
      <c r="LDA125" s="36"/>
      <c r="LDB125" s="36"/>
      <c r="LDC125" s="36"/>
      <c r="LDD125" s="36"/>
      <c r="LDE125" s="36"/>
      <c r="LDF125" s="36"/>
      <c r="LDG125" s="36"/>
      <c r="LDH125" s="36"/>
      <c r="LDI125" s="36"/>
      <c r="LDJ125" s="36"/>
      <c r="LDK125" s="36"/>
      <c r="LDL125" s="36"/>
      <c r="LDM125" s="36"/>
      <c r="LDN125" s="36"/>
      <c r="LDO125" s="36"/>
      <c r="LDP125" s="36"/>
      <c r="LDQ125" s="36"/>
      <c r="LDR125" s="36"/>
      <c r="LDS125" s="36"/>
      <c r="LDT125" s="36"/>
      <c r="LDU125" s="36"/>
      <c r="LDV125" s="36"/>
      <c r="LDW125" s="36"/>
      <c r="LDX125" s="36"/>
      <c r="LDY125" s="36"/>
      <c r="LDZ125" s="36"/>
      <c r="LEA125" s="36"/>
      <c r="LEB125" s="36"/>
      <c r="LEC125" s="36"/>
      <c r="LED125" s="36"/>
      <c r="LEE125" s="36"/>
      <c r="LEF125" s="36"/>
      <c r="LEG125" s="36"/>
      <c r="LEH125" s="36"/>
      <c r="LEI125" s="36"/>
      <c r="LEJ125" s="36"/>
      <c r="LEK125" s="36"/>
      <c r="LEL125" s="36"/>
      <c r="LEM125" s="36"/>
      <c r="LEN125" s="36"/>
      <c r="LEO125" s="36"/>
      <c r="LEP125" s="36"/>
      <c r="LEQ125" s="36"/>
      <c r="LER125" s="36"/>
      <c r="LES125" s="36"/>
      <c r="LET125" s="36"/>
      <c r="LEU125" s="36"/>
      <c r="LEV125" s="36"/>
      <c r="LEW125" s="36"/>
      <c r="LEX125" s="36"/>
      <c r="LEY125" s="36"/>
      <c r="LEZ125" s="36"/>
      <c r="LFA125" s="36"/>
      <c r="LFB125" s="36"/>
      <c r="LFC125" s="36"/>
      <c r="LFD125" s="36"/>
      <c r="LFE125" s="36"/>
      <c r="LFF125" s="36"/>
      <c r="LFG125" s="36"/>
      <c r="LFH125" s="36"/>
      <c r="LFI125" s="36"/>
      <c r="LFJ125" s="36"/>
      <c r="LFK125" s="36"/>
      <c r="LFL125" s="36"/>
      <c r="LFM125" s="36"/>
      <c r="LFN125" s="36"/>
      <c r="LFO125" s="36"/>
      <c r="LFP125" s="36"/>
      <c r="LFQ125" s="36"/>
      <c r="LFR125" s="36"/>
      <c r="LFS125" s="36"/>
      <c r="LFT125" s="36"/>
      <c r="LFU125" s="36"/>
      <c r="LFV125" s="36"/>
      <c r="LFW125" s="36"/>
      <c r="LFX125" s="36"/>
      <c r="LFY125" s="36"/>
      <c r="LFZ125" s="36"/>
      <c r="LGA125" s="36"/>
      <c r="LGB125" s="36"/>
      <c r="LGC125" s="36"/>
      <c r="LGD125" s="36"/>
      <c r="LGE125" s="36"/>
      <c r="LGF125" s="36"/>
      <c r="LGG125" s="36"/>
      <c r="LGH125" s="36"/>
      <c r="LGI125" s="36"/>
      <c r="LGJ125" s="36"/>
      <c r="LGK125" s="36"/>
      <c r="LGL125" s="36"/>
      <c r="LGM125" s="36"/>
      <c r="LGN125" s="36"/>
      <c r="LGO125" s="36"/>
      <c r="LGP125" s="36"/>
      <c r="LGQ125" s="36"/>
      <c r="LGR125" s="36"/>
      <c r="LGS125" s="36"/>
      <c r="LGT125" s="36"/>
      <c r="LGU125" s="36"/>
      <c r="LGV125" s="36"/>
      <c r="LGW125" s="36"/>
      <c r="LGX125" s="36"/>
      <c r="LGY125" s="36"/>
      <c r="LGZ125" s="36"/>
      <c r="LHA125" s="36"/>
      <c r="LHB125" s="36"/>
      <c r="LHC125" s="36"/>
      <c r="LHD125" s="36"/>
      <c r="LHE125" s="36"/>
      <c r="LHF125" s="36"/>
      <c r="LHG125" s="36"/>
      <c r="LHH125" s="36"/>
      <c r="LHI125" s="36"/>
      <c r="LHJ125" s="36"/>
      <c r="LHK125" s="36"/>
      <c r="LHL125" s="36"/>
      <c r="LHM125" s="36"/>
      <c r="LHN125" s="36"/>
      <c r="LHO125" s="36"/>
      <c r="LHP125" s="36"/>
      <c r="LHQ125" s="36"/>
      <c r="LHR125" s="36"/>
      <c r="LHS125" s="36"/>
      <c r="LHT125" s="36"/>
      <c r="LHU125" s="36"/>
      <c r="LHV125" s="36"/>
      <c r="LHW125" s="36"/>
      <c r="LHX125" s="36"/>
      <c r="LHY125" s="36"/>
      <c r="LHZ125" s="36"/>
      <c r="LIA125" s="36"/>
      <c r="LIB125" s="36"/>
      <c r="LIC125" s="36"/>
      <c r="LID125" s="36"/>
      <c r="LIE125" s="36"/>
      <c r="LIF125" s="36"/>
      <c r="LIG125" s="36"/>
      <c r="LIH125" s="36"/>
      <c r="LII125" s="36"/>
      <c r="LIJ125" s="36"/>
      <c r="LIK125" s="36"/>
      <c r="LIL125" s="36"/>
      <c r="LIM125" s="36"/>
      <c r="LIN125" s="36"/>
      <c r="LIO125" s="36"/>
      <c r="LIP125" s="36"/>
      <c r="LIQ125" s="36"/>
      <c r="LIR125" s="36"/>
      <c r="LIS125" s="36"/>
      <c r="LIT125" s="36"/>
      <c r="LIU125" s="36"/>
      <c r="LIV125" s="36"/>
      <c r="LIW125" s="36"/>
      <c r="LIX125" s="36"/>
      <c r="LIY125" s="36"/>
      <c r="LIZ125" s="36"/>
      <c r="LJA125" s="36"/>
      <c r="LJB125" s="36"/>
      <c r="LJC125" s="36"/>
      <c r="LJD125" s="36"/>
      <c r="LJE125" s="36"/>
      <c r="LJF125" s="36"/>
      <c r="LJG125" s="36"/>
      <c r="LJH125" s="36"/>
      <c r="LJI125" s="36"/>
      <c r="LJJ125" s="36"/>
      <c r="LJK125" s="36"/>
      <c r="LJL125" s="36"/>
      <c r="LJM125" s="36"/>
      <c r="LJN125" s="36"/>
      <c r="LJO125" s="36"/>
      <c r="LJP125" s="36"/>
      <c r="LJQ125" s="36"/>
      <c r="LJR125" s="36"/>
      <c r="LJS125" s="36"/>
      <c r="LJT125" s="36"/>
      <c r="LJU125" s="36"/>
      <c r="LJV125" s="36"/>
      <c r="LJW125" s="36"/>
      <c r="LJX125" s="36"/>
      <c r="LJY125" s="36"/>
      <c r="LJZ125" s="36"/>
      <c r="LKA125" s="36"/>
      <c r="LKB125" s="36"/>
      <c r="LKC125" s="36"/>
      <c r="LKD125" s="36"/>
      <c r="LKE125" s="36"/>
      <c r="LKF125" s="36"/>
      <c r="LKG125" s="36"/>
      <c r="LKH125" s="36"/>
      <c r="LKI125" s="36"/>
      <c r="LKJ125" s="36"/>
      <c r="LKK125" s="36"/>
      <c r="LKL125" s="36"/>
      <c r="LKM125" s="36"/>
      <c r="LKN125" s="36"/>
      <c r="LKO125" s="36"/>
      <c r="LKP125" s="36"/>
      <c r="LKQ125" s="36"/>
      <c r="LKR125" s="36"/>
      <c r="LKS125" s="36"/>
      <c r="LKT125" s="36"/>
      <c r="LKU125" s="36"/>
      <c r="LKV125" s="36"/>
      <c r="LKW125" s="36"/>
      <c r="LKX125" s="36"/>
      <c r="LKY125" s="36"/>
      <c r="LKZ125" s="36"/>
      <c r="LLA125" s="36"/>
      <c r="LLB125" s="36"/>
      <c r="LLC125" s="36"/>
      <c r="LLD125" s="36"/>
      <c r="LLE125" s="36"/>
      <c r="LLF125" s="36"/>
      <c r="LLG125" s="36"/>
      <c r="LLH125" s="36"/>
      <c r="LLI125" s="36"/>
      <c r="LLJ125" s="36"/>
      <c r="LLK125" s="36"/>
      <c r="LLL125" s="36"/>
      <c r="LLM125" s="36"/>
      <c r="LLN125" s="36"/>
      <c r="LLO125" s="36"/>
      <c r="LLP125" s="36"/>
      <c r="LLQ125" s="36"/>
      <c r="LLR125" s="36"/>
      <c r="LLS125" s="36"/>
      <c r="LLT125" s="36"/>
      <c r="LLU125" s="36"/>
      <c r="LLV125" s="36"/>
      <c r="LLW125" s="36"/>
      <c r="LLX125" s="36"/>
      <c r="LLY125" s="36"/>
      <c r="LLZ125" s="36"/>
      <c r="LMA125" s="36"/>
      <c r="LMB125" s="36"/>
      <c r="LMC125" s="36"/>
      <c r="LMD125" s="36"/>
      <c r="LME125" s="36"/>
      <c r="LMF125" s="36"/>
      <c r="LMG125" s="36"/>
      <c r="LMH125" s="36"/>
      <c r="LMI125" s="36"/>
      <c r="LMJ125" s="36"/>
      <c r="LMK125" s="36"/>
      <c r="LML125" s="36"/>
      <c r="LMM125" s="36"/>
      <c r="LMN125" s="36"/>
      <c r="LMO125" s="36"/>
      <c r="LMP125" s="36"/>
      <c r="LMQ125" s="36"/>
      <c r="LMR125" s="36"/>
      <c r="LMS125" s="36"/>
      <c r="LMT125" s="36"/>
      <c r="LMU125" s="36"/>
      <c r="LMV125" s="36"/>
      <c r="LMW125" s="36"/>
      <c r="LMX125" s="36"/>
      <c r="LMY125" s="36"/>
      <c r="LMZ125" s="36"/>
      <c r="LNA125" s="36"/>
      <c r="LNB125" s="36"/>
      <c r="LNC125" s="36"/>
      <c r="LND125" s="36"/>
      <c r="LNE125" s="36"/>
      <c r="LNF125" s="36"/>
      <c r="LNG125" s="36"/>
      <c r="LNH125" s="36"/>
      <c r="LNI125" s="36"/>
      <c r="LNJ125" s="36"/>
      <c r="LNK125" s="36"/>
      <c r="LNL125" s="36"/>
      <c r="LNM125" s="36"/>
      <c r="LNN125" s="36"/>
      <c r="LNO125" s="36"/>
      <c r="LNP125" s="36"/>
      <c r="LNQ125" s="36"/>
      <c r="LNR125" s="36"/>
      <c r="LNS125" s="36"/>
      <c r="LNT125" s="36"/>
      <c r="LNU125" s="36"/>
      <c r="LNV125" s="36"/>
      <c r="LNW125" s="36"/>
      <c r="LNX125" s="36"/>
      <c r="LNY125" s="36"/>
      <c r="LNZ125" s="36"/>
      <c r="LOA125" s="36"/>
      <c r="LOB125" s="36"/>
      <c r="LOC125" s="36"/>
      <c r="LOD125" s="36"/>
      <c r="LOE125" s="36"/>
      <c r="LOF125" s="36"/>
      <c r="LOG125" s="36"/>
      <c r="LOH125" s="36"/>
      <c r="LOI125" s="36"/>
      <c r="LOJ125" s="36"/>
      <c r="LOK125" s="36"/>
      <c r="LOL125" s="36"/>
      <c r="LOM125" s="36"/>
      <c r="LON125" s="36"/>
      <c r="LOO125" s="36"/>
      <c r="LOP125" s="36"/>
      <c r="LOQ125" s="36"/>
      <c r="LOR125" s="36"/>
      <c r="LOS125" s="36"/>
      <c r="LOT125" s="36"/>
      <c r="LOU125" s="36"/>
      <c r="LOV125" s="36"/>
      <c r="LOW125" s="36"/>
      <c r="LOX125" s="36"/>
      <c r="LOY125" s="36"/>
      <c r="LOZ125" s="36"/>
      <c r="LPA125" s="36"/>
      <c r="LPB125" s="36"/>
      <c r="LPC125" s="36"/>
      <c r="LPD125" s="36"/>
      <c r="LPE125" s="36"/>
      <c r="LPF125" s="36"/>
      <c r="LPG125" s="36"/>
      <c r="LPH125" s="36"/>
      <c r="LPI125" s="36"/>
      <c r="LPJ125" s="36"/>
      <c r="LPK125" s="36"/>
      <c r="LPL125" s="36"/>
      <c r="LPM125" s="36"/>
      <c r="LPN125" s="36"/>
      <c r="LPO125" s="36"/>
      <c r="LPP125" s="36"/>
      <c r="LPQ125" s="36"/>
      <c r="LPR125" s="36"/>
      <c r="LPS125" s="36"/>
      <c r="LPT125" s="36"/>
      <c r="LPU125" s="36"/>
      <c r="LPV125" s="36"/>
      <c r="LPW125" s="36"/>
      <c r="LPX125" s="36"/>
      <c r="LPY125" s="36"/>
      <c r="LPZ125" s="36"/>
      <c r="LQA125" s="36"/>
      <c r="LQB125" s="36"/>
      <c r="LQC125" s="36"/>
      <c r="LQD125" s="36"/>
      <c r="LQE125" s="36"/>
      <c r="LQF125" s="36"/>
      <c r="LQG125" s="36"/>
      <c r="LQH125" s="36"/>
      <c r="LQI125" s="36"/>
      <c r="LQJ125" s="36"/>
      <c r="LQK125" s="36"/>
      <c r="LQL125" s="36"/>
      <c r="LQM125" s="36"/>
      <c r="LQN125" s="36"/>
      <c r="LQO125" s="36"/>
      <c r="LQP125" s="36"/>
      <c r="LQQ125" s="36"/>
      <c r="LQR125" s="36"/>
      <c r="LQS125" s="36"/>
      <c r="LQT125" s="36"/>
      <c r="LQU125" s="36"/>
      <c r="LQV125" s="36"/>
      <c r="LQW125" s="36"/>
      <c r="LQX125" s="36"/>
      <c r="LQY125" s="36"/>
      <c r="LQZ125" s="36"/>
      <c r="LRA125" s="36"/>
      <c r="LRB125" s="36"/>
      <c r="LRC125" s="36"/>
      <c r="LRD125" s="36"/>
      <c r="LRE125" s="36"/>
      <c r="LRF125" s="36"/>
      <c r="LRG125" s="36"/>
      <c r="LRH125" s="36"/>
      <c r="LRI125" s="36"/>
      <c r="LRJ125" s="36"/>
      <c r="LRK125" s="36"/>
      <c r="LRL125" s="36"/>
      <c r="LRM125" s="36"/>
      <c r="LRN125" s="36"/>
      <c r="LRO125" s="36"/>
      <c r="LRP125" s="36"/>
      <c r="LRQ125" s="36"/>
      <c r="LRR125" s="36"/>
      <c r="LRS125" s="36"/>
      <c r="LRT125" s="36"/>
      <c r="LRU125" s="36"/>
      <c r="LRV125" s="36"/>
      <c r="LRW125" s="36"/>
      <c r="LRX125" s="36"/>
      <c r="LRY125" s="36"/>
      <c r="LRZ125" s="36"/>
      <c r="LSA125" s="36"/>
      <c r="LSB125" s="36"/>
      <c r="LSC125" s="36"/>
      <c r="LSD125" s="36"/>
      <c r="LSE125" s="36"/>
      <c r="LSF125" s="36"/>
      <c r="LSG125" s="36"/>
      <c r="LSH125" s="36"/>
      <c r="LSI125" s="36"/>
      <c r="LSJ125" s="36"/>
      <c r="LSK125" s="36"/>
      <c r="LSL125" s="36"/>
      <c r="LSM125" s="36"/>
      <c r="LSN125" s="36"/>
      <c r="LSO125" s="36"/>
      <c r="LSP125" s="36"/>
      <c r="LSQ125" s="36"/>
      <c r="LSR125" s="36"/>
      <c r="LSS125" s="36"/>
      <c r="LST125" s="36"/>
      <c r="LSU125" s="36"/>
      <c r="LSV125" s="36"/>
      <c r="LSW125" s="36"/>
      <c r="LSX125" s="36"/>
      <c r="LSY125" s="36"/>
      <c r="LSZ125" s="36"/>
      <c r="LTA125" s="36"/>
      <c r="LTB125" s="36"/>
      <c r="LTC125" s="36"/>
      <c r="LTD125" s="36"/>
      <c r="LTE125" s="36"/>
      <c r="LTF125" s="36"/>
      <c r="LTG125" s="36"/>
      <c r="LTH125" s="36"/>
      <c r="LTI125" s="36"/>
      <c r="LTJ125" s="36"/>
      <c r="LTK125" s="36"/>
      <c r="LTL125" s="36"/>
      <c r="LTM125" s="36"/>
      <c r="LTN125" s="36"/>
      <c r="LTO125" s="36"/>
      <c r="LTP125" s="36"/>
      <c r="LTQ125" s="36"/>
      <c r="LTR125" s="36"/>
      <c r="LTS125" s="36"/>
      <c r="LTT125" s="36"/>
      <c r="LTU125" s="36"/>
      <c r="LTV125" s="36"/>
      <c r="LTW125" s="36"/>
      <c r="LTX125" s="36"/>
      <c r="LTY125" s="36"/>
      <c r="LTZ125" s="36"/>
      <c r="LUA125" s="36"/>
      <c r="LUB125" s="36"/>
      <c r="LUC125" s="36"/>
      <c r="LUD125" s="36"/>
      <c r="LUE125" s="36"/>
      <c r="LUF125" s="36"/>
      <c r="LUG125" s="36"/>
      <c r="LUH125" s="36"/>
      <c r="LUI125" s="36"/>
      <c r="LUJ125" s="36"/>
      <c r="LUK125" s="36"/>
      <c r="LUL125" s="36"/>
      <c r="LUM125" s="36"/>
      <c r="LUN125" s="36"/>
      <c r="LUO125" s="36"/>
      <c r="LUP125" s="36"/>
      <c r="LUQ125" s="36"/>
      <c r="LUR125" s="36"/>
      <c r="LUS125" s="36"/>
      <c r="LUT125" s="36"/>
      <c r="LUU125" s="36"/>
      <c r="LUV125" s="36"/>
      <c r="LUW125" s="36"/>
      <c r="LUX125" s="36"/>
      <c r="LUY125" s="36"/>
      <c r="LUZ125" s="36"/>
      <c r="LVA125" s="36"/>
      <c r="LVB125" s="36"/>
      <c r="LVC125" s="36"/>
      <c r="LVD125" s="36"/>
      <c r="LVE125" s="36"/>
      <c r="LVF125" s="36"/>
      <c r="LVG125" s="36"/>
      <c r="LVH125" s="36"/>
      <c r="LVI125" s="36"/>
      <c r="LVJ125" s="36"/>
      <c r="LVK125" s="36"/>
      <c r="LVL125" s="36"/>
      <c r="LVM125" s="36"/>
      <c r="LVN125" s="36"/>
      <c r="LVO125" s="36"/>
      <c r="LVP125" s="36"/>
      <c r="LVQ125" s="36"/>
      <c r="LVR125" s="36"/>
      <c r="LVS125" s="36"/>
      <c r="LVT125" s="36"/>
      <c r="LVU125" s="36"/>
      <c r="LVV125" s="36"/>
      <c r="LVW125" s="36"/>
      <c r="LVX125" s="36"/>
      <c r="LVY125" s="36"/>
      <c r="LVZ125" s="36"/>
      <c r="LWA125" s="36"/>
      <c r="LWB125" s="36"/>
      <c r="LWC125" s="36"/>
      <c r="LWD125" s="36"/>
      <c r="LWE125" s="36"/>
      <c r="LWF125" s="36"/>
      <c r="LWG125" s="36"/>
      <c r="LWH125" s="36"/>
      <c r="LWI125" s="36"/>
      <c r="LWJ125" s="36"/>
      <c r="LWK125" s="36"/>
      <c r="LWL125" s="36"/>
      <c r="LWM125" s="36"/>
      <c r="LWN125" s="36"/>
      <c r="LWO125" s="36"/>
      <c r="LWP125" s="36"/>
      <c r="LWQ125" s="36"/>
      <c r="LWR125" s="36"/>
      <c r="LWS125" s="36"/>
      <c r="LWT125" s="36"/>
      <c r="LWU125" s="36"/>
      <c r="LWV125" s="36"/>
      <c r="LWW125" s="36"/>
      <c r="LWX125" s="36"/>
      <c r="LWY125" s="36"/>
      <c r="LWZ125" s="36"/>
      <c r="LXA125" s="36"/>
      <c r="LXB125" s="36"/>
      <c r="LXC125" s="36"/>
      <c r="LXD125" s="36"/>
      <c r="LXE125" s="36"/>
      <c r="LXF125" s="36"/>
      <c r="LXG125" s="36"/>
      <c r="LXH125" s="36"/>
      <c r="LXI125" s="36"/>
      <c r="LXJ125" s="36"/>
      <c r="LXK125" s="36"/>
      <c r="LXL125" s="36"/>
      <c r="LXM125" s="36"/>
      <c r="LXN125" s="36"/>
      <c r="LXO125" s="36"/>
      <c r="LXP125" s="36"/>
      <c r="LXQ125" s="36"/>
      <c r="LXR125" s="36"/>
      <c r="LXS125" s="36"/>
      <c r="LXT125" s="36"/>
      <c r="LXU125" s="36"/>
      <c r="LXV125" s="36"/>
      <c r="LXW125" s="36"/>
      <c r="LXX125" s="36"/>
      <c r="LXY125" s="36"/>
      <c r="LXZ125" s="36"/>
      <c r="LYA125" s="36"/>
      <c r="LYB125" s="36"/>
      <c r="LYC125" s="36"/>
      <c r="LYD125" s="36"/>
      <c r="LYE125" s="36"/>
      <c r="LYF125" s="36"/>
      <c r="LYG125" s="36"/>
      <c r="LYH125" s="36"/>
      <c r="LYI125" s="36"/>
      <c r="LYJ125" s="36"/>
      <c r="LYK125" s="36"/>
      <c r="LYL125" s="36"/>
      <c r="LYM125" s="36"/>
      <c r="LYN125" s="36"/>
      <c r="LYO125" s="36"/>
      <c r="LYP125" s="36"/>
      <c r="LYQ125" s="36"/>
      <c r="LYR125" s="36"/>
      <c r="LYS125" s="36"/>
      <c r="LYT125" s="36"/>
      <c r="LYU125" s="36"/>
      <c r="LYV125" s="36"/>
      <c r="LYW125" s="36"/>
      <c r="LYX125" s="36"/>
      <c r="LYY125" s="36"/>
      <c r="LYZ125" s="36"/>
      <c r="LZA125" s="36"/>
      <c r="LZB125" s="36"/>
      <c r="LZC125" s="36"/>
      <c r="LZD125" s="36"/>
      <c r="LZE125" s="36"/>
      <c r="LZF125" s="36"/>
      <c r="LZG125" s="36"/>
      <c r="LZH125" s="36"/>
      <c r="LZI125" s="36"/>
      <c r="LZJ125" s="36"/>
      <c r="LZK125" s="36"/>
      <c r="LZL125" s="36"/>
      <c r="LZM125" s="36"/>
      <c r="LZN125" s="36"/>
      <c r="LZO125" s="36"/>
      <c r="LZP125" s="36"/>
      <c r="LZQ125" s="36"/>
      <c r="LZR125" s="36"/>
      <c r="LZS125" s="36"/>
      <c r="LZT125" s="36"/>
      <c r="LZU125" s="36"/>
      <c r="LZV125" s="36"/>
      <c r="LZW125" s="36"/>
      <c r="LZX125" s="36"/>
      <c r="LZY125" s="36"/>
      <c r="LZZ125" s="36"/>
      <c r="MAA125" s="36"/>
      <c r="MAB125" s="36"/>
      <c r="MAC125" s="36"/>
      <c r="MAD125" s="36"/>
      <c r="MAE125" s="36"/>
      <c r="MAF125" s="36"/>
      <c r="MAG125" s="36"/>
      <c r="MAH125" s="36"/>
      <c r="MAI125" s="36"/>
      <c r="MAJ125" s="36"/>
      <c r="MAK125" s="36"/>
      <c r="MAL125" s="36"/>
      <c r="MAM125" s="36"/>
      <c r="MAN125" s="36"/>
      <c r="MAO125" s="36"/>
      <c r="MAP125" s="36"/>
      <c r="MAQ125" s="36"/>
      <c r="MAR125" s="36"/>
      <c r="MAS125" s="36"/>
      <c r="MAT125" s="36"/>
      <c r="MAU125" s="36"/>
      <c r="MAV125" s="36"/>
      <c r="MAW125" s="36"/>
      <c r="MAX125" s="36"/>
      <c r="MAY125" s="36"/>
      <c r="MAZ125" s="36"/>
      <c r="MBA125" s="36"/>
      <c r="MBB125" s="36"/>
      <c r="MBC125" s="36"/>
      <c r="MBD125" s="36"/>
      <c r="MBE125" s="36"/>
      <c r="MBF125" s="36"/>
      <c r="MBG125" s="36"/>
      <c r="MBH125" s="36"/>
      <c r="MBI125" s="36"/>
      <c r="MBJ125" s="36"/>
      <c r="MBK125" s="36"/>
      <c r="MBL125" s="36"/>
      <c r="MBM125" s="36"/>
      <c r="MBN125" s="36"/>
      <c r="MBO125" s="36"/>
      <c r="MBP125" s="36"/>
      <c r="MBQ125" s="36"/>
      <c r="MBR125" s="36"/>
      <c r="MBS125" s="36"/>
      <c r="MBT125" s="36"/>
      <c r="MBU125" s="36"/>
      <c r="MBV125" s="36"/>
      <c r="MBW125" s="36"/>
      <c r="MBX125" s="36"/>
      <c r="MBY125" s="36"/>
      <c r="MBZ125" s="36"/>
      <c r="MCA125" s="36"/>
      <c r="MCB125" s="36"/>
      <c r="MCC125" s="36"/>
      <c r="MCD125" s="36"/>
      <c r="MCE125" s="36"/>
      <c r="MCF125" s="36"/>
      <c r="MCG125" s="36"/>
      <c r="MCH125" s="36"/>
      <c r="MCI125" s="36"/>
      <c r="MCJ125" s="36"/>
      <c r="MCK125" s="36"/>
      <c r="MCL125" s="36"/>
      <c r="MCM125" s="36"/>
      <c r="MCN125" s="36"/>
      <c r="MCO125" s="36"/>
      <c r="MCP125" s="36"/>
      <c r="MCQ125" s="36"/>
      <c r="MCR125" s="36"/>
      <c r="MCS125" s="36"/>
      <c r="MCT125" s="36"/>
      <c r="MCU125" s="36"/>
      <c r="MCV125" s="36"/>
      <c r="MCW125" s="36"/>
      <c r="MCX125" s="36"/>
      <c r="MCY125" s="36"/>
      <c r="MCZ125" s="36"/>
      <c r="MDA125" s="36"/>
      <c r="MDB125" s="36"/>
      <c r="MDC125" s="36"/>
      <c r="MDD125" s="36"/>
      <c r="MDE125" s="36"/>
      <c r="MDF125" s="36"/>
      <c r="MDG125" s="36"/>
      <c r="MDH125" s="36"/>
      <c r="MDI125" s="36"/>
      <c r="MDJ125" s="36"/>
      <c r="MDK125" s="36"/>
      <c r="MDL125" s="36"/>
      <c r="MDM125" s="36"/>
      <c r="MDN125" s="36"/>
      <c r="MDO125" s="36"/>
      <c r="MDP125" s="36"/>
      <c r="MDQ125" s="36"/>
      <c r="MDR125" s="36"/>
      <c r="MDS125" s="36"/>
      <c r="MDT125" s="36"/>
      <c r="MDU125" s="36"/>
      <c r="MDV125" s="36"/>
      <c r="MDW125" s="36"/>
      <c r="MDX125" s="36"/>
      <c r="MDY125" s="36"/>
      <c r="MDZ125" s="36"/>
      <c r="MEA125" s="36"/>
      <c r="MEB125" s="36"/>
      <c r="MEC125" s="36"/>
      <c r="MED125" s="36"/>
      <c r="MEE125" s="36"/>
      <c r="MEF125" s="36"/>
      <c r="MEG125" s="36"/>
      <c r="MEH125" s="36"/>
      <c r="MEI125" s="36"/>
      <c r="MEJ125" s="36"/>
      <c r="MEK125" s="36"/>
      <c r="MEL125" s="36"/>
      <c r="MEM125" s="36"/>
      <c r="MEN125" s="36"/>
      <c r="MEO125" s="36"/>
      <c r="MEP125" s="36"/>
      <c r="MEQ125" s="36"/>
      <c r="MER125" s="36"/>
      <c r="MES125" s="36"/>
      <c r="MET125" s="36"/>
      <c r="MEU125" s="36"/>
      <c r="MEV125" s="36"/>
      <c r="MEW125" s="36"/>
      <c r="MEX125" s="36"/>
      <c r="MEY125" s="36"/>
      <c r="MEZ125" s="36"/>
      <c r="MFA125" s="36"/>
      <c r="MFB125" s="36"/>
      <c r="MFC125" s="36"/>
      <c r="MFD125" s="36"/>
      <c r="MFE125" s="36"/>
      <c r="MFF125" s="36"/>
      <c r="MFG125" s="36"/>
      <c r="MFH125" s="36"/>
      <c r="MFI125" s="36"/>
      <c r="MFJ125" s="36"/>
      <c r="MFK125" s="36"/>
      <c r="MFL125" s="36"/>
      <c r="MFM125" s="36"/>
      <c r="MFN125" s="36"/>
      <c r="MFO125" s="36"/>
      <c r="MFP125" s="36"/>
      <c r="MFQ125" s="36"/>
      <c r="MFR125" s="36"/>
      <c r="MFS125" s="36"/>
      <c r="MFT125" s="36"/>
      <c r="MFU125" s="36"/>
      <c r="MFV125" s="36"/>
      <c r="MFW125" s="36"/>
      <c r="MFX125" s="36"/>
      <c r="MFY125" s="36"/>
      <c r="MFZ125" s="36"/>
      <c r="MGA125" s="36"/>
      <c r="MGB125" s="36"/>
      <c r="MGC125" s="36"/>
      <c r="MGD125" s="36"/>
      <c r="MGE125" s="36"/>
      <c r="MGF125" s="36"/>
      <c r="MGG125" s="36"/>
      <c r="MGH125" s="36"/>
      <c r="MGI125" s="36"/>
      <c r="MGJ125" s="36"/>
      <c r="MGK125" s="36"/>
      <c r="MGL125" s="36"/>
      <c r="MGM125" s="36"/>
      <c r="MGN125" s="36"/>
      <c r="MGO125" s="36"/>
      <c r="MGP125" s="36"/>
      <c r="MGQ125" s="36"/>
      <c r="MGR125" s="36"/>
      <c r="MGS125" s="36"/>
      <c r="MGT125" s="36"/>
      <c r="MGU125" s="36"/>
      <c r="MGV125" s="36"/>
      <c r="MGW125" s="36"/>
      <c r="MGX125" s="36"/>
      <c r="MGY125" s="36"/>
      <c r="MGZ125" s="36"/>
      <c r="MHA125" s="36"/>
      <c r="MHB125" s="36"/>
      <c r="MHC125" s="36"/>
      <c r="MHD125" s="36"/>
      <c r="MHE125" s="36"/>
      <c r="MHF125" s="36"/>
      <c r="MHG125" s="36"/>
      <c r="MHH125" s="36"/>
      <c r="MHI125" s="36"/>
      <c r="MHJ125" s="36"/>
      <c r="MHK125" s="36"/>
      <c r="MHL125" s="36"/>
      <c r="MHM125" s="36"/>
      <c r="MHN125" s="36"/>
      <c r="MHO125" s="36"/>
      <c r="MHP125" s="36"/>
      <c r="MHQ125" s="36"/>
      <c r="MHR125" s="36"/>
      <c r="MHS125" s="36"/>
      <c r="MHT125" s="36"/>
      <c r="MHU125" s="36"/>
      <c r="MHV125" s="36"/>
      <c r="MHW125" s="36"/>
      <c r="MHX125" s="36"/>
      <c r="MHY125" s="36"/>
      <c r="MHZ125" s="36"/>
      <c r="MIA125" s="36"/>
      <c r="MIB125" s="36"/>
      <c r="MIC125" s="36"/>
      <c r="MID125" s="36"/>
      <c r="MIE125" s="36"/>
      <c r="MIF125" s="36"/>
      <c r="MIG125" s="36"/>
      <c r="MIH125" s="36"/>
      <c r="MII125" s="36"/>
      <c r="MIJ125" s="36"/>
      <c r="MIK125" s="36"/>
      <c r="MIL125" s="36"/>
      <c r="MIM125" s="36"/>
      <c r="MIN125" s="36"/>
      <c r="MIO125" s="36"/>
      <c r="MIP125" s="36"/>
      <c r="MIQ125" s="36"/>
      <c r="MIR125" s="36"/>
      <c r="MIS125" s="36"/>
      <c r="MIT125" s="36"/>
      <c r="MIU125" s="36"/>
      <c r="MIV125" s="36"/>
      <c r="MIW125" s="36"/>
      <c r="MIX125" s="36"/>
      <c r="MIY125" s="36"/>
      <c r="MIZ125" s="36"/>
      <c r="MJA125" s="36"/>
      <c r="MJB125" s="36"/>
      <c r="MJC125" s="36"/>
      <c r="MJD125" s="36"/>
      <c r="MJE125" s="36"/>
      <c r="MJF125" s="36"/>
      <c r="MJG125" s="36"/>
      <c r="MJH125" s="36"/>
      <c r="MJI125" s="36"/>
      <c r="MJJ125" s="36"/>
      <c r="MJK125" s="36"/>
      <c r="MJL125" s="36"/>
      <c r="MJM125" s="36"/>
      <c r="MJN125" s="36"/>
      <c r="MJO125" s="36"/>
      <c r="MJP125" s="36"/>
      <c r="MJQ125" s="36"/>
      <c r="MJR125" s="36"/>
      <c r="MJS125" s="36"/>
      <c r="MJT125" s="36"/>
      <c r="MJU125" s="36"/>
      <c r="MJV125" s="36"/>
      <c r="MJW125" s="36"/>
      <c r="MJX125" s="36"/>
      <c r="MJY125" s="36"/>
      <c r="MJZ125" s="36"/>
      <c r="MKA125" s="36"/>
      <c r="MKB125" s="36"/>
      <c r="MKC125" s="36"/>
      <c r="MKD125" s="36"/>
      <c r="MKE125" s="36"/>
      <c r="MKF125" s="36"/>
      <c r="MKG125" s="36"/>
      <c r="MKH125" s="36"/>
      <c r="MKI125" s="36"/>
      <c r="MKJ125" s="36"/>
      <c r="MKK125" s="36"/>
      <c r="MKL125" s="36"/>
      <c r="MKM125" s="36"/>
      <c r="MKN125" s="36"/>
      <c r="MKO125" s="36"/>
      <c r="MKP125" s="36"/>
      <c r="MKQ125" s="36"/>
      <c r="MKR125" s="36"/>
      <c r="MKS125" s="36"/>
      <c r="MKT125" s="36"/>
      <c r="MKU125" s="36"/>
      <c r="MKV125" s="36"/>
      <c r="MKW125" s="36"/>
      <c r="MKX125" s="36"/>
      <c r="MKY125" s="36"/>
      <c r="MKZ125" s="36"/>
      <c r="MLA125" s="36"/>
      <c r="MLB125" s="36"/>
      <c r="MLC125" s="36"/>
      <c r="MLD125" s="36"/>
      <c r="MLE125" s="36"/>
      <c r="MLF125" s="36"/>
      <c r="MLG125" s="36"/>
      <c r="MLH125" s="36"/>
      <c r="MLI125" s="36"/>
      <c r="MLJ125" s="36"/>
      <c r="MLK125" s="36"/>
      <c r="MLL125" s="36"/>
      <c r="MLM125" s="36"/>
      <c r="MLN125" s="36"/>
      <c r="MLO125" s="36"/>
      <c r="MLP125" s="36"/>
      <c r="MLQ125" s="36"/>
      <c r="MLR125" s="36"/>
      <c r="MLS125" s="36"/>
      <c r="MLT125" s="36"/>
      <c r="MLU125" s="36"/>
      <c r="MLV125" s="36"/>
      <c r="MLW125" s="36"/>
      <c r="MLX125" s="36"/>
      <c r="MLY125" s="36"/>
      <c r="MLZ125" s="36"/>
      <c r="MMA125" s="36"/>
      <c r="MMB125" s="36"/>
      <c r="MMC125" s="36"/>
      <c r="MMD125" s="36"/>
      <c r="MME125" s="36"/>
      <c r="MMF125" s="36"/>
      <c r="MMG125" s="36"/>
      <c r="MMH125" s="36"/>
      <c r="MMI125" s="36"/>
      <c r="MMJ125" s="36"/>
      <c r="MMK125" s="36"/>
      <c r="MML125" s="36"/>
      <c r="MMM125" s="36"/>
      <c r="MMN125" s="36"/>
      <c r="MMO125" s="36"/>
      <c r="MMP125" s="36"/>
      <c r="MMQ125" s="36"/>
      <c r="MMR125" s="36"/>
      <c r="MMS125" s="36"/>
      <c r="MMT125" s="36"/>
      <c r="MMU125" s="36"/>
      <c r="MMV125" s="36"/>
      <c r="MMW125" s="36"/>
      <c r="MMX125" s="36"/>
      <c r="MMY125" s="36"/>
      <c r="MMZ125" s="36"/>
      <c r="MNA125" s="36"/>
      <c r="MNB125" s="36"/>
      <c r="MNC125" s="36"/>
      <c r="MND125" s="36"/>
      <c r="MNE125" s="36"/>
      <c r="MNF125" s="36"/>
      <c r="MNG125" s="36"/>
      <c r="MNH125" s="36"/>
      <c r="MNI125" s="36"/>
      <c r="MNJ125" s="36"/>
      <c r="MNK125" s="36"/>
      <c r="MNL125" s="36"/>
      <c r="MNM125" s="36"/>
      <c r="MNN125" s="36"/>
      <c r="MNO125" s="36"/>
      <c r="MNP125" s="36"/>
      <c r="MNQ125" s="36"/>
      <c r="MNR125" s="36"/>
      <c r="MNS125" s="36"/>
      <c r="MNT125" s="36"/>
      <c r="MNU125" s="36"/>
      <c r="MNV125" s="36"/>
      <c r="MNW125" s="36"/>
      <c r="MNX125" s="36"/>
      <c r="MNY125" s="36"/>
      <c r="MNZ125" s="36"/>
      <c r="MOA125" s="36"/>
      <c r="MOB125" s="36"/>
      <c r="MOC125" s="36"/>
      <c r="MOD125" s="36"/>
      <c r="MOE125" s="36"/>
      <c r="MOF125" s="36"/>
      <c r="MOG125" s="36"/>
      <c r="MOH125" s="36"/>
      <c r="MOI125" s="36"/>
      <c r="MOJ125" s="36"/>
      <c r="MOK125" s="36"/>
      <c r="MOL125" s="36"/>
      <c r="MOM125" s="36"/>
      <c r="MON125" s="36"/>
      <c r="MOO125" s="36"/>
      <c r="MOP125" s="36"/>
      <c r="MOQ125" s="36"/>
      <c r="MOR125" s="36"/>
      <c r="MOS125" s="36"/>
      <c r="MOT125" s="36"/>
      <c r="MOU125" s="36"/>
      <c r="MOV125" s="36"/>
      <c r="MOW125" s="36"/>
      <c r="MOX125" s="36"/>
      <c r="MOY125" s="36"/>
      <c r="MOZ125" s="36"/>
      <c r="MPA125" s="36"/>
      <c r="MPB125" s="36"/>
      <c r="MPC125" s="36"/>
      <c r="MPD125" s="36"/>
      <c r="MPE125" s="36"/>
      <c r="MPF125" s="36"/>
      <c r="MPG125" s="36"/>
      <c r="MPH125" s="36"/>
      <c r="MPI125" s="36"/>
      <c r="MPJ125" s="36"/>
      <c r="MPK125" s="36"/>
      <c r="MPL125" s="36"/>
      <c r="MPM125" s="36"/>
      <c r="MPN125" s="36"/>
      <c r="MPO125" s="36"/>
      <c r="MPP125" s="36"/>
      <c r="MPQ125" s="36"/>
      <c r="MPR125" s="36"/>
      <c r="MPS125" s="36"/>
      <c r="MPT125" s="36"/>
      <c r="MPU125" s="36"/>
      <c r="MPV125" s="36"/>
      <c r="MPW125" s="36"/>
      <c r="MPX125" s="36"/>
      <c r="MPY125" s="36"/>
      <c r="MPZ125" s="36"/>
      <c r="MQA125" s="36"/>
      <c r="MQB125" s="36"/>
      <c r="MQC125" s="36"/>
      <c r="MQD125" s="36"/>
      <c r="MQE125" s="36"/>
      <c r="MQF125" s="36"/>
      <c r="MQG125" s="36"/>
      <c r="MQH125" s="36"/>
      <c r="MQI125" s="36"/>
      <c r="MQJ125" s="36"/>
      <c r="MQK125" s="36"/>
      <c r="MQL125" s="36"/>
      <c r="MQM125" s="36"/>
      <c r="MQN125" s="36"/>
      <c r="MQO125" s="36"/>
      <c r="MQP125" s="36"/>
      <c r="MQQ125" s="36"/>
      <c r="MQR125" s="36"/>
      <c r="MQS125" s="36"/>
      <c r="MQT125" s="36"/>
      <c r="MQU125" s="36"/>
      <c r="MQV125" s="36"/>
      <c r="MQW125" s="36"/>
      <c r="MQX125" s="36"/>
      <c r="MQY125" s="36"/>
      <c r="MQZ125" s="36"/>
      <c r="MRA125" s="36"/>
      <c r="MRB125" s="36"/>
      <c r="MRC125" s="36"/>
      <c r="MRD125" s="36"/>
      <c r="MRE125" s="36"/>
      <c r="MRF125" s="36"/>
      <c r="MRG125" s="36"/>
      <c r="MRH125" s="36"/>
      <c r="MRI125" s="36"/>
      <c r="MRJ125" s="36"/>
      <c r="MRK125" s="36"/>
      <c r="MRL125" s="36"/>
      <c r="MRM125" s="36"/>
      <c r="MRN125" s="36"/>
      <c r="MRO125" s="36"/>
      <c r="MRP125" s="36"/>
      <c r="MRQ125" s="36"/>
      <c r="MRR125" s="36"/>
      <c r="MRS125" s="36"/>
      <c r="MRT125" s="36"/>
      <c r="MRU125" s="36"/>
      <c r="MRV125" s="36"/>
      <c r="MRW125" s="36"/>
      <c r="MRX125" s="36"/>
      <c r="MRY125" s="36"/>
      <c r="MRZ125" s="36"/>
      <c r="MSA125" s="36"/>
      <c r="MSB125" s="36"/>
      <c r="MSC125" s="36"/>
      <c r="MSD125" s="36"/>
      <c r="MSE125" s="36"/>
      <c r="MSF125" s="36"/>
      <c r="MSG125" s="36"/>
      <c r="MSH125" s="36"/>
      <c r="MSI125" s="36"/>
      <c r="MSJ125" s="36"/>
      <c r="MSK125" s="36"/>
      <c r="MSL125" s="36"/>
      <c r="MSM125" s="36"/>
      <c r="MSN125" s="36"/>
      <c r="MSO125" s="36"/>
      <c r="MSP125" s="36"/>
      <c r="MSQ125" s="36"/>
      <c r="MSR125" s="36"/>
      <c r="MSS125" s="36"/>
      <c r="MST125" s="36"/>
      <c r="MSU125" s="36"/>
      <c r="MSV125" s="36"/>
      <c r="MSW125" s="36"/>
      <c r="MSX125" s="36"/>
      <c r="MSY125" s="36"/>
      <c r="MSZ125" s="36"/>
      <c r="MTA125" s="36"/>
      <c r="MTB125" s="36"/>
      <c r="MTC125" s="36"/>
      <c r="MTD125" s="36"/>
      <c r="MTE125" s="36"/>
      <c r="MTF125" s="36"/>
      <c r="MTG125" s="36"/>
      <c r="MTH125" s="36"/>
      <c r="MTI125" s="36"/>
      <c r="MTJ125" s="36"/>
      <c r="MTK125" s="36"/>
      <c r="MTL125" s="36"/>
      <c r="MTM125" s="36"/>
      <c r="MTN125" s="36"/>
      <c r="MTO125" s="36"/>
      <c r="MTP125" s="36"/>
      <c r="MTQ125" s="36"/>
      <c r="MTR125" s="36"/>
      <c r="MTS125" s="36"/>
      <c r="MTT125" s="36"/>
      <c r="MTU125" s="36"/>
      <c r="MTV125" s="36"/>
      <c r="MTW125" s="36"/>
      <c r="MTX125" s="36"/>
      <c r="MTY125" s="36"/>
      <c r="MTZ125" s="36"/>
      <c r="MUA125" s="36"/>
      <c r="MUB125" s="36"/>
      <c r="MUC125" s="36"/>
      <c r="MUD125" s="36"/>
      <c r="MUE125" s="36"/>
      <c r="MUF125" s="36"/>
      <c r="MUG125" s="36"/>
      <c r="MUH125" s="36"/>
      <c r="MUI125" s="36"/>
      <c r="MUJ125" s="36"/>
      <c r="MUK125" s="36"/>
      <c r="MUL125" s="36"/>
      <c r="MUM125" s="36"/>
      <c r="MUN125" s="36"/>
      <c r="MUO125" s="36"/>
      <c r="MUP125" s="36"/>
      <c r="MUQ125" s="36"/>
      <c r="MUR125" s="36"/>
      <c r="MUS125" s="36"/>
      <c r="MUT125" s="36"/>
      <c r="MUU125" s="36"/>
      <c r="MUV125" s="36"/>
      <c r="MUW125" s="36"/>
      <c r="MUX125" s="36"/>
      <c r="MUY125" s="36"/>
      <c r="MUZ125" s="36"/>
      <c r="MVA125" s="36"/>
      <c r="MVB125" s="36"/>
      <c r="MVC125" s="36"/>
      <c r="MVD125" s="36"/>
      <c r="MVE125" s="36"/>
      <c r="MVF125" s="36"/>
      <c r="MVG125" s="36"/>
      <c r="MVH125" s="36"/>
      <c r="MVI125" s="36"/>
      <c r="MVJ125" s="36"/>
      <c r="MVK125" s="36"/>
      <c r="MVL125" s="36"/>
      <c r="MVM125" s="36"/>
      <c r="MVN125" s="36"/>
      <c r="MVO125" s="36"/>
      <c r="MVP125" s="36"/>
      <c r="MVQ125" s="36"/>
      <c r="MVR125" s="36"/>
      <c r="MVS125" s="36"/>
      <c r="MVT125" s="36"/>
      <c r="MVU125" s="36"/>
      <c r="MVV125" s="36"/>
      <c r="MVW125" s="36"/>
      <c r="MVX125" s="36"/>
      <c r="MVY125" s="36"/>
      <c r="MVZ125" s="36"/>
      <c r="MWA125" s="36"/>
      <c r="MWB125" s="36"/>
      <c r="MWC125" s="36"/>
      <c r="MWD125" s="36"/>
      <c r="MWE125" s="36"/>
      <c r="MWF125" s="36"/>
      <c r="MWG125" s="36"/>
      <c r="MWH125" s="36"/>
      <c r="MWI125" s="36"/>
      <c r="MWJ125" s="36"/>
      <c r="MWK125" s="36"/>
      <c r="MWL125" s="36"/>
      <c r="MWM125" s="36"/>
      <c r="MWN125" s="36"/>
      <c r="MWO125" s="36"/>
      <c r="MWP125" s="36"/>
      <c r="MWQ125" s="36"/>
      <c r="MWR125" s="36"/>
      <c r="MWS125" s="36"/>
      <c r="MWT125" s="36"/>
      <c r="MWU125" s="36"/>
      <c r="MWV125" s="36"/>
      <c r="MWW125" s="36"/>
      <c r="MWX125" s="36"/>
      <c r="MWY125" s="36"/>
      <c r="MWZ125" s="36"/>
      <c r="MXA125" s="36"/>
      <c r="MXB125" s="36"/>
      <c r="MXC125" s="36"/>
      <c r="MXD125" s="36"/>
      <c r="MXE125" s="36"/>
      <c r="MXF125" s="36"/>
      <c r="MXG125" s="36"/>
      <c r="MXH125" s="36"/>
      <c r="MXI125" s="36"/>
      <c r="MXJ125" s="36"/>
      <c r="MXK125" s="36"/>
      <c r="MXL125" s="36"/>
      <c r="MXM125" s="36"/>
      <c r="MXN125" s="36"/>
      <c r="MXO125" s="36"/>
      <c r="MXP125" s="36"/>
      <c r="MXQ125" s="36"/>
      <c r="MXR125" s="36"/>
      <c r="MXS125" s="36"/>
      <c r="MXT125" s="36"/>
      <c r="MXU125" s="36"/>
      <c r="MXV125" s="36"/>
      <c r="MXW125" s="36"/>
      <c r="MXX125" s="36"/>
      <c r="MXY125" s="36"/>
      <c r="MXZ125" s="36"/>
      <c r="MYA125" s="36"/>
      <c r="MYB125" s="36"/>
      <c r="MYC125" s="36"/>
      <c r="MYD125" s="36"/>
      <c r="MYE125" s="36"/>
      <c r="MYF125" s="36"/>
      <c r="MYG125" s="36"/>
      <c r="MYH125" s="36"/>
      <c r="MYI125" s="36"/>
      <c r="MYJ125" s="36"/>
      <c r="MYK125" s="36"/>
      <c r="MYL125" s="36"/>
      <c r="MYM125" s="36"/>
      <c r="MYN125" s="36"/>
      <c r="MYO125" s="36"/>
      <c r="MYP125" s="36"/>
      <c r="MYQ125" s="36"/>
      <c r="MYR125" s="36"/>
      <c r="MYS125" s="36"/>
      <c r="MYT125" s="36"/>
      <c r="MYU125" s="36"/>
      <c r="MYV125" s="36"/>
      <c r="MYW125" s="36"/>
      <c r="MYX125" s="36"/>
      <c r="MYY125" s="36"/>
      <c r="MYZ125" s="36"/>
      <c r="MZA125" s="36"/>
      <c r="MZB125" s="36"/>
      <c r="MZC125" s="36"/>
      <c r="MZD125" s="36"/>
      <c r="MZE125" s="36"/>
      <c r="MZF125" s="36"/>
      <c r="MZG125" s="36"/>
      <c r="MZH125" s="36"/>
      <c r="MZI125" s="36"/>
      <c r="MZJ125" s="36"/>
      <c r="MZK125" s="36"/>
      <c r="MZL125" s="36"/>
      <c r="MZM125" s="36"/>
      <c r="MZN125" s="36"/>
      <c r="MZO125" s="36"/>
      <c r="MZP125" s="36"/>
      <c r="MZQ125" s="36"/>
      <c r="MZR125" s="36"/>
      <c r="MZS125" s="36"/>
      <c r="MZT125" s="36"/>
      <c r="MZU125" s="36"/>
      <c r="MZV125" s="36"/>
      <c r="MZW125" s="36"/>
      <c r="MZX125" s="36"/>
      <c r="MZY125" s="36"/>
      <c r="MZZ125" s="36"/>
      <c r="NAA125" s="36"/>
      <c r="NAB125" s="36"/>
      <c r="NAC125" s="36"/>
      <c r="NAD125" s="36"/>
      <c r="NAE125" s="36"/>
      <c r="NAF125" s="36"/>
      <c r="NAG125" s="36"/>
      <c r="NAH125" s="36"/>
      <c r="NAI125" s="36"/>
      <c r="NAJ125" s="36"/>
      <c r="NAK125" s="36"/>
      <c r="NAL125" s="36"/>
      <c r="NAM125" s="36"/>
      <c r="NAN125" s="36"/>
      <c r="NAO125" s="36"/>
      <c r="NAP125" s="36"/>
      <c r="NAQ125" s="36"/>
      <c r="NAR125" s="36"/>
      <c r="NAS125" s="36"/>
      <c r="NAT125" s="36"/>
      <c r="NAU125" s="36"/>
      <c r="NAV125" s="36"/>
      <c r="NAW125" s="36"/>
      <c r="NAX125" s="36"/>
      <c r="NAY125" s="36"/>
      <c r="NAZ125" s="36"/>
      <c r="NBA125" s="36"/>
      <c r="NBB125" s="36"/>
      <c r="NBC125" s="36"/>
      <c r="NBD125" s="36"/>
      <c r="NBE125" s="36"/>
      <c r="NBF125" s="36"/>
      <c r="NBG125" s="36"/>
      <c r="NBH125" s="36"/>
      <c r="NBI125" s="36"/>
      <c r="NBJ125" s="36"/>
      <c r="NBK125" s="36"/>
      <c r="NBL125" s="36"/>
      <c r="NBM125" s="36"/>
      <c r="NBN125" s="36"/>
      <c r="NBO125" s="36"/>
      <c r="NBP125" s="36"/>
      <c r="NBQ125" s="36"/>
      <c r="NBR125" s="36"/>
      <c r="NBS125" s="36"/>
      <c r="NBT125" s="36"/>
      <c r="NBU125" s="36"/>
      <c r="NBV125" s="36"/>
      <c r="NBW125" s="36"/>
      <c r="NBX125" s="36"/>
      <c r="NBY125" s="36"/>
      <c r="NBZ125" s="36"/>
      <c r="NCA125" s="36"/>
      <c r="NCB125" s="36"/>
      <c r="NCC125" s="36"/>
      <c r="NCD125" s="36"/>
      <c r="NCE125" s="36"/>
      <c r="NCF125" s="36"/>
      <c r="NCG125" s="36"/>
      <c r="NCH125" s="36"/>
      <c r="NCI125" s="36"/>
      <c r="NCJ125" s="36"/>
      <c r="NCK125" s="36"/>
      <c r="NCL125" s="36"/>
      <c r="NCM125" s="36"/>
      <c r="NCN125" s="36"/>
      <c r="NCO125" s="36"/>
      <c r="NCP125" s="36"/>
      <c r="NCQ125" s="36"/>
      <c r="NCR125" s="36"/>
      <c r="NCS125" s="36"/>
      <c r="NCT125" s="36"/>
      <c r="NCU125" s="36"/>
      <c r="NCV125" s="36"/>
      <c r="NCW125" s="36"/>
      <c r="NCX125" s="36"/>
      <c r="NCY125" s="36"/>
      <c r="NCZ125" s="36"/>
      <c r="NDA125" s="36"/>
      <c r="NDB125" s="36"/>
      <c r="NDC125" s="36"/>
      <c r="NDD125" s="36"/>
      <c r="NDE125" s="36"/>
      <c r="NDF125" s="36"/>
      <c r="NDG125" s="36"/>
      <c r="NDH125" s="36"/>
      <c r="NDI125" s="36"/>
      <c r="NDJ125" s="36"/>
      <c r="NDK125" s="36"/>
      <c r="NDL125" s="36"/>
      <c r="NDM125" s="36"/>
      <c r="NDN125" s="36"/>
      <c r="NDO125" s="36"/>
      <c r="NDP125" s="36"/>
      <c r="NDQ125" s="36"/>
      <c r="NDR125" s="36"/>
      <c r="NDS125" s="36"/>
      <c r="NDT125" s="36"/>
      <c r="NDU125" s="36"/>
      <c r="NDV125" s="36"/>
      <c r="NDW125" s="36"/>
      <c r="NDX125" s="36"/>
      <c r="NDY125" s="36"/>
      <c r="NDZ125" s="36"/>
      <c r="NEA125" s="36"/>
      <c r="NEB125" s="36"/>
      <c r="NEC125" s="36"/>
      <c r="NED125" s="36"/>
      <c r="NEE125" s="36"/>
      <c r="NEF125" s="36"/>
      <c r="NEG125" s="36"/>
      <c r="NEH125" s="36"/>
      <c r="NEI125" s="36"/>
      <c r="NEJ125" s="36"/>
      <c r="NEK125" s="36"/>
      <c r="NEL125" s="36"/>
      <c r="NEM125" s="36"/>
      <c r="NEN125" s="36"/>
      <c r="NEO125" s="36"/>
      <c r="NEP125" s="36"/>
      <c r="NEQ125" s="36"/>
      <c r="NER125" s="36"/>
      <c r="NES125" s="36"/>
      <c r="NET125" s="36"/>
      <c r="NEU125" s="36"/>
      <c r="NEV125" s="36"/>
      <c r="NEW125" s="36"/>
      <c r="NEX125" s="36"/>
      <c r="NEY125" s="36"/>
      <c r="NEZ125" s="36"/>
      <c r="NFA125" s="36"/>
      <c r="NFB125" s="36"/>
      <c r="NFC125" s="36"/>
      <c r="NFD125" s="36"/>
      <c r="NFE125" s="36"/>
      <c r="NFF125" s="36"/>
      <c r="NFG125" s="36"/>
      <c r="NFH125" s="36"/>
      <c r="NFI125" s="36"/>
      <c r="NFJ125" s="36"/>
      <c r="NFK125" s="36"/>
      <c r="NFL125" s="36"/>
      <c r="NFM125" s="36"/>
      <c r="NFN125" s="36"/>
      <c r="NFO125" s="36"/>
      <c r="NFP125" s="36"/>
      <c r="NFQ125" s="36"/>
      <c r="NFR125" s="36"/>
      <c r="NFS125" s="36"/>
      <c r="NFT125" s="36"/>
      <c r="NFU125" s="36"/>
      <c r="NFV125" s="36"/>
      <c r="NFW125" s="36"/>
      <c r="NFX125" s="36"/>
      <c r="NFY125" s="36"/>
      <c r="NFZ125" s="36"/>
      <c r="NGA125" s="36"/>
      <c r="NGB125" s="36"/>
      <c r="NGC125" s="36"/>
      <c r="NGD125" s="36"/>
      <c r="NGE125" s="36"/>
      <c r="NGF125" s="36"/>
      <c r="NGG125" s="36"/>
      <c r="NGH125" s="36"/>
      <c r="NGI125" s="36"/>
      <c r="NGJ125" s="36"/>
      <c r="NGK125" s="36"/>
      <c r="NGL125" s="36"/>
      <c r="NGM125" s="36"/>
      <c r="NGN125" s="36"/>
      <c r="NGO125" s="36"/>
      <c r="NGP125" s="36"/>
      <c r="NGQ125" s="36"/>
      <c r="NGR125" s="36"/>
      <c r="NGS125" s="36"/>
      <c r="NGT125" s="36"/>
      <c r="NGU125" s="36"/>
      <c r="NGV125" s="36"/>
      <c r="NGW125" s="36"/>
      <c r="NGX125" s="36"/>
      <c r="NGY125" s="36"/>
      <c r="NGZ125" s="36"/>
      <c r="NHA125" s="36"/>
      <c r="NHB125" s="36"/>
      <c r="NHC125" s="36"/>
      <c r="NHD125" s="36"/>
      <c r="NHE125" s="36"/>
      <c r="NHF125" s="36"/>
      <c r="NHG125" s="36"/>
      <c r="NHH125" s="36"/>
      <c r="NHI125" s="36"/>
      <c r="NHJ125" s="36"/>
      <c r="NHK125" s="36"/>
      <c r="NHL125" s="36"/>
      <c r="NHM125" s="36"/>
      <c r="NHN125" s="36"/>
      <c r="NHO125" s="36"/>
      <c r="NHP125" s="36"/>
      <c r="NHQ125" s="36"/>
      <c r="NHR125" s="36"/>
      <c r="NHS125" s="36"/>
      <c r="NHT125" s="36"/>
      <c r="NHU125" s="36"/>
      <c r="NHV125" s="36"/>
      <c r="NHW125" s="36"/>
      <c r="NHX125" s="36"/>
      <c r="NHY125" s="36"/>
      <c r="NHZ125" s="36"/>
      <c r="NIA125" s="36"/>
      <c r="NIB125" s="36"/>
      <c r="NIC125" s="36"/>
      <c r="NID125" s="36"/>
      <c r="NIE125" s="36"/>
      <c r="NIF125" s="36"/>
      <c r="NIG125" s="36"/>
      <c r="NIH125" s="36"/>
      <c r="NII125" s="36"/>
      <c r="NIJ125" s="36"/>
      <c r="NIK125" s="36"/>
      <c r="NIL125" s="36"/>
      <c r="NIM125" s="36"/>
      <c r="NIN125" s="36"/>
      <c r="NIO125" s="36"/>
      <c r="NIP125" s="36"/>
      <c r="NIQ125" s="36"/>
      <c r="NIR125" s="36"/>
      <c r="NIS125" s="36"/>
      <c r="NIT125" s="36"/>
      <c r="NIU125" s="36"/>
      <c r="NIV125" s="36"/>
      <c r="NIW125" s="36"/>
      <c r="NIX125" s="36"/>
      <c r="NIY125" s="36"/>
      <c r="NIZ125" s="36"/>
      <c r="NJA125" s="36"/>
      <c r="NJB125" s="36"/>
      <c r="NJC125" s="36"/>
      <c r="NJD125" s="36"/>
      <c r="NJE125" s="36"/>
      <c r="NJF125" s="36"/>
      <c r="NJG125" s="36"/>
      <c r="NJH125" s="36"/>
      <c r="NJI125" s="36"/>
      <c r="NJJ125" s="36"/>
      <c r="NJK125" s="36"/>
      <c r="NJL125" s="36"/>
      <c r="NJM125" s="36"/>
      <c r="NJN125" s="36"/>
      <c r="NJO125" s="36"/>
      <c r="NJP125" s="36"/>
      <c r="NJQ125" s="36"/>
      <c r="NJR125" s="36"/>
      <c r="NJS125" s="36"/>
      <c r="NJT125" s="36"/>
      <c r="NJU125" s="36"/>
      <c r="NJV125" s="36"/>
      <c r="NJW125" s="36"/>
      <c r="NJX125" s="36"/>
      <c r="NJY125" s="36"/>
      <c r="NJZ125" s="36"/>
      <c r="NKA125" s="36"/>
      <c r="NKB125" s="36"/>
      <c r="NKC125" s="36"/>
      <c r="NKD125" s="36"/>
      <c r="NKE125" s="36"/>
      <c r="NKF125" s="36"/>
      <c r="NKG125" s="36"/>
      <c r="NKH125" s="36"/>
      <c r="NKI125" s="36"/>
      <c r="NKJ125" s="36"/>
      <c r="NKK125" s="36"/>
      <c r="NKL125" s="36"/>
      <c r="NKM125" s="36"/>
      <c r="NKN125" s="36"/>
      <c r="NKO125" s="36"/>
      <c r="NKP125" s="36"/>
      <c r="NKQ125" s="36"/>
      <c r="NKR125" s="36"/>
      <c r="NKS125" s="36"/>
      <c r="NKT125" s="36"/>
      <c r="NKU125" s="36"/>
      <c r="NKV125" s="36"/>
      <c r="NKW125" s="36"/>
      <c r="NKX125" s="36"/>
      <c r="NKY125" s="36"/>
      <c r="NKZ125" s="36"/>
      <c r="NLA125" s="36"/>
      <c r="NLB125" s="36"/>
      <c r="NLC125" s="36"/>
      <c r="NLD125" s="36"/>
      <c r="NLE125" s="36"/>
      <c r="NLF125" s="36"/>
      <c r="NLG125" s="36"/>
      <c r="NLH125" s="36"/>
      <c r="NLI125" s="36"/>
      <c r="NLJ125" s="36"/>
      <c r="NLK125" s="36"/>
      <c r="NLL125" s="36"/>
      <c r="NLM125" s="36"/>
      <c r="NLN125" s="36"/>
      <c r="NLO125" s="36"/>
      <c r="NLP125" s="36"/>
      <c r="NLQ125" s="36"/>
      <c r="NLR125" s="36"/>
      <c r="NLS125" s="36"/>
      <c r="NLT125" s="36"/>
      <c r="NLU125" s="36"/>
      <c r="NLV125" s="36"/>
      <c r="NLW125" s="36"/>
      <c r="NLX125" s="36"/>
      <c r="NLY125" s="36"/>
      <c r="NLZ125" s="36"/>
      <c r="NMA125" s="36"/>
      <c r="NMB125" s="36"/>
      <c r="NMC125" s="36"/>
      <c r="NMD125" s="36"/>
      <c r="NME125" s="36"/>
      <c r="NMF125" s="36"/>
      <c r="NMG125" s="36"/>
      <c r="NMH125" s="36"/>
      <c r="NMI125" s="36"/>
      <c r="NMJ125" s="36"/>
      <c r="NMK125" s="36"/>
      <c r="NML125" s="36"/>
      <c r="NMM125" s="36"/>
      <c r="NMN125" s="36"/>
      <c r="NMO125" s="36"/>
      <c r="NMP125" s="36"/>
      <c r="NMQ125" s="36"/>
      <c r="NMR125" s="36"/>
      <c r="NMS125" s="36"/>
      <c r="NMT125" s="36"/>
      <c r="NMU125" s="36"/>
      <c r="NMV125" s="36"/>
      <c r="NMW125" s="36"/>
      <c r="NMX125" s="36"/>
      <c r="NMY125" s="36"/>
      <c r="NMZ125" s="36"/>
      <c r="NNA125" s="36"/>
      <c r="NNB125" s="36"/>
      <c r="NNC125" s="36"/>
      <c r="NND125" s="36"/>
      <c r="NNE125" s="36"/>
      <c r="NNF125" s="36"/>
      <c r="NNG125" s="36"/>
      <c r="NNH125" s="36"/>
      <c r="NNI125" s="36"/>
      <c r="NNJ125" s="36"/>
      <c r="NNK125" s="36"/>
      <c r="NNL125" s="36"/>
      <c r="NNM125" s="36"/>
      <c r="NNN125" s="36"/>
      <c r="NNO125" s="36"/>
      <c r="NNP125" s="36"/>
      <c r="NNQ125" s="36"/>
      <c r="NNR125" s="36"/>
      <c r="NNS125" s="36"/>
      <c r="NNT125" s="36"/>
      <c r="NNU125" s="36"/>
      <c r="NNV125" s="36"/>
      <c r="NNW125" s="36"/>
      <c r="NNX125" s="36"/>
      <c r="NNY125" s="36"/>
      <c r="NNZ125" s="36"/>
      <c r="NOA125" s="36"/>
      <c r="NOB125" s="36"/>
      <c r="NOC125" s="36"/>
      <c r="NOD125" s="36"/>
      <c r="NOE125" s="36"/>
      <c r="NOF125" s="36"/>
      <c r="NOG125" s="36"/>
      <c r="NOH125" s="36"/>
      <c r="NOI125" s="36"/>
      <c r="NOJ125" s="36"/>
      <c r="NOK125" s="36"/>
      <c r="NOL125" s="36"/>
      <c r="NOM125" s="36"/>
      <c r="NON125" s="36"/>
      <c r="NOO125" s="36"/>
      <c r="NOP125" s="36"/>
      <c r="NOQ125" s="36"/>
      <c r="NOR125" s="36"/>
      <c r="NOS125" s="36"/>
      <c r="NOT125" s="36"/>
      <c r="NOU125" s="36"/>
      <c r="NOV125" s="36"/>
      <c r="NOW125" s="36"/>
      <c r="NOX125" s="36"/>
      <c r="NOY125" s="36"/>
      <c r="NOZ125" s="36"/>
      <c r="NPA125" s="36"/>
      <c r="NPB125" s="36"/>
      <c r="NPC125" s="36"/>
      <c r="NPD125" s="36"/>
      <c r="NPE125" s="36"/>
      <c r="NPF125" s="36"/>
      <c r="NPG125" s="36"/>
      <c r="NPH125" s="36"/>
      <c r="NPI125" s="36"/>
      <c r="NPJ125" s="36"/>
      <c r="NPK125" s="36"/>
      <c r="NPL125" s="36"/>
      <c r="NPM125" s="36"/>
      <c r="NPN125" s="36"/>
      <c r="NPO125" s="36"/>
      <c r="NPP125" s="36"/>
      <c r="NPQ125" s="36"/>
      <c r="NPR125" s="36"/>
      <c r="NPS125" s="36"/>
      <c r="NPT125" s="36"/>
      <c r="NPU125" s="36"/>
      <c r="NPV125" s="36"/>
      <c r="NPW125" s="36"/>
      <c r="NPX125" s="36"/>
      <c r="NPY125" s="36"/>
      <c r="NPZ125" s="36"/>
      <c r="NQA125" s="36"/>
      <c r="NQB125" s="36"/>
      <c r="NQC125" s="36"/>
      <c r="NQD125" s="36"/>
      <c r="NQE125" s="36"/>
      <c r="NQF125" s="36"/>
      <c r="NQG125" s="36"/>
      <c r="NQH125" s="36"/>
      <c r="NQI125" s="36"/>
      <c r="NQJ125" s="36"/>
      <c r="NQK125" s="36"/>
      <c r="NQL125" s="36"/>
      <c r="NQM125" s="36"/>
      <c r="NQN125" s="36"/>
      <c r="NQO125" s="36"/>
      <c r="NQP125" s="36"/>
      <c r="NQQ125" s="36"/>
      <c r="NQR125" s="36"/>
      <c r="NQS125" s="36"/>
      <c r="NQT125" s="36"/>
      <c r="NQU125" s="36"/>
      <c r="NQV125" s="36"/>
      <c r="NQW125" s="36"/>
      <c r="NQX125" s="36"/>
      <c r="NQY125" s="36"/>
      <c r="NQZ125" s="36"/>
      <c r="NRA125" s="36"/>
      <c r="NRB125" s="36"/>
      <c r="NRC125" s="36"/>
      <c r="NRD125" s="36"/>
      <c r="NRE125" s="36"/>
      <c r="NRF125" s="36"/>
      <c r="NRG125" s="36"/>
      <c r="NRH125" s="36"/>
      <c r="NRI125" s="36"/>
      <c r="NRJ125" s="36"/>
      <c r="NRK125" s="36"/>
      <c r="NRL125" s="36"/>
      <c r="NRM125" s="36"/>
      <c r="NRN125" s="36"/>
      <c r="NRO125" s="36"/>
      <c r="NRP125" s="36"/>
      <c r="NRQ125" s="36"/>
      <c r="NRR125" s="36"/>
      <c r="NRS125" s="36"/>
      <c r="NRT125" s="36"/>
      <c r="NRU125" s="36"/>
      <c r="NRV125" s="36"/>
      <c r="NRW125" s="36"/>
      <c r="NRX125" s="36"/>
      <c r="NRY125" s="36"/>
      <c r="NRZ125" s="36"/>
      <c r="NSA125" s="36"/>
      <c r="NSB125" s="36"/>
      <c r="NSC125" s="36"/>
      <c r="NSD125" s="36"/>
      <c r="NSE125" s="36"/>
      <c r="NSF125" s="36"/>
      <c r="NSG125" s="36"/>
      <c r="NSH125" s="36"/>
      <c r="NSI125" s="36"/>
      <c r="NSJ125" s="36"/>
      <c r="NSK125" s="36"/>
      <c r="NSL125" s="36"/>
      <c r="NSM125" s="36"/>
      <c r="NSN125" s="36"/>
      <c r="NSO125" s="36"/>
      <c r="NSP125" s="36"/>
      <c r="NSQ125" s="36"/>
      <c r="NSR125" s="36"/>
      <c r="NSS125" s="36"/>
      <c r="NST125" s="36"/>
      <c r="NSU125" s="36"/>
      <c r="NSV125" s="36"/>
      <c r="NSW125" s="36"/>
      <c r="NSX125" s="36"/>
      <c r="NSY125" s="36"/>
      <c r="NSZ125" s="36"/>
      <c r="NTA125" s="36"/>
      <c r="NTB125" s="36"/>
      <c r="NTC125" s="36"/>
      <c r="NTD125" s="36"/>
      <c r="NTE125" s="36"/>
      <c r="NTF125" s="36"/>
      <c r="NTG125" s="36"/>
      <c r="NTH125" s="36"/>
      <c r="NTI125" s="36"/>
      <c r="NTJ125" s="36"/>
      <c r="NTK125" s="36"/>
      <c r="NTL125" s="36"/>
      <c r="NTM125" s="36"/>
      <c r="NTN125" s="36"/>
      <c r="NTO125" s="36"/>
      <c r="NTP125" s="36"/>
      <c r="NTQ125" s="36"/>
      <c r="NTR125" s="36"/>
      <c r="NTS125" s="36"/>
      <c r="NTT125" s="36"/>
      <c r="NTU125" s="36"/>
      <c r="NTV125" s="36"/>
      <c r="NTW125" s="36"/>
      <c r="NTX125" s="36"/>
      <c r="NTY125" s="36"/>
      <c r="NTZ125" s="36"/>
      <c r="NUA125" s="36"/>
      <c r="NUB125" s="36"/>
      <c r="NUC125" s="36"/>
      <c r="NUD125" s="36"/>
      <c r="NUE125" s="36"/>
      <c r="NUF125" s="36"/>
      <c r="NUG125" s="36"/>
      <c r="NUH125" s="36"/>
      <c r="NUI125" s="36"/>
      <c r="NUJ125" s="36"/>
      <c r="NUK125" s="36"/>
      <c r="NUL125" s="36"/>
      <c r="NUM125" s="36"/>
      <c r="NUN125" s="36"/>
      <c r="NUO125" s="36"/>
      <c r="NUP125" s="36"/>
      <c r="NUQ125" s="36"/>
      <c r="NUR125" s="36"/>
      <c r="NUS125" s="36"/>
      <c r="NUT125" s="36"/>
      <c r="NUU125" s="36"/>
      <c r="NUV125" s="36"/>
      <c r="NUW125" s="36"/>
      <c r="NUX125" s="36"/>
      <c r="NUY125" s="36"/>
      <c r="NUZ125" s="36"/>
      <c r="NVA125" s="36"/>
      <c r="NVB125" s="36"/>
      <c r="NVC125" s="36"/>
      <c r="NVD125" s="36"/>
      <c r="NVE125" s="36"/>
      <c r="NVF125" s="36"/>
      <c r="NVG125" s="36"/>
      <c r="NVH125" s="36"/>
      <c r="NVI125" s="36"/>
      <c r="NVJ125" s="36"/>
      <c r="NVK125" s="36"/>
      <c r="NVL125" s="36"/>
      <c r="NVM125" s="36"/>
      <c r="NVN125" s="36"/>
      <c r="NVO125" s="36"/>
      <c r="NVP125" s="36"/>
      <c r="NVQ125" s="36"/>
      <c r="NVR125" s="36"/>
      <c r="NVS125" s="36"/>
      <c r="NVT125" s="36"/>
      <c r="NVU125" s="36"/>
      <c r="NVV125" s="36"/>
      <c r="NVW125" s="36"/>
      <c r="NVX125" s="36"/>
      <c r="NVY125" s="36"/>
      <c r="NVZ125" s="36"/>
      <c r="NWA125" s="36"/>
      <c r="NWB125" s="36"/>
      <c r="NWC125" s="36"/>
      <c r="NWD125" s="36"/>
      <c r="NWE125" s="36"/>
      <c r="NWF125" s="36"/>
      <c r="NWG125" s="36"/>
      <c r="NWH125" s="36"/>
      <c r="NWI125" s="36"/>
      <c r="NWJ125" s="36"/>
      <c r="NWK125" s="36"/>
      <c r="NWL125" s="36"/>
      <c r="NWM125" s="36"/>
      <c r="NWN125" s="36"/>
      <c r="NWO125" s="36"/>
      <c r="NWP125" s="36"/>
      <c r="NWQ125" s="36"/>
      <c r="NWR125" s="36"/>
      <c r="NWS125" s="36"/>
      <c r="NWT125" s="36"/>
      <c r="NWU125" s="36"/>
      <c r="NWV125" s="36"/>
      <c r="NWW125" s="36"/>
      <c r="NWX125" s="36"/>
      <c r="NWY125" s="36"/>
      <c r="NWZ125" s="36"/>
      <c r="NXA125" s="36"/>
      <c r="NXB125" s="36"/>
      <c r="NXC125" s="36"/>
      <c r="NXD125" s="36"/>
      <c r="NXE125" s="36"/>
      <c r="NXF125" s="36"/>
      <c r="NXG125" s="36"/>
      <c r="NXH125" s="36"/>
      <c r="NXI125" s="36"/>
      <c r="NXJ125" s="36"/>
      <c r="NXK125" s="36"/>
      <c r="NXL125" s="36"/>
      <c r="NXM125" s="36"/>
      <c r="NXN125" s="36"/>
      <c r="NXO125" s="36"/>
      <c r="NXP125" s="36"/>
      <c r="NXQ125" s="36"/>
      <c r="NXR125" s="36"/>
      <c r="NXS125" s="36"/>
      <c r="NXT125" s="36"/>
      <c r="NXU125" s="36"/>
      <c r="NXV125" s="36"/>
      <c r="NXW125" s="36"/>
      <c r="NXX125" s="36"/>
      <c r="NXY125" s="36"/>
      <c r="NXZ125" s="36"/>
      <c r="NYA125" s="36"/>
      <c r="NYB125" s="36"/>
      <c r="NYC125" s="36"/>
      <c r="NYD125" s="36"/>
      <c r="NYE125" s="36"/>
      <c r="NYF125" s="36"/>
      <c r="NYG125" s="36"/>
      <c r="NYH125" s="36"/>
      <c r="NYI125" s="36"/>
      <c r="NYJ125" s="36"/>
      <c r="NYK125" s="36"/>
      <c r="NYL125" s="36"/>
      <c r="NYM125" s="36"/>
      <c r="NYN125" s="36"/>
      <c r="NYO125" s="36"/>
      <c r="NYP125" s="36"/>
      <c r="NYQ125" s="36"/>
      <c r="NYR125" s="36"/>
      <c r="NYS125" s="36"/>
      <c r="NYT125" s="36"/>
      <c r="NYU125" s="36"/>
      <c r="NYV125" s="36"/>
      <c r="NYW125" s="36"/>
      <c r="NYX125" s="36"/>
      <c r="NYY125" s="36"/>
      <c r="NYZ125" s="36"/>
      <c r="NZA125" s="36"/>
      <c r="NZB125" s="36"/>
      <c r="NZC125" s="36"/>
      <c r="NZD125" s="36"/>
      <c r="NZE125" s="36"/>
      <c r="NZF125" s="36"/>
      <c r="NZG125" s="36"/>
      <c r="NZH125" s="36"/>
      <c r="NZI125" s="36"/>
      <c r="NZJ125" s="36"/>
      <c r="NZK125" s="36"/>
      <c r="NZL125" s="36"/>
      <c r="NZM125" s="36"/>
      <c r="NZN125" s="36"/>
      <c r="NZO125" s="36"/>
      <c r="NZP125" s="36"/>
      <c r="NZQ125" s="36"/>
      <c r="NZR125" s="36"/>
      <c r="NZS125" s="36"/>
      <c r="NZT125" s="36"/>
      <c r="NZU125" s="36"/>
      <c r="NZV125" s="36"/>
      <c r="NZW125" s="36"/>
      <c r="NZX125" s="36"/>
      <c r="NZY125" s="36"/>
      <c r="NZZ125" s="36"/>
      <c r="OAA125" s="36"/>
      <c r="OAB125" s="36"/>
      <c r="OAC125" s="36"/>
      <c r="OAD125" s="36"/>
      <c r="OAE125" s="36"/>
      <c r="OAF125" s="36"/>
      <c r="OAG125" s="36"/>
      <c r="OAH125" s="36"/>
      <c r="OAI125" s="36"/>
      <c r="OAJ125" s="36"/>
      <c r="OAK125" s="36"/>
      <c r="OAL125" s="36"/>
      <c r="OAM125" s="36"/>
      <c r="OAN125" s="36"/>
      <c r="OAO125" s="36"/>
      <c r="OAP125" s="36"/>
      <c r="OAQ125" s="36"/>
      <c r="OAR125" s="36"/>
      <c r="OAS125" s="36"/>
      <c r="OAT125" s="36"/>
      <c r="OAU125" s="36"/>
      <c r="OAV125" s="36"/>
      <c r="OAW125" s="36"/>
      <c r="OAX125" s="36"/>
      <c r="OAY125" s="36"/>
      <c r="OAZ125" s="36"/>
      <c r="OBA125" s="36"/>
      <c r="OBB125" s="36"/>
      <c r="OBC125" s="36"/>
      <c r="OBD125" s="36"/>
      <c r="OBE125" s="36"/>
      <c r="OBF125" s="36"/>
      <c r="OBG125" s="36"/>
      <c r="OBH125" s="36"/>
      <c r="OBI125" s="36"/>
      <c r="OBJ125" s="36"/>
      <c r="OBK125" s="36"/>
      <c r="OBL125" s="36"/>
      <c r="OBM125" s="36"/>
      <c r="OBN125" s="36"/>
      <c r="OBO125" s="36"/>
      <c r="OBP125" s="36"/>
      <c r="OBQ125" s="36"/>
      <c r="OBR125" s="36"/>
      <c r="OBS125" s="36"/>
      <c r="OBT125" s="36"/>
      <c r="OBU125" s="36"/>
      <c r="OBV125" s="36"/>
      <c r="OBW125" s="36"/>
      <c r="OBX125" s="36"/>
      <c r="OBY125" s="36"/>
      <c r="OBZ125" s="36"/>
      <c r="OCA125" s="36"/>
      <c r="OCB125" s="36"/>
      <c r="OCC125" s="36"/>
      <c r="OCD125" s="36"/>
      <c r="OCE125" s="36"/>
      <c r="OCF125" s="36"/>
      <c r="OCG125" s="36"/>
      <c r="OCH125" s="36"/>
      <c r="OCI125" s="36"/>
      <c r="OCJ125" s="36"/>
      <c r="OCK125" s="36"/>
      <c r="OCL125" s="36"/>
      <c r="OCM125" s="36"/>
      <c r="OCN125" s="36"/>
      <c r="OCO125" s="36"/>
      <c r="OCP125" s="36"/>
      <c r="OCQ125" s="36"/>
      <c r="OCR125" s="36"/>
      <c r="OCS125" s="36"/>
      <c r="OCT125" s="36"/>
      <c r="OCU125" s="36"/>
      <c r="OCV125" s="36"/>
      <c r="OCW125" s="36"/>
      <c r="OCX125" s="36"/>
      <c r="OCY125" s="36"/>
      <c r="OCZ125" s="36"/>
      <c r="ODA125" s="36"/>
      <c r="ODB125" s="36"/>
      <c r="ODC125" s="36"/>
      <c r="ODD125" s="36"/>
      <c r="ODE125" s="36"/>
      <c r="ODF125" s="36"/>
      <c r="ODG125" s="36"/>
      <c r="ODH125" s="36"/>
      <c r="ODI125" s="36"/>
      <c r="ODJ125" s="36"/>
      <c r="ODK125" s="36"/>
      <c r="ODL125" s="36"/>
      <c r="ODM125" s="36"/>
      <c r="ODN125" s="36"/>
      <c r="ODO125" s="36"/>
      <c r="ODP125" s="36"/>
      <c r="ODQ125" s="36"/>
      <c r="ODR125" s="36"/>
      <c r="ODS125" s="36"/>
      <c r="ODT125" s="36"/>
      <c r="ODU125" s="36"/>
      <c r="ODV125" s="36"/>
      <c r="ODW125" s="36"/>
      <c r="ODX125" s="36"/>
      <c r="ODY125" s="36"/>
      <c r="ODZ125" s="36"/>
      <c r="OEA125" s="36"/>
      <c r="OEB125" s="36"/>
      <c r="OEC125" s="36"/>
      <c r="OED125" s="36"/>
      <c r="OEE125" s="36"/>
      <c r="OEF125" s="36"/>
      <c r="OEG125" s="36"/>
      <c r="OEH125" s="36"/>
      <c r="OEI125" s="36"/>
      <c r="OEJ125" s="36"/>
      <c r="OEK125" s="36"/>
      <c r="OEL125" s="36"/>
      <c r="OEM125" s="36"/>
      <c r="OEN125" s="36"/>
      <c r="OEO125" s="36"/>
      <c r="OEP125" s="36"/>
      <c r="OEQ125" s="36"/>
      <c r="OER125" s="36"/>
      <c r="OES125" s="36"/>
      <c r="OET125" s="36"/>
      <c r="OEU125" s="36"/>
      <c r="OEV125" s="36"/>
      <c r="OEW125" s="36"/>
      <c r="OEX125" s="36"/>
      <c r="OEY125" s="36"/>
      <c r="OEZ125" s="36"/>
      <c r="OFA125" s="36"/>
      <c r="OFB125" s="36"/>
      <c r="OFC125" s="36"/>
      <c r="OFD125" s="36"/>
      <c r="OFE125" s="36"/>
      <c r="OFF125" s="36"/>
      <c r="OFG125" s="36"/>
      <c r="OFH125" s="36"/>
      <c r="OFI125" s="36"/>
      <c r="OFJ125" s="36"/>
      <c r="OFK125" s="36"/>
      <c r="OFL125" s="36"/>
      <c r="OFM125" s="36"/>
      <c r="OFN125" s="36"/>
      <c r="OFO125" s="36"/>
      <c r="OFP125" s="36"/>
      <c r="OFQ125" s="36"/>
      <c r="OFR125" s="36"/>
      <c r="OFS125" s="36"/>
      <c r="OFT125" s="36"/>
      <c r="OFU125" s="36"/>
      <c r="OFV125" s="36"/>
      <c r="OFW125" s="36"/>
      <c r="OFX125" s="36"/>
      <c r="OFY125" s="36"/>
      <c r="OFZ125" s="36"/>
      <c r="OGA125" s="36"/>
      <c r="OGB125" s="36"/>
      <c r="OGC125" s="36"/>
      <c r="OGD125" s="36"/>
      <c r="OGE125" s="36"/>
      <c r="OGF125" s="36"/>
      <c r="OGG125" s="36"/>
      <c r="OGH125" s="36"/>
      <c r="OGI125" s="36"/>
      <c r="OGJ125" s="36"/>
      <c r="OGK125" s="36"/>
      <c r="OGL125" s="36"/>
      <c r="OGM125" s="36"/>
      <c r="OGN125" s="36"/>
      <c r="OGO125" s="36"/>
      <c r="OGP125" s="36"/>
      <c r="OGQ125" s="36"/>
      <c r="OGR125" s="36"/>
      <c r="OGS125" s="36"/>
      <c r="OGT125" s="36"/>
      <c r="OGU125" s="36"/>
      <c r="OGV125" s="36"/>
      <c r="OGW125" s="36"/>
      <c r="OGX125" s="36"/>
      <c r="OGY125" s="36"/>
      <c r="OGZ125" s="36"/>
      <c r="OHA125" s="36"/>
      <c r="OHB125" s="36"/>
      <c r="OHC125" s="36"/>
      <c r="OHD125" s="36"/>
      <c r="OHE125" s="36"/>
      <c r="OHF125" s="36"/>
      <c r="OHG125" s="36"/>
      <c r="OHH125" s="36"/>
      <c r="OHI125" s="36"/>
      <c r="OHJ125" s="36"/>
      <c r="OHK125" s="36"/>
      <c r="OHL125" s="36"/>
      <c r="OHM125" s="36"/>
      <c r="OHN125" s="36"/>
      <c r="OHO125" s="36"/>
      <c r="OHP125" s="36"/>
      <c r="OHQ125" s="36"/>
      <c r="OHR125" s="36"/>
      <c r="OHS125" s="36"/>
      <c r="OHT125" s="36"/>
      <c r="OHU125" s="36"/>
      <c r="OHV125" s="36"/>
      <c r="OHW125" s="36"/>
      <c r="OHX125" s="36"/>
      <c r="OHY125" s="36"/>
      <c r="OHZ125" s="36"/>
      <c r="OIA125" s="36"/>
      <c r="OIB125" s="36"/>
      <c r="OIC125" s="36"/>
      <c r="OID125" s="36"/>
      <c r="OIE125" s="36"/>
      <c r="OIF125" s="36"/>
      <c r="OIG125" s="36"/>
      <c r="OIH125" s="36"/>
      <c r="OII125" s="36"/>
      <c r="OIJ125" s="36"/>
      <c r="OIK125" s="36"/>
      <c r="OIL125" s="36"/>
      <c r="OIM125" s="36"/>
      <c r="OIN125" s="36"/>
      <c r="OIO125" s="36"/>
      <c r="OIP125" s="36"/>
      <c r="OIQ125" s="36"/>
      <c r="OIR125" s="36"/>
      <c r="OIS125" s="36"/>
      <c r="OIT125" s="36"/>
      <c r="OIU125" s="36"/>
      <c r="OIV125" s="36"/>
      <c r="OIW125" s="36"/>
      <c r="OIX125" s="36"/>
      <c r="OIY125" s="36"/>
      <c r="OIZ125" s="36"/>
      <c r="OJA125" s="36"/>
      <c r="OJB125" s="36"/>
      <c r="OJC125" s="36"/>
      <c r="OJD125" s="36"/>
      <c r="OJE125" s="36"/>
      <c r="OJF125" s="36"/>
      <c r="OJG125" s="36"/>
      <c r="OJH125" s="36"/>
      <c r="OJI125" s="36"/>
      <c r="OJJ125" s="36"/>
      <c r="OJK125" s="36"/>
      <c r="OJL125" s="36"/>
      <c r="OJM125" s="36"/>
      <c r="OJN125" s="36"/>
      <c r="OJO125" s="36"/>
      <c r="OJP125" s="36"/>
      <c r="OJQ125" s="36"/>
      <c r="OJR125" s="36"/>
      <c r="OJS125" s="36"/>
      <c r="OJT125" s="36"/>
      <c r="OJU125" s="36"/>
      <c r="OJV125" s="36"/>
      <c r="OJW125" s="36"/>
      <c r="OJX125" s="36"/>
      <c r="OJY125" s="36"/>
      <c r="OJZ125" s="36"/>
      <c r="OKA125" s="36"/>
      <c r="OKB125" s="36"/>
      <c r="OKC125" s="36"/>
      <c r="OKD125" s="36"/>
      <c r="OKE125" s="36"/>
      <c r="OKF125" s="36"/>
      <c r="OKG125" s="36"/>
      <c r="OKH125" s="36"/>
      <c r="OKI125" s="36"/>
      <c r="OKJ125" s="36"/>
      <c r="OKK125" s="36"/>
      <c r="OKL125" s="36"/>
      <c r="OKM125" s="36"/>
      <c r="OKN125" s="36"/>
      <c r="OKO125" s="36"/>
      <c r="OKP125" s="36"/>
      <c r="OKQ125" s="36"/>
      <c r="OKR125" s="36"/>
      <c r="OKS125" s="36"/>
      <c r="OKT125" s="36"/>
      <c r="OKU125" s="36"/>
      <c r="OKV125" s="36"/>
      <c r="OKW125" s="36"/>
      <c r="OKX125" s="36"/>
      <c r="OKY125" s="36"/>
      <c r="OKZ125" s="36"/>
      <c r="OLA125" s="36"/>
      <c r="OLB125" s="36"/>
      <c r="OLC125" s="36"/>
      <c r="OLD125" s="36"/>
      <c r="OLE125" s="36"/>
      <c r="OLF125" s="36"/>
      <c r="OLG125" s="36"/>
      <c r="OLH125" s="36"/>
      <c r="OLI125" s="36"/>
      <c r="OLJ125" s="36"/>
      <c r="OLK125" s="36"/>
      <c r="OLL125" s="36"/>
      <c r="OLM125" s="36"/>
      <c r="OLN125" s="36"/>
      <c r="OLO125" s="36"/>
      <c r="OLP125" s="36"/>
      <c r="OLQ125" s="36"/>
      <c r="OLR125" s="36"/>
      <c r="OLS125" s="36"/>
      <c r="OLT125" s="36"/>
      <c r="OLU125" s="36"/>
      <c r="OLV125" s="36"/>
      <c r="OLW125" s="36"/>
      <c r="OLX125" s="36"/>
      <c r="OLY125" s="36"/>
      <c r="OLZ125" s="36"/>
      <c r="OMA125" s="36"/>
      <c r="OMB125" s="36"/>
      <c r="OMC125" s="36"/>
      <c r="OMD125" s="36"/>
      <c r="OME125" s="36"/>
      <c r="OMF125" s="36"/>
      <c r="OMG125" s="36"/>
      <c r="OMH125" s="36"/>
      <c r="OMI125" s="36"/>
      <c r="OMJ125" s="36"/>
      <c r="OMK125" s="36"/>
      <c r="OML125" s="36"/>
      <c r="OMM125" s="36"/>
      <c r="OMN125" s="36"/>
      <c r="OMO125" s="36"/>
      <c r="OMP125" s="36"/>
      <c r="OMQ125" s="36"/>
      <c r="OMR125" s="36"/>
      <c r="OMS125" s="36"/>
      <c r="OMT125" s="36"/>
      <c r="OMU125" s="36"/>
      <c r="OMV125" s="36"/>
      <c r="OMW125" s="36"/>
      <c r="OMX125" s="36"/>
      <c r="OMY125" s="36"/>
      <c r="OMZ125" s="36"/>
      <c r="ONA125" s="36"/>
      <c r="ONB125" s="36"/>
      <c r="ONC125" s="36"/>
      <c r="OND125" s="36"/>
      <c r="ONE125" s="36"/>
      <c r="ONF125" s="36"/>
      <c r="ONG125" s="36"/>
      <c r="ONH125" s="36"/>
      <c r="ONI125" s="36"/>
      <c r="ONJ125" s="36"/>
      <c r="ONK125" s="36"/>
      <c r="ONL125" s="36"/>
      <c r="ONM125" s="36"/>
      <c r="ONN125" s="36"/>
      <c r="ONO125" s="36"/>
      <c r="ONP125" s="36"/>
      <c r="ONQ125" s="36"/>
      <c r="ONR125" s="36"/>
      <c r="ONS125" s="36"/>
      <c r="ONT125" s="36"/>
      <c r="ONU125" s="36"/>
      <c r="ONV125" s="36"/>
      <c r="ONW125" s="36"/>
      <c r="ONX125" s="36"/>
      <c r="ONY125" s="36"/>
      <c r="ONZ125" s="36"/>
      <c r="OOA125" s="36"/>
      <c r="OOB125" s="36"/>
      <c r="OOC125" s="36"/>
      <c r="OOD125" s="36"/>
      <c r="OOE125" s="36"/>
      <c r="OOF125" s="36"/>
      <c r="OOG125" s="36"/>
      <c r="OOH125" s="36"/>
      <c r="OOI125" s="36"/>
      <c r="OOJ125" s="36"/>
      <c r="OOK125" s="36"/>
      <c r="OOL125" s="36"/>
      <c r="OOM125" s="36"/>
      <c r="OON125" s="36"/>
      <c r="OOO125" s="36"/>
      <c r="OOP125" s="36"/>
      <c r="OOQ125" s="36"/>
      <c r="OOR125" s="36"/>
      <c r="OOS125" s="36"/>
      <c r="OOT125" s="36"/>
      <c r="OOU125" s="36"/>
      <c r="OOV125" s="36"/>
      <c r="OOW125" s="36"/>
      <c r="OOX125" s="36"/>
      <c r="OOY125" s="36"/>
      <c r="OOZ125" s="36"/>
      <c r="OPA125" s="36"/>
      <c r="OPB125" s="36"/>
      <c r="OPC125" s="36"/>
      <c r="OPD125" s="36"/>
      <c r="OPE125" s="36"/>
      <c r="OPF125" s="36"/>
      <c r="OPG125" s="36"/>
      <c r="OPH125" s="36"/>
      <c r="OPI125" s="36"/>
      <c r="OPJ125" s="36"/>
      <c r="OPK125" s="36"/>
      <c r="OPL125" s="36"/>
      <c r="OPM125" s="36"/>
      <c r="OPN125" s="36"/>
      <c r="OPO125" s="36"/>
      <c r="OPP125" s="36"/>
      <c r="OPQ125" s="36"/>
      <c r="OPR125" s="36"/>
      <c r="OPS125" s="36"/>
      <c r="OPT125" s="36"/>
      <c r="OPU125" s="36"/>
      <c r="OPV125" s="36"/>
      <c r="OPW125" s="36"/>
      <c r="OPX125" s="36"/>
      <c r="OPY125" s="36"/>
      <c r="OPZ125" s="36"/>
      <c r="OQA125" s="36"/>
      <c r="OQB125" s="36"/>
      <c r="OQC125" s="36"/>
      <c r="OQD125" s="36"/>
      <c r="OQE125" s="36"/>
      <c r="OQF125" s="36"/>
      <c r="OQG125" s="36"/>
      <c r="OQH125" s="36"/>
      <c r="OQI125" s="36"/>
      <c r="OQJ125" s="36"/>
      <c r="OQK125" s="36"/>
      <c r="OQL125" s="36"/>
      <c r="OQM125" s="36"/>
      <c r="OQN125" s="36"/>
      <c r="OQO125" s="36"/>
      <c r="OQP125" s="36"/>
      <c r="OQQ125" s="36"/>
      <c r="OQR125" s="36"/>
      <c r="OQS125" s="36"/>
      <c r="OQT125" s="36"/>
      <c r="OQU125" s="36"/>
      <c r="OQV125" s="36"/>
      <c r="OQW125" s="36"/>
      <c r="OQX125" s="36"/>
      <c r="OQY125" s="36"/>
      <c r="OQZ125" s="36"/>
      <c r="ORA125" s="36"/>
      <c r="ORB125" s="36"/>
      <c r="ORC125" s="36"/>
      <c r="ORD125" s="36"/>
      <c r="ORE125" s="36"/>
      <c r="ORF125" s="36"/>
      <c r="ORG125" s="36"/>
      <c r="ORH125" s="36"/>
      <c r="ORI125" s="36"/>
      <c r="ORJ125" s="36"/>
      <c r="ORK125" s="36"/>
      <c r="ORL125" s="36"/>
      <c r="ORM125" s="36"/>
      <c r="ORN125" s="36"/>
      <c r="ORO125" s="36"/>
      <c r="ORP125" s="36"/>
      <c r="ORQ125" s="36"/>
      <c r="ORR125" s="36"/>
      <c r="ORS125" s="36"/>
      <c r="ORT125" s="36"/>
      <c r="ORU125" s="36"/>
      <c r="ORV125" s="36"/>
      <c r="ORW125" s="36"/>
      <c r="ORX125" s="36"/>
      <c r="ORY125" s="36"/>
      <c r="ORZ125" s="36"/>
      <c r="OSA125" s="36"/>
      <c r="OSB125" s="36"/>
      <c r="OSC125" s="36"/>
      <c r="OSD125" s="36"/>
      <c r="OSE125" s="36"/>
      <c r="OSF125" s="36"/>
      <c r="OSG125" s="36"/>
      <c r="OSH125" s="36"/>
      <c r="OSI125" s="36"/>
      <c r="OSJ125" s="36"/>
      <c r="OSK125" s="36"/>
      <c r="OSL125" s="36"/>
      <c r="OSM125" s="36"/>
      <c r="OSN125" s="36"/>
      <c r="OSO125" s="36"/>
      <c r="OSP125" s="36"/>
      <c r="OSQ125" s="36"/>
      <c r="OSR125" s="36"/>
      <c r="OSS125" s="36"/>
      <c r="OST125" s="36"/>
      <c r="OSU125" s="36"/>
      <c r="OSV125" s="36"/>
      <c r="OSW125" s="36"/>
      <c r="OSX125" s="36"/>
      <c r="OSY125" s="36"/>
      <c r="OSZ125" s="36"/>
      <c r="OTA125" s="36"/>
      <c r="OTB125" s="36"/>
      <c r="OTC125" s="36"/>
      <c r="OTD125" s="36"/>
      <c r="OTE125" s="36"/>
      <c r="OTF125" s="36"/>
      <c r="OTG125" s="36"/>
      <c r="OTH125" s="36"/>
      <c r="OTI125" s="36"/>
      <c r="OTJ125" s="36"/>
      <c r="OTK125" s="36"/>
      <c r="OTL125" s="36"/>
      <c r="OTM125" s="36"/>
      <c r="OTN125" s="36"/>
      <c r="OTO125" s="36"/>
      <c r="OTP125" s="36"/>
      <c r="OTQ125" s="36"/>
      <c r="OTR125" s="36"/>
      <c r="OTS125" s="36"/>
      <c r="OTT125" s="36"/>
      <c r="OTU125" s="36"/>
      <c r="OTV125" s="36"/>
      <c r="OTW125" s="36"/>
      <c r="OTX125" s="36"/>
      <c r="OTY125" s="36"/>
      <c r="OTZ125" s="36"/>
      <c r="OUA125" s="36"/>
      <c r="OUB125" s="36"/>
      <c r="OUC125" s="36"/>
      <c r="OUD125" s="36"/>
      <c r="OUE125" s="36"/>
      <c r="OUF125" s="36"/>
      <c r="OUG125" s="36"/>
      <c r="OUH125" s="36"/>
      <c r="OUI125" s="36"/>
      <c r="OUJ125" s="36"/>
      <c r="OUK125" s="36"/>
      <c r="OUL125" s="36"/>
      <c r="OUM125" s="36"/>
      <c r="OUN125" s="36"/>
      <c r="OUO125" s="36"/>
      <c r="OUP125" s="36"/>
      <c r="OUQ125" s="36"/>
      <c r="OUR125" s="36"/>
      <c r="OUS125" s="36"/>
      <c r="OUT125" s="36"/>
      <c r="OUU125" s="36"/>
      <c r="OUV125" s="36"/>
      <c r="OUW125" s="36"/>
      <c r="OUX125" s="36"/>
      <c r="OUY125" s="36"/>
      <c r="OUZ125" s="36"/>
      <c r="OVA125" s="36"/>
      <c r="OVB125" s="36"/>
      <c r="OVC125" s="36"/>
      <c r="OVD125" s="36"/>
      <c r="OVE125" s="36"/>
      <c r="OVF125" s="36"/>
      <c r="OVG125" s="36"/>
      <c r="OVH125" s="36"/>
      <c r="OVI125" s="36"/>
      <c r="OVJ125" s="36"/>
      <c r="OVK125" s="36"/>
      <c r="OVL125" s="36"/>
      <c r="OVM125" s="36"/>
      <c r="OVN125" s="36"/>
      <c r="OVO125" s="36"/>
      <c r="OVP125" s="36"/>
      <c r="OVQ125" s="36"/>
      <c r="OVR125" s="36"/>
      <c r="OVS125" s="36"/>
      <c r="OVT125" s="36"/>
      <c r="OVU125" s="36"/>
      <c r="OVV125" s="36"/>
      <c r="OVW125" s="36"/>
      <c r="OVX125" s="36"/>
      <c r="OVY125" s="36"/>
      <c r="OVZ125" s="36"/>
      <c r="OWA125" s="36"/>
      <c r="OWB125" s="36"/>
      <c r="OWC125" s="36"/>
      <c r="OWD125" s="36"/>
      <c r="OWE125" s="36"/>
      <c r="OWF125" s="36"/>
      <c r="OWG125" s="36"/>
      <c r="OWH125" s="36"/>
      <c r="OWI125" s="36"/>
      <c r="OWJ125" s="36"/>
      <c r="OWK125" s="36"/>
      <c r="OWL125" s="36"/>
      <c r="OWM125" s="36"/>
      <c r="OWN125" s="36"/>
      <c r="OWO125" s="36"/>
      <c r="OWP125" s="36"/>
      <c r="OWQ125" s="36"/>
      <c r="OWR125" s="36"/>
      <c r="OWS125" s="36"/>
      <c r="OWT125" s="36"/>
      <c r="OWU125" s="36"/>
      <c r="OWV125" s="36"/>
      <c r="OWW125" s="36"/>
      <c r="OWX125" s="36"/>
      <c r="OWY125" s="36"/>
      <c r="OWZ125" s="36"/>
      <c r="OXA125" s="36"/>
      <c r="OXB125" s="36"/>
      <c r="OXC125" s="36"/>
      <c r="OXD125" s="36"/>
      <c r="OXE125" s="36"/>
      <c r="OXF125" s="36"/>
      <c r="OXG125" s="36"/>
      <c r="OXH125" s="36"/>
      <c r="OXI125" s="36"/>
      <c r="OXJ125" s="36"/>
      <c r="OXK125" s="36"/>
      <c r="OXL125" s="36"/>
      <c r="OXM125" s="36"/>
      <c r="OXN125" s="36"/>
      <c r="OXO125" s="36"/>
      <c r="OXP125" s="36"/>
      <c r="OXQ125" s="36"/>
      <c r="OXR125" s="36"/>
      <c r="OXS125" s="36"/>
      <c r="OXT125" s="36"/>
      <c r="OXU125" s="36"/>
      <c r="OXV125" s="36"/>
      <c r="OXW125" s="36"/>
      <c r="OXX125" s="36"/>
      <c r="OXY125" s="36"/>
      <c r="OXZ125" s="36"/>
      <c r="OYA125" s="36"/>
      <c r="OYB125" s="36"/>
      <c r="OYC125" s="36"/>
      <c r="OYD125" s="36"/>
      <c r="OYE125" s="36"/>
      <c r="OYF125" s="36"/>
      <c r="OYG125" s="36"/>
      <c r="OYH125" s="36"/>
      <c r="OYI125" s="36"/>
      <c r="OYJ125" s="36"/>
      <c r="OYK125" s="36"/>
      <c r="OYL125" s="36"/>
      <c r="OYM125" s="36"/>
      <c r="OYN125" s="36"/>
      <c r="OYO125" s="36"/>
      <c r="OYP125" s="36"/>
      <c r="OYQ125" s="36"/>
      <c r="OYR125" s="36"/>
      <c r="OYS125" s="36"/>
      <c r="OYT125" s="36"/>
      <c r="OYU125" s="36"/>
      <c r="OYV125" s="36"/>
      <c r="OYW125" s="36"/>
      <c r="OYX125" s="36"/>
      <c r="OYY125" s="36"/>
      <c r="OYZ125" s="36"/>
      <c r="OZA125" s="36"/>
      <c r="OZB125" s="36"/>
      <c r="OZC125" s="36"/>
      <c r="OZD125" s="36"/>
      <c r="OZE125" s="36"/>
      <c r="OZF125" s="36"/>
      <c r="OZG125" s="36"/>
      <c r="OZH125" s="36"/>
      <c r="OZI125" s="36"/>
      <c r="OZJ125" s="36"/>
      <c r="OZK125" s="36"/>
      <c r="OZL125" s="36"/>
      <c r="OZM125" s="36"/>
      <c r="OZN125" s="36"/>
      <c r="OZO125" s="36"/>
      <c r="OZP125" s="36"/>
      <c r="OZQ125" s="36"/>
      <c r="OZR125" s="36"/>
      <c r="OZS125" s="36"/>
      <c r="OZT125" s="36"/>
      <c r="OZU125" s="36"/>
      <c r="OZV125" s="36"/>
      <c r="OZW125" s="36"/>
      <c r="OZX125" s="36"/>
      <c r="OZY125" s="36"/>
      <c r="OZZ125" s="36"/>
      <c r="PAA125" s="36"/>
      <c r="PAB125" s="36"/>
      <c r="PAC125" s="36"/>
      <c r="PAD125" s="36"/>
      <c r="PAE125" s="36"/>
      <c r="PAF125" s="36"/>
      <c r="PAG125" s="36"/>
      <c r="PAH125" s="36"/>
      <c r="PAI125" s="36"/>
      <c r="PAJ125" s="36"/>
      <c r="PAK125" s="36"/>
      <c r="PAL125" s="36"/>
      <c r="PAM125" s="36"/>
      <c r="PAN125" s="36"/>
      <c r="PAO125" s="36"/>
      <c r="PAP125" s="36"/>
      <c r="PAQ125" s="36"/>
      <c r="PAR125" s="36"/>
      <c r="PAS125" s="36"/>
      <c r="PAT125" s="36"/>
      <c r="PAU125" s="36"/>
      <c r="PAV125" s="36"/>
      <c r="PAW125" s="36"/>
      <c r="PAX125" s="36"/>
      <c r="PAY125" s="36"/>
      <c r="PAZ125" s="36"/>
      <c r="PBA125" s="36"/>
      <c r="PBB125" s="36"/>
      <c r="PBC125" s="36"/>
      <c r="PBD125" s="36"/>
      <c r="PBE125" s="36"/>
      <c r="PBF125" s="36"/>
      <c r="PBG125" s="36"/>
      <c r="PBH125" s="36"/>
      <c r="PBI125" s="36"/>
      <c r="PBJ125" s="36"/>
      <c r="PBK125" s="36"/>
      <c r="PBL125" s="36"/>
      <c r="PBM125" s="36"/>
      <c r="PBN125" s="36"/>
      <c r="PBO125" s="36"/>
      <c r="PBP125" s="36"/>
      <c r="PBQ125" s="36"/>
      <c r="PBR125" s="36"/>
      <c r="PBS125" s="36"/>
      <c r="PBT125" s="36"/>
      <c r="PBU125" s="36"/>
      <c r="PBV125" s="36"/>
      <c r="PBW125" s="36"/>
      <c r="PBX125" s="36"/>
      <c r="PBY125" s="36"/>
      <c r="PBZ125" s="36"/>
      <c r="PCA125" s="36"/>
      <c r="PCB125" s="36"/>
      <c r="PCC125" s="36"/>
      <c r="PCD125" s="36"/>
      <c r="PCE125" s="36"/>
      <c r="PCF125" s="36"/>
      <c r="PCG125" s="36"/>
      <c r="PCH125" s="36"/>
      <c r="PCI125" s="36"/>
      <c r="PCJ125" s="36"/>
      <c r="PCK125" s="36"/>
      <c r="PCL125" s="36"/>
      <c r="PCM125" s="36"/>
      <c r="PCN125" s="36"/>
      <c r="PCO125" s="36"/>
      <c r="PCP125" s="36"/>
      <c r="PCQ125" s="36"/>
      <c r="PCR125" s="36"/>
      <c r="PCS125" s="36"/>
      <c r="PCT125" s="36"/>
      <c r="PCU125" s="36"/>
      <c r="PCV125" s="36"/>
      <c r="PCW125" s="36"/>
      <c r="PCX125" s="36"/>
      <c r="PCY125" s="36"/>
      <c r="PCZ125" s="36"/>
      <c r="PDA125" s="36"/>
      <c r="PDB125" s="36"/>
      <c r="PDC125" s="36"/>
      <c r="PDD125" s="36"/>
      <c r="PDE125" s="36"/>
      <c r="PDF125" s="36"/>
      <c r="PDG125" s="36"/>
      <c r="PDH125" s="36"/>
      <c r="PDI125" s="36"/>
      <c r="PDJ125" s="36"/>
      <c r="PDK125" s="36"/>
      <c r="PDL125" s="36"/>
      <c r="PDM125" s="36"/>
      <c r="PDN125" s="36"/>
      <c r="PDO125" s="36"/>
      <c r="PDP125" s="36"/>
      <c r="PDQ125" s="36"/>
      <c r="PDR125" s="36"/>
      <c r="PDS125" s="36"/>
      <c r="PDT125" s="36"/>
      <c r="PDU125" s="36"/>
      <c r="PDV125" s="36"/>
      <c r="PDW125" s="36"/>
      <c r="PDX125" s="36"/>
      <c r="PDY125" s="36"/>
      <c r="PDZ125" s="36"/>
      <c r="PEA125" s="36"/>
      <c r="PEB125" s="36"/>
      <c r="PEC125" s="36"/>
      <c r="PED125" s="36"/>
      <c r="PEE125" s="36"/>
      <c r="PEF125" s="36"/>
      <c r="PEG125" s="36"/>
      <c r="PEH125" s="36"/>
      <c r="PEI125" s="36"/>
      <c r="PEJ125" s="36"/>
      <c r="PEK125" s="36"/>
      <c r="PEL125" s="36"/>
      <c r="PEM125" s="36"/>
      <c r="PEN125" s="36"/>
      <c r="PEO125" s="36"/>
      <c r="PEP125" s="36"/>
      <c r="PEQ125" s="36"/>
      <c r="PER125" s="36"/>
      <c r="PES125" s="36"/>
      <c r="PET125" s="36"/>
      <c r="PEU125" s="36"/>
      <c r="PEV125" s="36"/>
      <c r="PEW125" s="36"/>
      <c r="PEX125" s="36"/>
      <c r="PEY125" s="36"/>
      <c r="PEZ125" s="36"/>
      <c r="PFA125" s="36"/>
      <c r="PFB125" s="36"/>
      <c r="PFC125" s="36"/>
      <c r="PFD125" s="36"/>
      <c r="PFE125" s="36"/>
      <c r="PFF125" s="36"/>
      <c r="PFG125" s="36"/>
      <c r="PFH125" s="36"/>
      <c r="PFI125" s="36"/>
      <c r="PFJ125" s="36"/>
      <c r="PFK125" s="36"/>
      <c r="PFL125" s="36"/>
      <c r="PFM125" s="36"/>
      <c r="PFN125" s="36"/>
      <c r="PFO125" s="36"/>
      <c r="PFP125" s="36"/>
      <c r="PFQ125" s="36"/>
      <c r="PFR125" s="36"/>
      <c r="PFS125" s="36"/>
      <c r="PFT125" s="36"/>
      <c r="PFU125" s="36"/>
      <c r="PFV125" s="36"/>
      <c r="PFW125" s="36"/>
      <c r="PFX125" s="36"/>
      <c r="PFY125" s="36"/>
      <c r="PFZ125" s="36"/>
      <c r="PGA125" s="36"/>
      <c r="PGB125" s="36"/>
      <c r="PGC125" s="36"/>
      <c r="PGD125" s="36"/>
      <c r="PGE125" s="36"/>
      <c r="PGF125" s="36"/>
      <c r="PGG125" s="36"/>
      <c r="PGH125" s="36"/>
      <c r="PGI125" s="36"/>
      <c r="PGJ125" s="36"/>
      <c r="PGK125" s="36"/>
      <c r="PGL125" s="36"/>
      <c r="PGM125" s="36"/>
      <c r="PGN125" s="36"/>
      <c r="PGO125" s="36"/>
      <c r="PGP125" s="36"/>
      <c r="PGQ125" s="36"/>
      <c r="PGR125" s="36"/>
      <c r="PGS125" s="36"/>
      <c r="PGT125" s="36"/>
      <c r="PGU125" s="36"/>
      <c r="PGV125" s="36"/>
      <c r="PGW125" s="36"/>
      <c r="PGX125" s="36"/>
      <c r="PGY125" s="36"/>
      <c r="PGZ125" s="36"/>
      <c r="PHA125" s="36"/>
      <c r="PHB125" s="36"/>
      <c r="PHC125" s="36"/>
      <c r="PHD125" s="36"/>
      <c r="PHE125" s="36"/>
      <c r="PHF125" s="36"/>
      <c r="PHG125" s="36"/>
      <c r="PHH125" s="36"/>
      <c r="PHI125" s="36"/>
      <c r="PHJ125" s="36"/>
      <c r="PHK125" s="36"/>
      <c r="PHL125" s="36"/>
      <c r="PHM125" s="36"/>
      <c r="PHN125" s="36"/>
      <c r="PHO125" s="36"/>
      <c r="PHP125" s="36"/>
      <c r="PHQ125" s="36"/>
      <c r="PHR125" s="36"/>
      <c r="PHS125" s="36"/>
      <c r="PHT125" s="36"/>
      <c r="PHU125" s="36"/>
      <c r="PHV125" s="36"/>
      <c r="PHW125" s="36"/>
      <c r="PHX125" s="36"/>
      <c r="PHY125" s="36"/>
      <c r="PHZ125" s="36"/>
      <c r="PIA125" s="36"/>
      <c r="PIB125" s="36"/>
      <c r="PIC125" s="36"/>
      <c r="PID125" s="36"/>
      <c r="PIE125" s="36"/>
      <c r="PIF125" s="36"/>
      <c r="PIG125" s="36"/>
      <c r="PIH125" s="36"/>
      <c r="PII125" s="36"/>
      <c r="PIJ125" s="36"/>
      <c r="PIK125" s="36"/>
      <c r="PIL125" s="36"/>
      <c r="PIM125" s="36"/>
      <c r="PIN125" s="36"/>
      <c r="PIO125" s="36"/>
      <c r="PIP125" s="36"/>
      <c r="PIQ125" s="36"/>
      <c r="PIR125" s="36"/>
      <c r="PIS125" s="36"/>
      <c r="PIT125" s="36"/>
      <c r="PIU125" s="36"/>
      <c r="PIV125" s="36"/>
      <c r="PIW125" s="36"/>
      <c r="PIX125" s="36"/>
      <c r="PIY125" s="36"/>
      <c r="PIZ125" s="36"/>
      <c r="PJA125" s="36"/>
      <c r="PJB125" s="36"/>
      <c r="PJC125" s="36"/>
      <c r="PJD125" s="36"/>
      <c r="PJE125" s="36"/>
      <c r="PJF125" s="36"/>
      <c r="PJG125" s="36"/>
      <c r="PJH125" s="36"/>
      <c r="PJI125" s="36"/>
      <c r="PJJ125" s="36"/>
      <c r="PJK125" s="36"/>
      <c r="PJL125" s="36"/>
      <c r="PJM125" s="36"/>
      <c r="PJN125" s="36"/>
      <c r="PJO125" s="36"/>
      <c r="PJP125" s="36"/>
      <c r="PJQ125" s="36"/>
      <c r="PJR125" s="36"/>
      <c r="PJS125" s="36"/>
      <c r="PJT125" s="36"/>
      <c r="PJU125" s="36"/>
      <c r="PJV125" s="36"/>
      <c r="PJW125" s="36"/>
      <c r="PJX125" s="36"/>
      <c r="PJY125" s="36"/>
      <c r="PJZ125" s="36"/>
      <c r="PKA125" s="36"/>
      <c r="PKB125" s="36"/>
      <c r="PKC125" s="36"/>
      <c r="PKD125" s="36"/>
      <c r="PKE125" s="36"/>
      <c r="PKF125" s="36"/>
      <c r="PKG125" s="36"/>
      <c r="PKH125" s="36"/>
      <c r="PKI125" s="36"/>
      <c r="PKJ125" s="36"/>
      <c r="PKK125" s="36"/>
      <c r="PKL125" s="36"/>
      <c r="PKM125" s="36"/>
      <c r="PKN125" s="36"/>
      <c r="PKO125" s="36"/>
      <c r="PKP125" s="36"/>
      <c r="PKQ125" s="36"/>
      <c r="PKR125" s="36"/>
      <c r="PKS125" s="36"/>
      <c r="PKT125" s="36"/>
      <c r="PKU125" s="36"/>
      <c r="PKV125" s="36"/>
      <c r="PKW125" s="36"/>
      <c r="PKX125" s="36"/>
      <c r="PKY125" s="36"/>
      <c r="PKZ125" s="36"/>
      <c r="PLA125" s="36"/>
      <c r="PLB125" s="36"/>
      <c r="PLC125" s="36"/>
      <c r="PLD125" s="36"/>
      <c r="PLE125" s="36"/>
      <c r="PLF125" s="36"/>
      <c r="PLG125" s="36"/>
      <c r="PLH125" s="36"/>
      <c r="PLI125" s="36"/>
      <c r="PLJ125" s="36"/>
      <c r="PLK125" s="36"/>
      <c r="PLL125" s="36"/>
      <c r="PLM125" s="36"/>
      <c r="PLN125" s="36"/>
      <c r="PLO125" s="36"/>
      <c r="PLP125" s="36"/>
      <c r="PLQ125" s="36"/>
      <c r="PLR125" s="36"/>
      <c r="PLS125" s="36"/>
      <c r="PLT125" s="36"/>
      <c r="PLU125" s="36"/>
      <c r="PLV125" s="36"/>
      <c r="PLW125" s="36"/>
      <c r="PLX125" s="36"/>
      <c r="PLY125" s="36"/>
      <c r="PLZ125" s="36"/>
      <c r="PMA125" s="36"/>
      <c r="PMB125" s="36"/>
      <c r="PMC125" s="36"/>
      <c r="PMD125" s="36"/>
      <c r="PME125" s="36"/>
      <c r="PMF125" s="36"/>
      <c r="PMG125" s="36"/>
      <c r="PMH125" s="36"/>
      <c r="PMI125" s="36"/>
      <c r="PMJ125" s="36"/>
      <c r="PMK125" s="36"/>
      <c r="PML125" s="36"/>
      <c r="PMM125" s="36"/>
      <c r="PMN125" s="36"/>
      <c r="PMO125" s="36"/>
      <c r="PMP125" s="36"/>
      <c r="PMQ125" s="36"/>
      <c r="PMR125" s="36"/>
      <c r="PMS125" s="36"/>
      <c r="PMT125" s="36"/>
      <c r="PMU125" s="36"/>
      <c r="PMV125" s="36"/>
      <c r="PMW125" s="36"/>
      <c r="PMX125" s="36"/>
      <c r="PMY125" s="36"/>
      <c r="PMZ125" s="36"/>
      <c r="PNA125" s="36"/>
      <c r="PNB125" s="36"/>
      <c r="PNC125" s="36"/>
      <c r="PND125" s="36"/>
      <c r="PNE125" s="36"/>
      <c r="PNF125" s="36"/>
      <c r="PNG125" s="36"/>
      <c r="PNH125" s="36"/>
      <c r="PNI125" s="36"/>
      <c r="PNJ125" s="36"/>
      <c r="PNK125" s="36"/>
      <c r="PNL125" s="36"/>
      <c r="PNM125" s="36"/>
      <c r="PNN125" s="36"/>
      <c r="PNO125" s="36"/>
      <c r="PNP125" s="36"/>
      <c r="PNQ125" s="36"/>
      <c r="PNR125" s="36"/>
      <c r="PNS125" s="36"/>
      <c r="PNT125" s="36"/>
      <c r="PNU125" s="36"/>
      <c r="PNV125" s="36"/>
      <c r="PNW125" s="36"/>
      <c r="PNX125" s="36"/>
      <c r="PNY125" s="36"/>
      <c r="PNZ125" s="36"/>
      <c r="POA125" s="36"/>
      <c r="POB125" s="36"/>
      <c r="POC125" s="36"/>
      <c r="POD125" s="36"/>
      <c r="POE125" s="36"/>
      <c r="POF125" s="36"/>
      <c r="POG125" s="36"/>
      <c r="POH125" s="36"/>
      <c r="POI125" s="36"/>
      <c r="POJ125" s="36"/>
      <c r="POK125" s="36"/>
      <c r="POL125" s="36"/>
      <c r="POM125" s="36"/>
      <c r="PON125" s="36"/>
      <c r="POO125" s="36"/>
      <c r="POP125" s="36"/>
      <c r="POQ125" s="36"/>
      <c r="POR125" s="36"/>
      <c r="POS125" s="36"/>
      <c r="POT125" s="36"/>
      <c r="POU125" s="36"/>
      <c r="POV125" s="36"/>
      <c r="POW125" s="36"/>
      <c r="POX125" s="36"/>
      <c r="POY125" s="36"/>
      <c r="POZ125" s="36"/>
      <c r="PPA125" s="36"/>
      <c r="PPB125" s="36"/>
      <c r="PPC125" s="36"/>
      <c r="PPD125" s="36"/>
      <c r="PPE125" s="36"/>
      <c r="PPF125" s="36"/>
      <c r="PPG125" s="36"/>
      <c r="PPH125" s="36"/>
      <c r="PPI125" s="36"/>
      <c r="PPJ125" s="36"/>
      <c r="PPK125" s="36"/>
      <c r="PPL125" s="36"/>
      <c r="PPM125" s="36"/>
      <c r="PPN125" s="36"/>
      <c r="PPO125" s="36"/>
      <c r="PPP125" s="36"/>
      <c r="PPQ125" s="36"/>
      <c r="PPR125" s="36"/>
      <c r="PPS125" s="36"/>
      <c r="PPT125" s="36"/>
      <c r="PPU125" s="36"/>
      <c r="PPV125" s="36"/>
      <c r="PPW125" s="36"/>
      <c r="PPX125" s="36"/>
      <c r="PPY125" s="36"/>
      <c r="PPZ125" s="36"/>
      <c r="PQA125" s="36"/>
      <c r="PQB125" s="36"/>
      <c r="PQC125" s="36"/>
      <c r="PQD125" s="36"/>
      <c r="PQE125" s="36"/>
      <c r="PQF125" s="36"/>
      <c r="PQG125" s="36"/>
      <c r="PQH125" s="36"/>
      <c r="PQI125" s="36"/>
      <c r="PQJ125" s="36"/>
      <c r="PQK125" s="36"/>
      <c r="PQL125" s="36"/>
      <c r="PQM125" s="36"/>
      <c r="PQN125" s="36"/>
      <c r="PQO125" s="36"/>
      <c r="PQP125" s="36"/>
      <c r="PQQ125" s="36"/>
      <c r="PQR125" s="36"/>
      <c r="PQS125" s="36"/>
      <c r="PQT125" s="36"/>
      <c r="PQU125" s="36"/>
      <c r="PQV125" s="36"/>
      <c r="PQW125" s="36"/>
      <c r="PQX125" s="36"/>
      <c r="PQY125" s="36"/>
      <c r="PQZ125" s="36"/>
      <c r="PRA125" s="36"/>
      <c r="PRB125" s="36"/>
      <c r="PRC125" s="36"/>
      <c r="PRD125" s="36"/>
      <c r="PRE125" s="36"/>
      <c r="PRF125" s="36"/>
      <c r="PRG125" s="36"/>
      <c r="PRH125" s="36"/>
      <c r="PRI125" s="36"/>
      <c r="PRJ125" s="36"/>
      <c r="PRK125" s="36"/>
      <c r="PRL125" s="36"/>
      <c r="PRM125" s="36"/>
      <c r="PRN125" s="36"/>
      <c r="PRO125" s="36"/>
      <c r="PRP125" s="36"/>
      <c r="PRQ125" s="36"/>
      <c r="PRR125" s="36"/>
      <c r="PRS125" s="36"/>
      <c r="PRT125" s="36"/>
      <c r="PRU125" s="36"/>
      <c r="PRV125" s="36"/>
      <c r="PRW125" s="36"/>
      <c r="PRX125" s="36"/>
      <c r="PRY125" s="36"/>
      <c r="PRZ125" s="36"/>
      <c r="PSA125" s="36"/>
      <c r="PSB125" s="36"/>
      <c r="PSC125" s="36"/>
      <c r="PSD125" s="36"/>
      <c r="PSE125" s="36"/>
      <c r="PSF125" s="36"/>
      <c r="PSG125" s="36"/>
      <c r="PSH125" s="36"/>
      <c r="PSI125" s="36"/>
      <c r="PSJ125" s="36"/>
      <c r="PSK125" s="36"/>
      <c r="PSL125" s="36"/>
      <c r="PSM125" s="36"/>
      <c r="PSN125" s="36"/>
      <c r="PSO125" s="36"/>
      <c r="PSP125" s="36"/>
      <c r="PSQ125" s="36"/>
      <c r="PSR125" s="36"/>
      <c r="PSS125" s="36"/>
      <c r="PST125" s="36"/>
      <c r="PSU125" s="36"/>
      <c r="PSV125" s="36"/>
      <c r="PSW125" s="36"/>
      <c r="PSX125" s="36"/>
      <c r="PSY125" s="36"/>
      <c r="PSZ125" s="36"/>
      <c r="PTA125" s="36"/>
      <c r="PTB125" s="36"/>
      <c r="PTC125" s="36"/>
      <c r="PTD125" s="36"/>
      <c r="PTE125" s="36"/>
      <c r="PTF125" s="36"/>
      <c r="PTG125" s="36"/>
      <c r="PTH125" s="36"/>
      <c r="PTI125" s="36"/>
      <c r="PTJ125" s="36"/>
      <c r="PTK125" s="36"/>
      <c r="PTL125" s="36"/>
      <c r="PTM125" s="36"/>
      <c r="PTN125" s="36"/>
      <c r="PTO125" s="36"/>
      <c r="PTP125" s="36"/>
      <c r="PTQ125" s="36"/>
      <c r="PTR125" s="36"/>
      <c r="PTS125" s="36"/>
      <c r="PTT125" s="36"/>
      <c r="PTU125" s="36"/>
      <c r="PTV125" s="36"/>
      <c r="PTW125" s="36"/>
      <c r="PTX125" s="36"/>
      <c r="PTY125" s="36"/>
      <c r="PTZ125" s="36"/>
      <c r="PUA125" s="36"/>
      <c r="PUB125" s="36"/>
      <c r="PUC125" s="36"/>
      <c r="PUD125" s="36"/>
      <c r="PUE125" s="36"/>
      <c r="PUF125" s="36"/>
      <c r="PUG125" s="36"/>
      <c r="PUH125" s="36"/>
      <c r="PUI125" s="36"/>
      <c r="PUJ125" s="36"/>
      <c r="PUK125" s="36"/>
      <c r="PUL125" s="36"/>
      <c r="PUM125" s="36"/>
      <c r="PUN125" s="36"/>
      <c r="PUO125" s="36"/>
      <c r="PUP125" s="36"/>
      <c r="PUQ125" s="36"/>
      <c r="PUR125" s="36"/>
      <c r="PUS125" s="36"/>
      <c r="PUT125" s="36"/>
      <c r="PUU125" s="36"/>
      <c r="PUV125" s="36"/>
      <c r="PUW125" s="36"/>
      <c r="PUX125" s="36"/>
      <c r="PUY125" s="36"/>
      <c r="PUZ125" s="36"/>
      <c r="PVA125" s="36"/>
      <c r="PVB125" s="36"/>
      <c r="PVC125" s="36"/>
      <c r="PVD125" s="36"/>
      <c r="PVE125" s="36"/>
      <c r="PVF125" s="36"/>
      <c r="PVG125" s="36"/>
      <c r="PVH125" s="36"/>
      <c r="PVI125" s="36"/>
      <c r="PVJ125" s="36"/>
      <c r="PVK125" s="36"/>
      <c r="PVL125" s="36"/>
      <c r="PVM125" s="36"/>
      <c r="PVN125" s="36"/>
      <c r="PVO125" s="36"/>
      <c r="PVP125" s="36"/>
      <c r="PVQ125" s="36"/>
      <c r="PVR125" s="36"/>
      <c r="PVS125" s="36"/>
      <c r="PVT125" s="36"/>
      <c r="PVU125" s="36"/>
      <c r="PVV125" s="36"/>
      <c r="PVW125" s="36"/>
      <c r="PVX125" s="36"/>
      <c r="PVY125" s="36"/>
      <c r="PVZ125" s="36"/>
      <c r="PWA125" s="36"/>
      <c r="PWB125" s="36"/>
      <c r="PWC125" s="36"/>
      <c r="PWD125" s="36"/>
      <c r="PWE125" s="36"/>
      <c r="PWF125" s="36"/>
      <c r="PWG125" s="36"/>
      <c r="PWH125" s="36"/>
      <c r="PWI125" s="36"/>
      <c r="PWJ125" s="36"/>
      <c r="PWK125" s="36"/>
      <c r="PWL125" s="36"/>
      <c r="PWM125" s="36"/>
      <c r="PWN125" s="36"/>
      <c r="PWO125" s="36"/>
      <c r="PWP125" s="36"/>
      <c r="PWQ125" s="36"/>
      <c r="PWR125" s="36"/>
      <c r="PWS125" s="36"/>
      <c r="PWT125" s="36"/>
      <c r="PWU125" s="36"/>
      <c r="PWV125" s="36"/>
      <c r="PWW125" s="36"/>
      <c r="PWX125" s="36"/>
      <c r="PWY125" s="36"/>
      <c r="PWZ125" s="36"/>
      <c r="PXA125" s="36"/>
      <c r="PXB125" s="36"/>
      <c r="PXC125" s="36"/>
      <c r="PXD125" s="36"/>
      <c r="PXE125" s="36"/>
      <c r="PXF125" s="36"/>
      <c r="PXG125" s="36"/>
      <c r="PXH125" s="36"/>
      <c r="PXI125" s="36"/>
      <c r="PXJ125" s="36"/>
      <c r="PXK125" s="36"/>
      <c r="PXL125" s="36"/>
      <c r="PXM125" s="36"/>
      <c r="PXN125" s="36"/>
      <c r="PXO125" s="36"/>
      <c r="PXP125" s="36"/>
      <c r="PXQ125" s="36"/>
      <c r="PXR125" s="36"/>
      <c r="PXS125" s="36"/>
      <c r="PXT125" s="36"/>
      <c r="PXU125" s="36"/>
      <c r="PXV125" s="36"/>
      <c r="PXW125" s="36"/>
      <c r="PXX125" s="36"/>
      <c r="PXY125" s="36"/>
      <c r="PXZ125" s="36"/>
      <c r="PYA125" s="36"/>
      <c r="PYB125" s="36"/>
      <c r="PYC125" s="36"/>
      <c r="PYD125" s="36"/>
      <c r="PYE125" s="36"/>
      <c r="PYF125" s="36"/>
      <c r="PYG125" s="36"/>
      <c r="PYH125" s="36"/>
      <c r="PYI125" s="36"/>
      <c r="PYJ125" s="36"/>
      <c r="PYK125" s="36"/>
      <c r="PYL125" s="36"/>
      <c r="PYM125" s="36"/>
      <c r="PYN125" s="36"/>
      <c r="PYO125" s="36"/>
      <c r="PYP125" s="36"/>
      <c r="PYQ125" s="36"/>
      <c r="PYR125" s="36"/>
      <c r="PYS125" s="36"/>
      <c r="PYT125" s="36"/>
      <c r="PYU125" s="36"/>
      <c r="PYV125" s="36"/>
      <c r="PYW125" s="36"/>
      <c r="PYX125" s="36"/>
      <c r="PYY125" s="36"/>
      <c r="PYZ125" s="36"/>
      <c r="PZA125" s="36"/>
      <c r="PZB125" s="36"/>
      <c r="PZC125" s="36"/>
      <c r="PZD125" s="36"/>
      <c r="PZE125" s="36"/>
      <c r="PZF125" s="36"/>
      <c r="PZG125" s="36"/>
      <c r="PZH125" s="36"/>
      <c r="PZI125" s="36"/>
      <c r="PZJ125" s="36"/>
      <c r="PZK125" s="36"/>
      <c r="PZL125" s="36"/>
      <c r="PZM125" s="36"/>
      <c r="PZN125" s="36"/>
      <c r="PZO125" s="36"/>
      <c r="PZP125" s="36"/>
      <c r="PZQ125" s="36"/>
      <c r="PZR125" s="36"/>
      <c r="PZS125" s="36"/>
      <c r="PZT125" s="36"/>
      <c r="PZU125" s="36"/>
      <c r="PZV125" s="36"/>
      <c r="PZW125" s="36"/>
      <c r="PZX125" s="36"/>
      <c r="PZY125" s="36"/>
      <c r="PZZ125" s="36"/>
      <c r="QAA125" s="36"/>
      <c r="QAB125" s="36"/>
      <c r="QAC125" s="36"/>
      <c r="QAD125" s="36"/>
      <c r="QAE125" s="36"/>
      <c r="QAF125" s="36"/>
      <c r="QAG125" s="36"/>
      <c r="QAH125" s="36"/>
      <c r="QAI125" s="36"/>
      <c r="QAJ125" s="36"/>
      <c r="QAK125" s="36"/>
      <c r="QAL125" s="36"/>
      <c r="QAM125" s="36"/>
      <c r="QAN125" s="36"/>
      <c r="QAO125" s="36"/>
      <c r="QAP125" s="36"/>
      <c r="QAQ125" s="36"/>
      <c r="QAR125" s="36"/>
      <c r="QAS125" s="36"/>
      <c r="QAT125" s="36"/>
      <c r="QAU125" s="36"/>
      <c r="QAV125" s="36"/>
      <c r="QAW125" s="36"/>
      <c r="QAX125" s="36"/>
      <c r="QAY125" s="36"/>
      <c r="QAZ125" s="36"/>
      <c r="QBA125" s="36"/>
      <c r="QBB125" s="36"/>
      <c r="QBC125" s="36"/>
      <c r="QBD125" s="36"/>
      <c r="QBE125" s="36"/>
      <c r="QBF125" s="36"/>
      <c r="QBG125" s="36"/>
      <c r="QBH125" s="36"/>
      <c r="QBI125" s="36"/>
      <c r="QBJ125" s="36"/>
      <c r="QBK125" s="36"/>
      <c r="QBL125" s="36"/>
      <c r="QBM125" s="36"/>
      <c r="QBN125" s="36"/>
      <c r="QBO125" s="36"/>
      <c r="QBP125" s="36"/>
      <c r="QBQ125" s="36"/>
      <c r="QBR125" s="36"/>
      <c r="QBS125" s="36"/>
      <c r="QBT125" s="36"/>
      <c r="QBU125" s="36"/>
      <c r="QBV125" s="36"/>
      <c r="QBW125" s="36"/>
      <c r="QBX125" s="36"/>
      <c r="QBY125" s="36"/>
      <c r="QBZ125" s="36"/>
      <c r="QCA125" s="36"/>
      <c r="QCB125" s="36"/>
      <c r="QCC125" s="36"/>
      <c r="QCD125" s="36"/>
      <c r="QCE125" s="36"/>
      <c r="QCF125" s="36"/>
      <c r="QCG125" s="36"/>
      <c r="QCH125" s="36"/>
      <c r="QCI125" s="36"/>
      <c r="QCJ125" s="36"/>
      <c r="QCK125" s="36"/>
      <c r="QCL125" s="36"/>
      <c r="QCM125" s="36"/>
      <c r="QCN125" s="36"/>
      <c r="QCO125" s="36"/>
      <c r="QCP125" s="36"/>
      <c r="QCQ125" s="36"/>
      <c r="QCR125" s="36"/>
      <c r="QCS125" s="36"/>
      <c r="QCT125" s="36"/>
      <c r="QCU125" s="36"/>
      <c r="QCV125" s="36"/>
      <c r="QCW125" s="36"/>
      <c r="QCX125" s="36"/>
      <c r="QCY125" s="36"/>
      <c r="QCZ125" s="36"/>
      <c r="QDA125" s="36"/>
      <c r="QDB125" s="36"/>
      <c r="QDC125" s="36"/>
      <c r="QDD125" s="36"/>
      <c r="QDE125" s="36"/>
      <c r="QDF125" s="36"/>
      <c r="QDG125" s="36"/>
      <c r="QDH125" s="36"/>
      <c r="QDI125" s="36"/>
      <c r="QDJ125" s="36"/>
      <c r="QDK125" s="36"/>
      <c r="QDL125" s="36"/>
      <c r="QDM125" s="36"/>
      <c r="QDN125" s="36"/>
      <c r="QDO125" s="36"/>
      <c r="QDP125" s="36"/>
      <c r="QDQ125" s="36"/>
      <c r="QDR125" s="36"/>
      <c r="QDS125" s="36"/>
      <c r="QDT125" s="36"/>
      <c r="QDU125" s="36"/>
      <c r="QDV125" s="36"/>
      <c r="QDW125" s="36"/>
      <c r="QDX125" s="36"/>
      <c r="QDY125" s="36"/>
      <c r="QDZ125" s="36"/>
      <c r="QEA125" s="36"/>
      <c r="QEB125" s="36"/>
      <c r="QEC125" s="36"/>
      <c r="QED125" s="36"/>
      <c r="QEE125" s="36"/>
      <c r="QEF125" s="36"/>
      <c r="QEG125" s="36"/>
      <c r="QEH125" s="36"/>
      <c r="QEI125" s="36"/>
      <c r="QEJ125" s="36"/>
      <c r="QEK125" s="36"/>
      <c r="QEL125" s="36"/>
      <c r="QEM125" s="36"/>
      <c r="QEN125" s="36"/>
      <c r="QEO125" s="36"/>
      <c r="QEP125" s="36"/>
      <c r="QEQ125" s="36"/>
      <c r="QER125" s="36"/>
      <c r="QES125" s="36"/>
      <c r="QET125" s="36"/>
      <c r="QEU125" s="36"/>
      <c r="QEV125" s="36"/>
      <c r="QEW125" s="36"/>
      <c r="QEX125" s="36"/>
      <c r="QEY125" s="36"/>
      <c r="QEZ125" s="36"/>
      <c r="QFA125" s="36"/>
      <c r="QFB125" s="36"/>
      <c r="QFC125" s="36"/>
      <c r="QFD125" s="36"/>
      <c r="QFE125" s="36"/>
      <c r="QFF125" s="36"/>
      <c r="QFG125" s="36"/>
      <c r="QFH125" s="36"/>
      <c r="QFI125" s="36"/>
      <c r="QFJ125" s="36"/>
      <c r="QFK125" s="36"/>
      <c r="QFL125" s="36"/>
      <c r="QFM125" s="36"/>
      <c r="QFN125" s="36"/>
      <c r="QFO125" s="36"/>
      <c r="QFP125" s="36"/>
      <c r="QFQ125" s="36"/>
      <c r="QFR125" s="36"/>
      <c r="QFS125" s="36"/>
      <c r="QFT125" s="36"/>
      <c r="QFU125" s="36"/>
      <c r="QFV125" s="36"/>
      <c r="QFW125" s="36"/>
      <c r="QFX125" s="36"/>
      <c r="QFY125" s="36"/>
      <c r="QFZ125" s="36"/>
      <c r="QGA125" s="36"/>
      <c r="QGB125" s="36"/>
      <c r="QGC125" s="36"/>
      <c r="QGD125" s="36"/>
      <c r="QGE125" s="36"/>
      <c r="QGF125" s="36"/>
      <c r="QGG125" s="36"/>
      <c r="QGH125" s="36"/>
      <c r="QGI125" s="36"/>
      <c r="QGJ125" s="36"/>
      <c r="QGK125" s="36"/>
      <c r="QGL125" s="36"/>
      <c r="QGM125" s="36"/>
      <c r="QGN125" s="36"/>
      <c r="QGO125" s="36"/>
      <c r="QGP125" s="36"/>
      <c r="QGQ125" s="36"/>
      <c r="QGR125" s="36"/>
      <c r="QGS125" s="36"/>
      <c r="QGT125" s="36"/>
      <c r="QGU125" s="36"/>
      <c r="QGV125" s="36"/>
      <c r="QGW125" s="36"/>
      <c r="QGX125" s="36"/>
      <c r="QGY125" s="36"/>
      <c r="QGZ125" s="36"/>
      <c r="QHA125" s="36"/>
      <c r="QHB125" s="36"/>
      <c r="QHC125" s="36"/>
      <c r="QHD125" s="36"/>
      <c r="QHE125" s="36"/>
      <c r="QHF125" s="36"/>
      <c r="QHG125" s="36"/>
      <c r="QHH125" s="36"/>
      <c r="QHI125" s="36"/>
      <c r="QHJ125" s="36"/>
      <c r="QHK125" s="36"/>
      <c r="QHL125" s="36"/>
      <c r="QHM125" s="36"/>
      <c r="QHN125" s="36"/>
      <c r="QHO125" s="36"/>
      <c r="QHP125" s="36"/>
      <c r="QHQ125" s="36"/>
      <c r="QHR125" s="36"/>
      <c r="QHS125" s="36"/>
      <c r="QHT125" s="36"/>
      <c r="QHU125" s="36"/>
      <c r="QHV125" s="36"/>
      <c r="QHW125" s="36"/>
      <c r="QHX125" s="36"/>
      <c r="QHY125" s="36"/>
      <c r="QHZ125" s="36"/>
      <c r="QIA125" s="36"/>
      <c r="QIB125" s="36"/>
      <c r="QIC125" s="36"/>
      <c r="QID125" s="36"/>
      <c r="QIE125" s="36"/>
      <c r="QIF125" s="36"/>
      <c r="QIG125" s="36"/>
      <c r="QIH125" s="36"/>
      <c r="QII125" s="36"/>
      <c r="QIJ125" s="36"/>
      <c r="QIK125" s="36"/>
      <c r="QIL125" s="36"/>
      <c r="QIM125" s="36"/>
      <c r="QIN125" s="36"/>
      <c r="QIO125" s="36"/>
      <c r="QIP125" s="36"/>
      <c r="QIQ125" s="36"/>
      <c r="QIR125" s="36"/>
      <c r="QIS125" s="36"/>
      <c r="QIT125" s="36"/>
      <c r="QIU125" s="36"/>
      <c r="QIV125" s="36"/>
      <c r="QIW125" s="36"/>
      <c r="QIX125" s="36"/>
      <c r="QIY125" s="36"/>
      <c r="QIZ125" s="36"/>
      <c r="QJA125" s="36"/>
      <c r="QJB125" s="36"/>
      <c r="QJC125" s="36"/>
      <c r="QJD125" s="36"/>
      <c r="QJE125" s="36"/>
      <c r="QJF125" s="36"/>
      <c r="QJG125" s="36"/>
      <c r="QJH125" s="36"/>
      <c r="QJI125" s="36"/>
      <c r="QJJ125" s="36"/>
      <c r="QJK125" s="36"/>
      <c r="QJL125" s="36"/>
      <c r="QJM125" s="36"/>
      <c r="QJN125" s="36"/>
      <c r="QJO125" s="36"/>
      <c r="QJP125" s="36"/>
      <c r="QJQ125" s="36"/>
      <c r="QJR125" s="36"/>
      <c r="QJS125" s="36"/>
      <c r="QJT125" s="36"/>
      <c r="QJU125" s="36"/>
      <c r="QJV125" s="36"/>
      <c r="QJW125" s="36"/>
      <c r="QJX125" s="36"/>
      <c r="QJY125" s="36"/>
      <c r="QJZ125" s="36"/>
      <c r="QKA125" s="36"/>
      <c r="QKB125" s="36"/>
      <c r="QKC125" s="36"/>
      <c r="QKD125" s="36"/>
      <c r="QKE125" s="36"/>
      <c r="QKF125" s="36"/>
      <c r="QKG125" s="36"/>
      <c r="QKH125" s="36"/>
      <c r="QKI125" s="36"/>
      <c r="QKJ125" s="36"/>
      <c r="QKK125" s="36"/>
      <c r="QKL125" s="36"/>
      <c r="QKM125" s="36"/>
      <c r="QKN125" s="36"/>
      <c r="QKO125" s="36"/>
      <c r="QKP125" s="36"/>
      <c r="QKQ125" s="36"/>
      <c r="QKR125" s="36"/>
      <c r="QKS125" s="36"/>
      <c r="QKT125" s="36"/>
      <c r="QKU125" s="36"/>
      <c r="QKV125" s="36"/>
      <c r="QKW125" s="36"/>
      <c r="QKX125" s="36"/>
      <c r="QKY125" s="36"/>
      <c r="QKZ125" s="36"/>
      <c r="QLA125" s="36"/>
      <c r="QLB125" s="36"/>
      <c r="QLC125" s="36"/>
      <c r="QLD125" s="36"/>
      <c r="QLE125" s="36"/>
      <c r="QLF125" s="36"/>
      <c r="QLG125" s="36"/>
      <c r="QLH125" s="36"/>
      <c r="QLI125" s="36"/>
      <c r="QLJ125" s="36"/>
      <c r="QLK125" s="36"/>
      <c r="QLL125" s="36"/>
      <c r="QLM125" s="36"/>
      <c r="QLN125" s="36"/>
      <c r="QLO125" s="36"/>
      <c r="QLP125" s="36"/>
      <c r="QLQ125" s="36"/>
      <c r="QLR125" s="36"/>
      <c r="QLS125" s="36"/>
      <c r="QLT125" s="36"/>
      <c r="QLU125" s="36"/>
      <c r="QLV125" s="36"/>
      <c r="QLW125" s="36"/>
      <c r="QLX125" s="36"/>
      <c r="QLY125" s="36"/>
      <c r="QLZ125" s="36"/>
      <c r="QMA125" s="36"/>
      <c r="QMB125" s="36"/>
      <c r="QMC125" s="36"/>
      <c r="QMD125" s="36"/>
      <c r="QME125" s="36"/>
      <c r="QMF125" s="36"/>
      <c r="QMG125" s="36"/>
      <c r="QMH125" s="36"/>
      <c r="QMI125" s="36"/>
      <c r="QMJ125" s="36"/>
      <c r="QMK125" s="36"/>
      <c r="QML125" s="36"/>
      <c r="QMM125" s="36"/>
      <c r="QMN125" s="36"/>
      <c r="QMO125" s="36"/>
      <c r="QMP125" s="36"/>
      <c r="QMQ125" s="36"/>
      <c r="QMR125" s="36"/>
      <c r="QMS125" s="36"/>
      <c r="QMT125" s="36"/>
      <c r="QMU125" s="36"/>
      <c r="QMV125" s="36"/>
      <c r="QMW125" s="36"/>
      <c r="QMX125" s="36"/>
      <c r="QMY125" s="36"/>
      <c r="QMZ125" s="36"/>
      <c r="QNA125" s="36"/>
      <c r="QNB125" s="36"/>
      <c r="QNC125" s="36"/>
      <c r="QND125" s="36"/>
      <c r="QNE125" s="36"/>
      <c r="QNF125" s="36"/>
      <c r="QNG125" s="36"/>
      <c r="QNH125" s="36"/>
      <c r="QNI125" s="36"/>
      <c r="QNJ125" s="36"/>
      <c r="QNK125" s="36"/>
      <c r="QNL125" s="36"/>
      <c r="QNM125" s="36"/>
      <c r="QNN125" s="36"/>
      <c r="QNO125" s="36"/>
      <c r="QNP125" s="36"/>
      <c r="QNQ125" s="36"/>
      <c r="QNR125" s="36"/>
      <c r="QNS125" s="36"/>
      <c r="QNT125" s="36"/>
      <c r="QNU125" s="36"/>
      <c r="QNV125" s="36"/>
      <c r="QNW125" s="36"/>
      <c r="QNX125" s="36"/>
      <c r="QNY125" s="36"/>
      <c r="QNZ125" s="36"/>
      <c r="QOA125" s="36"/>
      <c r="QOB125" s="36"/>
      <c r="QOC125" s="36"/>
      <c r="QOD125" s="36"/>
      <c r="QOE125" s="36"/>
      <c r="QOF125" s="36"/>
      <c r="QOG125" s="36"/>
      <c r="QOH125" s="36"/>
      <c r="QOI125" s="36"/>
      <c r="QOJ125" s="36"/>
      <c r="QOK125" s="36"/>
      <c r="QOL125" s="36"/>
      <c r="QOM125" s="36"/>
      <c r="QON125" s="36"/>
      <c r="QOO125" s="36"/>
      <c r="QOP125" s="36"/>
      <c r="QOQ125" s="36"/>
      <c r="QOR125" s="36"/>
      <c r="QOS125" s="36"/>
      <c r="QOT125" s="36"/>
      <c r="QOU125" s="36"/>
      <c r="QOV125" s="36"/>
      <c r="QOW125" s="36"/>
      <c r="QOX125" s="36"/>
      <c r="QOY125" s="36"/>
      <c r="QOZ125" s="36"/>
      <c r="QPA125" s="36"/>
      <c r="QPB125" s="36"/>
      <c r="QPC125" s="36"/>
      <c r="QPD125" s="36"/>
      <c r="QPE125" s="36"/>
      <c r="QPF125" s="36"/>
      <c r="QPG125" s="36"/>
      <c r="QPH125" s="36"/>
      <c r="QPI125" s="36"/>
      <c r="QPJ125" s="36"/>
      <c r="QPK125" s="36"/>
      <c r="QPL125" s="36"/>
      <c r="QPM125" s="36"/>
      <c r="QPN125" s="36"/>
      <c r="QPO125" s="36"/>
      <c r="QPP125" s="36"/>
      <c r="QPQ125" s="36"/>
      <c r="QPR125" s="36"/>
      <c r="QPS125" s="36"/>
      <c r="QPT125" s="36"/>
      <c r="QPU125" s="36"/>
      <c r="QPV125" s="36"/>
      <c r="QPW125" s="36"/>
      <c r="QPX125" s="36"/>
      <c r="QPY125" s="36"/>
      <c r="QPZ125" s="36"/>
      <c r="QQA125" s="36"/>
      <c r="QQB125" s="36"/>
      <c r="QQC125" s="36"/>
      <c r="QQD125" s="36"/>
      <c r="QQE125" s="36"/>
      <c r="QQF125" s="36"/>
      <c r="QQG125" s="36"/>
      <c r="QQH125" s="36"/>
      <c r="QQI125" s="36"/>
      <c r="QQJ125" s="36"/>
      <c r="QQK125" s="36"/>
      <c r="QQL125" s="36"/>
      <c r="QQM125" s="36"/>
      <c r="QQN125" s="36"/>
      <c r="QQO125" s="36"/>
      <c r="QQP125" s="36"/>
      <c r="QQQ125" s="36"/>
      <c r="QQR125" s="36"/>
      <c r="QQS125" s="36"/>
      <c r="QQT125" s="36"/>
      <c r="QQU125" s="36"/>
      <c r="QQV125" s="36"/>
      <c r="QQW125" s="36"/>
      <c r="QQX125" s="36"/>
      <c r="QQY125" s="36"/>
      <c r="QQZ125" s="36"/>
      <c r="QRA125" s="36"/>
      <c r="QRB125" s="36"/>
      <c r="QRC125" s="36"/>
      <c r="QRD125" s="36"/>
      <c r="QRE125" s="36"/>
      <c r="QRF125" s="36"/>
      <c r="QRG125" s="36"/>
      <c r="QRH125" s="36"/>
      <c r="QRI125" s="36"/>
      <c r="QRJ125" s="36"/>
      <c r="QRK125" s="36"/>
      <c r="QRL125" s="36"/>
      <c r="QRM125" s="36"/>
      <c r="QRN125" s="36"/>
      <c r="QRO125" s="36"/>
      <c r="QRP125" s="36"/>
      <c r="QRQ125" s="36"/>
      <c r="QRR125" s="36"/>
      <c r="QRS125" s="36"/>
      <c r="QRT125" s="36"/>
      <c r="QRU125" s="36"/>
      <c r="QRV125" s="36"/>
      <c r="QRW125" s="36"/>
      <c r="QRX125" s="36"/>
      <c r="QRY125" s="36"/>
      <c r="QRZ125" s="36"/>
      <c r="QSA125" s="36"/>
      <c r="QSB125" s="36"/>
      <c r="QSC125" s="36"/>
      <c r="QSD125" s="36"/>
      <c r="QSE125" s="36"/>
      <c r="QSF125" s="36"/>
      <c r="QSG125" s="36"/>
      <c r="QSH125" s="36"/>
      <c r="QSI125" s="36"/>
      <c r="QSJ125" s="36"/>
      <c r="QSK125" s="36"/>
      <c r="QSL125" s="36"/>
      <c r="QSM125" s="36"/>
      <c r="QSN125" s="36"/>
      <c r="QSO125" s="36"/>
      <c r="QSP125" s="36"/>
      <c r="QSQ125" s="36"/>
      <c r="QSR125" s="36"/>
      <c r="QSS125" s="36"/>
      <c r="QST125" s="36"/>
      <c r="QSU125" s="36"/>
      <c r="QSV125" s="36"/>
      <c r="QSW125" s="36"/>
      <c r="QSX125" s="36"/>
      <c r="QSY125" s="36"/>
      <c r="QSZ125" s="36"/>
      <c r="QTA125" s="36"/>
      <c r="QTB125" s="36"/>
      <c r="QTC125" s="36"/>
      <c r="QTD125" s="36"/>
      <c r="QTE125" s="36"/>
      <c r="QTF125" s="36"/>
      <c r="QTG125" s="36"/>
      <c r="QTH125" s="36"/>
      <c r="QTI125" s="36"/>
      <c r="QTJ125" s="36"/>
      <c r="QTK125" s="36"/>
      <c r="QTL125" s="36"/>
      <c r="QTM125" s="36"/>
      <c r="QTN125" s="36"/>
      <c r="QTO125" s="36"/>
      <c r="QTP125" s="36"/>
      <c r="QTQ125" s="36"/>
      <c r="QTR125" s="36"/>
      <c r="QTS125" s="36"/>
      <c r="QTT125" s="36"/>
      <c r="QTU125" s="36"/>
      <c r="QTV125" s="36"/>
      <c r="QTW125" s="36"/>
      <c r="QTX125" s="36"/>
      <c r="QTY125" s="36"/>
      <c r="QTZ125" s="36"/>
      <c r="QUA125" s="36"/>
      <c r="QUB125" s="36"/>
      <c r="QUC125" s="36"/>
      <c r="QUD125" s="36"/>
      <c r="QUE125" s="36"/>
      <c r="QUF125" s="36"/>
      <c r="QUG125" s="36"/>
      <c r="QUH125" s="36"/>
      <c r="QUI125" s="36"/>
      <c r="QUJ125" s="36"/>
      <c r="QUK125" s="36"/>
      <c r="QUL125" s="36"/>
      <c r="QUM125" s="36"/>
      <c r="QUN125" s="36"/>
      <c r="QUO125" s="36"/>
      <c r="QUP125" s="36"/>
      <c r="QUQ125" s="36"/>
      <c r="QUR125" s="36"/>
      <c r="QUS125" s="36"/>
      <c r="QUT125" s="36"/>
      <c r="QUU125" s="36"/>
      <c r="QUV125" s="36"/>
      <c r="QUW125" s="36"/>
      <c r="QUX125" s="36"/>
      <c r="QUY125" s="36"/>
      <c r="QUZ125" s="36"/>
      <c r="QVA125" s="36"/>
      <c r="QVB125" s="36"/>
      <c r="QVC125" s="36"/>
      <c r="QVD125" s="36"/>
      <c r="QVE125" s="36"/>
      <c r="QVF125" s="36"/>
      <c r="QVG125" s="36"/>
      <c r="QVH125" s="36"/>
      <c r="QVI125" s="36"/>
      <c r="QVJ125" s="36"/>
      <c r="QVK125" s="36"/>
      <c r="QVL125" s="36"/>
      <c r="QVM125" s="36"/>
      <c r="QVN125" s="36"/>
      <c r="QVO125" s="36"/>
      <c r="QVP125" s="36"/>
      <c r="QVQ125" s="36"/>
      <c r="QVR125" s="36"/>
      <c r="QVS125" s="36"/>
      <c r="QVT125" s="36"/>
      <c r="QVU125" s="36"/>
      <c r="QVV125" s="36"/>
      <c r="QVW125" s="36"/>
      <c r="QVX125" s="36"/>
      <c r="QVY125" s="36"/>
      <c r="QVZ125" s="36"/>
      <c r="QWA125" s="36"/>
      <c r="QWB125" s="36"/>
      <c r="QWC125" s="36"/>
      <c r="QWD125" s="36"/>
      <c r="QWE125" s="36"/>
      <c r="QWF125" s="36"/>
      <c r="QWG125" s="36"/>
      <c r="QWH125" s="36"/>
      <c r="QWI125" s="36"/>
      <c r="QWJ125" s="36"/>
      <c r="QWK125" s="36"/>
      <c r="QWL125" s="36"/>
      <c r="QWM125" s="36"/>
      <c r="QWN125" s="36"/>
      <c r="QWO125" s="36"/>
      <c r="QWP125" s="36"/>
      <c r="QWQ125" s="36"/>
      <c r="QWR125" s="36"/>
      <c r="QWS125" s="36"/>
      <c r="QWT125" s="36"/>
      <c r="QWU125" s="36"/>
      <c r="QWV125" s="36"/>
      <c r="QWW125" s="36"/>
      <c r="QWX125" s="36"/>
      <c r="QWY125" s="36"/>
      <c r="QWZ125" s="36"/>
      <c r="QXA125" s="36"/>
      <c r="QXB125" s="36"/>
      <c r="QXC125" s="36"/>
      <c r="QXD125" s="36"/>
      <c r="QXE125" s="36"/>
      <c r="QXF125" s="36"/>
      <c r="QXG125" s="36"/>
      <c r="QXH125" s="36"/>
      <c r="QXI125" s="36"/>
      <c r="QXJ125" s="36"/>
      <c r="QXK125" s="36"/>
      <c r="QXL125" s="36"/>
      <c r="QXM125" s="36"/>
      <c r="QXN125" s="36"/>
      <c r="QXO125" s="36"/>
      <c r="QXP125" s="36"/>
      <c r="QXQ125" s="36"/>
      <c r="QXR125" s="36"/>
      <c r="QXS125" s="36"/>
      <c r="QXT125" s="36"/>
      <c r="QXU125" s="36"/>
      <c r="QXV125" s="36"/>
      <c r="QXW125" s="36"/>
      <c r="QXX125" s="36"/>
      <c r="QXY125" s="36"/>
      <c r="QXZ125" s="36"/>
      <c r="QYA125" s="36"/>
      <c r="QYB125" s="36"/>
      <c r="QYC125" s="36"/>
      <c r="QYD125" s="36"/>
      <c r="QYE125" s="36"/>
      <c r="QYF125" s="36"/>
      <c r="QYG125" s="36"/>
      <c r="QYH125" s="36"/>
      <c r="QYI125" s="36"/>
      <c r="QYJ125" s="36"/>
      <c r="QYK125" s="36"/>
      <c r="QYL125" s="36"/>
      <c r="QYM125" s="36"/>
      <c r="QYN125" s="36"/>
      <c r="QYO125" s="36"/>
      <c r="QYP125" s="36"/>
      <c r="QYQ125" s="36"/>
      <c r="QYR125" s="36"/>
      <c r="QYS125" s="36"/>
      <c r="QYT125" s="36"/>
      <c r="QYU125" s="36"/>
      <c r="QYV125" s="36"/>
      <c r="QYW125" s="36"/>
      <c r="QYX125" s="36"/>
      <c r="QYY125" s="36"/>
      <c r="QYZ125" s="36"/>
      <c r="QZA125" s="36"/>
      <c r="QZB125" s="36"/>
      <c r="QZC125" s="36"/>
      <c r="QZD125" s="36"/>
      <c r="QZE125" s="36"/>
      <c r="QZF125" s="36"/>
      <c r="QZG125" s="36"/>
      <c r="QZH125" s="36"/>
      <c r="QZI125" s="36"/>
      <c r="QZJ125" s="36"/>
      <c r="QZK125" s="36"/>
      <c r="QZL125" s="36"/>
      <c r="QZM125" s="36"/>
      <c r="QZN125" s="36"/>
      <c r="QZO125" s="36"/>
      <c r="QZP125" s="36"/>
      <c r="QZQ125" s="36"/>
      <c r="QZR125" s="36"/>
      <c r="QZS125" s="36"/>
      <c r="QZT125" s="36"/>
      <c r="QZU125" s="36"/>
      <c r="QZV125" s="36"/>
      <c r="QZW125" s="36"/>
      <c r="QZX125" s="36"/>
      <c r="QZY125" s="36"/>
      <c r="QZZ125" s="36"/>
      <c r="RAA125" s="36"/>
      <c r="RAB125" s="36"/>
      <c r="RAC125" s="36"/>
      <c r="RAD125" s="36"/>
      <c r="RAE125" s="36"/>
      <c r="RAF125" s="36"/>
      <c r="RAG125" s="36"/>
      <c r="RAH125" s="36"/>
      <c r="RAI125" s="36"/>
      <c r="RAJ125" s="36"/>
      <c r="RAK125" s="36"/>
      <c r="RAL125" s="36"/>
      <c r="RAM125" s="36"/>
      <c r="RAN125" s="36"/>
      <c r="RAO125" s="36"/>
      <c r="RAP125" s="36"/>
      <c r="RAQ125" s="36"/>
      <c r="RAR125" s="36"/>
      <c r="RAS125" s="36"/>
      <c r="RAT125" s="36"/>
      <c r="RAU125" s="36"/>
      <c r="RAV125" s="36"/>
      <c r="RAW125" s="36"/>
      <c r="RAX125" s="36"/>
      <c r="RAY125" s="36"/>
      <c r="RAZ125" s="36"/>
      <c r="RBA125" s="36"/>
      <c r="RBB125" s="36"/>
      <c r="RBC125" s="36"/>
      <c r="RBD125" s="36"/>
      <c r="RBE125" s="36"/>
      <c r="RBF125" s="36"/>
      <c r="RBG125" s="36"/>
      <c r="RBH125" s="36"/>
      <c r="RBI125" s="36"/>
      <c r="RBJ125" s="36"/>
      <c r="RBK125" s="36"/>
      <c r="RBL125" s="36"/>
      <c r="RBM125" s="36"/>
      <c r="RBN125" s="36"/>
      <c r="RBO125" s="36"/>
      <c r="RBP125" s="36"/>
      <c r="RBQ125" s="36"/>
      <c r="RBR125" s="36"/>
      <c r="RBS125" s="36"/>
      <c r="RBT125" s="36"/>
      <c r="RBU125" s="36"/>
      <c r="RBV125" s="36"/>
      <c r="RBW125" s="36"/>
      <c r="RBX125" s="36"/>
      <c r="RBY125" s="36"/>
      <c r="RBZ125" s="36"/>
      <c r="RCA125" s="36"/>
      <c r="RCB125" s="36"/>
      <c r="RCC125" s="36"/>
      <c r="RCD125" s="36"/>
      <c r="RCE125" s="36"/>
      <c r="RCF125" s="36"/>
      <c r="RCG125" s="36"/>
      <c r="RCH125" s="36"/>
      <c r="RCI125" s="36"/>
      <c r="RCJ125" s="36"/>
      <c r="RCK125" s="36"/>
      <c r="RCL125" s="36"/>
      <c r="RCM125" s="36"/>
      <c r="RCN125" s="36"/>
      <c r="RCO125" s="36"/>
      <c r="RCP125" s="36"/>
      <c r="RCQ125" s="36"/>
      <c r="RCR125" s="36"/>
      <c r="RCS125" s="36"/>
      <c r="RCT125" s="36"/>
      <c r="RCU125" s="36"/>
      <c r="RCV125" s="36"/>
      <c r="RCW125" s="36"/>
      <c r="RCX125" s="36"/>
      <c r="RCY125" s="36"/>
      <c r="RCZ125" s="36"/>
      <c r="RDA125" s="36"/>
      <c r="RDB125" s="36"/>
      <c r="RDC125" s="36"/>
      <c r="RDD125" s="36"/>
      <c r="RDE125" s="36"/>
      <c r="RDF125" s="36"/>
      <c r="RDG125" s="36"/>
      <c r="RDH125" s="36"/>
      <c r="RDI125" s="36"/>
      <c r="RDJ125" s="36"/>
      <c r="RDK125" s="36"/>
      <c r="RDL125" s="36"/>
      <c r="RDM125" s="36"/>
      <c r="RDN125" s="36"/>
      <c r="RDO125" s="36"/>
      <c r="RDP125" s="36"/>
      <c r="RDQ125" s="36"/>
      <c r="RDR125" s="36"/>
      <c r="RDS125" s="36"/>
      <c r="RDT125" s="36"/>
      <c r="RDU125" s="36"/>
      <c r="RDV125" s="36"/>
      <c r="RDW125" s="36"/>
      <c r="RDX125" s="36"/>
      <c r="RDY125" s="36"/>
      <c r="RDZ125" s="36"/>
      <c r="REA125" s="36"/>
      <c r="REB125" s="36"/>
      <c r="REC125" s="36"/>
      <c r="RED125" s="36"/>
      <c r="REE125" s="36"/>
      <c r="REF125" s="36"/>
      <c r="REG125" s="36"/>
      <c r="REH125" s="36"/>
      <c r="REI125" s="36"/>
      <c r="REJ125" s="36"/>
      <c r="REK125" s="36"/>
      <c r="REL125" s="36"/>
      <c r="REM125" s="36"/>
      <c r="REN125" s="36"/>
      <c r="REO125" s="36"/>
      <c r="REP125" s="36"/>
      <c r="REQ125" s="36"/>
      <c r="RER125" s="36"/>
      <c r="RES125" s="36"/>
      <c r="RET125" s="36"/>
      <c r="REU125" s="36"/>
      <c r="REV125" s="36"/>
      <c r="REW125" s="36"/>
      <c r="REX125" s="36"/>
      <c r="REY125" s="36"/>
      <c r="REZ125" s="36"/>
      <c r="RFA125" s="36"/>
      <c r="RFB125" s="36"/>
      <c r="RFC125" s="36"/>
      <c r="RFD125" s="36"/>
      <c r="RFE125" s="36"/>
      <c r="RFF125" s="36"/>
      <c r="RFG125" s="36"/>
      <c r="RFH125" s="36"/>
      <c r="RFI125" s="36"/>
      <c r="RFJ125" s="36"/>
      <c r="RFK125" s="36"/>
      <c r="RFL125" s="36"/>
      <c r="RFM125" s="36"/>
      <c r="RFN125" s="36"/>
      <c r="RFO125" s="36"/>
      <c r="RFP125" s="36"/>
      <c r="RFQ125" s="36"/>
      <c r="RFR125" s="36"/>
      <c r="RFS125" s="36"/>
      <c r="RFT125" s="36"/>
      <c r="RFU125" s="36"/>
      <c r="RFV125" s="36"/>
      <c r="RFW125" s="36"/>
      <c r="RFX125" s="36"/>
      <c r="RFY125" s="36"/>
      <c r="RFZ125" s="36"/>
      <c r="RGA125" s="36"/>
      <c r="RGB125" s="36"/>
      <c r="RGC125" s="36"/>
      <c r="RGD125" s="36"/>
      <c r="RGE125" s="36"/>
      <c r="RGF125" s="36"/>
      <c r="RGG125" s="36"/>
      <c r="RGH125" s="36"/>
      <c r="RGI125" s="36"/>
      <c r="RGJ125" s="36"/>
      <c r="RGK125" s="36"/>
      <c r="RGL125" s="36"/>
      <c r="RGM125" s="36"/>
      <c r="RGN125" s="36"/>
      <c r="RGO125" s="36"/>
      <c r="RGP125" s="36"/>
      <c r="RGQ125" s="36"/>
      <c r="RGR125" s="36"/>
      <c r="RGS125" s="36"/>
      <c r="RGT125" s="36"/>
      <c r="RGU125" s="36"/>
      <c r="RGV125" s="36"/>
      <c r="RGW125" s="36"/>
      <c r="RGX125" s="36"/>
      <c r="RGY125" s="36"/>
      <c r="RGZ125" s="36"/>
      <c r="RHA125" s="36"/>
      <c r="RHB125" s="36"/>
      <c r="RHC125" s="36"/>
      <c r="RHD125" s="36"/>
      <c r="RHE125" s="36"/>
      <c r="RHF125" s="36"/>
      <c r="RHG125" s="36"/>
      <c r="RHH125" s="36"/>
      <c r="RHI125" s="36"/>
      <c r="RHJ125" s="36"/>
      <c r="RHK125" s="36"/>
      <c r="RHL125" s="36"/>
      <c r="RHM125" s="36"/>
      <c r="RHN125" s="36"/>
      <c r="RHO125" s="36"/>
      <c r="RHP125" s="36"/>
      <c r="RHQ125" s="36"/>
      <c r="RHR125" s="36"/>
      <c r="RHS125" s="36"/>
      <c r="RHT125" s="36"/>
      <c r="RHU125" s="36"/>
      <c r="RHV125" s="36"/>
      <c r="RHW125" s="36"/>
      <c r="RHX125" s="36"/>
      <c r="RHY125" s="36"/>
      <c r="RHZ125" s="36"/>
      <c r="RIA125" s="36"/>
      <c r="RIB125" s="36"/>
      <c r="RIC125" s="36"/>
      <c r="RID125" s="36"/>
      <c r="RIE125" s="36"/>
      <c r="RIF125" s="36"/>
      <c r="RIG125" s="36"/>
      <c r="RIH125" s="36"/>
      <c r="RII125" s="36"/>
      <c r="RIJ125" s="36"/>
      <c r="RIK125" s="36"/>
      <c r="RIL125" s="36"/>
      <c r="RIM125" s="36"/>
      <c r="RIN125" s="36"/>
      <c r="RIO125" s="36"/>
      <c r="RIP125" s="36"/>
      <c r="RIQ125" s="36"/>
      <c r="RIR125" s="36"/>
      <c r="RIS125" s="36"/>
      <c r="RIT125" s="36"/>
      <c r="RIU125" s="36"/>
      <c r="RIV125" s="36"/>
      <c r="RIW125" s="36"/>
      <c r="RIX125" s="36"/>
      <c r="RIY125" s="36"/>
      <c r="RIZ125" s="36"/>
      <c r="RJA125" s="36"/>
      <c r="RJB125" s="36"/>
      <c r="RJC125" s="36"/>
      <c r="RJD125" s="36"/>
      <c r="RJE125" s="36"/>
      <c r="RJF125" s="36"/>
      <c r="RJG125" s="36"/>
      <c r="RJH125" s="36"/>
      <c r="RJI125" s="36"/>
      <c r="RJJ125" s="36"/>
      <c r="RJK125" s="36"/>
      <c r="RJL125" s="36"/>
      <c r="RJM125" s="36"/>
      <c r="RJN125" s="36"/>
      <c r="RJO125" s="36"/>
      <c r="RJP125" s="36"/>
      <c r="RJQ125" s="36"/>
      <c r="RJR125" s="36"/>
      <c r="RJS125" s="36"/>
      <c r="RJT125" s="36"/>
      <c r="RJU125" s="36"/>
      <c r="RJV125" s="36"/>
      <c r="RJW125" s="36"/>
      <c r="RJX125" s="36"/>
      <c r="RJY125" s="36"/>
      <c r="RJZ125" s="36"/>
      <c r="RKA125" s="36"/>
      <c r="RKB125" s="36"/>
      <c r="RKC125" s="36"/>
      <c r="RKD125" s="36"/>
      <c r="RKE125" s="36"/>
      <c r="RKF125" s="36"/>
      <c r="RKG125" s="36"/>
      <c r="RKH125" s="36"/>
      <c r="RKI125" s="36"/>
      <c r="RKJ125" s="36"/>
      <c r="RKK125" s="36"/>
      <c r="RKL125" s="36"/>
      <c r="RKM125" s="36"/>
      <c r="RKN125" s="36"/>
      <c r="RKO125" s="36"/>
      <c r="RKP125" s="36"/>
      <c r="RKQ125" s="36"/>
      <c r="RKR125" s="36"/>
      <c r="RKS125" s="36"/>
      <c r="RKT125" s="36"/>
      <c r="RKU125" s="36"/>
      <c r="RKV125" s="36"/>
      <c r="RKW125" s="36"/>
      <c r="RKX125" s="36"/>
      <c r="RKY125" s="36"/>
      <c r="RKZ125" s="36"/>
      <c r="RLA125" s="36"/>
      <c r="RLB125" s="36"/>
      <c r="RLC125" s="36"/>
      <c r="RLD125" s="36"/>
      <c r="RLE125" s="36"/>
      <c r="RLF125" s="36"/>
      <c r="RLG125" s="36"/>
      <c r="RLH125" s="36"/>
      <c r="RLI125" s="36"/>
      <c r="RLJ125" s="36"/>
      <c r="RLK125" s="36"/>
      <c r="RLL125" s="36"/>
      <c r="RLM125" s="36"/>
      <c r="RLN125" s="36"/>
      <c r="RLO125" s="36"/>
      <c r="RLP125" s="36"/>
      <c r="RLQ125" s="36"/>
      <c r="RLR125" s="36"/>
      <c r="RLS125" s="36"/>
      <c r="RLT125" s="36"/>
      <c r="RLU125" s="36"/>
      <c r="RLV125" s="36"/>
      <c r="RLW125" s="36"/>
      <c r="RLX125" s="36"/>
      <c r="RLY125" s="36"/>
      <c r="RLZ125" s="36"/>
      <c r="RMA125" s="36"/>
      <c r="RMB125" s="36"/>
      <c r="RMC125" s="36"/>
      <c r="RMD125" s="36"/>
      <c r="RME125" s="36"/>
      <c r="RMF125" s="36"/>
      <c r="RMG125" s="36"/>
      <c r="RMH125" s="36"/>
      <c r="RMI125" s="36"/>
      <c r="RMJ125" s="36"/>
      <c r="RMK125" s="36"/>
      <c r="RML125" s="36"/>
      <c r="RMM125" s="36"/>
      <c r="RMN125" s="36"/>
      <c r="RMO125" s="36"/>
      <c r="RMP125" s="36"/>
      <c r="RMQ125" s="36"/>
      <c r="RMR125" s="36"/>
      <c r="RMS125" s="36"/>
      <c r="RMT125" s="36"/>
      <c r="RMU125" s="36"/>
      <c r="RMV125" s="36"/>
      <c r="RMW125" s="36"/>
      <c r="RMX125" s="36"/>
      <c r="RMY125" s="36"/>
      <c r="RMZ125" s="36"/>
      <c r="RNA125" s="36"/>
      <c r="RNB125" s="36"/>
      <c r="RNC125" s="36"/>
      <c r="RND125" s="36"/>
      <c r="RNE125" s="36"/>
      <c r="RNF125" s="36"/>
      <c r="RNG125" s="36"/>
      <c r="RNH125" s="36"/>
      <c r="RNI125" s="36"/>
      <c r="RNJ125" s="36"/>
      <c r="RNK125" s="36"/>
      <c r="RNL125" s="36"/>
      <c r="RNM125" s="36"/>
      <c r="RNN125" s="36"/>
      <c r="RNO125" s="36"/>
      <c r="RNP125" s="36"/>
      <c r="RNQ125" s="36"/>
      <c r="RNR125" s="36"/>
      <c r="RNS125" s="36"/>
      <c r="RNT125" s="36"/>
      <c r="RNU125" s="36"/>
      <c r="RNV125" s="36"/>
      <c r="RNW125" s="36"/>
      <c r="RNX125" s="36"/>
      <c r="RNY125" s="36"/>
      <c r="RNZ125" s="36"/>
      <c r="ROA125" s="36"/>
      <c r="ROB125" s="36"/>
      <c r="ROC125" s="36"/>
      <c r="ROD125" s="36"/>
      <c r="ROE125" s="36"/>
      <c r="ROF125" s="36"/>
      <c r="ROG125" s="36"/>
      <c r="ROH125" s="36"/>
      <c r="ROI125" s="36"/>
      <c r="ROJ125" s="36"/>
      <c r="ROK125" s="36"/>
      <c r="ROL125" s="36"/>
      <c r="ROM125" s="36"/>
      <c r="RON125" s="36"/>
      <c r="ROO125" s="36"/>
      <c r="ROP125" s="36"/>
      <c r="ROQ125" s="36"/>
      <c r="ROR125" s="36"/>
      <c r="ROS125" s="36"/>
      <c r="ROT125" s="36"/>
      <c r="ROU125" s="36"/>
      <c r="ROV125" s="36"/>
      <c r="ROW125" s="36"/>
      <c r="ROX125" s="36"/>
      <c r="ROY125" s="36"/>
      <c r="ROZ125" s="36"/>
      <c r="RPA125" s="36"/>
      <c r="RPB125" s="36"/>
      <c r="RPC125" s="36"/>
      <c r="RPD125" s="36"/>
      <c r="RPE125" s="36"/>
      <c r="RPF125" s="36"/>
      <c r="RPG125" s="36"/>
      <c r="RPH125" s="36"/>
      <c r="RPI125" s="36"/>
      <c r="RPJ125" s="36"/>
      <c r="RPK125" s="36"/>
      <c r="RPL125" s="36"/>
      <c r="RPM125" s="36"/>
      <c r="RPN125" s="36"/>
      <c r="RPO125" s="36"/>
      <c r="RPP125" s="36"/>
      <c r="RPQ125" s="36"/>
      <c r="RPR125" s="36"/>
      <c r="RPS125" s="36"/>
      <c r="RPT125" s="36"/>
      <c r="RPU125" s="36"/>
      <c r="RPV125" s="36"/>
      <c r="RPW125" s="36"/>
      <c r="RPX125" s="36"/>
      <c r="RPY125" s="36"/>
      <c r="RPZ125" s="36"/>
      <c r="RQA125" s="36"/>
      <c r="RQB125" s="36"/>
      <c r="RQC125" s="36"/>
      <c r="RQD125" s="36"/>
      <c r="RQE125" s="36"/>
      <c r="RQF125" s="36"/>
      <c r="RQG125" s="36"/>
      <c r="RQH125" s="36"/>
      <c r="RQI125" s="36"/>
      <c r="RQJ125" s="36"/>
      <c r="RQK125" s="36"/>
      <c r="RQL125" s="36"/>
      <c r="RQM125" s="36"/>
      <c r="RQN125" s="36"/>
      <c r="RQO125" s="36"/>
      <c r="RQP125" s="36"/>
      <c r="RQQ125" s="36"/>
      <c r="RQR125" s="36"/>
      <c r="RQS125" s="36"/>
      <c r="RQT125" s="36"/>
      <c r="RQU125" s="36"/>
      <c r="RQV125" s="36"/>
      <c r="RQW125" s="36"/>
      <c r="RQX125" s="36"/>
      <c r="RQY125" s="36"/>
      <c r="RQZ125" s="36"/>
      <c r="RRA125" s="36"/>
      <c r="RRB125" s="36"/>
      <c r="RRC125" s="36"/>
      <c r="RRD125" s="36"/>
      <c r="RRE125" s="36"/>
      <c r="RRF125" s="36"/>
      <c r="RRG125" s="36"/>
      <c r="RRH125" s="36"/>
      <c r="RRI125" s="36"/>
      <c r="RRJ125" s="36"/>
      <c r="RRK125" s="36"/>
      <c r="RRL125" s="36"/>
      <c r="RRM125" s="36"/>
      <c r="RRN125" s="36"/>
      <c r="RRO125" s="36"/>
      <c r="RRP125" s="36"/>
      <c r="RRQ125" s="36"/>
      <c r="RRR125" s="36"/>
      <c r="RRS125" s="36"/>
      <c r="RRT125" s="36"/>
      <c r="RRU125" s="36"/>
      <c r="RRV125" s="36"/>
      <c r="RRW125" s="36"/>
      <c r="RRX125" s="36"/>
      <c r="RRY125" s="36"/>
      <c r="RRZ125" s="36"/>
      <c r="RSA125" s="36"/>
      <c r="RSB125" s="36"/>
      <c r="RSC125" s="36"/>
      <c r="RSD125" s="36"/>
      <c r="RSE125" s="36"/>
      <c r="RSF125" s="36"/>
      <c r="RSG125" s="36"/>
      <c r="RSH125" s="36"/>
      <c r="RSI125" s="36"/>
      <c r="RSJ125" s="36"/>
      <c r="RSK125" s="36"/>
      <c r="RSL125" s="36"/>
      <c r="RSM125" s="36"/>
      <c r="RSN125" s="36"/>
      <c r="RSO125" s="36"/>
      <c r="RSP125" s="36"/>
      <c r="RSQ125" s="36"/>
      <c r="RSR125" s="36"/>
      <c r="RSS125" s="36"/>
      <c r="RST125" s="36"/>
      <c r="RSU125" s="36"/>
      <c r="RSV125" s="36"/>
      <c r="RSW125" s="36"/>
      <c r="RSX125" s="36"/>
      <c r="RSY125" s="36"/>
      <c r="RSZ125" s="36"/>
      <c r="RTA125" s="36"/>
      <c r="RTB125" s="36"/>
      <c r="RTC125" s="36"/>
      <c r="RTD125" s="36"/>
      <c r="RTE125" s="36"/>
      <c r="RTF125" s="36"/>
      <c r="RTG125" s="36"/>
      <c r="RTH125" s="36"/>
      <c r="RTI125" s="36"/>
      <c r="RTJ125" s="36"/>
      <c r="RTK125" s="36"/>
      <c r="RTL125" s="36"/>
      <c r="RTM125" s="36"/>
      <c r="RTN125" s="36"/>
      <c r="RTO125" s="36"/>
      <c r="RTP125" s="36"/>
      <c r="RTQ125" s="36"/>
      <c r="RTR125" s="36"/>
      <c r="RTS125" s="36"/>
      <c r="RTT125" s="36"/>
      <c r="RTU125" s="36"/>
      <c r="RTV125" s="36"/>
      <c r="RTW125" s="36"/>
      <c r="RTX125" s="36"/>
      <c r="RTY125" s="36"/>
      <c r="RTZ125" s="36"/>
      <c r="RUA125" s="36"/>
      <c r="RUB125" s="36"/>
      <c r="RUC125" s="36"/>
      <c r="RUD125" s="36"/>
      <c r="RUE125" s="36"/>
      <c r="RUF125" s="36"/>
      <c r="RUG125" s="36"/>
      <c r="RUH125" s="36"/>
      <c r="RUI125" s="36"/>
      <c r="RUJ125" s="36"/>
      <c r="RUK125" s="36"/>
      <c r="RUL125" s="36"/>
      <c r="RUM125" s="36"/>
      <c r="RUN125" s="36"/>
      <c r="RUO125" s="36"/>
      <c r="RUP125" s="36"/>
      <c r="RUQ125" s="36"/>
      <c r="RUR125" s="36"/>
      <c r="RUS125" s="36"/>
      <c r="RUT125" s="36"/>
      <c r="RUU125" s="36"/>
      <c r="RUV125" s="36"/>
      <c r="RUW125" s="36"/>
      <c r="RUX125" s="36"/>
      <c r="RUY125" s="36"/>
      <c r="RUZ125" s="36"/>
      <c r="RVA125" s="36"/>
      <c r="RVB125" s="36"/>
      <c r="RVC125" s="36"/>
      <c r="RVD125" s="36"/>
      <c r="RVE125" s="36"/>
      <c r="RVF125" s="36"/>
      <c r="RVG125" s="36"/>
      <c r="RVH125" s="36"/>
      <c r="RVI125" s="36"/>
      <c r="RVJ125" s="36"/>
      <c r="RVK125" s="36"/>
      <c r="RVL125" s="36"/>
      <c r="RVM125" s="36"/>
      <c r="RVN125" s="36"/>
      <c r="RVO125" s="36"/>
      <c r="RVP125" s="36"/>
      <c r="RVQ125" s="36"/>
      <c r="RVR125" s="36"/>
      <c r="RVS125" s="36"/>
      <c r="RVT125" s="36"/>
      <c r="RVU125" s="36"/>
      <c r="RVV125" s="36"/>
      <c r="RVW125" s="36"/>
      <c r="RVX125" s="36"/>
      <c r="RVY125" s="36"/>
      <c r="RVZ125" s="36"/>
      <c r="RWA125" s="36"/>
      <c r="RWB125" s="36"/>
      <c r="RWC125" s="36"/>
      <c r="RWD125" s="36"/>
      <c r="RWE125" s="36"/>
      <c r="RWF125" s="36"/>
      <c r="RWG125" s="36"/>
      <c r="RWH125" s="36"/>
      <c r="RWI125" s="36"/>
      <c r="RWJ125" s="36"/>
      <c r="RWK125" s="36"/>
      <c r="RWL125" s="36"/>
      <c r="RWM125" s="36"/>
      <c r="RWN125" s="36"/>
      <c r="RWO125" s="36"/>
      <c r="RWP125" s="36"/>
      <c r="RWQ125" s="36"/>
      <c r="RWR125" s="36"/>
      <c r="RWS125" s="36"/>
      <c r="RWT125" s="36"/>
      <c r="RWU125" s="36"/>
      <c r="RWV125" s="36"/>
      <c r="RWW125" s="36"/>
      <c r="RWX125" s="36"/>
      <c r="RWY125" s="36"/>
      <c r="RWZ125" s="36"/>
      <c r="RXA125" s="36"/>
      <c r="RXB125" s="36"/>
      <c r="RXC125" s="36"/>
      <c r="RXD125" s="36"/>
      <c r="RXE125" s="36"/>
      <c r="RXF125" s="36"/>
      <c r="RXG125" s="36"/>
      <c r="RXH125" s="36"/>
      <c r="RXI125" s="36"/>
      <c r="RXJ125" s="36"/>
      <c r="RXK125" s="36"/>
      <c r="RXL125" s="36"/>
      <c r="RXM125" s="36"/>
      <c r="RXN125" s="36"/>
      <c r="RXO125" s="36"/>
      <c r="RXP125" s="36"/>
      <c r="RXQ125" s="36"/>
      <c r="RXR125" s="36"/>
      <c r="RXS125" s="36"/>
      <c r="RXT125" s="36"/>
      <c r="RXU125" s="36"/>
      <c r="RXV125" s="36"/>
      <c r="RXW125" s="36"/>
      <c r="RXX125" s="36"/>
      <c r="RXY125" s="36"/>
      <c r="RXZ125" s="36"/>
      <c r="RYA125" s="36"/>
      <c r="RYB125" s="36"/>
      <c r="RYC125" s="36"/>
      <c r="RYD125" s="36"/>
      <c r="RYE125" s="36"/>
      <c r="RYF125" s="36"/>
      <c r="RYG125" s="36"/>
      <c r="RYH125" s="36"/>
      <c r="RYI125" s="36"/>
      <c r="RYJ125" s="36"/>
      <c r="RYK125" s="36"/>
      <c r="RYL125" s="36"/>
      <c r="RYM125" s="36"/>
      <c r="RYN125" s="36"/>
      <c r="RYO125" s="36"/>
      <c r="RYP125" s="36"/>
      <c r="RYQ125" s="36"/>
      <c r="RYR125" s="36"/>
      <c r="RYS125" s="36"/>
      <c r="RYT125" s="36"/>
      <c r="RYU125" s="36"/>
      <c r="RYV125" s="36"/>
      <c r="RYW125" s="36"/>
      <c r="RYX125" s="36"/>
      <c r="RYY125" s="36"/>
      <c r="RYZ125" s="36"/>
      <c r="RZA125" s="36"/>
      <c r="RZB125" s="36"/>
      <c r="RZC125" s="36"/>
      <c r="RZD125" s="36"/>
      <c r="RZE125" s="36"/>
      <c r="RZF125" s="36"/>
      <c r="RZG125" s="36"/>
      <c r="RZH125" s="36"/>
      <c r="RZI125" s="36"/>
      <c r="RZJ125" s="36"/>
      <c r="RZK125" s="36"/>
      <c r="RZL125" s="36"/>
      <c r="RZM125" s="36"/>
      <c r="RZN125" s="36"/>
      <c r="RZO125" s="36"/>
      <c r="RZP125" s="36"/>
      <c r="RZQ125" s="36"/>
      <c r="RZR125" s="36"/>
      <c r="RZS125" s="36"/>
      <c r="RZT125" s="36"/>
      <c r="RZU125" s="36"/>
      <c r="RZV125" s="36"/>
      <c r="RZW125" s="36"/>
      <c r="RZX125" s="36"/>
      <c r="RZY125" s="36"/>
      <c r="RZZ125" s="36"/>
      <c r="SAA125" s="36"/>
      <c r="SAB125" s="36"/>
      <c r="SAC125" s="36"/>
      <c r="SAD125" s="36"/>
      <c r="SAE125" s="36"/>
      <c r="SAF125" s="36"/>
      <c r="SAG125" s="36"/>
      <c r="SAH125" s="36"/>
      <c r="SAI125" s="36"/>
      <c r="SAJ125" s="36"/>
      <c r="SAK125" s="36"/>
      <c r="SAL125" s="36"/>
      <c r="SAM125" s="36"/>
      <c r="SAN125" s="36"/>
      <c r="SAO125" s="36"/>
      <c r="SAP125" s="36"/>
      <c r="SAQ125" s="36"/>
      <c r="SAR125" s="36"/>
      <c r="SAS125" s="36"/>
      <c r="SAT125" s="36"/>
      <c r="SAU125" s="36"/>
      <c r="SAV125" s="36"/>
      <c r="SAW125" s="36"/>
      <c r="SAX125" s="36"/>
      <c r="SAY125" s="36"/>
      <c r="SAZ125" s="36"/>
      <c r="SBA125" s="36"/>
      <c r="SBB125" s="36"/>
      <c r="SBC125" s="36"/>
      <c r="SBD125" s="36"/>
      <c r="SBE125" s="36"/>
      <c r="SBF125" s="36"/>
      <c r="SBG125" s="36"/>
      <c r="SBH125" s="36"/>
      <c r="SBI125" s="36"/>
      <c r="SBJ125" s="36"/>
      <c r="SBK125" s="36"/>
      <c r="SBL125" s="36"/>
      <c r="SBM125" s="36"/>
      <c r="SBN125" s="36"/>
      <c r="SBO125" s="36"/>
      <c r="SBP125" s="36"/>
      <c r="SBQ125" s="36"/>
      <c r="SBR125" s="36"/>
      <c r="SBS125" s="36"/>
      <c r="SBT125" s="36"/>
      <c r="SBU125" s="36"/>
      <c r="SBV125" s="36"/>
      <c r="SBW125" s="36"/>
      <c r="SBX125" s="36"/>
      <c r="SBY125" s="36"/>
      <c r="SBZ125" s="36"/>
      <c r="SCA125" s="36"/>
      <c r="SCB125" s="36"/>
      <c r="SCC125" s="36"/>
      <c r="SCD125" s="36"/>
      <c r="SCE125" s="36"/>
      <c r="SCF125" s="36"/>
      <c r="SCG125" s="36"/>
      <c r="SCH125" s="36"/>
      <c r="SCI125" s="36"/>
      <c r="SCJ125" s="36"/>
      <c r="SCK125" s="36"/>
      <c r="SCL125" s="36"/>
      <c r="SCM125" s="36"/>
      <c r="SCN125" s="36"/>
      <c r="SCO125" s="36"/>
      <c r="SCP125" s="36"/>
      <c r="SCQ125" s="36"/>
      <c r="SCR125" s="36"/>
      <c r="SCS125" s="36"/>
      <c r="SCT125" s="36"/>
      <c r="SCU125" s="36"/>
      <c r="SCV125" s="36"/>
      <c r="SCW125" s="36"/>
      <c r="SCX125" s="36"/>
      <c r="SCY125" s="36"/>
      <c r="SCZ125" s="36"/>
      <c r="SDA125" s="36"/>
      <c r="SDB125" s="36"/>
      <c r="SDC125" s="36"/>
      <c r="SDD125" s="36"/>
      <c r="SDE125" s="36"/>
      <c r="SDF125" s="36"/>
      <c r="SDG125" s="36"/>
      <c r="SDH125" s="36"/>
      <c r="SDI125" s="36"/>
      <c r="SDJ125" s="36"/>
      <c r="SDK125" s="36"/>
      <c r="SDL125" s="36"/>
      <c r="SDM125" s="36"/>
      <c r="SDN125" s="36"/>
      <c r="SDO125" s="36"/>
      <c r="SDP125" s="36"/>
      <c r="SDQ125" s="36"/>
      <c r="SDR125" s="36"/>
      <c r="SDS125" s="36"/>
      <c r="SDT125" s="36"/>
      <c r="SDU125" s="36"/>
      <c r="SDV125" s="36"/>
      <c r="SDW125" s="36"/>
      <c r="SDX125" s="36"/>
      <c r="SDY125" s="36"/>
      <c r="SDZ125" s="36"/>
      <c r="SEA125" s="36"/>
      <c r="SEB125" s="36"/>
      <c r="SEC125" s="36"/>
      <c r="SED125" s="36"/>
      <c r="SEE125" s="36"/>
      <c r="SEF125" s="36"/>
      <c r="SEG125" s="36"/>
      <c r="SEH125" s="36"/>
      <c r="SEI125" s="36"/>
      <c r="SEJ125" s="36"/>
      <c r="SEK125" s="36"/>
      <c r="SEL125" s="36"/>
      <c r="SEM125" s="36"/>
      <c r="SEN125" s="36"/>
      <c r="SEO125" s="36"/>
      <c r="SEP125" s="36"/>
      <c r="SEQ125" s="36"/>
      <c r="SER125" s="36"/>
      <c r="SES125" s="36"/>
      <c r="SET125" s="36"/>
      <c r="SEU125" s="36"/>
      <c r="SEV125" s="36"/>
      <c r="SEW125" s="36"/>
      <c r="SEX125" s="36"/>
      <c r="SEY125" s="36"/>
      <c r="SEZ125" s="36"/>
      <c r="SFA125" s="36"/>
      <c r="SFB125" s="36"/>
      <c r="SFC125" s="36"/>
      <c r="SFD125" s="36"/>
      <c r="SFE125" s="36"/>
      <c r="SFF125" s="36"/>
      <c r="SFG125" s="36"/>
      <c r="SFH125" s="36"/>
      <c r="SFI125" s="36"/>
      <c r="SFJ125" s="36"/>
      <c r="SFK125" s="36"/>
      <c r="SFL125" s="36"/>
      <c r="SFM125" s="36"/>
      <c r="SFN125" s="36"/>
      <c r="SFO125" s="36"/>
      <c r="SFP125" s="36"/>
      <c r="SFQ125" s="36"/>
      <c r="SFR125" s="36"/>
      <c r="SFS125" s="36"/>
      <c r="SFT125" s="36"/>
      <c r="SFU125" s="36"/>
      <c r="SFV125" s="36"/>
      <c r="SFW125" s="36"/>
      <c r="SFX125" s="36"/>
      <c r="SFY125" s="36"/>
      <c r="SFZ125" s="36"/>
      <c r="SGA125" s="36"/>
      <c r="SGB125" s="36"/>
      <c r="SGC125" s="36"/>
      <c r="SGD125" s="36"/>
      <c r="SGE125" s="36"/>
      <c r="SGF125" s="36"/>
      <c r="SGG125" s="36"/>
      <c r="SGH125" s="36"/>
      <c r="SGI125" s="36"/>
      <c r="SGJ125" s="36"/>
      <c r="SGK125" s="36"/>
      <c r="SGL125" s="36"/>
      <c r="SGM125" s="36"/>
      <c r="SGN125" s="36"/>
      <c r="SGO125" s="36"/>
      <c r="SGP125" s="36"/>
      <c r="SGQ125" s="36"/>
      <c r="SGR125" s="36"/>
      <c r="SGS125" s="36"/>
      <c r="SGT125" s="36"/>
      <c r="SGU125" s="36"/>
      <c r="SGV125" s="36"/>
      <c r="SGW125" s="36"/>
      <c r="SGX125" s="36"/>
      <c r="SGY125" s="36"/>
      <c r="SGZ125" s="36"/>
      <c r="SHA125" s="36"/>
      <c r="SHB125" s="36"/>
      <c r="SHC125" s="36"/>
      <c r="SHD125" s="36"/>
      <c r="SHE125" s="36"/>
      <c r="SHF125" s="36"/>
      <c r="SHG125" s="36"/>
      <c r="SHH125" s="36"/>
      <c r="SHI125" s="36"/>
      <c r="SHJ125" s="36"/>
      <c r="SHK125" s="36"/>
      <c r="SHL125" s="36"/>
      <c r="SHM125" s="36"/>
      <c r="SHN125" s="36"/>
      <c r="SHO125" s="36"/>
      <c r="SHP125" s="36"/>
      <c r="SHQ125" s="36"/>
      <c r="SHR125" s="36"/>
      <c r="SHS125" s="36"/>
      <c r="SHT125" s="36"/>
      <c r="SHU125" s="36"/>
      <c r="SHV125" s="36"/>
      <c r="SHW125" s="36"/>
      <c r="SHX125" s="36"/>
      <c r="SHY125" s="36"/>
      <c r="SHZ125" s="36"/>
      <c r="SIA125" s="36"/>
      <c r="SIB125" s="36"/>
      <c r="SIC125" s="36"/>
      <c r="SID125" s="36"/>
      <c r="SIE125" s="36"/>
      <c r="SIF125" s="36"/>
      <c r="SIG125" s="36"/>
      <c r="SIH125" s="36"/>
      <c r="SII125" s="36"/>
      <c r="SIJ125" s="36"/>
      <c r="SIK125" s="36"/>
      <c r="SIL125" s="36"/>
      <c r="SIM125" s="36"/>
      <c r="SIN125" s="36"/>
      <c r="SIO125" s="36"/>
      <c r="SIP125" s="36"/>
      <c r="SIQ125" s="36"/>
      <c r="SIR125" s="36"/>
      <c r="SIS125" s="36"/>
      <c r="SIT125" s="36"/>
      <c r="SIU125" s="36"/>
      <c r="SIV125" s="36"/>
      <c r="SIW125" s="36"/>
      <c r="SIX125" s="36"/>
      <c r="SIY125" s="36"/>
      <c r="SIZ125" s="36"/>
      <c r="SJA125" s="36"/>
      <c r="SJB125" s="36"/>
      <c r="SJC125" s="36"/>
      <c r="SJD125" s="36"/>
      <c r="SJE125" s="36"/>
      <c r="SJF125" s="36"/>
      <c r="SJG125" s="36"/>
      <c r="SJH125" s="36"/>
      <c r="SJI125" s="36"/>
      <c r="SJJ125" s="36"/>
      <c r="SJK125" s="36"/>
      <c r="SJL125" s="36"/>
      <c r="SJM125" s="36"/>
      <c r="SJN125" s="36"/>
      <c r="SJO125" s="36"/>
      <c r="SJP125" s="36"/>
      <c r="SJQ125" s="36"/>
      <c r="SJR125" s="36"/>
      <c r="SJS125" s="36"/>
      <c r="SJT125" s="36"/>
      <c r="SJU125" s="36"/>
      <c r="SJV125" s="36"/>
      <c r="SJW125" s="36"/>
      <c r="SJX125" s="36"/>
      <c r="SJY125" s="36"/>
      <c r="SJZ125" s="36"/>
      <c r="SKA125" s="36"/>
      <c r="SKB125" s="36"/>
      <c r="SKC125" s="36"/>
      <c r="SKD125" s="36"/>
      <c r="SKE125" s="36"/>
      <c r="SKF125" s="36"/>
      <c r="SKG125" s="36"/>
      <c r="SKH125" s="36"/>
      <c r="SKI125" s="36"/>
      <c r="SKJ125" s="36"/>
      <c r="SKK125" s="36"/>
      <c r="SKL125" s="36"/>
      <c r="SKM125" s="36"/>
      <c r="SKN125" s="36"/>
      <c r="SKO125" s="36"/>
      <c r="SKP125" s="36"/>
      <c r="SKQ125" s="36"/>
      <c r="SKR125" s="36"/>
      <c r="SKS125" s="36"/>
      <c r="SKT125" s="36"/>
      <c r="SKU125" s="36"/>
      <c r="SKV125" s="36"/>
      <c r="SKW125" s="36"/>
      <c r="SKX125" s="36"/>
      <c r="SKY125" s="36"/>
      <c r="SKZ125" s="36"/>
      <c r="SLA125" s="36"/>
      <c r="SLB125" s="36"/>
      <c r="SLC125" s="36"/>
      <c r="SLD125" s="36"/>
      <c r="SLE125" s="36"/>
      <c r="SLF125" s="36"/>
      <c r="SLG125" s="36"/>
      <c r="SLH125" s="36"/>
      <c r="SLI125" s="36"/>
      <c r="SLJ125" s="36"/>
      <c r="SLK125" s="36"/>
      <c r="SLL125" s="36"/>
      <c r="SLM125" s="36"/>
      <c r="SLN125" s="36"/>
      <c r="SLO125" s="36"/>
      <c r="SLP125" s="36"/>
      <c r="SLQ125" s="36"/>
      <c r="SLR125" s="36"/>
      <c r="SLS125" s="36"/>
      <c r="SLT125" s="36"/>
      <c r="SLU125" s="36"/>
      <c r="SLV125" s="36"/>
      <c r="SLW125" s="36"/>
      <c r="SLX125" s="36"/>
      <c r="SLY125" s="36"/>
      <c r="SLZ125" s="36"/>
      <c r="SMA125" s="36"/>
      <c r="SMB125" s="36"/>
      <c r="SMC125" s="36"/>
      <c r="SMD125" s="36"/>
      <c r="SME125" s="36"/>
      <c r="SMF125" s="36"/>
      <c r="SMG125" s="36"/>
      <c r="SMH125" s="36"/>
      <c r="SMI125" s="36"/>
      <c r="SMJ125" s="36"/>
      <c r="SMK125" s="36"/>
      <c r="SML125" s="36"/>
      <c r="SMM125" s="36"/>
      <c r="SMN125" s="36"/>
      <c r="SMO125" s="36"/>
      <c r="SMP125" s="36"/>
      <c r="SMQ125" s="36"/>
      <c r="SMR125" s="36"/>
      <c r="SMS125" s="36"/>
      <c r="SMT125" s="36"/>
      <c r="SMU125" s="36"/>
      <c r="SMV125" s="36"/>
      <c r="SMW125" s="36"/>
      <c r="SMX125" s="36"/>
      <c r="SMY125" s="36"/>
      <c r="SMZ125" s="36"/>
      <c r="SNA125" s="36"/>
      <c r="SNB125" s="36"/>
      <c r="SNC125" s="36"/>
      <c r="SND125" s="36"/>
      <c r="SNE125" s="36"/>
      <c r="SNF125" s="36"/>
      <c r="SNG125" s="36"/>
      <c r="SNH125" s="36"/>
      <c r="SNI125" s="36"/>
      <c r="SNJ125" s="36"/>
      <c r="SNK125" s="36"/>
      <c r="SNL125" s="36"/>
      <c r="SNM125" s="36"/>
      <c r="SNN125" s="36"/>
      <c r="SNO125" s="36"/>
      <c r="SNP125" s="36"/>
      <c r="SNQ125" s="36"/>
      <c r="SNR125" s="36"/>
      <c r="SNS125" s="36"/>
      <c r="SNT125" s="36"/>
      <c r="SNU125" s="36"/>
      <c r="SNV125" s="36"/>
      <c r="SNW125" s="36"/>
      <c r="SNX125" s="36"/>
      <c r="SNY125" s="36"/>
      <c r="SNZ125" s="36"/>
      <c r="SOA125" s="36"/>
      <c r="SOB125" s="36"/>
      <c r="SOC125" s="36"/>
      <c r="SOD125" s="36"/>
      <c r="SOE125" s="36"/>
      <c r="SOF125" s="36"/>
      <c r="SOG125" s="36"/>
      <c r="SOH125" s="36"/>
      <c r="SOI125" s="36"/>
      <c r="SOJ125" s="36"/>
      <c r="SOK125" s="36"/>
      <c r="SOL125" s="36"/>
      <c r="SOM125" s="36"/>
      <c r="SON125" s="36"/>
      <c r="SOO125" s="36"/>
      <c r="SOP125" s="36"/>
      <c r="SOQ125" s="36"/>
      <c r="SOR125" s="36"/>
      <c r="SOS125" s="36"/>
      <c r="SOT125" s="36"/>
      <c r="SOU125" s="36"/>
      <c r="SOV125" s="36"/>
      <c r="SOW125" s="36"/>
      <c r="SOX125" s="36"/>
      <c r="SOY125" s="36"/>
      <c r="SOZ125" s="36"/>
      <c r="SPA125" s="36"/>
      <c r="SPB125" s="36"/>
      <c r="SPC125" s="36"/>
      <c r="SPD125" s="36"/>
      <c r="SPE125" s="36"/>
      <c r="SPF125" s="36"/>
      <c r="SPG125" s="36"/>
      <c r="SPH125" s="36"/>
      <c r="SPI125" s="36"/>
      <c r="SPJ125" s="36"/>
      <c r="SPK125" s="36"/>
      <c r="SPL125" s="36"/>
      <c r="SPM125" s="36"/>
      <c r="SPN125" s="36"/>
      <c r="SPO125" s="36"/>
      <c r="SPP125" s="36"/>
      <c r="SPQ125" s="36"/>
      <c r="SPR125" s="36"/>
      <c r="SPS125" s="36"/>
      <c r="SPT125" s="36"/>
      <c r="SPU125" s="36"/>
      <c r="SPV125" s="36"/>
      <c r="SPW125" s="36"/>
      <c r="SPX125" s="36"/>
      <c r="SPY125" s="36"/>
      <c r="SPZ125" s="36"/>
      <c r="SQA125" s="36"/>
      <c r="SQB125" s="36"/>
      <c r="SQC125" s="36"/>
      <c r="SQD125" s="36"/>
      <c r="SQE125" s="36"/>
      <c r="SQF125" s="36"/>
      <c r="SQG125" s="36"/>
      <c r="SQH125" s="36"/>
      <c r="SQI125" s="36"/>
      <c r="SQJ125" s="36"/>
      <c r="SQK125" s="36"/>
      <c r="SQL125" s="36"/>
      <c r="SQM125" s="36"/>
      <c r="SQN125" s="36"/>
      <c r="SQO125" s="36"/>
      <c r="SQP125" s="36"/>
      <c r="SQQ125" s="36"/>
      <c r="SQR125" s="36"/>
      <c r="SQS125" s="36"/>
      <c r="SQT125" s="36"/>
      <c r="SQU125" s="36"/>
      <c r="SQV125" s="36"/>
      <c r="SQW125" s="36"/>
      <c r="SQX125" s="36"/>
      <c r="SQY125" s="36"/>
      <c r="SQZ125" s="36"/>
      <c r="SRA125" s="36"/>
      <c r="SRB125" s="36"/>
      <c r="SRC125" s="36"/>
      <c r="SRD125" s="36"/>
      <c r="SRE125" s="36"/>
      <c r="SRF125" s="36"/>
      <c r="SRG125" s="36"/>
      <c r="SRH125" s="36"/>
      <c r="SRI125" s="36"/>
      <c r="SRJ125" s="36"/>
      <c r="SRK125" s="36"/>
      <c r="SRL125" s="36"/>
      <c r="SRM125" s="36"/>
      <c r="SRN125" s="36"/>
      <c r="SRO125" s="36"/>
      <c r="SRP125" s="36"/>
      <c r="SRQ125" s="36"/>
      <c r="SRR125" s="36"/>
      <c r="SRS125" s="36"/>
      <c r="SRT125" s="36"/>
      <c r="SRU125" s="36"/>
      <c r="SRV125" s="36"/>
      <c r="SRW125" s="36"/>
      <c r="SRX125" s="36"/>
      <c r="SRY125" s="36"/>
      <c r="SRZ125" s="36"/>
      <c r="SSA125" s="36"/>
      <c r="SSB125" s="36"/>
      <c r="SSC125" s="36"/>
      <c r="SSD125" s="36"/>
      <c r="SSE125" s="36"/>
      <c r="SSF125" s="36"/>
      <c r="SSG125" s="36"/>
      <c r="SSH125" s="36"/>
      <c r="SSI125" s="36"/>
      <c r="SSJ125" s="36"/>
      <c r="SSK125" s="36"/>
      <c r="SSL125" s="36"/>
      <c r="SSM125" s="36"/>
      <c r="SSN125" s="36"/>
      <c r="SSO125" s="36"/>
      <c r="SSP125" s="36"/>
      <c r="SSQ125" s="36"/>
      <c r="SSR125" s="36"/>
      <c r="SSS125" s="36"/>
      <c r="SST125" s="36"/>
      <c r="SSU125" s="36"/>
      <c r="SSV125" s="36"/>
      <c r="SSW125" s="36"/>
      <c r="SSX125" s="36"/>
      <c r="SSY125" s="36"/>
      <c r="SSZ125" s="36"/>
      <c r="STA125" s="36"/>
      <c r="STB125" s="36"/>
      <c r="STC125" s="36"/>
      <c r="STD125" s="36"/>
      <c r="STE125" s="36"/>
      <c r="STF125" s="36"/>
      <c r="STG125" s="36"/>
      <c r="STH125" s="36"/>
      <c r="STI125" s="36"/>
      <c r="STJ125" s="36"/>
      <c r="STK125" s="36"/>
      <c r="STL125" s="36"/>
      <c r="STM125" s="36"/>
      <c r="STN125" s="36"/>
      <c r="STO125" s="36"/>
      <c r="STP125" s="36"/>
      <c r="STQ125" s="36"/>
      <c r="STR125" s="36"/>
      <c r="STS125" s="36"/>
      <c r="STT125" s="36"/>
      <c r="STU125" s="36"/>
      <c r="STV125" s="36"/>
      <c r="STW125" s="36"/>
      <c r="STX125" s="36"/>
      <c r="STY125" s="36"/>
      <c r="STZ125" s="36"/>
      <c r="SUA125" s="36"/>
      <c r="SUB125" s="36"/>
      <c r="SUC125" s="36"/>
      <c r="SUD125" s="36"/>
      <c r="SUE125" s="36"/>
      <c r="SUF125" s="36"/>
      <c r="SUG125" s="36"/>
      <c r="SUH125" s="36"/>
      <c r="SUI125" s="36"/>
      <c r="SUJ125" s="36"/>
      <c r="SUK125" s="36"/>
      <c r="SUL125" s="36"/>
      <c r="SUM125" s="36"/>
      <c r="SUN125" s="36"/>
      <c r="SUO125" s="36"/>
      <c r="SUP125" s="36"/>
      <c r="SUQ125" s="36"/>
      <c r="SUR125" s="36"/>
      <c r="SUS125" s="36"/>
      <c r="SUT125" s="36"/>
      <c r="SUU125" s="36"/>
      <c r="SUV125" s="36"/>
      <c r="SUW125" s="36"/>
      <c r="SUX125" s="36"/>
      <c r="SUY125" s="36"/>
      <c r="SUZ125" s="36"/>
      <c r="SVA125" s="36"/>
      <c r="SVB125" s="36"/>
      <c r="SVC125" s="36"/>
      <c r="SVD125" s="36"/>
      <c r="SVE125" s="36"/>
      <c r="SVF125" s="36"/>
      <c r="SVG125" s="36"/>
      <c r="SVH125" s="36"/>
      <c r="SVI125" s="36"/>
      <c r="SVJ125" s="36"/>
      <c r="SVK125" s="36"/>
      <c r="SVL125" s="36"/>
      <c r="SVM125" s="36"/>
      <c r="SVN125" s="36"/>
      <c r="SVO125" s="36"/>
      <c r="SVP125" s="36"/>
      <c r="SVQ125" s="36"/>
      <c r="SVR125" s="36"/>
      <c r="SVS125" s="36"/>
      <c r="SVT125" s="36"/>
      <c r="SVU125" s="36"/>
      <c r="SVV125" s="36"/>
      <c r="SVW125" s="36"/>
      <c r="SVX125" s="36"/>
      <c r="SVY125" s="36"/>
      <c r="SVZ125" s="36"/>
      <c r="SWA125" s="36"/>
      <c r="SWB125" s="36"/>
      <c r="SWC125" s="36"/>
      <c r="SWD125" s="36"/>
      <c r="SWE125" s="36"/>
      <c r="SWF125" s="36"/>
      <c r="SWG125" s="36"/>
      <c r="SWH125" s="36"/>
      <c r="SWI125" s="36"/>
      <c r="SWJ125" s="36"/>
      <c r="SWK125" s="36"/>
      <c r="SWL125" s="36"/>
      <c r="SWM125" s="36"/>
      <c r="SWN125" s="36"/>
      <c r="SWO125" s="36"/>
      <c r="SWP125" s="36"/>
      <c r="SWQ125" s="36"/>
      <c r="SWR125" s="36"/>
      <c r="SWS125" s="36"/>
      <c r="SWT125" s="36"/>
      <c r="SWU125" s="36"/>
      <c r="SWV125" s="36"/>
      <c r="SWW125" s="36"/>
      <c r="SWX125" s="36"/>
      <c r="SWY125" s="36"/>
      <c r="SWZ125" s="36"/>
      <c r="SXA125" s="36"/>
      <c r="SXB125" s="36"/>
      <c r="SXC125" s="36"/>
      <c r="SXD125" s="36"/>
      <c r="SXE125" s="36"/>
      <c r="SXF125" s="36"/>
      <c r="SXG125" s="36"/>
      <c r="SXH125" s="36"/>
      <c r="SXI125" s="36"/>
      <c r="SXJ125" s="36"/>
      <c r="SXK125" s="36"/>
      <c r="SXL125" s="36"/>
      <c r="SXM125" s="36"/>
      <c r="SXN125" s="36"/>
      <c r="SXO125" s="36"/>
      <c r="SXP125" s="36"/>
      <c r="SXQ125" s="36"/>
      <c r="SXR125" s="36"/>
      <c r="SXS125" s="36"/>
      <c r="SXT125" s="36"/>
      <c r="SXU125" s="36"/>
      <c r="SXV125" s="36"/>
      <c r="SXW125" s="36"/>
      <c r="SXX125" s="36"/>
      <c r="SXY125" s="36"/>
      <c r="SXZ125" s="36"/>
      <c r="SYA125" s="36"/>
      <c r="SYB125" s="36"/>
      <c r="SYC125" s="36"/>
      <c r="SYD125" s="36"/>
      <c r="SYE125" s="36"/>
      <c r="SYF125" s="36"/>
      <c r="SYG125" s="36"/>
      <c r="SYH125" s="36"/>
      <c r="SYI125" s="36"/>
      <c r="SYJ125" s="36"/>
      <c r="SYK125" s="36"/>
      <c r="SYL125" s="36"/>
      <c r="SYM125" s="36"/>
      <c r="SYN125" s="36"/>
      <c r="SYO125" s="36"/>
      <c r="SYP125" s="36"/>
      <c r="SYQ125" s="36"/>
      <c r="SYR125" s="36"/>
      <c r="SYS125" s="36"/>
      <c r="SYT125" s="36"/>
      <c r="SYU125" s="36"/>
      <c r="SYV125" s="36"/>
      <c r="SYW125" s="36"/>
      <c r="SYX125" s="36"/>
      <c r="SYY125" s="36"/>
      <c r="SYZ125" s="36"/>
      <c r="SZA125" s="36"/>
      <c r="SZB125" s="36"/>
      <c r="SZC125" s="36"/>
      <c r="SZD125" s="36"/>
      <c r="SZE125" s="36"/>
      <c r="SZF125" s="36"/>
      <c r="SZG125" s="36"/>
      <c r="SZH125" s="36"/>
      <c r="SZI125" s="36"/>
      <c r="SZJ125" s="36"/>
      <c r="SZK125" s="36"/>
      <c r="SZL125" s="36"/>
      <c r="SZM125" s="36"/>
      <c r="SZN125" s="36"/>
      <c r="SZO125" s="36"/>
      <c r="SZP125" s="36"/>
      <c r="SZQ125" s="36"/>
      <c r="SZR125" s="36"/>
      <c r="SZS125" s="36"/>
      <c r="SZT125" s="36"/>
      <c r="SZU125" s="36"/>
      <c r="SZV125" s="36"/>
      <c r="SZW125" s="36"/>
      <c r="SZX125" s="36"/>
      <c r="SZY125" s="36"/>
      <c r="SZZ125" s="36"/>
      <c r="TAA125" s="36"/>
      <c r="TAB125" s="36"/>
      <c r="TAC125" s="36"/>
      <c r="TAD125" s="36"/>
      <c r="TAE125" s="36"/>
      <c r="TAF125" s="36"/>
      <c r="TAG125" s="36"/>
      <c r="TAH125" s="36"/>
      <c r="TAI125" s="36"/>
      <c r="TAJ125" s="36"/>
      <c r="TAK125" s="36"/>
      <c r="TAL125" s="36"/>
      <c r="TAM125" s="36"/>
      <c r="TAN125" s="36"/>
      <c r="TAO125" s="36"/>
      <c r="TAP125" s="36"/>
      <c r="TAQ125" s="36"/>
      <c r="TAR125" s="36"/>
      <c r="TAS125" s="36"/>
      <c r="TAT125" s="36"/>
      <c r="TAU125" s="36"/>
      <c r="TAV125" s="36"/>
      <c r="TAW125" s="36"/>
      <c r="TAX125" s="36"/>
      <c r="TAY125" s="36"/>
      <c r="TAZ125" s="36"/>
      <c r="TBA125" s="36"/>
      <c r="TBB125" s="36"/>
      <c r="TBC125" s="36"/>
      <c r="TBD125" s="36"/>
      <c r="TBE125" s="36"/>
      <c r="TBF125" s="36"/>
      <c r="TBG125" s="36"/>
      <c r="TBH125" s="36"/>
      <c r="TBI125" s="36"/>
      <c r="TBJ125" s="36"/>
      <c r="TBK125" s="36"/>
      <c r="TBL125" s="36"/>
      <c r="TBM125" s="36"/>
      <c r="TBN125" s="36"/>
      <c r="TBO125" s="36"/>
      <c r="TBP125" s="36"/>
      <c r="TBQ125" s="36"/>
      <c r="TBR125" s="36"/>
      <c r="TBS125" s="36"/>
      <c r="TBT125" s="36"/>
      <c r="TBU125" s="36"/>
      <c r="TBV125" s="36"/>
      <c r="TBW125" s="36"/>
      <c r="TBX125" s="36"/>
      <c r="TBY125" s="36"/>
      <c r="TBZ125" s="36"/>
      <c r="TCA125" s="36"/>
      <c r="TCB125" s="36"/>
      <c r="TCC125" s="36"/>
      <c r="TCD125" s="36"/>
      <c r="TCE125" s="36"/>
      <c r="TCF125" s="36"/>
      <c r="TCG125" s="36"/>
      <c r="TCH125" s="36"/>
      <c r="TCI125" s="36"/>
      <c r="TCJ125" s="36"/>
      <c r="TCK125" s="36"/>
      <c r="TCL125" s="36"/>
      <c r="TCM125" s="36"/>
      <c r="TCN125" s="36"/>
      <c r="TCO125" s="36"/>
      <c r="TCP125" s="36"/>
      <c r="TCQ125" s="36"/>
      <c r="TCR125" s="36"/>
      <c r="TCS125" s="36"/>
      <c r="TCT125" s="36"/>
      <c r="TCU125" s="36"/>
      <c r="TCV125" s="36"/>
      <c r="TCW125" s="36"/>
      <c r="TCX125" s="36"/>
      <c r="TCY125" s="36"/>
      <c r="TCZ125" s="36"/>
      <c r="TDA125" s="36"/>
      <c r="TDB125" s="36"/>
      <c r="TDC125" s="36"/>
      <c r="TDD125" s="36"/>
      <c r="TDE125" s="36"/>
      <c r="TDF125" s="36"/>
      <c r="TDG125" s="36"/>
      <c r="TDH125" s="36"/>
      <c r="TDI125" s="36"/>
      <c r="TDJ125" s="36"/>
      <c r="TDK125" s="36"/>
      <c r="TDL125" s="36"/>
      <c r="TDM125" s="36"/>
      <c r="TDN125" s="36"/>
      <c r="TDO125" s="36"/>
      <c r="TDP125" s="36"/>
      <c r="TDQ125" s="36"/>
      <c r="TDR125" s="36"/>
      <c r="TDS125" s="36"/>
      <c r="TDT125" s="36"/>
      <c r="TDU125" s="36"/>
      <c r="TDV125" s="36"/>
      <c r="TDW125" s="36"/>
      <c r="TDX125" s="36"/>
      <c r="TDY125" s="36"/>
      <c r="TDZ125" s="36"/>
      <c r="TEA125" s="36"/>
      <c r="TEB125" s="36"/>
      <c r="TEC125" s="36"/>
      <c r="TED125" s="36"/>
      <c r="TEE125" s="36"/>
      <c r="TEF125" s="36"/>
      <c r="TEG125" s="36"/>
      <c r="TEH125" s="36"/>
      <c r="TEI125" s="36"/>
      <c r="TEJ125" s="36"/>
      <c r="TEK125" s="36"/>
      <c r="TEL125" s="36"/>
      <c r="TEM125" s="36"/>
      <c r="TEN125" s="36"/>
      <c r="TEO125" s="36"/>
      <c r="TEP125" s="36"/>
      <c r="TEQ125" s="36"/>
      <c r="TER125" s="36"/>
      <c r="TES125" s="36"/>
      <c r="TET125" s="36"/>
      <c r="TEU125" s="36"/>
      <c r="TEV125" s="36"/>
      <c r="TEW125" s="36"/>
      <c r="TEX125" s="36"/>
      <c r="TEY125" s="36"/>
      <c r="TEZ125" s="36"/>
      <c r="TFA125" s="36"/>
      <c r="TFB125" s="36"/>
      <c r="TFC125" s="36"/>
      <c r="TFD125" s="36"/>
      <c r="TFE125" s="36"/>
      <c r="TFF125" s="36"/>
      <c r="TFG125" s="36"/>
      <c r="TFH125" s="36"/>
      <c r="TFI125" s="36"/>
      <c r="TFJ125" s="36"/>
      <c r="TFK125" s="36"/>
      <c r="TFL125" s="36"/>
      <c r="TFM125" s="36"/>
      <c r="TFN125" s="36"/>
      <c r="TFO125" s="36"/>
      <c r="TFP125" s="36"/>
      <c r="TFQ125" s="36"/>
      <c r="TFR125" s="36"/>
      <c r="TFS125" s="36"/>
      <c r="TFT125" s="36"/>
      <c r="TFU125" s="36"/>
      <c r="TFV125" s="36"/>
      <c r="TFW125" s="36"/>
      <c r="TFX125" s="36"/>
      <c r="TFY125" s="36"/>
      <c r="TFZ125" s="36"/>
      <c r="TGA125" s="36"/>
      <c r="TGB125" s="36"/>
      <c r="TGC125" s="36"/>
      <c r="TGD125" s="36"/>
      <c r="TGE125" s="36"/>
      <c r="TGF125" s="36"/>
      <c r="TGG125" s="36"/>
      <c r="TGH125" s="36"/>
      <c r="TGI125" s="36"/>
      <c r="TGJ125" s="36"/>
      <c r="TGK125" s="36"/>
      <c r="TGL125" s="36"/>
      <c r="TGM125" s="36"/>
      <c r="TGN125" s="36"/>
      <c r="TGO125" s="36"/>
      <c r="TGP125" s="36"/>
      <c r="TGQ125" s="36"/>
      <c r="TGR125" s="36"/>
      <c r="TGS125" s="36"/>
      <c r="TGT125" s="36"/>
      <c r="TGU125" s="36"/>
      <c r="TGV125" s="36"/>
      <c r="TGW125" s="36"/>
      <c r="TGX125" s="36"/>
      <c r="TGY125" s="36"/>
      <c r="TGZ125" s="36"/>
      <c r="THA125" s="36"/>
      <c r="THB125" s="36"/>
      <c r="THC125" s="36"/>
      <c r="THD125" s="36"/>
      <c r="THE125" s="36"/>
      <c r="THF125" s="36"/>
      <c r="THG125" s="36"/>
      <c r="THH125" s="36"/>
      <c r="THI125" s="36"/>
      <c r="THJ125" s="36"/>
      <c r="THK125" s="36"/>
      <c r="THL125" s="36"/>
      <c r="THM125" s="36"/>
      <c r="THN125" s="36"/>
      <c r="THO125" s="36"/>
      <c r="THP125" s="36"/>
      <c r="THQ125" s="36"/>
      <c r="THR125" s="36"/>
      <c r="THS125" s="36"/>
      <c r="THT125" s="36"/>
      <c r="THU125" s="36"/>
      <c r="THV125" s="36"/>
      <c r="THW125" s="36"/>
      <c r="THX125" s="36"/>
      <c r="THY125" s="36"/>
      <c r="THZ125" s="36"/>
      <c r="TIA125" s="36"/>
      <c r="TIB125" s="36"/>
      <c r="TIC125" s="36"/>
      <c r="TID125" s="36"/>
      <c r="TIE125" s="36"/>
      <c r="TIF125" s="36"/>
      <c r="TIG125" s="36"/>
      <c r="TIH125" s="36"/>
      <c r="TII125" s="36"/>
      <c r="TIJ125" s="36"/>
      <c r="TIK125" s="36"/>
      <c r="TIL125" s="36"/>
      <c r="TIM125" s="36"/>
      <c r="TIN125" s="36"/>
      <c r="TIO125" s="36"/>
      <c r="TIP125" s="36"/>
      <c r="TIQ125" s="36"/>
      <c r="TIR125" s="36"/>
      <c r="TIS125" s="36"/>
      <c r="TIT125" s="36"/>
      <c r="TIU125" s="36"/>
      <c r="TIV125" s="36"/>
      <c r="TIW125" s="36"/>
      <c r="TIX125" s="36"/>
      <c r="TIY125" s="36"/>
      <c r="TIZ125" s="36"/>
      <c r="TJA125" s="36"/>
      <c r="TJB125" s="36"/>
      <c r="TJC125" s="36"/>
      <c r="TJD125" s="36"/>
      <c r="TJE125" s="36"/>
      <c r="TJF125" s="36"/>
      <c r="TJG125" s="36"/>
      <c r="TJH125" s="36"/>
      <c r="TJI125" s="36"/>
      <c r="TJJ125" s="36"/>
      <c r="TJK125" s="36"/>
      <c r="TJL125" s="36"/>
      <c r="TJM125" s="36"/>
      <c r="TJN125" s="36"/>
      <c r="TJO125" s="36"/>
      <c r="TJP125" s="36"/>
      <c r="TJQ125" s="36"/>
      <c r="TJR125" s="36"/>
      <c r="TJS125" s="36"/>
      <c r="TJT125" s="36"/>
      <c r="TJU125" s="36"/>
      <c r="TJV125" s="36"/>
      <c r="TJW125" s="36"/>
      <c r="TJX125" s="36"/>
      <c r="TJY125" s="36"/>
      <c r="TJZ125" s="36"/>
      <c r="TKA125" s="36"/>
      <c r="TKB125" s="36"/>
      <c r="TKC125" s="36"/>
      <c r="TKD125" s="36"/>
      <c r="TKE125" s="36"/>
      <c r="TKF125" s="36"/>
      <c r="TKG125" s="36"/>
      <c r="TKH125" s="36"/>
      <c r="TKI125" s="36"/>
      <c r="TKJ125" s="36"/>
      <c r="TKK125" s="36"/>
      <c r="TKL125" s="36"/>
      <c r="TKM125" s="36"/>
      <c r="TKN125" s="36"/>
      <c r="TKO125" s="36"/>
      <c r="TKP125" s="36"/>
      <c r="TKQ125" s="36"/>
      <c r="TKR125" s="36"/>
      <c r="TKS125" s="36"/>
      <c r="TKT125" s="36"/>
      <c r="TKU125" s="36"/>
      <c r="TKV125" s="36"/>
      <c r="TKW125" s="36"/>
      <c r="TKX125" s="36"/>
      <c r="TKY125" s="36"/>
      <c r="TKZ125" s="36"/>
      <c r="TLA125" s="36"/>
      <c r="TLB125" s="36"/>
      <c r="TLC125" s="36"/>
      <c r="TLD125" s="36"/>
      <c r="TLE125" s="36"/>
      <c r="TLF125" s="36"/>
      <c r="TLG125" s="36"/>
      <c r="TLH125" s="36"/>
      <c r="TLI125" s="36"/>
      <c r="TLJ125" s="36"/>
      <c r="TLK125" s="36"/>
      <c r="TLL125" s="36"/>
      <c r="TLM125" s="36"/>
      <c r="TLN125" s="36"/>
      <c r="TLO125" s="36"/>
      <c r="TLP125" s="36"/>
      <c r="TLQ125" s="36"/>
      <c r="TLR125" s="36"/>
      <c r="TLS125" s="36"/>
      <c r="TLT125" s="36"/>
      <c r="TLU125" s="36"/>
      <c r="TLV125" s="36"/>
      <c r="TLW125" s="36"/>
      <c r="TLX125" s="36"/>
      <c r="TLY125" s="36"/>
      <c r="TLZ125" s="36"/>
      <c r="TMA125" s="36"/>
      <c r="TMB125" s="36"/>
      <c r="TMC125" s="36"/>
      <c r="TMD125" s="36"/>
      <c r="TME125" s="36"/>
      <c r="TMF125" s="36"/>
      <c r="TMG125" s="36"/>
      <c r="TMH125" s="36"/>
      <c r="TMI125" s="36"/>
      <c r="TMJ125" s="36"/>
      <c r="TMK125" s="36"/>
      <c r="TML125" s="36"/>
      <c r="TMM125" s="36"/>
      <c r="TMN125" s="36"/>
      <c r="TMO125" s="36"/>
      <c r="TMP125" s="36"/>
      <c r="TMQ125" s="36"/>
      <c r="TMR125" s="36"/>
      <c r="TMS125" s="36"/>
      <c r="TMT125" s="36"/>
      <c r="TMU125" s="36"/>
      <c r="TMV125" s="36"/>
      <c r="TMW125" s="36"/>
      <c r="TMX125" s="36"/>
      <c r="TMY125" s="36"/>
      <c r="TMZ125" s="36"/>
      <c r="TNA125" s="36"/>
      <c r="TNB125" s="36"/>
      <c r="TNC125" s="36"/>
      <c r="TND125" s="36"/>
      <c r="TNE125" s="36"/>
      <c r="TNF125" s="36"/>
      <c r="TNG125" s="36"/>
      <c r="TNH125" s="36"/>
      <c r="TNI125" s="36"/>
      <c r="TNJ125" s="36"/>
      <c r="TNK125" s="36"/>
      <c r="TNL125" s="36"/>
      <c r="TNM125" s="36"/>
      <c r="TNN125" s="36"/>
      <c r="TNO125" s="36"/>
      <c r="TNP125" s="36"/>
      <c r="TNQ125" s="36"/>
      <c r="TNR125" s="36"/>
      <c r="TNS125" s="36"/>
      <c r="TNT125" s="36"/>
      <c r="TNU125" s="36"/>
      <c r="TNV125" s="36"/>
      <c r="TNW125" s="36"/>
      <c r="TNX125" s="36"/>
      <c r="TNY125" s="36"/>
      <c r="TNZ125" s="36"/>
      <c r="TOA125" s="36"/>
      <c r="TOB125" s="36"/>
      <c r="TOC125" s="36"/>
      <c r="TOD125" s="36"/>
      <c r="TOE125" s="36"/>
      <c r="TOF125" s="36"/>
      <c r="TOG125" s="36"/>
      <c r="TOH125" s="36"/>
      <c r="TOI125" s="36"/>
      <c r="TOJ125" s="36"/>
      <c r="TOK125" s="36"/>
      <c r="TOL125" s="36"/>
      <c r="TOM125" s="36"/>
      <c r="TON125" s="36"/>
      <c r="TOO125" s="36"/>
      <c r="TOP125" s="36"/>
      <c r="TOQ125" s="36"/>
      <c r="TOR125" s="36"/>
      <c r="TOS125" s="36"/>
      <c r="TOT125" s="36"/>
      <c r="TOU125" s="36"/>
      <c r="TOV125" s="36"/>
      <c r="TOW125" s="36"/>
      <c r="TOX125" s="36"/>
      <c r="TOY125" s="36"/>
      <c r="TOZ125" s="36"/>
      <c r="TPA125" s="36"/>
      <c r="TPB125" s="36"/>
      <c r="TPC125" s="36"/>
      <c r="TPD125" s="36"/>
      <c r="TPE125" s="36"/>
      <c r="TPF125" s="36"/>
      <c r="TPG125" s="36"/>
      <c r="TPH125" s="36"/>
      <c r="TPI125" s="36"/>
      <c r="TPJ125" s="36"/>
      <c r="TPK125" s="36"/>
      <c r="TPL125" s="36"/>
      <c r="TPM125" s="36"/>
      <c r="TPN125" s="36"/>
      <c r="TPO125" s="36"/>
      <c r="TPP125" s="36"/>
      <c r="TPQ125" s="36"/>
      <c r="TPR125" s="36"/>
      <c r="TPS125" s="36"/>
      <c r="TPT125" s="36"/>
      <c r="TPU125" s="36"/>
      <c r="TPV125" s="36"/>
      <c r="TPW125" s="36"/>
      <c r="TPX125" s="36"/>
      <c r="TPY125" s="36"/>
      <c r="TPZ125" s="36"/>
      <c r="TQA125" s="36"/>
      <c r="TQB125" s="36"/>
      <c r="TQC125" s="36"/>
      <c r="TQD125" s="36"/>
      <c r="TQE125" s="36"/>
      <c r="TQF125" s="36"/>
      <c r="TQG125" s="36"/>
      <c r="TQH125" s="36"/>
      <c r="TQI125" s="36"/>
      <c r="TQJ125" s="36"/>
      <c r="TQK125" s="36"/>
      <c r="TQL125" s="36"/>
      <c r="TQM125" s="36"/>
      <c r="TQN125" s="36"/>
      <c r="TQO125" s="36"/>
      <c r="TQP125" s="36"/>
      <c r="TQQ125" s="36"/>
      <c r="TQR125" s="36"/>
      <c r="TQS125" s="36"/>
      <c r="TQT125" s="36"/>
      <c r="TQU125" s="36"/>
      <c r="TQV125" s="36"/>
      <c r="TQW125" s="36"/>
      <c r="TQX125" s="36"/>
      <c r="TQY125" s="36"/>
      <c r="TQZ125" s="36"/>
      <c r="TRA125" s="36"/>
      <c r="TRB125" s="36"/>
      <c r="TRC125" s="36"/>
      <c r="TRD125" s="36"/>
      <c r="TRE125" s="36"/>
      <c r="TRF125" s="36"/>
      <c r="TRG125" s="36"/>
      <c r="TRH125" s="36"/>
      <c r="TRI125" s="36"/>
      <c r="TRJ125" s="36"/>
      <c r="TRK125" s="36"/>
      <c r="TRL125" s="36"/>
      <c r="TRM125" s="36"/>
      <c r="TRN125" s="36"/>
      <c r="TRO125" s="36"/>
      <c r="TRP125" s="36"/>
      <c r="TRQ125" s="36"/>
      <c r="TRR125" s="36"/>
      <c r="TRS125" s="36"/>
      <c r="TRT125" s="36"/>
      <c r="TRU125" s="36"/>
      <c r="TRV125" s="36"/>
      <c r="TRW125" s="36"/>
      <c r="TRX125" s="36"/>
      <c r="TRY125" s="36"/>
      <c r="TRZ125" s="36"/>
      <c r="TSA125" s="36"/>
      <c r="TSB125" s="36"/>
      <c r="TSC125" s="36"/>
      <c r="TSD125" s="36"/>
      <c r="TSE125" s="36"/>
      <c r="TSF125" s="36"/>
      <c r="TSG125" s="36"/>
      <c r="TSH125" s="36"/>
      <c r="TSI125" s="36"/>
      <c r="TSJ125" s="36"/>
      <c r="TSK125" s="36"/>
      <c r="TSL125" s="36"/>
      <c r="TSM125" s="36"/>
      <c r="TSN125" s="36"/>
      <c r="TSO125" s="36"/>
      <c r="TSP125" s="36"/>
      <c r="TSQ125" s="36"/>
      <c r="TSR125" s="36"/>
      <c r="TSS125" s="36"/>
      <c r="TST125" s="36"/>
      <c r="TSU125" s="36"/>
      <c r="TSV125" s="36"/>
      <c r="TSW125" s="36"/>
      <c r="TSX125" s="36"/>
      <c r="TSY125" s="36"/>
      <c r="TSZ125" s="36"/>
      <c r="TTA125" s="36"/>
      <c r="TTB125" s="36"/>
      <c r="TTC125" s="36"/>
      <c r="TTD125" s="36"/>
      <c r="TTE125" s="36"/>
      <c r="TTF125" s="36"/>
      <c r="TTG125" s="36"/>
      <c r="TTH125" s="36"/>
      <c r="TTI125" s="36"/>
      <c r="TTJ125" s="36"/>
      <c r="TTK125" s="36"/>
      <c r="TTL125" s="36"/>
      <c r="TTM125" s="36"/>
      <c r="TTN125" s="36"/>
      <c r="TTO125" s="36"/>
      <c r="TTP125" s="36"/>
      <c r="TTQ125" s="36"/>
      <c r="TTR125" s="36"/>
      <c r="TTS125" s="36"/>
      <c r="TTT125" s="36"/>
      <c r="TTU125" s="36"/>
      <c r="TTV125" s="36"/>
      <c r="TTW125" s="36"/>
      <c r="TTX125" s="36"/>
      <c r="TTY125" s="36"/>
      <c r="TTZ125" s="36"/>
      <c r="TUA125" s="36"/>
      <c r="TUB125" s="36"/>
      <c r="TUC125" s="36"/>
      <c r="TUD125" s="36"/>
      <c r="TUE125" s="36"/>
      <c r="TUF125" s="36"/>
      <c r="TUG125" s="36"/>
      <c r="TUH125" s="36"/>
      <c r="TUI125" s="36"/>
      <c r="TUJ125" s="36"/>
      <c r="TUK125" s="36"/>
      <c r="TUL125" s="36"/>
      <c r="TUM125" s="36"/>
      <c r="TUN125" s="36"/>
      <c r="TUO125" s="36"/>
      <c r="TUP125" s="36"/>
      <c r="TUQ125" s="36"/>
      <c r="TUR125" s="36"/>
      <c r="TUS125" s="36"/>
      <c r="TUT125" s="36"/>
      <c r="TUU125" s="36"/>
      <c r="TUV125" s="36"/>
      <c r="TUW125" s="36"/>
      <c r="TUX125" s="36"/>
      <c r="TUY125" s="36"/>
      <c r="TUZ125" s="36"/>
      <c r="TVA125" s="36"/>
      <c r="TVB125" s="36"/>
      <c r="TVC125" s="36"/>
      <c r="TVD125" s="36"/>
      <c r="TVE125" s="36"/>
      <c r="TVF125" s="36"/>
      <c r="TVG125" s="36"/>
      <c r="TVH125" s="36"/>
      <c r="TVI125" s="36"/>
      <c r="TVJ125" s="36"/>
      <c r="TVK125" s="36"/>
      <c r="TVL125" s="36"/>
      <c r="TVM125" s="36"/>
      <c r="TVN125" s="36"/>
      <c r="TVO125" s="36"/>
      <c r="TVP125" s="36"/>
      <c r="TVQ125" s="36"/>
      <c r="TVR125" s="36"/>
      <c r="TVS125" s="36"/>
      <c r="TVT125" s="36"/>
      <c r="TVU125" s="36"/>
      <c r="TVV125" s="36"/>
      <c r="TVW125" s="36"/>
      <c r="TVX125" s="36"/>
      <c r="TVY125" s="36"/>
      <c r="TVZ125" s="36"/>
      <c r="TWA125" s="36"/>
      <c r="TWB125" s="36"/>
      <c r="TWC125" s="36"/>
      <c r="TWD125" s="36"/>
      <c r="TWE125" s="36"/>
      <c r="TWF125" s="36"/>
      <c r="TWG125" s="36"/>
      <c r="TWH125" s="36"/>
      <c r="TWI125" s="36"/>
      <c r="TWJ125" s="36"/>
      <c r="TWK125" s="36"/>
      <c r="TWL125" s="36"/>
      <c r="TWM125" s="36"/>
      <c r="TWN125" s="36"/>
      <c r="TWO125" s="36"/>
      <c r="TWP125" s="36"/>
      <c r="TWQ125" s="36"/>
      <c r="TWR125" s="36"/>
      <c r="TWS125" s="36"/>
      <c r="TWT125" s="36"/>
      <c r="TWU125" s="36"/>
      <c r="TWV125" s="36"/>
      <c r="TWW125" s="36"/>
      <c r="TWX125" s="36"/>
      <c r="TWY125" s="36"/>
      <c r="TWZ125" s="36"/>
      <c r="TXA125" s="36"/>
      <c r="TXB125" s="36"/>
      <c r="TXC125" s="36"/>
      <c r="TXD125" s="36"/>
      <c r="TXE125" s="36"/>
      <c r="TXF125" s="36"/>
      <c r="TXG125" s="36"/>
      <c r="TXH125" s="36"/>
      <c r="TXI125" s="36"/>
      <c r="TXJ125" s="36"/>
      <c r="TXK125" s="36"/>
      <c r="TXL125" s="36"/>
      <c r="TXM125" s="36"/>
      <c r="TXN125" s="36"/>
      <c r="TXO125" s="36"/>
      <c r="TXP125" s="36"/>
      <c r="TXQ125" s="36"/>
      <c r="TXR125" s="36"/>
      <c r="TXS125" s="36"/>
      <c r="TXT125" s="36"/>
      <c r="TXU125" s="36"/>
      <c r="TXV125" s="36"/>
      <c r="TXW125" s="36"/>
      <c r="TXX125" s="36"/>
      <c r="TXY125" s="36"/>
      <c r="TXZ125" s="36"/>
      <c r="TYA125" s="36"/>
      <c r="TYB125" s="36"/>
      <c r="TYC125" s="36"/>
      <c r="TYD125" s="36"/>
      <c r="TYE125" s="36"/>
      <c r="TYF125" s="36"/>
      <c r="TYG125" s="36"/>
      <c r="TYH125" s="36"/>
      <c r="TYI125" s="36"/>
      <c r="TYJ125" s="36"/>
      <c r="TYK125" s="36"/>
      <c r="TYL125" s="36"/>
      <c r="TYM125" s="36"/>
      <c r="TYN125" s="36"/>
      <c r="TYO125" s="36"/>
      <c r="TYP125" s="36"/>
      <c r="TYQ125" s="36"/>
      <c r="TYR125" s="36"/>
      <c r="TYS125" s="36"/>
      <c r="TYT125" s="36"/>
      <c r="TYU125" s="36"/>
      <c r="TYV125" s="36"/>
      <c r="TYW125" s="36"/>
      <c r="TYX125" s="36"/>
      <c r="TYY125" s="36"/>
      <c r="TYZ125" s="36"/>
      <c r="TZA125" s="36"/>
      <c r="TZB125" s="36"/>
      <c r="TZC125" s="36"/>
      <c r="TZD125" s="36"/>
      <c r="TZE125" s="36"/>
      <c r="TZF125" s="36"/>
      <c r="TZG125" s="36"/>
      <c r="TZH125" s="36"/>
      <c r="TZI125" s="36"/>
      <c r="TZJ125" s="36"/>
      <c r="TZK125" s="36"/>
      <c r="TZL125" s="36"/>
      <c r="TZM125" s="36"/>
      <c r="TZN125" s="36"/>
      <c r="TZO125" s="36"/>
      <c r="TZP125" s="36"/>
      <c r="TZQ125" s="36"/>
      <c r="TZR125" s="36"/>
      <c r="TZS125" s="36"/>
      <c r="TZT125" s="36"/>
      <c r="TZU125" s="36"/>
      <c r="TZV125" s="36"/>
      <c r="TZW125" s="36"/>
      <c r="TZX125" s="36"/>
      <c r="TZY125" s="36"/>
      <c r="TZZ125" s="36"/>
      <c r="UAA125" s="36"/>
      <c r="UAB125" s="36"/>
      <c r="UAC125" s="36"/>
      <c r="UAD125" s="36"/>
      <c r="UAE125" s="36"/>
      <c r="UAF125" s="36"/>
      <c r="UAG125" s="36"/>
      <c r="UAH125" s="36"/>
      <c r="UAI125" s="36"/>
      <c r="UAJ125" s="36"/>
      <c r="UAK125" s="36"/>
      <c r="UAL125" s="36"/>
      <c r="UAM125" s="36"/>
      <c r="UAN125" s="36"/>
      <c r="UAO125" s="36"/>
      <c r="UAP125" s="36"/>
      <c r="UAQ125" s="36"/>
      <c r="UAR125" s="36"/>
      <c r="UAS125" s="36"/>
      <c r="UAT125" s="36"/>
      <c r="UAU125" s="36"/>
      <c r="UAV125" s="36"/>
      <c r="UAW125" s="36"/>
      <c r="UAX125" s="36"/>
      <c r="UAY125" s="36"/>
      <c r="UAZ125" s="36"/>
      <c r="UBA125" s="36"/>
      <c r="UBB125" s="36"/>
      <c r="UBC125" s="36"/>
      <c r="UBD125" s="36"/>
      <c r="UBE125" s="36"/>
      <c r="UBF125" s="36"/>
      <c r="UBG125" s="36"/>
      <c r="UBH125" s="36"/>
      <c r="UBI125" s="36"/>
      <c r="UBJ125" s="36"/>
      <c r="UBK125" s="36"/>
      <c r="UBL125" s="36"/>
      <c r="UBM125" s="36"/>
      <c r="UBN125" s="36"/>
      <c r="UBO125" s="36"/>
      <c r="UBP125" s="36"/>
      <c r="UBQ125" s="36"/>
      <c r="UBR125" s="36"/>
      <c r="UBS125" s="36"/>
      <c r="UBT125" s="36"/>
      <c r="UBU125" s="36"/>
      <c r="UBV125" s="36"/>
      <c r="UBW125" s="36"/>
      <c r="UBX125" s="36"/>
      <c r="UBY125" s="36"/>
      <c r="UBZ125" s="36"/>
      <c r="UCA125" s="36"/>
      <c r="UCB125" s="36"/>
      <c r="UCC125" s="36"/>
      <c r="UCD125" s="36"/>
      <c r="UCE125" s="36"/>
      <c r="UCF125" s="36"/>
      <c r="UCG125" s="36"/>
      <c r="UCH125" s="36"/>
      <c r="UCI125" s="36"/>
      <c r="UCJ125" s="36"/>
      <c r="UCK125" s="36"/>
      <c r="UCL125" s="36"/>
      <c r="UCM125" s="36"/>
      <c r="UCN125" s="36"/>
      <c r="UCO125" s="36"/>
      <c r="UCP125" s="36"/>
      <c r="UCQ125" s="36"/>
      <c r="UCR125" s="36"/>
      <c r="UCS125" s="36"/>
      <c r="UCT125" s="36"/>
      <c r="UCU125" s="36"/>
      <c r="UCV125" s="36"/>
      <c r="UCW125" s="36"/>
      <c r="UCX125" s="36"/>
      <c r="UCY125" s="36"/>
      <c r="UCZ125" s="36"/>
      <c r="UDA125" s="36"/>
      <c r="UDB125" s="36"/>
      <c r="UDC125" s="36"/>
      <c r="UDD125" s="36"/>
      <c r="UDE125" s="36"/>
      <c r="UDF125" s="36"/>
      <c r="UDG125" s="36"/>
      <c r="UDH125" s="36"/>
      <c r="UDI125" s="36"/>
      <c r="UDJ125" s="36"/>
      <c r="UDK125" s="36"/>
      <c r="UDL125" s="36"/>
      <c r="UDM125" s="36"/>
      <c r="UDN125" s="36"/>
      <c r="UDO125" s="36"/>
      <c r="UDP125" s="36"/>
      <c r="UDQ125" s="36"/>
      <c r="UDR125" s="36"/>
      <c r="UDS125" s="36"/>
      <c r="UDT125" s="36"/>
      <c r="UDU125" s="36"/>
      <c r="UDV125" s="36"/>
      <c r="UDW125" s="36"/>
      <c r="UDX125" s="36"/>
      <c r="UDY125" s="36"/>
      <c r="UDZ125" s="36"/>
      <c r="UEA125" s="36"/>
      <c r="UEB125" s="36"/>
      <c r="UEC125" s="36"/>
      <c r="UED125" s="36"/>
      <c r="UEE125" s="36"/>
      <c r="UEF125" s="36"/>
      <c r="UEG125" s="36"/>
      <c r="UEH125" s="36"/>
      <c r="UEI125" s="36"/>
      <c r="UEJ125" s="36"/>
      <c r="UEK125" s="36"/>
      <c r="UEL125" s="36"/>
      <c r="UEM125" s="36"/>
      <c r="UEN125" s="36"/>
      <c r="UEO125" s="36"/>
      <c r="UEP125" s="36"/>
      <c r="UEQ125" s="36"/>
      <c r="UER125" s="36"/>
      <c r="UES125" s="36"/>
      <c r="UET125" s="36"/>
      <c r="UEU125" s="36"/>
      <c r="UEV125" s="36"/>
      <c r="UEW125" s="36"/>
      <c r="UEX125" s="36"/>
      <c r="UEY125" s="36"/>
      <c r="UEZ125" s="36"/>
      <c r="UFA125" s="36"/>
      <c r="UFB125" s="36"/>
      <c r="UFC125" s="36"/>
      <c r="UFD125" s="36"/>
      <c r="UFE125" s="36"/>
      <c r="UFF125" s="36"/>
      <c r="UFG125" s="36"/>
      <c r="UFH125" s="36"/>
      <c r="UFI125" s="36"/>
      <c r="UFJ125" s="36"/>
      <c r="UFK125" s="36"/>
      <c r="UFL125" s="36"/>
      <c r="UFM125" s="36"/>
      <c r="UFN125" s="36"/>
      <c r="UFO125" s="36"/>
      <c r="UFP125" s="36"/>
      <c r="UFQ125" s="36"/>
      <c r="UFR125" s="36"/>
      <c r="UFS125" s="36"/>
      <c r="UFT125" s="36"/>
      <c r="UFU125" s="36"/>
      <c r="UFV125" s="36"/>
      <c r="UFW125" s="36"/>
      <c r="UFX125" s="36"/>
      <c r="UFY125" s="36"/>
      <c r="UFZ125" s="36"/>
      <c r="UGA125" s="36"/>
      <c r="UGB125" s="36"/>
      <c r="UGC125" s="36"/>
      <c r="UGD125" s="36"/>
      <c r="UGE125" s="36"/>
      <c r="UGF125" s="36"/>
      <c r="UGG125" s="36"/>
      <c r="UGH125" s="36"/>
      <c r="UGI125" s="36"/>
      <c r="UGJ125" s="36"/>
      <c r="UGK125" s="36"/>
      <c r="UGL125" s="36"/>
      <c r="UGM125" s="36"/>
      <c r="UGN125" s="36"/>
      <c r="UGO125" s="36"/>
      <c r="UGP125" s="36"/>
      <c r="UGQ125" s="36"/>
      <c r="UGR125" s="36"/>
      <c r="UGS125" s="36"/>
      <c r="UGT125" s="36"/>
      <c r="UGU125" s="36"/>
      <c r="UGV125" s="36"/>
      <c r="UGW125" s="36"/>
      <c r="UGX125" s="36"/>
      <c r="UGY125" s="36"/>
      <c r="UGZ125" s="36"/>
      <c r="UHA125" s="36"/>
      <c r="UHB125" s="36"/>
      <c r="UHC125" s="36"/>
      <c r="UHD125" s="36"/>
      <c r="UHE125" s="36"/>
      <c r="UHF125" s="36"/>
      <c r="UHG125" s="36"/>
      <c r="UHH125" s="36"/>
      <c r="UHI125" s="36"/>
      <c r="UHJ125" s="36"/>
      <c r="UHK125" s="36"/>
      <c r="UHL125" s="36"/>
      <c r="UHM125" s="36"/>
      <c r="UHN125" s="36"/>
      <c r="UHO125" s="36"/>
      <c r="UHP125" s="36"/>
      <c r="UHQ125" s="36"/>
      <c r="UHR125" s="36"/>
      <c r="UHS125" s="36"/>
      <c r="UHT125" s="36"/>
      <c r="UHU125" s="36"/>
      <c r="UHV125" s="36"/>
      <c r="UHW125" s="36"/>
      <c r="UHX125" s="36"/>
      <c r="UHY125" s="36"/>
      <c r="UHZ125" s="36"/>
      <c r="UIA125" s="36"/>
      <c r="UIB125" s="36"/>
      <c r="UIC125" s="36"/>
      <c r="UID125" s="36"/>
      <c r="UIE125" s="36"/>
      <c r="UIF125" s="36"/>
      <c r="UIG125" s="36"/>
      <c r="UIH125" s="36"/>
      <c r="UII125" s="36"/>
      <c r="UIJ125" s="36"/>
      <c r="UIK125" s="36"/>
      <c r="UIL125" s="36"/>
      <c r="UIM125" s="36"/>
      <c r="UIN125" s="36"/>
      <c r="UIO125" s="36"/>
      <c r="UIP125" s="36"/>
      <c r="UIQ125" s="36"/>
      <c r="UIR125" s="36"/>
      <c r="UIS125" s="36"/>
      <c r="UIT125" s="36"/>
      <c r="UIU125" s="36"/>
      <c r="UIV125" s="36"/>
      <c r="UIW125" s="36"/>
      <c r="UIX125" s="36"/>
      <c r="UIY125" s="36"/>
      <c r="UIZ125" s="36"/>
      <c r="UJA125" s="36"/>
      <c r="UJB125" s="36"/>
      <c r="UJC125" s="36"/>
      <c r="UJD125" s="36"/>
      <c r="UJE125" s="36"/>
      <c r="UJF125" s="36"/>
      <c r="UJG125" s="36"/>
      <c r="UJH125" s="36"/>
      <c r="UJI125" s="36"/>
      <c r="UJJ125" s="36"/>
      <c r="UJK125" s="36"/>
      <c r="UJL125" s="36"/>
      <c r="UJM125" s="36"/>
      <c r="UJN125" s="36"/>
      <c r="UJO125" s="36"/>
      <c r="UJP125" s="36"/>
      <c r="UJQ125" s="36"/>
      <c r="UJR125" s="36"/>
      <c r="UJS125" s="36"/>
      <c r="UJT125" s="36"/>
      <c r="UJU125" s="36"/>
      <c r="UJV125" s="36"/>
      <c r="UJW125" s="36"/>
      <c r="UJX125" s="36"/>
      <c r="UJY125" s="36"/>
      <c r="UJZ125" s="36"/>
      <c r="UKA125" s="36"/>
      <c r="UKB125" s="36"/>
      <c r="UKC125" s="36"/>
      <c r="UKD125" s="36"/>
      <c r="UKE125" s="36"/>
      <c r="UKF125" s="36"/>
      <c r="UKG125" s="36"/>
      <c r="UKH125" s="36"/>
      <c r="UKI125" s="36"/>
      <c r="UKJ125" s="36"/>
      <c r="UKK125" s="36"/>
      <c r="UKL125" s="36"/>
      <c r="UKM125" s="36"/>
      <c r="UKN125" s="36"/>
      <c r="UKO125" s="36"/>
      <c r="UKP125" s="36"/>
      <c r="UKQ125" s="36"/>
      <c r="UKR125" s="36"/>
      <c r="UKS125" s="36"/>
      <c r="UKT125" s="36"/>
      <c r="UKU125" s="36"/>
      <c r="UKV125" s="36"/>
      <c r="UKW125" s="36"/>
      <c r="UKX125" s="36"/>
      <c r="UKY125" s="36"/>
      <c r="UKZ125" s="36"/>
      <c r="ULA125" s="36"/>
      <c r="ULB125" s="36"/>
      <c r="ULC125" s="36"/>
      <c r="ULD125" s="36"/>
      <c r="ULE125" s="36"/>
      <c r="ULF125" s="36"/>
      <c r="ULG125" s="36"/>
      <c r="ULH125" s="36"/>
      <c r="ULI125" s="36"/>
      <c r="ULJ125" s="36"/>
      <c r="ULK125" s="36"/>
      <c r="ULL125" s="36"/>
      <c r="ULM125" s="36"/>
      <c r="ULN125" s="36"/>
      <c r="ULO125" s="36"/>
      <c r="ULP125" s="36"/>
      <c r="ULQ125" s="36"/>
      <c r="ULR125" s="36"/>
      <c r="ULS125" s="36"/>
      <c r="ULT125" s="36"/>
      <c r="ULU125" s="36"/>
      <c r="ULV125" s="36"/>
      <c r="ULW125" s="36"/>
      <c r="ULX125" s="36"/>
      <c r="ULY125" s="36"/>
      <c r="ULZ125" s="36"/>
      <c r="UMA125" s="36"/>
      <c r="UMB125" s="36"/>
      <c r="UMC125" s="36"/>
      <c r="UMD125" s="36"/>
      <c r="UME125" s="36"/>
      <c r="UMF125" s="36"/>
      <c r="UMG125" s="36"/>
      <c r="UMH125" s="36"/>
      <c r="UMI125" s="36"/>
      <c r="UMJ125" s="36"/>
      <c r="UMK125" s="36"/>
      <c r="UML125" s="36"/>
      <c r="UMM125" s="36"/>
      <c r="UMN125" s="36"/>
      <c r="UMO125" s="36"/>
      <c r="UMP125" s="36"/>
      <c r="UMQ125" s="36"/>
      <c r="UMR125" s="36"/>
      <c r="UMS125" s="36"/>
      <c r="UMT125" s="36"/>
      <c r="UMU125" s="36"/>
      <c r="UMV125" s="36"/>
      <c r="UMW125" s="36"/>
      <c r="UMX125" s="36"/>
      <c r="UMY125" s="36"/>
      <c r="UMZ125" s="36"/>
      <c r="UNA125" s="36"/>
      <c r="UNB125" s="36"/>
      <c r="UNC125" s="36"/>
      <c r="UND125" s="36"/>
      <c r="UNE125" s="36"/>
      <c r="UNF125" s="36"/>
      <c r="UNG125" s="36"/>
      <c r="UNH125" s="36"/>
      <c r="UNI125" s="36"/>
      <c r="UNJ125" s="36"/>
      <c r="UNK125" s="36"/>
      <c r="UNL125" s="36"/>
      <c r="UNM125" s="36"/>
      <c r="UNN125" s="36"/>
      <c r="UNO125" s="36"/>
      <c r="UNP125" s="36"/>
      <c r="UNQ125" s="36"/>
      <c r="UNR125" s="36"/>
      <c r="UNS125" s="36"/>
      <c r="UNT125" s="36"/>
      <c r="UNU125" s="36"/>
      <c r="UNV125" s="36"/>
      <c r="UNW125" s="36"/>
      <c r="UNX125" s="36"/>
      <c r="UNY125" s="36"/>
      <c r="UNZ125" s="36"/>
      <c r="UOA125" s="36"/>
      <c r="UOB125" s="36"/>
      <c r="UOC125" s="36"/>
      <c r="UOD125" s="36"/>
      <c r="UOE125" s="36"/>
      <c r="UOF125" s="36"/>
      <c r="UOG125" s="36"/>
      <c r="UOH125" s="36"/>
      <c r="UOI125" s="36"/>
      <c r="UOJ125" s="36"/>
      <c r="UOK125" s="36"/>
      <c r="UOL125" s="36"/>
      <c r="UOM125" s="36"/>
      <c r="UON125" s="36"/>
      <c r="UOO125" s="36"/>
      <c r="UOP125" s="36"/>
      <c r="UOQ125" s="36"/>
      <c r="UOR125" s="36"/>
      <c r="UOS125" s="36"/>
      <c r="UOT125" s="36"/>
      <c r="UOU125" s="36"/>
      <c r="UOV125" s="36"/>
      <c r="UOW125" s="36"/>
      <c r="UOX125" s="36"/>
      <c r="UOY125" s="36"/>
      <c r="UOZ125" s="36"/>
      <c r="UPA125" s="36"/>
      <c r="UPB125" s="36"/>
      <c r="UPC125" s="36"/>
      <c r="UPD125" s="36"/>
      <c r="UPE125" s="36"/>
      <c r="UPF125" s="36"/>
      <c r="UPG125" s="36"/>
      <c r="UPH125" s="36"/>
      <c r="UPI125" s="36"/>
      <c r="UPJ125" s="36"/>
      <c r="UPK125" s="36"/>
      <c r="UPL125" s="36"/>
      <c r="UPM125" s="36"/>
      <c r="UPN125" s="36"/>
      <c r="UPO125" s="36"/>
      <c r="UPP125" s="36"/>
      <c r="UPQ125" s="36"/>
      <c r="UPR125" s="36"/>
      <c r="UPS125" s="36"/>
      <c r="UPT125" s="36"/>
      <c r="UPU125" s="36"/>
      <c r="UPV125" s="36"/>
      <c r="UPW125" s="36"/>
      <c r="UPX125" s="36"/>
      <c r="UPY125" s="36"/>
      <c r="UPZ125" s="36"/>
      <c r="UQA125" s="36"/>
      <c r="UQB125" s="36"/>
      <c r="UQC125" s="36"/>
      <c r="UQD125" s="36"/>
      <c r="UQE125" s="36"/>
      <c r="UQF125" s="36"/>
      <c r="UQG125" s="36"/>
      <c r="UQH125" s="36"/>
      <c r="UQI125" s="36"/>
      <c r="UQJ125" s="36"/>
      <c r="UQK125" s="36"/>
      <c r="UQL125" s="36"/>
      <c r="UQM125" s="36"/>
      <c r="UQN125" s="36"/>
      <c r="UQO125" s="36"/>
      <c r="UQP125" s="36"/>
      <c r="UQQ125" s="36"/>
      <c r="UQR125" s="36"/>
      <c r="UQS125" s="36"/>
      <c r="UQT125" s="36"/>
      <c r="UQU125" s="36"/>
      <c r="UQV125" s="36"/>
      <c r="UQW125" s="36"/>
      <c r="UQX125" s="36"/>
      <c r="UQY125" s="36"/>
      <c r="UQZ125" s="36"/>
      <c r="URA125" s="36"/>
      <c r="URB125" s="36"/>
      <c r="URC125" s="36"/>
      <c r="URD125" s="36"/>
      <c r="URE125" s="36"/>
      <c r="URF125" s="36"/>
      <c r="URG125" s="36"/>
      <c r="URH125" s="36"/>
      <c r="URI125" s="36"/>
      <c r="URJ125" s="36"/>
      <c r="URK125" s="36"/>
      <c r="URL125" s="36"/>
      <c r="URM125" s="36"/>
      <c r="URN125" s="36"/>
      <c r="URO125" s="36"/>
      <c r="URP125" s="36"/>
      <c r="URQ125" s="36"/>
      <c r="URR125" s="36"/>
      <c r="URS125" s="36"/>
      <c r="URT125" s="36"/>
      <c r="URU125" s="36"/>
      <c r="URV125" s="36"/>
      <c r="URW125" s="36"/>
      <c r="URX125" s="36"/>
      <c r="URY125" s="36"/>
      <c r="URZ125" s="36"/>
      <c r="USA125" s="36"/>
      <c r="USB125" s="36"/>
      <c r="USC125" s="36"/>
      <c r="USD125" s="36"/>
      <c r="USE125" s="36"/>
      <c r="USF125" s="36"/>
      <c r="USG125" s="36"/>
      <c r="USH125" s="36"/>
      <c r="USI125" s="36"/>
      <c r="USJ125" s="36"/>
      <c r="USK125" s="36"/>
      <c r="USL125" s="36"/>
      <c r="USM125" s="36"/>
      <c r="USN125" s="36"/>
      <c r="USO125" s="36"/>
      <c r="USP125" s="36"/>
      <c r="USQ125" s="36"/>
      <c r="USR125" s="36"/>
      <c r="USS125" s="36"/>
      <c r="UST125" s="36"/>
      <c r="USU125" s="36"/>
      <c r="USV125" s="36"/>
      <c r="USW125" s="36"/>
      <c r="USX125" s="36"/>
      <c r="USY125" s="36"/>
      <c r="USZ125" s="36"/>
      <c r="UTA125" s="36"/>
      <c r="UTB125" s="36"/>
      <c r="UTC125" s="36"/>
      <c r="UTD125" s="36"/>
      <c r="UTE125" s="36"/>
      <c r="UTF125" s="36"/>
      <c r="UTG125" s="36"/>
      <c r="UTH125" s="36"/>
      <c r="UTI125" s="36"/>
      <c r="UTJ125" s="36"/>
      <c r="UTK125" s="36"/>
      <c r="UTL125" s="36"/>
      <c r="UTM125" s="36"/>
      <c r="UTN125" s="36"/>
      <c r="UTO125" s="36"/>
      <c r="UTP125" s="36"/>
      <c r="UTQ125" s="36"/>
      <c r="UTR125" s="36"/>
      <c r="UTS125" s="36"/>
      <c r="UTT125" s="36"/>
      <c r="UTU125" s="36"/>
      <c r="UTV125" s="36"/>
      <c r="UTW125" s="36"/>
      <c r="UTX125" s="36"/>
      <c r="UTY125" s="36"/>
      <c r="UTZ125" s="36"/>
      <c r="UUA125" s="36"/>
      <c r="UUB125" s="36"/>
      <c r="UUC125" s="36"/>
      <c r="UUD125" s="36"/>
      <c r="UUE125" s="36"/>
      <c r="UUF125" s="36"/>
      <c r="UUG125" s="36"/>
      <c r="UUH125" s="36"/>
      <c r="UUI125" s="36"/>
      <c r="UUJ125" s="36"/>
      <c r="UUK125" s="36"/>
      <c r="UUL125" s="36"/>
      <c r="UUM125" s="36"/>
      <c r="UUN125" s="36"/>
      <c r="UUO125" s="36"/>
      <c r="UUP125" s="36"/>
      <c r="UUQ125" s="36"/>
      <c r="UUR125" s="36"/>
      <c r="UUS125" s="36"/>
      <c r="UUT125" s="36"/>
      <c r="UUU125" s="36"/>
      <c r="UUV125" s="36"/>
      <c r="UUW125" s="36"/>
      <c r="UUX125" s="36"/>
      <c r="UUY125" s="36"/>
      <c r="UUZ125" s="36"/>
      <c r="UVA125" s="36"/>
      <c r="UVB125" s="36"/>
      <c r="UVC125" s="36"/>
      <c r="UVD125" s="36"/>
      <c r="UVE125" s="36"/>
      <c r="UVF125" s="36"/>
      <c r="UVG125" s="36"/>
      <c r="UVH125" s="36"/>
      <c r="UVI125" s="36"/>
      <c r="UVJ125" s="36"/>
      <c r="UVK125" s="36"/>
      <c r="UVL125" s="36"/>
      <c r="UVM125" s="36"/>
      <c r="UVN125" s="36"/>
      <c r="UVO125" s="36"/>
      <c r="UVP125" s="36"/>
      <c r="UVQ125" s="36"/>
      <c r="UVR125" s="36"/>
      <c r="UVS125" s="36"/>
      <c r="UVT125" s="36"/>
      <c r="UVU125" s="36"/>
      <c r="UVV125" s="36"/>
      <c r="UVW125" s="36"/>
      <c r="UVX125" s="36"/>
      <c r="UVY125" s="36"/>
      <c r="UVZ125" s="36"/>
      <c r="UWA125" s="36"/>
      <c r="UWB125" s="36"/>
      <c r="UWC125" s="36"/>
      <c r="UWD125" s="36"/>
      <c r="UWE125" s="36"/>
      <c r="UWF125" s="36"/>
      <c r="UWG125" s="36"/>
      <c r="UWH125" s="36"/>
      <c r="UWI125" s="36"/>
      <c r="UWJ125" s="36"/>
      <c r="UWK125" s="36"/>
      <c r="UWL125" s="36"/>
      <c r="UWM125" s="36"/>
      <c r="UWN125" s="36"/>
      <c r="UWO125" s="36"/>
      <c r="UWP125" s="36"/>
      <c r="UWQ125" s="36"/>
      <c r="UWR125" s="36"/>
      <c r="UWS125" s="36"/>
      <c r="UWT125" s="36"/>
      <c r="UWU125" s="36"/>
      <c r="UWV125" s="36"/>
      <c r="UWW125" s="36"/>
      <c r="UWX125" s="36"/>
      <c r="UWY125" s="36"/>
      <c r="UWZ125" s="36"/>
      <c r="UXA125" s="36"/>
      <c r="UXB125" s="36"/>
      <c r="UXC125" s="36"/>
      <c r="UXD125" s="36"/>
      <c r="UXE125" s="36"/>
      <c r="UXF125" s="36"/>
      <c r="UXG125" s="36"/>
      <c r="UXH125" s="36"/>
      <c r="UXI125" s="36"/>
      <c r="UXJ125" s="36"/>
      <c r="UXK125" s="36"/>
      <c r="UXL125" s="36"/>
      <c r="UXM125" s="36"/>
      <c r="UXN125" s="36"/>
      <c r="UXO125" s="36"/>
      <c r="UXP125" s="36"/>
      <c r="UXQ125" s="36"/>
      <c r="UXR125" s="36"/>
      <c r="UXS125" s="36"/>
      <c r="UXT125" s="36"/>
      <c r="UXU125" s="36"/>
      <c r="UXV125" s="36"/>
      <c r="UXW125" s="36"/>
      <c r="UXX125" s="36"/>
      <c r="UXY125" s="36"/>
      <c r="UXZ125" s="36"/>
      <c r="UYA125" s="36"/>
      <c r="UYB125" s="36"/>
      <c r="UYC125" s="36"/>
      <c r="UYD125" s="36"/>
      <c r="UYE125" s="36"/>
      <c r="UYF125" s="36"/>
      <c r="UYG125" s="36"/>
      <c r="UYH125" s="36"/>
      <c r="UYI125" s="36"/>
      <c r="UYJ125" s="36"/>
      <c r="UYK125" s="36"/>
      <c r="UYL125" s="36"/>
      <c r="UYM125" s="36"/>
      <c r="UYN125" s="36"/>
      <c r="UYO125" s="36"/>
      <c r="UYP125" s="36"/>
      <c r="UYQ125" s="36"/>
      <c r="UYR125" s="36"/>
      <c r="UYS125" s="36"/>
      <c r="UYT125" s="36"/>
      <c r="UYU125" s="36"/>
      <c r="UYV125" s="36"/>
      <c r="UYW125" s="36"/>
      <c r="UYX125" s="36"/>
      <c r="UYY125" s="36"/>
      <c r="UYZ125" s="36"/>
      <c r="UZA125" s="36"/>
      <c r="UZB125" s="36"/>
      <c r="UZC125" s="36"/>
      <c r="UZD125" s="36"/>
      <c r="UZE125" s="36"/>
      <c r="UZF125" s="36"/>
      <c r="UZG125" s="36"/>
      <c r="UZH125" s="36"/>
      <c r="UZI125" s="36"/>
      <c r="UZJ125" s="36"/>
      <c r="UZK125" s="36"/>
      <c r="UZL125" s="36"/>
      <c r="UZM125" s="36"/>
      <c r="UZN125" s="36"/>
      <c r="UZO125" s="36"/>
      <c r="UZP125" s="36"/>
      <c r="UZQ125" s="36"/>
      <c r="UZR125" s="36"/>
      <c r="UZS125" s="36"/>
      <c r="UZT125" s="36"/>
      <c r="UZU125" s="36"/>
      <c r="UZV125" s="36"/>
      <c r="UZW125" s="36"/>
      <c r="UZX125" s="36"/>
      <c r="UZY125" s="36"/>
      <c r="UZZ125" s="36"/>
      <c r="VAA125" s="36"/>
      <c r="VAB125" s="36"/>
      <c r="VAC125" s="36"/>
      <c r="VAD125" s="36"/>
      <c r="VAE125" s="36"/>
      <c r="VAF125" s="36"/>
      <c r="VAG125" s="36"/>
      <c r="VAH125" s="36"/>
      <c r="VAI125" s="36"/>
      <c r="VAJ125" s="36"/>
      <c r="VAK125" s="36"/>
      <c r="VAL125" s="36"/>
      <c r="VAM125" s="36"/>
      <c r="VAN125" s="36"/>
      <c r="VAO125" s="36"/>
      <c r="VAP125" s="36"/>
      <c r="VAQ125" s="36"/>
      <c r="VAR125" s="36"/>
      <c r="VAS125" s="36"/>
      <c r="VAT125" s="36"/>
      <c r="VAU125" s="36"/>
      <c r="VAV125" s="36"/>
      <c r="VAW125" s="36"/>
      <c r="VAX125" s="36"/>
      <c r="VAY125" s="36"/>
      <c r="VAZ125" s="36"/>
      <c r="VBA125" s="36"/>
      <c r="VBB125" s="36"/>
      <c r="VBC125" s="36"/>
      <c r="VBD125" s="36"/>
      <c r="VBE125" s="36"/>
      <c r="VBF125" s="36"/>
      <c r="VBG125" s="36"/>
      <c r="VBH125" s="36"/>
      <c r="VBI125" s="36"/>
      <c r="VBJ125" s="36"/>
      <c r="VBK125" s="36"/>
      <c r="VBL125" s="36"/>
      <c r="VBM125" s="36"/>
      <c r="VBN125" s="36"/>
      <c r="VBO125" s="36"/>
      <c r="VBP125" s="36"/>
      <c r="VBQ125" s="36"/>
      <c r="VBR125" s="36"/>
      <c r="VBS125" s="36"/>
      <c r="VBT125" s="36"/>
      <c r="VBU125" s="36"/>
      <c r="VBV125" s="36"/>
      <c r="VBW125" s="36"/>
      <c r="VBX125" s="36"/>
      <c r="VBY125" s="36"/>
      <c r="VBZ125" s="36"/>
      <c r="VCA125" s="36"/>
      <c r="VCB125" s="36"/>
      <c r="VCC125" s="36"/>
      <c r="VCD125" s="36"/>
      <c r="VCE125" s="36"/>
      <c r="VCF125" s="36"/>
      <c r="VCG125" s="36"/>
      <c r="VCH125" s="36"/>
      <c r="VCI125" s="36"/>
      <c r="VCJ125" s="36"/>
      <c r="VCK125" s="36"/>
      <c r="VCL125" s="36"/>
      <c r="VCM125" s="36"/>
      <c r="VCN125" s="36"/>
      <c r="VCO125" s="36"/>
      <c r="VCP125" s="36"/>
      <c r="VCQ125" s="36"/>
      <c r="VCR125" s="36"/>
      <c r="VCS125" s="36"/>
      <c r="VCT125" s="36"/>
      <c r="VCU125" s="36"/>
      <c r="VCV125" s="36"/>
      <c r="VCW125" s="36"/>
      <c r="VCX125" s="36"/>
      <c r="VCY125" s="36"/>
      <c r="VCZ125" s="36"/>
      <c r="VDA125" s="36"/>
      <c r="VDB125" s="36"/>
      <c r="VDC125" s="36"/>
      <c r="VDD125" s="36"/>
      <c r="VDE125" s="36"/>
      <c r="VDF125" s="36"/>
      <c r="VDG125" s="36"/>
      <c r="VDH125" s="36"/>
      <c r="VDI125" s="36"/>
      <c r="VDJ125" s="36"/>
      <c r="VDK125" s="36"/>
      <c r="VDL125" s="36"/>
      <c r="VDM125" s="36"/>
      <c r="VDN125" s="36"/>
      <c r="VDO125" s="36"/>
      <c r="VDP125" s="36"/>
      <c r="VDQ125" s="36"/>
      <c r="VDR125" s="36"/>
      <c r="VDS125" s="36"/>
      <c r="VDT125" s="36"/>
      <c r="VDU125" s="36"/>
      <c r="VDV125" s="36"/>
      <c r="VDW125" s="36"/>
      <c r="VDX125" s="36"/>
      <c r="VDY125" s="36"/>
      <c r="VDZ125" s="36"/>
      <c r="VEA125" s="36"/>
      <c r="VEB125" s="36"/>
      <c r="VEC125" s="36"/>
      <c r="VED125" s="36"/>
      <c r="VEE125" s="36"/>
      <c r="VEF125" s="36"/>
      <c r="VEG125" s="36"/>
      <c r="VEH125" s="36"/>
      <c r="VEI125" s="36"/>
      <c r="VEJ125" s="36"/>
      <c r="VEK125" s="36"/>
      <c r="VEL125" s="36"/>
      <c r="VEM125" s="36"/>
      <c r="VEN125" s="36"/>
      <c r="VEO125" s="36"/>
      <c r="VEP125" s="36"/>
      <c r="VEQ125" s="36"/>
      <c r="VER125" s="36"/>
      <c r="VES125" s="36"/>
      <c r="VET125" s="36"/>
      <c r="VEU125" s="36"/>
      <c r="VEV125" s="36"/>
      <c r="VEW125" s="36"/>
      <c r="VEX125" s="36"/>
      <c r="VEY125" s="36"/>
      <c r="VEZ125" s="36"/>
      <c r="VFA125" s="36"/>
      <c r="VFB125" s="36"/>
      <c r="VFC125" s="36"/>
      <c r="VFD125" s="36"/>
      <c r="VFE125" s="36"/>
      <c r="VFF125" s="36"/>
      <c r="VFG125" s="36"/>
      <c r="VFH125" s="36"/>
      <c r="VFI125" s="36"/>
      <c r="VFJ125" s="36"/>
      <c r="VFK125" s="36"/>
      <c r="VFL125" s="36"/>
      <c r="VFM125" s="36"/>
      <c r="VFN125" s="36"/>
      <c r="VFO125" s="36"/>
      <c r="VFP125" s="36"/>
      <c r="VFQ125" s="36"/>
      <c r="VFR125" s="36"/>
      <c r="VFS125" s="36"/>
      <c r="VFT125" s="36"/>
      <c r="VFU125" s="36"/>
      <c r="VFV125" s="36"/>
      <c r="VFW125" s="36"/>
      <c r="VFX125" s="36"/>
      <c r="VFY125" s="36"/>
      <c r="VFZ125" s="36"/>
      <c r="VGA125" s="36"/>
      <c r="VGB125" s="36"/>
      <c r="VGC125" s="36"/>
      <c r="VGD125" s="36"/>
      <c r="VGE125" s="36"/>
      <c r="VGF125" s="36"/>
      <c r="VGG125" s="36"/>
      <c r="VGH125" s="36"/>
      <c r="VGI125" s="36"/>
      <c r="VGJ125" s="36"/>
      <c r="VGK125" s="36"/>
      <c r="VGL125" s="36"/>
      <c r="VGM125" s="36"/>
      <c r="VGN125" s="36"/>
      <c r="VGO125" s="36"/>
      <c r="VGP125" s="36"/>
      <c r="VGQ125" s="36"/>
      <c r="VGR125" s="36"/>
      <c r="VGS125" s="36"/>
      <c r="VGT125" s="36"/>
      <c r="VGU125" s="36"/>
      <c r="VGV125" s="36"/>
      <c r="VGW125" s="36"/>
      <c r="VGX125" s="36"/>
      <c r="VGY125" s="36"/>
      <c r="VGZ125" s="36"/>
      <c r="VHA125" s="36"/>
      <c r="VHB125" s="36"/>
      <c r="VHC125" s="36"/>
      <c r="VHD125" s="36"/>
      <c r="VHE125" s="36"/>
      <c r="VHF125" s="36"/>
      <c r="VHG125" s="36"/>
      <c r="VHH125" s="36"/>
      <c r="VHI125" s="36"/>
      <c r="VHJ125" s="36"/>
      <c r="VHK125" s="36"/>
      <c r="VHL125" s="36"/>
      <c r="VHM125" s="36"/>
      <c r="VHN125" s="36"/>
      <c r="VHO125" s="36"/>
      <c r="VHP125" s="36"/>
      <c r="VHQ125" s="36"/>
      <c r="VHR125" s="36"/>
      <c r="VHS125" s="36"/>
      <c r="VHT125" s="36"/>
      <c r="VHU125" s="36"/>
      <c r="VHV125" s="36"/>
      <c r="VHW125" s="36"/>
      <c r="VHX125" s="36"/>
      <c r="VHY125" s="36"/>
      <c r="VHZ125" s="36"/>
      <c r="VIA125" s="36"/>
      <c r="VIB125" s="36"/>
      <c r="VIC125" s="36"/>
      <c r="VID125" s="36"/>
      <c r="VIE125" s="36"/>
      <c r="VIF125" s="36"/>
      <c r="VIG125" s="36"/>
      <c r="VIH125" s="36"/>
      <c r="VII125" s="36"/>
      <c r="VIJ125" s="36"/>
      <c r="VIK125" s="36"/>
      <c r="VIL125" s="36"/>
      <c r="VIM125" s="36"/>
      <c r="VIN125" s="36"/>
      <c r="VIO125" s="36"/>
      <c r="VIP125" s="36"/>
      <c r="VIQ125" s="36"/>
      <c r="VIR125" s="36"/>
      <c r="VIS125" s="36"/>
      <c r="VIT125" s="36"/>
      <c r="VIU125" s="36"/>
      <c r="VIV125" s="36"/>
      <c r="VIW125" s="36"/>
      <c r="VIX125" s="36"/>
      <c r="VIY125" s="36"/>
      <c r="VIZ125" s="36"/>
      <c r="VJA125" s="36"/>
      <c r="VJB125" s="36"/>
      <c r="VJC125" s="36"/>
      <c r="VJD125" s="36"/>
      <c r="VJE125" s="36"/>
      <c r="VJF125" s="36"/>
      <c r="VJG125" s="36"/>
      <c r="VJH125" s="36"/>
      <c r="VJI125" s="36"/>
      <c r="VJJ125" s="36"/>
      <c r="VJK125" s="36"/>
      <c r="VJL125" s="36"/>
      <c r="VJM125" s="36"/>
      <c r="VJN125" s="36"/>
      <c r="VJO125" s="36"/>
      <c r="VJP125" s="36"/>
      <c r="VJQ125" s="36"/>
      <c r="VJR125" s="36"/>
      <c r="VJS125" s="36"/>
      <c r="VJT125" s="36"/>
      <c r="VJU125" s="36"/>
      <c r="VJV125" s="36"/>
      <c r="VJW125" s="36"/>
      <c r="VJX125" s="36"/>
      <c r="VJY125" s="36"/>
      <c r="VJZ125" s="36"/>
      <c r="VKA125" s="36"/>
      <c r="VKB125" s="36"/>
      <c r="VKC125" s="36"/>
      <c r="VKD125" s="36"/>
      <c r="VKE125" s="36"/>
      <c r="VKF125" s="36"/>
      <c r="VKG125" s="36"/>
      <c r="VKH125" s="36"/>
      <c r="VKI125" s="36"/>
      <c r="VKJ125" s="36"/>
      <c r="VKK125" s="36"/>
      <c r="VKL125" s="36"/>
      <c r="VKM125" s="36"/>
      <c r="VKN125" s="36"/>
      <c r="VKO125" s="36"/>
      <c r="VKP125" s="36"/>
      <c r="VKQ125" s="36"/>
      <c r="VKR125" s="36"/>
      <c r="VKS125" s="36"/>
      <c r="VKT125" s="36"/>
      <c r="VKU125" s="36"/>
      <c r="VKV125" s="36"/>
      <c r="VKW125" s="36"/>
      <c r="VKX125" s="36"/>
      <c r="VKY125" s="36"/>
      <c r="VKZ125" s="36"/>
      <c r="VLA125" s="36"/>
      <c r="VLB125" s="36"/>
      <c r="VLC125" s="36"/>
      <c r="VLD125" s="36"/>
      <c r="VLE125" s="36"/>
      <c r="VLF125" s="36"/>
      <c r="VLG125" s="36"/>
      <c r="VLH125" s="36"/>
      <c r="VLI125" s="36"/>
      <c r="VLJ125" s="36"/>
      <c r="VLK125" s="36"/>
      <c r="VLL125" s="36"/>
      <c r="VLM125" s="36"/>
      <c r="VLN125" s="36"/>
      <c r="VLO125" s="36"/>
      <c r="VLP125" s="36"/>
      <c r="VLQ125" s="36"/>
      <c r="VLR125" s="36"/>
      <c r="VLS125" s="36"/>
      <c r="VLT125" s="36"/>
      <c r="VLU125" s="36"/>
      <c r="VLV125" s="36"/>
      <c r="VLW125" s="36"/>
      <c r="VLX125" s="36"/>
      <c r="VLY125" s="36"/>
      <c r="VLZ125" s="36"/>
      <c r="VMA125" s="36"/>
      <c r="VMB125" s="36"/>
      <c r="VMC125" s="36"/>
      <c r="VMD125" s="36"/>
      <c r="VME125" s="36"/>
      <c r="VMF125" s="36"/>
      <c r="VMG125" s="36"/>
      <c r="VMH125" s="36"/>
      <c r="VMI125" s="36"/>
      <c r="VMJ125" s="36"/>
      <c r="VMK125" s="36"/>
      <c r="VML125" s="36"/>
      <c r="VMM125" s="36"/>
      <c r="VMN125" s="36"/>
      <c r="VMO125" s="36"/>
      <c r="VMP125" s="36"/>
      <c r="VMQ125" s="36"/>
      <c r="VMR125" s="36"/>
      <c r="VMS125" s="36"/>
      <c r="VMT125" s="36"/>
      <c r="VMU125" s="36"/>
      <c r="VMV125" s="36"/>
      <c r="VMW125" s="36"/>
      <c r="VMX125" s="36"/>
      <c r="VMY125" s="36"/>
      <c r="VMZ125" s="36"/>
      <c r="VNA125" s="36"/>
      <c r="VNB125" s="36"/>
      <c r="VNC125" s="36"/>
      <c r="VND125" s="36"/>
      <c r="VNE125" s="36"/>
      <c r="VNF125" s="36"/>
      <c r="VNG125" s="36"/>
      <c r="VNH125" s="36"/>
      <c r="VNI125" s="36"/>
      <c r="VNJ125" s="36"/>
      <c r="VNK125" s="36"/>
      <c r="VNL125" s="36"/>
      <c r="VNM125" s="36"/>
      <c r="VNN125" s="36"/>
      <c r="VNO125" s="36"/>
      <c r="VNP125" s="36"/>
      <c r="VNQ125" s="36"/>
      <c r="VNR125" s="36"/>
      <c r="VNS125" s="36"/>
      <c r="VNT125" s="36"/>
      <c r="VNU125" s="36"/>
      <c r="VNV125" s="36"/>
      <c r="VNW125" s="36"/>
      <c r="VNX125" s="36"/>
      <c r="VNY125" s="36"/>
      <c r="VNZ125" s="36"/>
      <c r="VOA125" s="36"/>
      <c r="VOB125" s="36"/>
      <c r="VOC125" s="36"/>
      <c r="VOD125" s="36"/>
      <c r="VOE125" s="36"/>
      <c r="VOF125" s="36"/>
      <c r="VOG125" s="36"/>
      <c r="VOH125" s="36"/>
      <c r="VOI125" s="36"/>
      <c r="VOJ125" s="36"/>
      <c r="VOK125" s="36"/>
      <c r="VOL125" s="36"/>
      <c r="VOM125" s="36"/>
      <c r="VON125" s="36"/>
      <c r="VOO125" s="36"/>
      <c r="VOP125" s="36"/>
      <c r="VOQ125" s="36"/>
      <c r="VOR125" s="36"/>
      <c r="VOS125" s="36"/>
      <c r="VOT125" s="36"/>
      <c r="VOU125" s="36"/>
      <c r="VOV125" s="36"/>
      <c r="VOW125" s="36"/>
      <c r="VOX125" s="36"/>
      <c r="VOY125" s="36"/>
      <c r="VOZ125" s="36"/>
      <c r="VPA125" s="36"/>
      <c r="VPB125" s="36"/>
      <c r="VPC125" s="36"/>
      <c r="VPD125" s="36"/>
      <c r="VPE125" s="36"/>
      <c r="VPF125" s="36"/>
      <c r="VPG125" s="36"/>
      <c r="VPH125" s="36"/>
      <c r="VPI125" s="36"/>
      <c r="VPJ125" s="36"/>
      <c r="VPK125" s="36"/>
      <c r="VPL125" s="36"/>
      <c r="VPM125" s="36"/>
      <c r="VPN125" s="36"/>
      <c r="VPO125" s="36"/>
      <c r="VPP125" s="36"/>
      <c r="VPQ125" s="36"/>
      <c r="VPR125" s="36"/>
      <c r="VPS125" s="36"/>
      <c r="VPT125" s="36"/>
      <c r="VPU125" s="36"/>
      <c r="VPV125" s="36"/>
      <c r="VPW125" s="36"/>
      <c r="VPX125" s="36"/>
      <c r="VPY125" s="36"/>
      <c r="VPZ125" s="36"/>
      <c r="VQA125" s="36"/>
      <c r="VQB125" s="36"/>
      <c r="VQC125" s="36"/>
      <c r="VQD125" s="36"/>
      <c r="VQE125" s="36"/>
      <c r="VQF125" s="36"/>
      <c r="VQG125" s="36"/>
      <c r="VQH125" s="36"/>
      <c r="VQI125" s="36"/>
      <c r="VQJ125" s="36"/>
      <c r="VQK125" s="36"/>
      <c r="VQL125" s="36"/>
      <c r="VQM125" s="36"/>
      <c r="VQN125" s="36"/>
      <c r="VQO125" s="36"/>
      <c r="VQP125" s="36"/>
      <c r="VQQ125" s="36"/>
      <c r="VQR125" s="36"/>
      <c r="VQS125" s="36"/>
      <c r="VQT125" s="36"/>
      <c r="VQU125" s="36"/>
      <c r="VQV125" s="36"/>
      <c r="VQW125" s="36"/>
      <c r="VQX125" s="36"/>
      <c r="VQY125" s="36"/>
      <c r="VQZ125" s="36"/>
      <c r="VRA125" s="36"/>
      <c r="VRB125" s="36"/>
      <c r="VRC125" s="36"/>
      <c r="VRD125" s="36"/>
      <c r="VRE125" s="36"/>
      <c r="VRF125" s="36"/>
      <c r="VRG125" s="36"/>
      <c r="VRH125" s="36"/>
      <c r="VRI125" s="36"/>
      <c r="VRJ125" s="36"/>
      <c r="VRK125" s="36"/>
      <c r="VRL125" s="36"/>
      <c r="VRM125" s="36"/>
      <c r="VRN125" s="36"/>
      <c r="VRO125" s="36"/>
      <c r="VRP125" s="36"/>
      <c r="VRQ125" s="36"/>
      <c r="VRR125" s="36"/>
      <c r="VRS125" s="36"/>
      <c r="VRT125" s="36"/>
      <c r="VRU125" s="36"/>
      <c r="VRV125" s="36"/>
      <c r="VRW125" s="36"/>
      <c r="VRX125" s="36"/>
      <c r="VRY125" s="36"/>
      <c r="VRZ125" s="36"/>
      <c r="VSA125" s="36"/>
      <c r="VSB125" s="36"/>
      <c r="VSC125" s="36"/>
      <c r="VSD125" s="36"/>
      <c r="VSE125" s="36"/>
      <c r="VSF125" s="36"/>
      <c r="VSG125" s="36"/>
      <c r="VSH125" s="36"/>
      <c r="VSI125" s="36"/>
      <c r="VSJ125" s="36"/>
      <c r="VSK125" s="36"/>
      <c r="VSL125" s="36"/>
      <c r="VSM125" s="36"/>
      <c r="VSN125" s="36"/>
      <c r="VSO125" s="36"/>
      <c r="VSP125" s="36"/>
      <c r="VSQ125" s="36"/>
      <c r="VSR125" s="36"/>
      <c r="VSS125" s="36"/>
      <c r="VST125" s="36"/>
      <c r="VSU125" s="36"/>
      <c r="VSV125" s="36"/>
      <c r="VSW125" s="36"/>
      <c r="VSX125" s="36"/>
      <c r="VSY125" s="36"/>
      <c r="VSZ125" s="36"/>
      <c r="VTA125" s="36"/>
      <c r="VTB125" s="36"/>
      <c r="VTC125" s="36"/>
      <c r="VTD125" s="36"/>
      <c r="VTE125" s="36"/>
      <c r="VTF125" s="36"/>
      <c r="VTG125" s="36"/>
      <c r="VTH125" s="36"/>
      <c r="VTI125" s="36"/>
      <c r="VTJ125" s="36"/>
      <c r="VTK125" s="36"/>
      <c r="VTL125" s="36"/>
      <c r="VTM125" s="36"/>
      <c r="VTN125" s="36"/>
      <c r="VTO125" s="36"/>
      <c r="VTP125" s="36"/>
      <c r="VTQ125" s="36"/>
      <c r="VTR125" s="36"/>
      <c r="VTS125" s="36"/>
      <c r="VTT125" s="36"/>
      <c r="VTU125" s="36"/>
      <c r="VTV125" s="36"/>
      <c r="VTW125" s="36"/>
      <c r="VTX125" s="36"/>
      <c r="VTY125" s="36"/>
      <c r="VTZ125" s="36"/>
      <c r="VUA125" s="36"/>
      <c r="VUB125" s="36"/>
      <c r="VUC125" s="36"/>
      <c r="VUD125" s="36"/>
      <c r="VUE125" s="36"/>
      <c r="VUF125" s="36"/>
      <c r="VUG125" s="36"/>
      <c r="VUH125" s="36"/>
      <c r="VUI125" s="36"/>
      <c r="VUJ125" s="36"/>
      <c r="VUK125" s="36"/>
      <c r="VUL125" s="36"/>
      <c r="VUM125" s="36"/>
      <c r="VUN125" s="36"/>
      <c r="VUO125" s="36"/>
      <c r="VUP125" s="36"/>
      <c r="VUQ125" s="36"/>
      <c r="VUR125" s="36"/>
      <c r="VUS125" s="36"/>
      <c r="VUT125" s="36"/>
      <c r="VUU125" s="36"/>
      <c r="VUV125" s="36"/>
      <c r="VUW125" s="36"/>
      <c r="VUX125" s="36"/>
      <c r="VUY125" s="36"/>
      <c r="VUZ125" s="36"/>
      <c r="VVA125" s="36"/>
      <c r="VVB125" s="36"/>
      <c r="VVC125" s="36"/>
      <c r="VVD125" s="36"/>
      <c r="VVE125" s="36"/>
      <c r="VVF125" s="36"/>
      <c r="VVG125" s="36"/>
      <c r="VVH125" s="36"/>
      <c r="VVI125" s="36"/>
      <c r="VVJ125" s="36"/>
      <c r="VVK125" s="36"/>
      <c r="VVL125" s="36"/>
      <c r="VVM125" s="36"/>
      <c r="VVN125" s="36"/>
      <c r="VVO125" s="36"/>
      <c r="VVP125" s="36"/>
      <c r="VVQ125" s="36"/>
      <c r="VVR125" s="36"/>
      <c r="VVS125" s="36"/>
      <c r="VVT125" s="36"/>
      <c r="VVU125" s="36"/>
      <c r="VVV125" s="36"/>
      <c r="VVW125" s="36"/>
      <c r="VVX125" s="36"/>
      <c r="VVY125" s="36"/>
      <c r="VVZ125" s="36"/>
      <c r="VWA125" s="36"/>
      <c r="VWB125" s="36"/>
      <c r="VWC125" s="36"/>
      <c r="VWD125" s="36"/>
      <c r="VWE125" s="36"/>
      <c r="VWF125" s="36"/>
      <c r="VWG125" s="36"/>
      <c r="VWH125" s="36"/>
      <c r="VWI125" s="36"/>
      <c r="VWJ125" s="36"/>
      <c r="VWK125" s="36"/>
      <c r="VWL125" s="36"/>
      <c r="VWM125" s="36"/>
      <c r="VWN125" s="36"/>
      <c r="VWO125" s="36"/>
      <c r="VWP125" s="36"/>
      <c r="VWQ125" s="36"/>
      <c r="VWR125" s="36"/>
      <c r="VWS125" s="36"/>
      <c r="VWT125" s="36"/>
      <c r="VWU125" s="36"/>
      <c r="VWV125" s="36"/>
      <c r="VWW125" s="36"/>
      <c r="VWX125" s="36"/>
      <c r="VWY125" s="36"/>
      <c r="VWZ125" s="36"/>
      <c r="VXA125" s="36"/>
      <c r="VXB125" s="36"/>
      <c r="VXC125" s="36"/>
      <c r="VXD125" s="36"/>
      <c r="VXE125" s="36"/>
      <c r="VXF125" s="36"/>
      <c r="VXG125" s="36"/>
      <c r="VXH125" s="36"/>
      <c r="VXI125" s="36"/>
      <c r="VXJ125" s="36"/>
      <c r="VXK125" s="36"/>
      <c r="VXL125" s="36"/>
      <c r="VXM125" s="36"/>
      <c r="VXN125" s="36"/>
      <c r="VXO125" s="36"/>
      <c r="VXP125" s="36"/>
      <c r="VXQ125" s="36"/>
      <c r="VXR125" s="36"/>
      <c r="VXS125" s="36"/>
      <c r="VXT125" s="36"/>
      <c r="VXU125" s="36"/>
      <c r="VXV125" s="36"/>
      <c r="VXW125" s="36"/>
      <c r="VXX125" s="36"/>
      <c r="VXY125" s="36"/>
      <c r="VXZ125" s="36"/>
      <c r="VYA125" s="36"/>
      <c r="VYB125" s="36"/>
      <c r="VYC125" s="36"/>
      <c r="VYD125" s="36"/>
      <c r="VYE125" s="36"/>
      <c r="VYF125" s="36"/>
      <c r="VYG125" s="36"/>
      <c r="VYH125" s="36"/>
      <c r="VYI125" s="36"/>
      <c r="VYJ125" s="36"/>
      <c r="VYK125" s="36"/>
      <c r="VYL125" s="36"/>
      <c r="VYM125" s="36"/>
      <c r="VYN125" s="36"/>
      <c r="VYO125" s="36"/>
      <c r="VYP125" s="36"/>
      <c r="VYQ125" s="36"/>
      <c r="VYR125" s="36"/>
      <c r="VYS125" s="36"/>
      <c r="VYT125" s="36"/>
      <c r="VYU125" s="36"/>
      <c r="VYV125" s="36"/>
      <c r="VYW125" s="36"/>
      <c r="VYX125" s="36"/>
      <c r="VYY125" s="36"/>
      <c r="VYZ125" s="36"/>
      <c r="VZA125" s="36"/>
      <c r="VZB125" s="36"/>
      <c r="VZC125" s="36"/>
      <c r="VZD125" s="36"/>
      <c r="VZE125" s="36"/>
      <c r="VZF125" s="36"/>
      <c r="VZG125" s="36"/>
      <c r="VZH125" s="36"/>
      <c r="VZI125" s="36"/>
      <c r="VZJ125" s="36"/>
      <c r="VZK125" s="36"/>
      <c r="VZL125" s="36"/>
      <c r="VZM125" s="36"/>
      <c r="VZN125" s="36"/>
      <c r="VZO125" s="36"/>
      <c r="VZP125" s="36"/>
      <c r="VZQ125" s="36"/>
      <c r="VZR125" s="36"/>
      <c r="VZS125" s="36"/>
      <c r="VZT125" s="36"/>
      <c r="VZU125" s="36"/>
      <c r="VZV125" s="36"/>
      <c r="VZW125" s="36"/>
      <c r="VZX125" s="36"/>
      <c r="VZY125" s="36"/>
      <c r="VZZ125" s="36"/>
      <c r="WAA125" s="36"/>
      <c r="WAB125" s="36"/>
      <c r="WAC125" s="36"/>
      <c r="WAD125" s="36"/>
      <c r="WAE125" s="36"/>
      <c r="WAF125" s="36"/>
      <c r="WAG125" s="36"/>
      <c r="WAH125" s="36"/>
      <c r="WAI125" s="36"/>
      <c r="WAJ125" s="36"/>
      <c r="WAK125" s="36"/>
      <c r="WAL125" s="36"/>
      <c r="WAM125" s="36"/>
      <c r="WAN125" s="36"/>
      <c r="WAO125" s="36"/>
      <c r="WAP125" s="36"/>
      <c r="WAQ125" s="36"/>
      <c r="WAR125" s="36"/>
      <c r="WAS125" s="36"/>
      <c r="WAT125" s="36"/>
      <c r="WAU125" s="36"/>
      <c r="WAV125" s="36"/>
      <c r="WAW125" s="36"/>
      <c r="WAX125" s="36"/>
      <c r="WAY125" s="36"/>
      <c r="WAZ125" s="36"/>
      <c r="WBA125" s="36"/>
      <c r="WBB125" s="36"/>
      <c r="WBC125" s="36"/>
      <c r="WBD125" s="36"/>
      <c r="WBE125" s="36"/>
      <c r="WBF125" s="36"/>
      <c r="WBG125" s="36"/>
      <c r="WBH125" s="36"/>
      <c r="WBI125" s="36"/>
      <c r="WBJ125" s="36"/>
      <c r="WBK125" s="36"/>
      <c r="WBL125" s="36"/>
      <c r="WBM125" s="36"/>
      <c r="WBN125" s="36"/>
      <c r="WBO125" s="36"/>
      <c r="WBP125" s="36"/>
      <c r="WBQ125" s="36"/>
      <c r="WBR125" s="36"/>
      <c r="WBS125" s="36"/>
      <c r="WBT125" s="36"/>
      <c r="WBU125" s="36"/>
      <c r="WBV125" s="36"/>
      <c r="WBW125" s="36"/>
      <c r="WBX125" s="36"/>
      <c r="WBY125" s="36"/>
      <c r="WBZ125" s="36"/>
      <c r="WCA125" s="36"/>
      <c r="WCB125" s="36"/>
      <c r="WCC125" s="36"/>
      <c r="WCD125" s="36"/>
      <c r="WCE125" s="36"/>
      <c r="WCF125" s="36"/>
      <c r="WCG125" s="36"/>
      <c r="WCH125" s="36"/>
      <c r="WCI125" s="36"/>
      <c r="WCJ125" s="36"/>
      <c r="WCK125" s="36"/>
      <c r="WCL125" s="36"/>
      <c r="WCM125" s="36"/>
      <c r="WCN125" s="36"/>
      <c r="WCO125" s="36"/>
      <c r="WCP125" s="36"/>
      <c r="WCQ125" s="36"/>
      <c r="WCR125" s="36"/>
      <c r="WCS125" s="36"/>
      <c r="WCT125" s="36"/>
      <c r="WCU125" s="36"/>
      <c r="WCV125" s="36"/>
      <c r="WCW125" s="36"/>
      <c r="WCX125" s="36"/>
      <c r="WCY125" s="36"/>
      <c r="WCZ125" s="36"/>
      <c r="WDA125" s="36"/>
      <c r="WDB125" s="36"/>
      <c r="WDC125" s="36"/>
      <c r="WDD125" s="36"/>
      <c r="WDE125" s="36"/>
      <c r="WDF125" s="36"/>
      <c r="WDG125" s="36"/>
      <c r="WDH125" s="36"/>
      <c r="WDI125" s="36"/>
      <c r="WDJ125" s="36"/>
      <c r="WDK125" s="36"/>
      <c r="WDL125" s="36"/>
      <c r="WDM125" s="36"/>
      <c r="WDN125" s="36"/>
      <c r="WDO125" s="36"/>
      <c r="WDP125" s="36"/>
      <c r="WDQ125" s="36"/>
      <c r="WDR125" s="36"/>
      <c r="WDS125" s="36"/>
      <c r="WDT125" s="36"/>
      <c r="WDU125" s="36"/>
      <c r="WDV125" s="36"/>
      <c r="WDW125" s="36"/>
      <c r="WDX125" s="36"/>
      <c r="WDY125" s="36"/>
      <c r="WDZ125" s="36"/>
      <c r="WEA125" s="36"/>
      <c r="WEB125" s="36"/>
      <c r="WEC125" s="36"/>
      <c r="WED125" s="36"/>
      <c r="WEE125" s="36"/>
      <c r="WEF125" s="36"/>
      <c r="WEG125" s="36"/>
      <c r="WEH125" s="36"/>
      <c r="WEI125" s="36"/>
      <c r="WEJ125" s="36"/>
      <c r="WEK125" s="36"/>
      <c r="WEL125" s="36"/>
      <c r="WEM125" s="36"/>
      <c r="WEN125" s="36"/>
      <c r="WEO125" s="36"/>
      <c r="WEP125" s="36"/>
      <c r="WEQ125" s="36"/>
      <c r="WER125" s="36"/>
      <c r="WES125" s="36"/>
      <c r="WET125" s="36"/>
      <c r="WEU125" s="36"/>
      <c r="WEV125" s="36"/>
      <c r="WEW125" s="36"/>
      <c r="WEX125" s="36"/>
      <c r="WEY125" s="36"/>
      <c r="WEZ125" s="36"/>
      <c r="WFA125" s="36"/>
      <c r="WFB125" s="36"/>
      <c r="WFC125" s="36"/>
      <c r="WFD125" s="36"/>
      <c r="WFE125" s="36"/>
      <c r="WFF125" s="36"/>
      <c r="WFG125" s="36"/>
      <c r="WFH125" s="36"/>
      <c r="WFI125" s="36"/>
      <c r="WFJ125" s="36"/>
      <c r="WFK125" s="36"/>
      <c r="WFL125" s="36"/>
      <c r="WFM125" s="36"/>
      <c r="WFN125" s="36"/>
      <c r="WFO125" s="36"/>
      <c r="WFP125" s="36"/>
      <c r="WFQ125" s="36"/>
      <c r="WFR125" s="36"/>
      <c r="WFS125" s="36"/>
      <c r="WFT125" s="36"/>
      <c r="WFU125" s="36"/>
      <c r="WFV125" s="36"/>
      <c r="WFW125" s="36"/>
      <c r="WFX125" s="36"/>
      <c r="WFY125" s="36"/>
      <c r="WFZ125" s="36"/>
      <c r="WGA125" s="36"/>
      <c r="WGB125" s="36"/>
      <c r="WGC125" s="36"/>
      <c r="WGD125" s="36"/>
      <c r="WGE125" s="36"/>
      <c r="WGF125" s="36"/>
      <c r="WGG125" s="36"/>
      <c r="WGH125" s="36"/>
      <c r="WGI125" s="36"/>
      <c r="WGJ125" s="36"/>
      <c r="WGK125" s="36"/>
      <c r="WGL125" s="36"/>
      <c r="WGM125" s="36"/>
      <c r="WGN125" s="36"/>
      <c r="WGO125" s="36"/>
      <c r="WGP125" s="36"/>
      <c r="WGQ125" s="36"/>
      <c r="WGR125" s="36"/>
      <c r="WGS125" s="36"/>
      <c r="WGT125" s="36"/>
      <c r="WGU125" s="36"/>
      <c r="WGV125" s="36"/>
      <c r="WGW125" s="36"/>
      <c r="WGX125" s="36"/>
      <c r="WGY125" s="36"/>
      <c r="WGZ125" s="36"/>
      <c r="WHA125" s="36"/>
      <c r="WHB125" s="36"/>
      <c r="WHC125" s="36"/>
      <c r="WHD125" s="36"/>
      <c r="WHE125" s="36"/>
      <c r="WHF125" s="36"/>
      <c r="WHG125" s="36"/>
      <c r="WHH125" s="36"/>
      <c r="WHI125" s="36"/>
      <c r="WHJ125" s="36"/>
      <c r="WHK125" s="36"/>
      <c r="WHL125" s="36"/>
      <c r="WHM125" s="36"/>
      <c r="WHN125" s="36"/>
      <c r="WHO125" s="36"/>
      <c r="WHP125" s="36"/>
      <c r="WHQ125" s="36"/>
      <c r="WHR125" s="36"/>
      <c r="WHS125" s="36"/>
      <c r="WHT125" s="36"/>
      <c r="WHU125" s="36"/>
      <c r="WHV125" s="36"/>
      <c r="WHW125" s="36"/>
      <c r="WHX125" s="36"/>
      <c r="WHY125" s="36"/>
      <c r="WHZ125" s="36"/>
      <c r="WIA125" s="36"/>
      <c r="WIB125" s="36"/>
      <c r="WIC125" s="36"/>
      <c r="WID125" s="36"/>
      <c r="WIE125" s="36"/>
      <c r="WIF125" s="36"/>
      <c r="WIG125" s="36"/>
      <c r="WIH125" s="36"/>
      <c r="WII125" s="36"/>
      <c r="WIJ125" s="36"/>
      <c r="WIK125" s="36"/>
      <c r="WIL125" s="36"/>
      <c r="WIM125" s="36"/>
      <c r="WIN125" s="36"/>
      <c r="WIO125" s="36"/>
      <c r="WIP125" s="36"/>
      <c r="WIQ125" s="36"/>
      <c r="WIR125" s="36"/>
      <c r="WIS125" s="36"/>
      <c r="WIT125" s="36"/>
      <c r="WIU125" s="36"/>
      <c r="WIV125" s="36"/>
      <c r="WIW125" s="36"/>
      <c r="WIX125" s="36"/>
      <c r="WIY125" s="36"/>
      <c r="WIZ125" s="36"/>
      <c r="WJA125" s="36"/>
      <c r="WJB125" s="36"/>
      <c r="WJC125" s="36"/>
      <c r="WJD125" s="36"/>
      <c r="WJE125" s="36"/>
      <c r="WJF125" s="36"/>
      <c r="WJG125" s="36"/>
      <c r="WJH125" s="36"/>
      <c r="WJI125" s="36"/>
      <c r="WJJ125" s="36"/>
      <c r="WJK125" s="36"/>
      <c r="WJL125" s="36"/>
      <c r="WJM125" s="36"/>
      <c r="WJN125" s="36"/>
      <c r="WJO125" s="36"/>
      <c r="WJP125" s="36"/>
      <c r="WJQ125" s="36"/>
      <c r="WJR125" s="36"/>
      <c r="WJS125" s="36"/>
      <c r="WJT125" s="36"/>
      <c r="WJU125" s="36"/>
      <c r="WJV125" s="36"/>
      <c r="WJW125" s="36"/>
      <c r="WJX125" s="36"/>
      <c r="WJY125" s="36"/>
      <c r="WJZ125" s="36"/>
      <c r="WKA125" s="36"/>
      <c r="WKB125" s="36"/>
      <c r="WKC125" s="36"/>
      <c r="WKD125" s="36"/>
      <c r="WKE125" s="36"/>
      <c r="WKF125" s="36"/>
      <c r="WKG125" s="36"/>
      <c r="WKH125" s="36"/>
      <c r="WKI125" s="36"/>
      <c r="WKJ125" s="36"/>
      <c r="WKK125" s="36"/>
      <c r="WKL125" s="36"/>
      <c r="WKM125" s="36"/>
      <c r="WKN125" s="36"/>
      <c r="WKO125" s="36"/>
      <c r="WKP125" s="36"/>
      <c r="WKQ125" s="36"/>
      <c r="WKR125" s="36"/>
      <c r="WKS125" s="36"/>
      <c r="WKT125" s="36"/>
      <c r="WKU125" s="36"/>
      <c r="WKV125" s="36"/>
      <c r="WKW125" s="36"/>
      <c r="WKX125" s="36"/>
      <c r="WKY125" s="36"/>
      <c r="WKZ125" s="36"/>
      <c r="WLA125" s="36"/>
      <c r="WLB125" s="36"/>
      <c r="WLC125" s="36"/>
      <c r="WLD125" s="36"/>
      <c r="WLE125" s="36"/>
      <c r="WLF125" s="36"/>
      <c r="WLG125" s="36"/>
      <c r="WLH125" s="36"/>
      <c r="WLI125" s="36"/>
      <c r="WLJ125" s="36"/>
      <c r="WLK125" s="36"/>
      <c r="WLL125" s="36"/>
      <c r="WLM125" s="36"/>
      <c r="WLN125" s="36"/>
      <c r="WLO125" s="36"/>
      <c r="WLP125" s="36"/>
      <c r="WLQ125" s="36"/>
      <c r="WLR125" s="36"/>
      <c r="WLS125" s="36"/>
      <c r="WLT125" s="36"/>
      <c r="WLU125" s="36"/>
      <c r="WLV125" s="36"/>
      <c r="WLW125" s="36"/>
      <c r="WLX125" s="36"/>
      <c r="WLY125" s="36"/>
      <c r="WLZ125" s="36"/>
      <c r="WMA125" s="36"/>
      <c r="WMB125" s="36"/>
      <c r="WMC125" s="36"/>
      <c r="WMD125" s="36"/>
      <c r="WME125" s="36"/>
      <c r="WMF125" s="36"/>
      <c r="WMG125" s="36"/>
      <c r="WMH125" s="36"/>
      <c r="WMI125" s="36"/>
      <c r="WMJ125" s="36"/>
      <c r="WMK125" s="36"/>
      <c r="WML125" s="36"/>
      <c r="WMM125" s="36"/>
      <c r="WMN125" s="36"/>
      <c r="WMO125" s="36"/>
      <c r="WMP125" s="36"/>
      <c r="WMQ125" s="36"/>
      <c r="WMR125" s="36"/>
      <c r="WMS125" s="36"/>
      <c r="WMT125" s="36"/>
      <c r="WMU125" s="36"/>
      <c r="WMV125" s="36"/>
      <c r="WMW125" s="36"/>
      <c r="WMX125" s="36"/>
      <c r="WMY125" s="36"/>
      <c r="WMZ125" s="36"/>
      <c r="WNA125" s="36"/>
      <c r="WNB125" s="36"/>
      <c r="WNC125" s="36"/>
      <c r="WND125" s="36"/>
      <c r="WNE125" s="36"/>
      <c r="WNF125" s="36"/>
      <c r="WNG125" s="36"/>
      <c r="WNH125" s="36"/>
      <c r="WNI125" s="36"/>
      <c r="WNJ125" s="36"/>
      <c r="WNK125" s="36"/>
      <c r="WNL125" s="36"/>
      <c r="WNM125" s="36"/>
      <c r="WNN125" s="36"/>
      <c r="WNO125" s="36"/>
      <c r="WNP125" s="36"/>
      <c r="WNQ125" s="36"/>
      <c r="WNR125" s="36"/>
      <c r="WNS125" s="36"/>
      <c r="WNT125" s="36"/>
      <c r="WNU125" s="36"/>
      <c r="WNV125" s="36"/>
      <c r="WNW125" s="36"/>
      <c r="WNX125" s="36"/>
      <c r="WNY125" s="36"/>
      <c r="WNZ125" s="36"/>
      <c r="WOA125" s="36"/>
      <c r="WOB125" s="36"/>
      <c r="WOC125" s="36"/>
      <c r="WOD125" s="36"/>
      <c r="WOE125" s="36"/>
      <c r="WOF125" s="36"/>
      <c r="WOG125" s="36"/>
      <c r="WOH125" s="36"/>
      <c r="WOI125" s="36"/>
      <c r="WOJ125" s="36"/>
      <c r="WOK125" s="36"/>
      <c r="WOL125" s="36"/>
      <c r="WOM125" s="36"/>
      <c r="WON125" s="36"/>
      <c r="WOO125" s="36"/>
      <c r="WOP125" s="36"/>
      <c r="WOQ125" s="36"/>
      <c r="WOR125" s="36"/>
      <c r="WOS125" s="36"/>
      <c r="WOT125" s="36"/>
      <c r="WOU125" s="36"/>
      <c r="WOV125" s="36"/>
      <c r="WOW125" s="36"/>
      <c r="WOX125" s="36"/>
      <c r="WOY125" s="36"/>
      <c r="WOZ125" s="36"/>
      <c r="WPA125" s="36"/>
      <c r="WPB125" s="36"/>
      <c r="WPC125" s="36"/>
      <c r="WPD125" s="36"/>
      <c r="WPE125" s="36"/>
      <c r="WPF125" s="36"/>
      <c r="WPG125" s="36"/>
      <c r="WPH125" s="36"/>
      <c r="WPI125" s="36"/>
      <c r="WPJ125" s="36"/>
      <c r="WPK125" s="36"/>
      <c r="WPL125" s="36"/>
      <c r="WPM125" s="36"/>
      <c r="WPN125" s="36"/>
      <c r="WPO125" s="36"/>
      <c r="WPP125" s="36"/>
      <c r="WPQ125" s="36"/>
      <c r="WPR125" s="36"/>
      <c r="WPS125" s="36"/>
      <c r="WPT125" s="36"/>
      <c r="WPU125" s="36"/>
      <c r="WPV125" s="36"/>
      <c r="WPW125" s="36"/>
      <c r="WPX125" s="36"/>
      <c r="WPY125" s="36"/>
      <c r="WPZ125" s="36"/>
      <c r="WQA125" s="36"/>
      <c r="WQB125" s="36"/>
      <c r="WQC125" s="36"/>
      <c r="WQD125" s="36"/>
      <c r="WQE125" s="36"/>
      <c r="WQF125" s="36"/>
      <c r="WQG125" s="36"/>
      <c r="WQH125" s="36"/>
      <c r="WQI125" s="36"/>
      <c r="WQJ125" s="36"/>
      <c r="WQK125" s="36"/>
      <c r="WQL125" s="36"/>
      <c r="WQM125" s="36"/>
      <c r="WQN125" s="36"/>
      <c r="WQO125" s="36"/>
      <c r="WQP125" s="36"/>
      <c r="WQQ125" s="36"/>
      <c r="WQR125" s="36"/>
      <c r="WQS125" s="36"/>
      <c r="WQT125" s="36"/>
      <c r="WQU125" s="36"/>
      <c r="WQV125" s="36"/>
      <c r="WQW125" s="36"/>
      <c r="WQX125" s="36"/>
      <c r="WQY125" s="36"/>
      <c r="WQZ125" s="36"/>
      <c r="WRA125" s="36"/>
      <c r="WRB125" s="36"/>
      <c r="WRC125" s="36"/>
      <c r="WRD125" s="36"/>
      <c r="WRE125" s="36"/>
      <c r="WRF125" s="36"/>
      <c r="WRG125" s="36"/>
      <c r="WRH125" s="36"/>
      <c r="WRI125" s="36"/>
      <c r="WRJ125" s="36"/>
      <c r="WRK125" s="36"/>
      <c r="WRL125" s="36"/>
      <c r="WRM125" s="36"/>
      <c r="WRN125" s="36"/>
      <c r="WRO125" s="36"/>
      <c r="WRP125" s="36"/>
      <c r="WRQ125" s="36"/>
      <c r="WRR125" s="36"/>
      <c r="WRS125" s="36"/>
      <c r="WRT125" s="36"/>
      <c r="WRU125" s="36"/>
      <c r="WRV125" s="36"/>
      <c r="WRW125" s="36"/>
      <c r="WRX125" s="36"/>
      <c r="WRY125" s="36"/>
      <c r="WRZ125" s="36"/>
      <c r="WSA125" s="36"/>
      <c r="WSB125" s="36"/>
      <c r="WSC125" s="36"/>
      <c r="WSD125" s="36"/>
      <c r="WSE125" s="36"/>
      <c r="WSF125" s="36"/>
      <c r="WSG125" s="36"/>
      <c r="WSH125" s="36"/>
      <c r="WSI125" s="36"/>
      <c r="WSJ125" s="36"/>
      <c r="WSK125" s="36"/>
      <c r="WSL125" s="36"/>
      <c r="WSM125" s="36"/>
      <c r="WSN125" s="36"/>
      <c r="WSO125" s="36"/>
      <c r="WSP125" s="36"/>
      <c r="WSQ125" s="36"/>
      <c r="WSR125" s="36"/>
      <c r="WSS125" s="36"/>
      <c r="WST125" s="36"/>
      <c r="WSU125" s="36"/>
      <c r="WSV125" s="36"/>
      <c r="WSW125" s="36"/>
      <c r="WSX125" s="36"/>
      <c r="WSY125" s="36"/>
      <c r="WSZ125" s="36"/>
      <c r="WTA125" s="36"/>
      <c r="WTB125" s="36"/>
      <c r="WTC125" s="36"/>
      <c r="WTD125" s="36"/>
      <c r="WTE125" s="36"/>
      <c r="WTF125" s="36"/>
      <c r="WTG125" s="36"/>
      <c r="WTH125" s="36"/>
      <c r="WTI125" s="36"/>
      <c r="WTJ125" s="36"/>
      <c r="WTK125" s="36"/>
      <c r="WTL125" s="36"/>
      <c r="WTM125" s="36"/>
      <c r="WTN125" s="36"/>
      <c r="WTO125" s="36"/>
      <c r="WTP125" s="36"/>
      <c r="WTQ125" s="36"/>
      <c r="WTR125" s="36"/>
      <c r="WTS125" s="36"/>
      <c r="WTT125" s="36"/>
      <c r="WTU125" s="36"/>
      <c r="WTV125" s="36"/>
      <c r="WTW125" s="36"/>
      <c r="WTX125" s="36"/>
      <c r="WTY125" s="36"/>
      <c r="WTZ125" s="36"/>
      <c r="WUA125" s="36"/>
      <c r="WUB125" s="36"/>
      <c r="WUC125" s="36"/>
      <c r="WUD125" s="36"/>
      <c r="WUE125" s="36"/>
      <c r="WUF125" s="36"/>
      <c r="WUG125" s="36"/>
      <c r="WUH125" s="36"/>
      <c r="WUI125" s="36"/>
      <c r="WUJ125" s="36"/>
      <c r="WUK125" s="36"/>
      <c r="WUL125" s="36"/>
      <c r="WUM125" s="36"/>
      <c r="WUN125" s="36"/>
      <c r="WUO125" s="36"/>
      <c r="WUP125" s="36"/>
      <c r="WUQ125" s="36"/>
      <c r="WUR125" s="36"/>
      <c r="WUS125" s="36"/>
      <c r="WUT125" s="36"/>
      <c r="WUU125" s="36"/>
      <c r="WUV125" s="36"/>
      <c r="WUW125" s="36"/>
      <c r="WUX125" s="36"/>
      <c r="WUY125" s="36"/>
      <c r="WUZ125" s="36"/>
      <c r="WVA125" s="36"/>
      <c r="WVB125" s="36"/>
      <c r="WVC125" s="36"/>
      <c r="WVD125" s="36"/>
      <c r="WVE125" s="36"/>
      <c r="WVF125" s="36"/>
      <c r="WVG125" s="36"/>
      <c r="WVH125" s="36"/>
      <c r="WVI125" s="36"/>
      <c r="WVJ125" s="36"/>
      <c r="WVK125" s="36"/>
      <c r="WVL125" s="36"/>
      <c r="WVM125" s="36"/>
      <c r="WVN125" s="36"/>
      <c r="WVO125" s="36"/>
      <c r="WVP125" s="36"/>
      <c r="WVQ125" s="36"/>
      <c r="WVR125" s="36"/>
      <c r="WVS125" s="36"/>
      <c r="WVT125" s="36"/>
      <c r="WVU125" s="36"/>
      <c r="WVV125" s="36"/>
      <c r="WVW125" s="36"/>
      <c r="WVX125" s="36"/>
      <c r="WVY125" s="36"/>
      <c r="WVZ125" s="36"/>
      <c r="WWA125" s="36"/>
      <c r="WWB125" s="36"/>
      <c r="WWC125" s="36"/>
      <c r="WWD125" s="36"/>
      <c r="WWE125" s="36"/>
      <c r="WWF125" s="36"/>
      <c r="WWG125" s="36"/>
      <c r="WWH125" s="36"/>
      <c r="WWI125" s="36"/>
      <c r="WWJ125" s="36"/>
      <c r="WWK125" s="36"/>
      <c r="WWL125" s="36"/>
      <c r="WWM125" s="36"/>
      <c r="WWN125" s="36"/>
      <c r="WWO125" s="36"/>
      <c r="WWP125" s="36"/>
      <c r="WWQ125" s="36"/>
      <c r="WWR125" s="36"/>
      <c r="WWS125" s="36"/>
      <c r="WWT125" s="36"/>
      <c r="WWU125" s="36"/>
      <c r="WWV125" s="36"/>
      <c r="WWW125" s="36"/>
      <c r="WWX125" s="36"/>
      <c r="WWY125" s="36"/>
      <c r="WWZ125" s="36"/>
      <c r="WXA125" s="36"/>
      <c r="WXB125" s="36"/>
      <c r="WXC125" s="36"/>
      <c r="WXD125" s="36"/>
      <c r="WXE125" s="36"/>
      <c r="WXF125" s="36"/>
      <c r="WXG125" s="36"/>
      <c r="WXH125" s="36"/>
      <c r="WXI125" s="36"/>
      <c r="WXJ125" s="36"/>
      <c r="WXK125" s="36"/>
      <c r="WXL125" s="36"/>
      <c r="WXM125" s="36"/>
      <c r="WXN125" s="36"/>
      <c r="WXO125" s="36"/>
      <c r="WXP125" s="36"/>
      <c r="WXQ125" s="36"/>
      <c r="WXR125" s="36"/>
      <c r="WXS125" s="36"/>
      <c r="WXT125" s="36"/>
      <c r="WXU125" s="36"/>
      <c r="WXV125" s="36"/>
      <c r="WXW125" s="36"/>
      <c r="WXX125" s="36"/>
      <c r="WXY125" s="36"/>
      <c r="WXZ125" s="36"/>
      <c r="WYA125" s="36"/>
      <c r="WYB125" s="36"/>
      <c r="WYC125" s="36"/>
      <c r="WYD125" s="36"/>
      <c r="WYE125" s="36"/>
      <c r="WYF125" s="36"/>
      <c r="WYG125" s="36"/>
      <c r="WYH125" s="36"/>
      <c r="WYI125" s="36"/>
      <c r="WYJ125" s="36"/>
      <c r="WYK125" s="36"/>
      <c r="WYL125" s="36"/>
      <c r="WYM125" s="36"/>
      <c r="WYN125" s="36"/>
      <c r="WYO125" s="36"/>
      <c r="WYP125" s="36"/>
      <c r="WYQ125" s="36"/>
      <c r="WYR125" s="36"/>
      <c r="WYS125" s="36"/>
      <c r="WYT125" s="36"/>
      <c r="WYU125" s="36"/>
      <c r="WYV125" s="36"/>
      <c r="WYW125" s="36"/>
      <c r="WYX125" s="36"/>
      <c r="WYY125" s="36"/>
      <c r="WYZ125" s="36"/>
      <c r="WZA125" s="36"/>
      <c r="WZB125" s="36"/>
      <c r="WZC125" s="36"/>
      <c r="WZD125" s="36"/>
      <c r="WZE125" s="36"/>
      <c r="WZF125" s="36"/>
      <c r="WZG125" s="36"/>
      <c r="WZH125" s="36"/>
      <c r="WZI125" s="36"/>
      <c r="WZJ125" s="36"/>
      <c r="WZK125" s="36"/>
      <c r="WZL125" s="36"/>
      <c r="WZM125" s="36"/>
      <c r="WZN125" s="36"/>
      <c r="WZO125" s="36"/>
      <c r="WZP125" s="36"/>
      <c r="WZQ125" s="36"/>
      <c r="WZR125" s="36"/>
      <c r="WZS125" s="36"/>
      <c r="WZT125" s="36"/>
      <c r="WZU125" s="36"/>
      <c r="WZV125" s="36"/>
      <c r="WZW125" s="36"/>
      <c r="WZX125" s="36"/>
      <c r="WZY125" s="36"/>
      <c r="WZZ125" s="36"/>
      <c r="XAA125" s="36"/>
      <c r="XAB125" s="36"/>
      <c r="XAC125" s="36"/>
      <c r="XAD125" s="36"/>
      <c r="XAE125" s="36"/>
      <c r="XAF125" s="36"/>
      <c r="XAG125" s="36"/>
      <c r="XAH125" s="36"/>
      <c r="XAI125" s="36"/>
      <c r="XAJ125" s="36"/>
      <c r="XAK125" s="36"/>
      <c r="XAL125" s="36"/>
      <c r="XAM125" s="36"/>
      <c r="XAN125" s="36"/>
      <c r="XAO125" s="36"/>
      <c r="XAP125" s="36"/>
      <c r="XAQ125" s="36"/>
      <c r="XAR125" s="36"/>
      <c r="XAS125" s="36"/>
      <c r="XAT125" s="36"/>
      <c r="XAU125" s="36"/>
      <c r="XAV125" s="36"/>
      <c r="XAW125" s="36"/>
      <c r="XAX125" s="36"/>
      <c r="XAY125" s="36"/>
      <c r="XAZ125" s="36"/>
      <c r="XBA125" s="36"/>
      <c r="XBB125" s="36"/>
      <c r="XBC125" s="36"/>
      <c r="XBD125" s="36"/>
      <c r="XBE125" s="36"/>
      <c r="XBF125" s="36"/>
      <c r="XBG125" s="36"/>
      <c r="XBH125" s="36"/>
      <c r="XBI125" s="36"/>
      <c r="XBJ125" s="36"/>
      <c r="XBK125" s="36"/>
      <c r="XBL125" s="36"/>
      <c r="XBM125" s="36"/>
      <c r="XBN125" s="36"/>
      <c r="XBO125" s="36"/>
      <c r="XBP125" s="36"/>
      <c r="XBQ125" s="36"/>
      <c r="XBR125" s="36"/>
      <c r="XBS125" s="36"/>
      <c r="XBT125" s="36"/>
      <c r="XBU125" s="36"/>
      <c r="XBV125" s="36"/>
      <c r="XBW125" s="36"/>
      <c r="XBX125" s="36"/>
      <c r="XBY125" s="36"/>
      <c r="XBZ125" s="36"/>
      <c r="XCA125" s="36"/>
      <c r="XCB125" s="36"/>
      <c r="XCC125" s="36"/>
      <c r="XCD125" s="36"/>
      <c r="XCE125" s="36"/>
      <c r="XCF125" s="36"/>
      <c r="XCG125" s="36"/>
      <c r="XCH125" s="36"/>
      <c r="XCI125" s="36"/>
      <c r="XCJ125" s="36"/>
      <c r="XCK125" s="36"/>
      <c r="XCL125" s="36"/>
      <c r="XCM125" s="36"/>
      <c r="XCN125" s="36"/>
      <c r="XCO125" s="36"/>
      <c r="XCP125" s="36"/>
      <c r="XCQ125" s="36"/>
      <c r="XCR125" s="36"/>
      <c r="XCS125" s="36"/>
      <c r="XCT125" s="36"/>
      <c r="XCU125" s="36"/>
      <c r="XCV125" s="36"/>
      <c r="XCW125" s="36"/>
      <c r="XCX125" s="36"/>
      <c r="XCY125" s="36"/>
      <c r="XCZ125" s="36"/>
      <c r="XDA125" s="36"/>
      <c r="XDB125" s="36"/>
      <c r="XDC125" s="36"/>
      <c r="XDD125" s="36"/>
      <c r="XDE125" s="36"/>
      <c r="XDF125" s="36"/>
      <c r="XDG125" s="36"/>
      <c r="XDH125" s="36"/>
      <c r="XDI125" s="36"/>
      <c r="XDJ125" s="36"/>
      <c r="XDK125" s="36"/>
      <c r="XDL125" s="36"/>
      <c r="XDM125" s="36"/>
      <c r="XDN125" s="36"/>
      <c r="XDO125" s="36"/>
      <c r="XDP125" s="36"/>
      <c r="XDQ125" s="36"/>
      <c r="XDR125" s="36"/>
      <c r="XDS125" s="36"/>
      <c r="XDT125" s="36"/>
      <c r="XDU125" s="36"/>
      <c r="XDV125" s="36"/>
      <c r="XDW125" s="36"/>
      <c r="XDX125" s="36"/>
      <c r="XDY125" s="36"/>
      <c r="XDZ125" s="36"/>
      <c r="XEA125" s="36"/>
      <c r="XEB125" s="36"/>
      <c r="XEC125" s="36"/>
      <c r="XED125" s="36"/>
      <c r="XEE125" s="36"/>
      <c r="XEF125" s="36"/>
      <c r="XEG125" s="36"/>
      <c r="XEH125" s="36"/>
      <c r="XEI125" s="36"/>
      <c r="XEJ125" s="36"/>
      <c r="XEK125" s="36"/>
      <c r="XEL125" s="36"/>
      <c r="XEM125" s="36"/>
      <c r="XEN125" s="36"/>
      <c r="XEO125" s="36"/>
      <c r="XEP125" s="36"/>
      <c r="XEQ125" s="36"/>
      <c r="XER125" s="36"/>
      <c r="XES125" s="36"/>
      <c r="XET125" s="36"/>
      <c r="XEU125" s="36"/>
      <c r="XEV125" s="36"/>
      <c r="XEW125" s="36"/>
      <c r="XEX125" s="36"/>
      <c r="XEY125" s="36"/>
      <c r="XEZ125" s="36"/>
      <c r="XFA125" s="36"/>
      <c r="XFB125" s="36"/>
      <c r="XFC125" s="36"/>
    </row>
    <row r="126" spans="1:16383" s="28" customFormat="1" ht="15" thickTop="1">
      <c r="A126" s="411"/>
      <c r="B126" s="412" t="str">
        <f t="shared" ref="B126:B131" si="3">D$126</f>
        <v>Maïs-grain</v>
      </c>
      <c r="C126" s="2086" t="s">
        <v>275</v>
      </c>
      <c r="D126" s="832" t="s">
        <v>0</v>
      </c>
      <c r="E126" s="1370" t="s">
        <v>224</v>
      </c>
      <c r="F126" s="1945" t="str">
        <f>IFERROR(G126/G$248,"")</f>
        <v/>
      </c>
      <c r="G126" s="1946">
        <f>SUMIFS(F$92:F$101,PlanRotationPaturageS0,$B126)+SUMIFS(F$78:F$87,PlanRotationS0,$B126)</f>
        <v>0</v>
      </c>
      <c r="H126" s="838" t="str">
        <f>IFERROR(I126/I$248,"")</f>
        <v/>
      </c>
      <c r="I126" s="845">
        <f>SUMIFS(H$92:H$101,PlanRotationPaturageS1,$B126)+SUMIFS(H$78:H$87,PlanRotationS1,$B126)</f>
        <v>0</v>
      </c>
      <c r="J126" s="839" t="str">
        <f>IFERROR(K126/K$248,"")</f>
        <v/>
      </c>
      <c r="K126" s="845">
        <f>SUMIFS(J$92:J$101,PlanRotationPaturageS2,$B126)+SUMIFS(J$78:J$87,PlanRotationS2,$B126)</f>
        <v>0</v>
      </c>
      <c r="L126" s="842" t="str">
        <f>IFERROR(M126/M$248,"")</f>
        <v/>
      </c>
      <c r="M126" s="845">
        <f>SUMIFS(L$92:L$101,PlanRotationPaturageS3,$B126)+SUMIFS(L$78:L$87,PlanRotationS3,$B126)</f>
        <v>0</v>
      </c>
      <c r="N126" s="842" t="str">
        <f>IFERROR(O126/O$248,"")</f>
        <v/>
      </c>
      <c r="O126" s="845">
        <f>SUMIFS(N$92:N$101,PlanRotationPaturageS4,$B126)+SUMIFS(N$78:N$87,PlanRotationS4,$B126)</f>
        <v>0</v>
      </c>
      <c r="P126" s="842" t="str">
        <f>IFERROR(Q126/Q$248,"")</f>
        <v/>
      </c>
      <c r="Q126" s="845">
        <f>SUMIFS(P$92:P$101,PlanRotationPaturageS5,$B126)+SUMIFS(P$78:P$87,PlanRotationS5,$B126)</f>
        <v>0</v>
      </c>
      <c r="R126" s="1696"/>
    </row>
    <row r="127" spans="1:16383">
      <c r="B127" s="412" t="str">
        <f t="shared" si="3"/>
        <v>Maïs-grain</v>
      </c>
      <c r="C127" s="746"/>
      <c r="D127" s="765" t="s">
        <v>281</v>
      </c>
      <c r="E127" s="1371" t="s">
        <v>254</v>
      </c>
      <c r="F127" s="1953"/>
      <c r="G127" s="1946">
        <f ca="1">OFFSET(RéfChamps!$E$55,0,IF(ProdS0="Biologique",0,3))</f>
        <v>1259.7995616666667</v>
      </c>
      <c r="H127" s="996"/>
      <c r="I127" s="834">
        <f ca="1">OFFSET(RéfChamps!$E$55,0,IF(ProdS1="Biologique",0,3))</f>
        <v>1421.5286398000001</v>
      </c>
      <c r="J127" s="996"/>
      <c r="K127" s="834">
        <f ca="1">OFFSET(RéfChamps!$E$55,0,IF(ProdS2="Biologique",0,3))</f>
        <v>1259.7995616666667</v>
      </c>
      <c r="L127" s="999"/>
      <c r="M127" s="834">
        <f ca="1">OFFSET(RéfChamps!$E$55,0,IF(ProdS3="Biologique",0,3))</f>
        <v>1259.7995616666667</v>
      </c>
      <c r="N127" s="999"/>
      <c r="O127" s="834">
        <f ca="1">OFFSET(RéfChamps!$E$55,0,IF(ProdS4="Biologique",0,3))</f>
        <v>1259.7995616666667</v>
      </c>
      <c r="P127" s="999"/>
      <c r="Q127" s="834">
        <f ca="1">OFFSET(RéfChamps!$E$55,0,IF(ProdS5="Biologique",0,3))</f>
        <v>1259.7995616666667</v>
      </c>
      <c r="S127" s="14"/>
    </row>
    <row r="128" spans="1:16383">
      <c r="B128" s="412" t="str">
        <f t="shared" si="3"/>
        <v>Maïs-grain</v>
      </c>
      <c r="D128" s="765" t="s">
        <v>288</v>
      </c>
      <c r="E128" s="1371" t="s">
        <v>937</v>
      </c>
      <c r="F128" s="1945"/>
      <c r="G128" s="1946">
        <f ca="1">OFFSET(RéfChamps!$C$5,0,IF(ProdS0="Biologique",0,3))</f>
        <v>8</v>
      </c>
      <c r="H128" s="996"/>
      <c r="I128" s="1468">
        <f ca="1">OFFSET(RéfChamps!$C$5,0,IF(ProdS1="Biologique",0,3))</f>
        <v>9.34</v>
      </c>
      <c r="J128" s="996"/>
      <c r="K128" s="1072">
        <f ca="1">OFFSET(RéfChamps!$C$5,0,IF(ProdS2="Biologique",0,3))</f>
        <v>8</v>
      </c>
      <c r="L128" s="1073"/>
      <c r="M128" s="1072">
        <f ca="1">OFFSET(RéfChamps!$C$5,0,IF(ProdS3="Biologique",0,3))</f>
        <v>8</v>
      </c>
      <c r="N128" s="1073"/>
      <c r="O128" s="1072">
        <f ca="1">OFFSET(RéfChamps!$C$5,0,IF(ProdS4="Biologique",0,3))</f>
        <v>8</v>
      </c>
      <c r="P128" s="1073"/>
      <c r="Q128" s="1072">
        <f ca="1">OFFSET(RéfChamps!$C$5,0,IF(ProdS5="Biologique",0,3))</f>
        <v>8</v>
      </c>
    </row>
    <row r="129" spans="1:19">
      <c r="B129" s="412" t="str">
        <f t="shared" si="3"/>
        <v>Maïs-grain</v>
      </c>
      <c r="D129" s="765" t="s">
        <v>253</v>
      </c>
      <c r="E129" s="1371" t="s">
        <v>225</v>
      </c>
      <c r="F129" s="1945"/>
      <c r="G129" s="1946">
        <f ca="1">OFFSET(RéfChamps!$D$5,0,IF(PrixS0="Biologique",0,3))</f>
        <v>193</v>
      </c>
      <c r="H129" s="996"/>
      <c r="I129" s="835">
        <f ca="1">OFFSET(RéfChamps!$D$5,0,IF(PrixS1="Biologique",0,3))</f>
        <v>193</v>
      </c>
      <c r="J129" s="996"/>
      <c r="K129" s="835">
        <f ca="1">OFFSET(RéfChamps!$D$5,0,IF(PrixS2="Biologique",0,3))</f>
        <v>193</v>
      </c>
      <c r="L129" s="1000"/>
      <c r="M129" s="835">
        <f ca="1">OFFSET(RéfChamps!$D$5,0,IF(PrixS3="Biologique",0,3))</f>
        <v>193</v>
      </c>
      <c r="N129" s="1000"/>
      <c r="O129" s="835">
        <f ca="1">OFFSET(RéfChamps!$D$5,0,IF(PrixS4="Biologique",0,3))</f>
        <v>485</v>
      </c>
      <c r="P129" s="1000"/>
      <c r="Q129" s="835">
        <f ca="1">OFFSET(RéfChamps!$D$5,0,IF(PrixS5="Biologique",0,3))</f>
        <v>485</v>
      </c>
    </row>
    <row r="130" spans="1:19">
      <c r="B130" s="412" t="str">
        <f t="shared" si="3"/>
        <v>Maïs-grain</v>
      </c>
      <c r="D130" s="765" t="s">
        <v>282</v>
      </c>
      <c r="E130" s="1371" t="s">
        <v>254</v>
      </c>
      <c r="F130" s="1945"/>
      <c r="G130" s="1946">
        <f ca="1">SUMPRODUCT(OFFSET(RéfChamps!$C$5:$C$9,0,IF(ProdS0="Biologique",0,3)),OFFSET(RéfChamps!$D$5:$D$9,0,IF(PrixS0="Biologique",0,3)))</f>
        <v>1607.2877000000001</v>
      </c>
      <c r="H130" s="996"/>
      <c r="I130" s="835">
        <f ca="1">SUMPRODUCT(OFFSET(RéfChamps!$C$5:$C$9,0,IF(ProdS1="Biologique",0,3)),OFFSET(RéfChamps!$D$5:$D$9,0,IF(PrixS1="Biologique",0,3)))</f>
        <v>1865.9077</v>
      </c>
      <c r="J130" s="997"/>
      <c r="K130" s="835">
        <f ca="1">SUMPRODUCT(OFFSET(RéfChamps!$C$5:$C$9,0,IF(ProdS2="Biologique",0,3)),OFFSET(RéfChamps!$D$5:$D$9,0,IF(PrixS2="Biologique",0,3)))</f>
        <v>1607.2877000000001</v>
      </c>
      <c r="L130" s="1000"/>
      <c r="M130" s="835">
        <f ca="1">SUMPRODUCT(OFFSET(RéfChamps!$C$5:$C$9,0,IF(ProdS3="Biologique",0,3)),OFFSET(RéfChamps!$D$5:$D$9,0,IF(PrixS3="Biologique",0,3)))</f>
        <v>1607.2877000000001</v>
      </c>
      <c r="N130" s="1000"/>
      <c r="O130" s="835">
        <f ca="1">SUMPRODUCT(OFFSET(RéfChamps!$C$5:$C$9,0,IF(ProdS4="Biologique",0,3)),OFFSET(RéfChamps!$D$5:$D$9,0,IF(PrixS4="Biologique",0,3)))</f>
        <v>4031.9135799999999</v>
      </c>
      <c r="P130" s="1000"/>
      <c r="Q130" s="835">
        <f ca="1">SUMPRODUCT(OFFSET(RéfChamps!$C$5:$C$9,0,IF(ProdS5="Biologique",0,3)),OFFSET(RéfChamps!$D$5:$D$9,0,IF(PrixS5="Biologique",0,3)))</f>
        <v>4031.9135799999999</v>
      </c>
    </row>
    <row r="131" spans="1:19">
      <c r="B131" s="412" t="str">
        <f t="shared" si="3"/>
        <v>Maïs-grain</v>
      </c>
      <c r="D131" s="765" t="s">
        <v>1457</v>
      </c>
      <c r="E131" s="1371" t="s">
        <v>254</v>
      </c>
      <c r="F131" s="1945"/>
      <c r="G131" s="1951">
        <f ca="1">IFERROR(G130-G127,"Erreur")</f>
        <v>347.48813833333338</v>
      </c>
      <c r="H131" s="994"/>
      <c r="I131" s="846">
        <f ca="1">IFERROR(I130-I127,"Erreur")</f>
        <v>444.37906019999991</v>
      </c>
      <c r="J131" s="998"/>
      <c r="K131" s="846">
        <f ca="1">IFERROR(K130-K127,"Erreur")</f>
        <v>347.48813833333338</v>
      </c>
      <c r="L131" s="1001"/>
      <c r="M131" s="846">
        <f ca="1">IFERROR(M130-M127,"Erreur")</f>
        <v>347.48813833333338</v>
      </c>
      <c r="N131" s="1001"/>
      <c r="O131" s="846">
        <f ca="1">IFERROR(O130-O127,"Erreur")</f>
        <v>2772.1140183333332</v>
      </c>
      <c r="P131" s="1001"/>
      <c r="Q131" s="846">
        <f ca="1">IFERROR(Q130-Q127,"Erreur")</f>
        <v>2772.1140183333332</v>
      </c>
    </row>
    <row r="132" spans="1:19" s="36" customFormat="1">
      <c r="A132" s="409"/>
      <c r="B132" s="412" t="str">
        <f>D$126</f>
        <v>Maïs-grain</v>
      </c>
      <c r="D132" s="2085" t="str">
        <f>"Détails pour le "&amp;LOWER(D126)</f>
        <v>Détails pour le maïs-grain</v>
      </c>
      <c r="E132" s="1371"/>
      <c r="F132" s="1952"/>
      <c r="G132" s="1951"/>
      <c r="H132" s="994"/>
      <c r="I132" s="1612"/>
      <c r="J132" s="1002"/>
      <c r="K132" s="1612"/>
      <c r="L132" s="1002"/>
      <c r="M132" s="1612"/>
      <c r="N132" s="1002"/>
      <c r="O132" s="1612"/>
      <c r="P132" s="1002"/>
      <c r="Q132" s="1612"/>
      <c r="R132" s="1701"/>
    </row>
    <row r="133" spans="1:19" s="28" customFormat="1" hidden="1">
      <c r="A133" s="411"/>
      <c r="B133" s="412" t="str">
        <f t="shared" ref="B133:B139" si="4">D$133</f>
        <v>Grains mélangés</v>
      </c>
      <c r="C133" s="2086" t="s">
        <v>275</v>
      </c>
      <c r="D133" s="832" t="s">
        <v>11</v>
      </c>
      <c r="E133" s="1370" t="s">
        <v>224</v>
      </c>
      <c r="F133" s="1945" t="str">
        <f>IFERROR(G133/G$248,"")</f>
        <v/>
      </c>
      <c r="G133" s="1946">
        <f>SUMIFS(F$92:F$101,PlanRotationPaturageS0,$B133)+SUMIFS(F$78:F$87,PlanRotationS0,$B133)</f>
        <v>0</v>
      </c>
      <c r="H133" s="837" t="str">
        <f>IFERROR(I133/I$248,"")</f>
        <v/>
      </c>
      <c r="I133" s="845">
        <f>SUMIFS(H$92:H$101,PlanRotationPaturageS1,$B133)+SUMIFS(H$78:H$87,PlanRotationS1,$B133)</f>
        <v>0</v>
      </c>
      <c r="J133" s="839" t="str">
        <f>IFERROR(K133/K$248,"")</f>
        <v/>
      </c>
      <c r="K133" s="845">
        <f>SUMIFS(J$92:J$101,PlanRotationPaturageS2,$B133)+SUMIFS(J$78:J$87,PlanRotationS2,$B133)</f>
        <v>0</v>
      </c>
      <c r="L133" s="842" t="str">
        <f>IFERROR(M133/M$248,"")</f>
        <v/>
      </c>
      <c r="M133" s="845">
        <f>SUMIFS(L$92:L$101,PlanRotationPaturageS3,$B133)+SUMIFS(L$78:L$87,PlanRotationS3,$B133)</f>
        <v>0</v>
      </c>
      <c r="N133" s="842" t="str">
        <f>IFERROR(O133/O$248,"")</f>
        <v/>
      </c>
      <c r="O133" s="845">
        <f>SUMIFS(N$92:N$101,PlanRotationPaturageS4,$B133)+SUMIFS(N$78:N$87,PlanRotationS4,$B133)</f>
        <v>0</v>
      </c>
      <c r="P133" s="842" t="str">
        <f>IFERROR(Q133/Q$248,"")</f>
        <v/>
      </c>
      <c r="Q133" s="845">
        <f>SUMIFS(P$92:P$101,PlanRotationPaturageS5,$B133)+SUMIFS(P$78:P$87,PlanRotationS5,$B133)</f>
        <v>0</v>
      </c>
      <c r="R133" s="1696"/>
    </row>
    <row r="134" spans="1:19" hidden="1">
      <c r="B134" s="412" t="str">
        <f t="shared" si="4"/>
        <v>Grains mélangés</v>
      </c>
      <c r="D134" s="765" t="s">
        <v>1171</v>
      </c>
      <c r="E134" s="1371" t="s">
        <v>254</v>
      </c>
      <c r="F134" s="1953"/>
      <c r="G134" s="1946">
        <f ca="1">OFFSET(RéfChamps!$AU$55,0,IF(ProdS0="Biologique",0,3))</f>
        <v>720.26829334825857</v>
      </c>
      <c r="H134" s="994"/>
      <c r="I134" s="834">
        <f ca="1">OFFSET(RéfChamps!$AU$55,0,IF(ProdS1="Biologique",0,3))</f>
        <v>739.89902343750009</v>
      </c>
      <c r="J134" s="996"/>
      <c r="K134" s="834">
        <f ca="1">OFFSET(RéfChamps!$AU$55,0,IF(ProdS2="Biologique",0,3))</f>
        <v>720.26829334825857</v>
      </c>
      <c r="L134" s="999"/>
      <c r="M134" s="834">
        <f ca="1">OFFSET(RéfChamps!$AU$55,0,IF(ProdS3="Biologique",0,3))</f>
        <v>720.26829334825857</v>
      </c>
      <c r="N134" s="999"/>
      <c r="O134" s="834">
        <f ca="1">OFFSET(RéfChamps!$AU$55,0,IF(ProdS4="Biologique",0,3))</f>
        <v>720.26829334825857</v>
      </c>
      <c r="P134" s="999"/>
      <c r="Q134" s="834">
        <f ca="1">OFFSET(RéfChamps!$AU$55,0,IF(ProdS5="Biologique",0,3))</f>
        <v>720.26829334825857</v>
      </c>
      <c r="S134" s="14"/>
    </row>
    <row r="135" spans="1:19" hidden="1">
      <c r="B135" s="412" t="str">
        <f t="shared" si="4"/>
        <v>Grains mélangés</v>
      </c>
      <c r="D135" s="765" t="s">
        <v>288</v>
      </c>
      <c r="E135" s="1371" t="s">
        <v>937</v>
      </c>
      <c r="F135" s="1945"/>
      <c r="G135" s="1946">
        <f ca="1">OFFSET(RéfChamps!$AS$5,0,IF(ProdS0="Biologique",0,3))</f>
        <v>3</v>
      </c>
      <c r="H135" s="994"/>
      <c r="I135" s="1468">
        <f ca="1">OFFSET(RéfChamps!$AS$5,0,IF(ProdS1="Biologique",0,3))</f>
        <v>3</v>
      </c>
      <c r="J135" s="996"/>
      <c r="K135" s="1072">
        <f ca="1">OFFSET(RéfChamps!$AS$5,0,IF(ProdS2="Biologique",0,3))</f>
        <v>3</v>
      </c>
      <c r="L135" s="1073"/>
      <c r="M135" s="1072">
        <f ca="1">OFFSET(RéfChamps!$AS$5,0,IF(ProdS3="Biologique",0,3))</f>
        <v>3</v>
      </c>
      <c r="N135" s="1073"/>
      <c r="O135" s="1072">
        <f ca="1">OFFSET(RéfChamps!$AS$5,0,IF(ProdS4="Biologique",0,3))</f>
        <v>3</v>
      </c>
      <c r="P135" s="1073"/>
      <c r="Q135" s="1072">
        <f ca="1">OFFSET(RéfChamps!$AS$5,0,IF(ProdS5="Biologique",0,3))</f>
        <v>3</v>
      </c>
    </row>
    <row r="136" spans="1:19" hidden="1">
      <c r="B136" s="412" t="str">
        <f t="shared" si="4"/>
        <v>Grains mélangés</v>
      </c>
      <c r="D136" s="765" t="s">
        <v>253</v>
      </c>
      <c r="E136" s="1371" t="s">
        <v>225</v>
      </c>
      <c r="F136" s="1945"/>
      <c r="G136" s="1946">
        <f ca="1">OFFSET(RéfChamps!$AT$5,0,IF(PrixS0="Biologique",0,3))</f>
        <v>190</v>
      </c>
      <c r="H136" s="994"/>
      <c r="I136" s="835">
        <f ca="1">OFFSET(RéfChamps!$AT$5,0,IF(PrixS1="Biologique",0,3))</f>
        <v>190</v>
      </c>
      <c r="J136" s="996"/>
      <c r="K136" s="835">
        <f ca="1">OFFSET(RéfChamps!$AT$5,0,IF(PrixS2="Biologique",0,3))</f>
        <v>190</v>
      </c>
      <c r="L136" s="1000"/>
      <c r="M136" s="835">
        <f ca="1">OFFSET(RéfChamps!$AT$5,0,IF(PrixS3="Biologique",0,3))</f>
        <v>190</v>
      </c>
      <c r="N136" s="1000"/>
      <c r="O136" s="835">
        <f ca="1">OFFSET(RéfChamps!$AT$5,0,IF(PrixS4="Biologique",0,3))</f>
        <v>462.5</v>
      </c>
      <c r="P136" s="1000"/>
      <c r="Q136" s="835">
        <f ca="1">OFFSET(RéfChamps!$AT$5,0,IF(PrixS5="Biologique",0,3))</f>
        <v>462.5</v>
      </c>
    </row>
    <row r="137" spans="1:19" hidden="1">
      <c r="B137" s="412" t="str">
        <f t="shared" si="4"/>
        <v>Grains mélangés</v>
      </c>
      <c r="D137" s="765" t="s">
        <v>282</v>
      </c>
      <c r="E137" s="1371" t="s">
        <v>254</v>
      </c>
      <c r="F137" s="1945"/>
      <c r="G137" s="1946">
        <f ca="1">SUMPRODUCT(OFFSET(RéfChamps!$AS$5:$AS$9,0,IF(ProdS0="Biologique",0,3)),OFFSET(RéfChamps!$AT$5:$AT$9,0,IF(PrixS0="Biologique",0,3)))</f>
        <v>723.17499999999995</v>
      </c>
      <c r="H137" s="994"/>
      <c r="I137" s="835">
        <f ca="1">SUMPRODUCT(OFFSET(RéfChamps!$AS$5:$AS$9,0,IF(ProdS1="Biologique",0,3)),OFFSET(RéfChamps!$AT$5:$AT$9,0,IF(PrixS1="Biologique",0,3)))</f>
        <v>910.67499999999995</v>
      </c>
      <c r="J137" s="997"/>
      <c r="K137" s="835">
        <f ca="1">SUMPRODUCT(OFFSET(RéfChamps!$AS$5:$AS$9,0,IF(ProdS2="Biologique",0,3)),OFFSET(RéfChamps!$AT$5:$AT$9,0,IF(PrixS2="Biologique",0,3)))</f>
        <v>723.17499999999995</v>
      </c>
      <c r="L137" s="1000"/>
      <c r="M137" s="835">
        <f ca="1">SUMPRODUCT(OFFSET(RéfChamps!$AS$5:$AS$9,0,IF(ProdS3="Biologique",0,3)),OFFSET(RéfChamps!$AT$5:$AT$9,0,IF(PrixS3="Biologique",0,3)))</f>
        <v>723.17499999999995</v>
      </c>
      <c r="N137" s="1000"/>
      <c r="O137" s="835">
        <f ca="1">SUMPRODUCT(OFFSET(RéfChamps!$AS$5:$AS$9,0,IF(ProdS4="Biologique",0,3)),OFFSET(RéfChamps!$AT$5:$AT$9,0,IF(PrixS4="Biologique",0,3)))</f>
        <v>1546.9749999999999</v>
      </c>
      <c r="P137" s="1000"/>
      <c r="Q137" s="835">
        <f ca="1">SUMPRODUCT(OFFSET(RéfChamps!$AS$5:$AS$9,0,IF(ProdS5="Biologique",0,3)),OFFSET(RéfChamps!$AT$5:$AT$9,0,IF(PrixS5="Biologique",0,3)))</f>
        <v>1546.9749999999999</v>
      </c>
    </row>
    <row r="138" spans="1:19" hidden="1">
      <c r="B138" s="412" t="str">
        <f t="shared" si="4"/>
        <v>Grains mélangés</v>
      </c>
      <c r="D138" s="765" t="s">
        <v>1457</v>
      </c>
      <c r="E138" s="1371" t="s">
        <v>254</v>
      </c>
      <c r="F138" s="1945"/>
      <c r="G138" s="1951">
        <f ca="1">IFERROR(G137-G134,"Erreur")</f>
        <v>2.9067066517413878</v>
      </c>
      <c r="H138" s="994"/>
      <c r="I138" s="846">
        <f ca="1">IFERROR(I137-I134,"Erreur")</f>
        <v>170.77597656249986</v>
      </c>
      <c r="J138" s="998"/>
      <c r="K138" s="846">
        <f ca="1">IFERROR(K137-K134,"Erreur")</f>
        <v>2.9067066517413878</v>
      </c>
      <c r="L138" s="1001"/>
      <c r="M138" s="846">
        <f ca="1">IFERROR(M137-M134,"Erreur")</f>
        <v>2.9067066517413878</v>
      </c>
      <c r="N138" s="1001"/>
      <c r="O138" s="846">
        <f ca="1">IFERROR(O137-O134,"Erreur")</f>
        <v>826.70670665174134</v>
      </c>
      <c r="P138" s="1001"/>
      <c r="Q138" s="846">
        <f ca="1">IFERROR(Q137-Q134,"Erreur")</f>
        <v>826.70670665174134</v>
      </c>
    </row>
    <row r="139" spans="1:19" s="36" customFormat="1" hidden="1">
      <c r="A139" s="409"/>
      <c r="B139" s="412" t="str">
        <f t="shared" si="4"/>
        <v>Grains mélangés</v>
      </c>
      <c r="D139" s="2091" t="str">
        <f>"Détails pour les "&amp;LOWER(B139)</f>
        <v>Détails pour les grains mélangés</v>
      </c>
      <c r="E139" s="1373"/>
      <c r="F139" s="1952"/>
      <c r="G139" s="1951"/>
      <c r="H139" s="994"/>
      <c r="I139" s="1612"/>
      <c r="J139" s="1002"/>
      <c r="K139" s="1612"/>
      <c r="L139" s="1002"/>
      <c r="M139" s="1612"/>
      <c r="N139" s="1002"/>
      <c r="O139" s="1612"/>
      <c r="P139" s="1002"/>
      <c r="Q139" s="1612"/>
      <c r="R139" s="1701"/>
    </row>
    <row r="140" spans="1:19">
      <c r="B140" s="412" t="str">
        <f t="shared" ref="B140:B146" si="5">D$140</f>
        <v>Soya</v>
      </c>
      <c r="C140" s="2086" t="s">
        <v>275</v>
      </c>
      <c r="D140" s="832" t="s">
        <v>1</v>
      </c>
      <c r="E140" s="1370" t="s">
        <v>224</v>
      </c>
      <c r="F140" s="1945" t="str">
        <f>IFERROR(G140/G$248,"")</f>
        <v/>
      </c>
      <c r="G140" s="1946">
        <f>SUMIFS(F$92:F$101,PlanRotationPaturageS0,$B140)+SUMIFS(F$78:F$87,PlanRotationS0,$B140)</f>
        <v>0</v>
      </c>
      <c r="H140" s="837" t="str">
        <f>IFERROR(I140/I$248,"")</f>
        <v/>
      </c>
      <c r="I140" s="845">
        <f>SUMIFS(H$92:H$101,PlanRotationPaturageS1,$B140)+SUMIFS(H$78:H$87,PlanRotationS1,$B140)</f>
        <v>0</v>
      </c>
      <c r="J140" s="839" t="str">
        <f>IFERROR(K140/K$248,"")</f>
        <v/>
      </c>
      <c r="K140" s="845">
        <f>SUMIFS(J$92:J$101,PlanRotationPaturageS2,$B140)+SUMIFS(J$78:J$87,PlanRotationS2,$B140)</f>
        <v>0</v>
      </c>
      <c r="L140" s="842" t="str">
        <f>IFERROR(M140/M$248,"")</f>
        <v/>
      </c>
      <c r="M140" s="845">
        <f>SUMIFS(L$92:L$101,PlanRotationPaturageS3,$B140)+SUMIFS(L$78:L$87,PlanRotationS3,$B140)</f>
        <v>0</v>
      </c>
      <c r="N140" s="842" t="str">
        <f>IFERROR(O140/O$248,"")</f>
        <v/>
      </c>
      <c r="O140" s="845">
        <f>SUMIFS(N$92:N$101,PlanRotationPaturageS4,$B140)+SUMIFS(N$78:N$87,PlanRotationS4,$B140)</f>
        <v>0</v>
      </c>
      <c r="P140" s="842" t="str">
        <f>IFERROR(Q140/Q$248,"")</f>
        <v/>
      </c>
      <c r="Q140" s="845">
        <f>SUMIFS(P$92:P$101,PlanRotationPaturageS5,$B140)+SUMIFS(P$78:P$87,PlanRotationS5,$B140)</f>
        <v>0</v>
      </c>
    </row>
    <row r="141" spans="1:19">
      <c r="B141" s="412" t="str">
        <f t="shared" si="5"/>
        <v>Soya</v>
      </c>
      <c r="D141" s="765" t="s">
        <v>1171</v>
      </c>
      <c r="E141" s="1371" t="s">
        <v>254</v>
      </c>
      <c r="F141" s="1953"/>
      <c r="G141" s="1946">
        <f ca="1">OFFSET(RéfChamps!$K$55,0,IF(ProdS0="Biologique",0,3))</f>
        <v>721.06649583333342</v>
      </c>
      <c r="H141" s="994"/>
      <c r="I141" s="834">
        <f ca="1">OFFSET(RéfChamps!$K$55,0,IF(ProdS1="Biologique",0,3))</f>
        <v>691.3534975</v>
      </c>
      <c r="J141" s="996"/>
      <c r="K141" s="834">
        <f ca="1">OFFSET(RéfChamps!$K$55,0,IF(ProdS2="Biologique",0,3))</f>
        <v>721.06649583333342</v>
      </c>
      <c r="L141" s="999"/>
      <c r="M141" s="834">
        <f ca="1">OFFSET(RéfChamps!$K$55,0,IF(ProdS3="Biologique",0,3))</f>
        <v>721.06649583333342</v>
      </c>
      <c r="N141" s="999"/>
      <c r="O141" s="834">
        <f ca="1">OFFSET(RéfChamps!$K$55,0,IF(ProdS4="Biologique",0,3))</f>
        <v>721.06649583333342</v>
      </c>
      <c r="P141" s="999"/>
      <c r="Q141" s="834">
        <f ca="1">OFFSET(RéfChamps!$K$55,0,IF(ProdS5="Biologique",0,3))</f>
        <v>721.06649583333342</v>
      </c>
      <c r="S141" s="14"/>
    </row>
    <row r="142" spans="1:19">
      <c r="B142" s="412" t="str">
        <f t="shared" si="5"/>
        <v>Soya</v>
      </c>
      <c r="D142" s="765" t="s">
        <v>288</v>
      </c>
      <c r="E142" s="1371" t="s">
        <v>937</v>
      </c>
      <c r="F142" s="1945"/>
      <c r="G142" s="1946">
        <f ca="1">OFFSET(RéfChamps!$I$5,0,IF(ProdS0="Biologique",0,3))</f>
        <v>2.8</v>
      </c>
      <c r="H142" s="994"/>
      <c r="I142" s="1468">
        <f ca="1">OFFSET(RéfChamps!$I$5,0,IF(ProdS1="Biologique",0,3))</f>
        <v>2.6</v>
      </c>
      <c r="J142" s="996"/>
      <c r="K142" s="1072">
        <f ca="1">OFFSET(RéfChamps!$I$5,0,IF(ProdS2="Biologique",0,3))</f>
        <v>2.8</v>
      </c>
      <c r="L142" s="1073"/>
      <c r="M142" s="1072">
        <f ca="1">OFFSET(RéfChamps!$I$5,0,IF(ProdS3="Biologique",0,3))</f>
        <v>2.8</v>
      </c>
      <c r="N142" s="1073"/>
      <c r="O142" s="1072">
        <f ca="1">OFFSET(RéfChamps!$I$5,0,IF(ProdS4="Biologique",0,3))</f>
        <v>2.8</v>
      </c>
      <c r="P142" s="1073"/>
      <c r="Q142" s="1072">
        <f ca="1">OFFSET(RéfChamps!$I$5,0,IF(ProdS5="Biologique",0,3))</f>
        <v>2.8</v>
      </c>
    </row>
    <row r="143" spans="1:19">
      <c r="B143" s="412" t="str">
        <f t="shared" si="5"/>
        <v>Soya</v>
      </c>
      <c r="D143" s="765" t="s">
        <v>253</v>
      </c>
      <c r="E143" s="1371" t="s">
        <v>225</v>
      </c>
      <c r="F143" s="1945"/>
      <c r="G143" s="1946">
        <f ca="1">OFFSET(RéfChamps!$J$5,0,IF(PrixS0="Biologique",0,3))</f>
        <v>460</v>
      </c>
      <c r="H143" s="994"/>
      <c r="I143" s="835">
        <f ca="1">OFFSET(RéfChamps!$J$5,0,IF(PrixS1="Biologique",0,3))</f>
        <v>460</v>
      </c>
      <c r="J143" s="996"/>
      <c r="K143" s="835">
        <f ca="1">OFFSET(RéfChamps!$J$5,0,IF(PrixS2="Biologique",0,3))</f>
        <v>460</v>
      </c>
      <c r="L143" s="1000"/>
      <c r="M143" s="835">
        <f ca="1">OFFSET(RéfChamps!$J$5,0,IF(PrixS3="Biologique",0,3))</f>
        <v>460</v>
      </c>
      <c r="N143" s="1000"/>
      <c r="O143" s="835">
        <f ca="1">OFFSET(RéfChamps!$J$5,0,IF(PrixS4="Biologique",0,3))</f>
        <v>1048</v>
      </c>
      <c r="P143" s="1000"/>
      <c r="Q143" s="835">
        <f ca="1">OFFSET(RéfChamps!$J$5,0,IF(PrixS5="Biologique",0,3))</f>
        <v>1048</v>
      </c>
    </row>
    <row r="144" spans="1:19">
      <c r="B144" s="412" t="str">
        <f t="shared" si="5"/>
        <v>Soya</v>
      </c>
      <c r="D144" s="765" t="s">
        <v>282</v>
      </c>
      <c r="E144" s="1371" t="s">
        <v>254</v>
      </c>
      <c r="F144" s="1945"/>
      <c r="G144" s="1946">
        <f ca="1">SUMPRODUCT(OFFSET(RéfChamps!$I$5:$I$9,0,IF(ProdS0="Biologique",0,3)),OFFSET(RéfChamps!$J$5:$J$9,0,IF(PrixS0="Biologique",0,3)))</f>
        <v>1328.5043800000001</v>
      </c>
      <c r="H144" s="994"/>
      <c r="I144" s="835">
        <f ca="1">SUMPRODUCT(OFFSET(RéfChamps!$I$5:$I$9,0,IF(ProdS1="Biologique",0,3)),OFFSET(RéfChamps!$J$5:$J$9,0,IF(PrixS1="Biologique",0,3)))</f>
        <v>1236.5043800000001</v>
      </c>
      <c r="J144" s="997"/>
      <c r="K144" s="835">
        <f ca="1">SUMPRODUCT(OFFSET(RéfChamps!$I$5:$I$9,0,IF(ProdS2="Biologique",0,3)),OFFSET(RéfChamps!$J$5:$J$9,0,IF(PrixS2="Biologique",0,3)))</f>
        <v>1328.5043800000001</v>
      </c>
      <c r="L144" s="1000"/>
      <c r="M144" s="835">
        <f ca="1">SUMPRODUCT(OFFSET(RéfChamps!$I$5:$I$9,0,IF(ProdS3="Biologique",0,3)),OFFSET(RéfChamps!$J$5:$J$9,0,IF(PrixS3="Biologique",0,3)))</f>
        <v>1328.5043800000001</v>
      </c>
      <c r="N144" s="1000"/>
      <c r="O144" s="835">
        <f ca="1">SUMPRODUCT(OFFSET(RéfChamps!$I$5:$I$9,0,IF(ProdS4="Biologique",0,3)),OFFSET(RéfChamps!$J$5:$J$9,0,IF(PrixS4="Biologique",0,3)))</f>
        <v>3045.5697999999998</v>
      </c>
      <c r="P144" s="1000"/>
      <c r="Q144" s="835">
        <f ca="1">SUMPRODUCT(OFFSET(RéfChamps!$I$5:$I$9,0,IF(ProdS5="Biologique",0,3)),OFFSET(RéfChamps!$J$5:$J$9,0,IF(PrixS5="Biologique",0,3)))</f>
        <v>3045.5697999999998</v>
      </c>
    </row>
    <row r="145" spans="1:19">
      <c r="B145" s="412" t="str">
        <f t="shared" si="5"/>
        <v>Soya</v>
      </c>
      <c r="D145" s="765" t="s">
        <v>1457</v>
      </c>
      <c r="E145" s="1371" t="s">
        <v>254</v>
      </c>
      <c r="F145" s="1945"/>
      <c r="G145" s="1951">
        <f ca="1">IFERROR(G144-G141,"Erreur")</f>
        <v>607.43788416666666</v>
      </c>
      <c r="H145" s="994"/>
      <c r="I145" s="846">
        <f ca="1">IFERROR(I144-I141,"Erreur")</f>
        <v>545.15088250000008</v>
      </c>
      <c r="J145" s="998"/>
      <c r="K145" s="846">
        <f ca="1">IFERROR(K144-K141,"Erreur")</f>
        <v>607.43788416666666</v>
      </c>
      <c r="L145" s="1001"/>
      <c r="M145" s="846">
        <f ca="1">IFERROR(M144-M141,"Erreur")</f>
        <v>607.43788416666666</v>
      </c>
      <c r="N145" s="1001"/>
      <c r="O145" s="846">
        <f ca="1">IFERROR(O144-O141,"Erreur")</f>
        <v>2324.5033041666666</v>
      </c>
      <c r="P145" s="1001"/>
      <c r="Q145" s="846">
        <f ca="1">IFERROR(Q144-Q141,"Erreur")</f>
        <v>2324.5033041666666</v>
      </c>
    </row>
    <row r="146" spans="1:19" s="36" customFormat="1">
      <c r="A146" s="409"/>
      <c r="B146" s="412" t="str">
        <f t="shared" si="5"/>
        <v>Soya</v>
      </c>
      <c r="D146" s="2085" t="str">
        <f>"Détails pour le "&amp;LOWER(D140)</f>
        <v>Détails pour le soya</v>
      </c>
      <c r="E146" s="1371"/>
      <c r="F146" s="1952"/>
      <c r="G146" s="1951"/>
      <c r="H146" s="994"/>
      <c r="I146" s="1612"/>
      <c r="J146" s="1002"/>
      <c r="K146" s="1612"/>
      <c r="L146" s="1002"/>
      <c r="M146" s="1612"/>
      <c r="N146" s="1002"/>
      <c r="O146" s="1612"/>
      <c r="P146" s="1002"/>
      <c r="Q146" s="1612"/>
      <c r="R146" s="1701"/>
    </row>
    <row r="147" spans="1:19">
      <c r="B147" s="412" t="str">
        <f t="shared" ref="B147:B153" si="6">D$147</f>
        <v>Blé de printemps</v>
      </c>
      <c r="C147" s="2086" t="s">
        <v>275</v>
      </c>
      <c r="D147" s="832" t="s">
        <v>3</v>
      </c>
      <c r="E147" s="1370" t="s">
        <v>224</v>
      </c>
      <c r="F147" s="1945" t="str">
        <f>IFERROR(G147/G$248,"")</f>
        <v/>
      </c>
      <c r="G147" s="1946">
        <f>SUMIFS(F$92:F$101,PlanRotationPaturageS0,$B147)+SUMIFS(F$78:F$87,PlanRotationS0,$B147)</f>
        <v>0</v>
      </c>
      <c r="H147" s="837" t="str">
        <f>IFERROR(I147/I$248,"")</f>
        <v/>
      </c>
      <c r="I147" s="845">
        <f>SUMIFS(H$92:H$101,PlanRotationPaturageS1,$B147)+SUMIFS(H$78:H$87,PlanRotationS1,$B147)</f>
        <v>0</v>
      </c>
      <c r="J147" s="839" t="str">
        <f>IFERROR(K147/K$248,"")</f>
        <v/>
      </c>
      <c r="K147" s="845">
        <f>SUMIFS(J$92:J$101,PlanRotationPaturageS2,$B147)+SUMIFS(J$78:J$87,PlanRotationS2,$B147)</f>
        <v>0</v>
      </c>
      <c r="L147" s="842" t="str">
        <f>IFERROR(M147/M$248,"")</f>
        <v/>
      </c>
      <c r="M147" s="845">
        <f>SUMIFS(L$92:L$101,PlanRotationPaturageS3,$B147)+SUMIFS(L$78:L$87,PlanRotationS3,$B147)</f>
        <v>0</v>
      </c>
      <c r="N147" s="842" t="str">
        <f>IFERROR(O147/O$248,"")</f>
        <v/>
      </c>
      <c r="O147" s="845">
        <f>SUMIFS(N$92:N$101,PlanRotationPaturageS4,$B147)+SUMIFS(N$78:N$87,PlanRotationS4,$B147)</f>
        <v>0</v>
      </c>
      <c r="P147" s="842" t="str">
        <f>IFERROR(Q147/Q$248,"")</f>
        <v/>
      </c>
      <c r="Q147" s="845">
        <f>SUMIFS(P$92:P$101,PlanRotationPaturageS5,$B147)+SUMIFS(P$78:P$87,PlanRotationS5,$B147)</f>
        <v>0</v>
      </c>
    </row>
    <row r="148" spans="1:19">
      <c r="B148" s="412" t="str">
        <f t="shared" si="6"/>
        <v>Blé de printemps</v>
      </c>
      <c r="D148" s="765" t="s">
        <v>1171</v>
      </c>
      <c r="E148" s="1371" t="s">
        <v>254</v>
      </c>
      <c r="F148" s="1953"/>
      <c r="G148" s="1946">
        <f ca="1">OFFSET(RéfChamps!$Q$55,0,IF(ProdS0="Biologique",0,3))</f>
        <v>1024.7095788333334</v>
      </c>
      <c r="H148" s="994"/>
      <c r="I148" s="834">
        <f ca="1">OFFSET(RéfChamps!$Q$55,0,IF(ProdS1="Biologique",0,3))</f>
        <v>958.02972492499987</v>
      </c>
      <c r="J148" s="996"/>
      <c r="K148" s="834">
        <f ca="1">OFFSET(RéfChamps!$Q$55,0,IF(ProdS2="Biologique",0,3))</f>
        <v>1024.7095788333334</v>
      </c>
      <c r="L148" s="999"/>
      <c r="M148" s="834">
        <f ca="1">OFFSET(RéfChamps!$Q$55,0,IF(ProdS3="Biologique",0,3))</f>
        <v>1024.7095788333334</v>
      </c>
      <c r="N148" s="999"/>
      <c r="O148" s="834">
        <f ca="1">OFFSET(RéfChamps!$Q$55,0,IF(ProdS4="Biologique",0,3))</f>
        <v>1024.7095788333334</v>
      </c>
      <c r="P148" s="999"/>
      <c r="Q148" s="834">
        <f ca="1">OFFSET(RéfChamps!$Q$55,0,IF(ProdS5="Biologique",0,3))</f>
        <v>1024.7095788333334</v>
      </c>
      <c r="S148" s="14"/>
    </row>
    <row r="149" spans="1:19">
      <c r="B149" s="412" t="str">
        <f t="shared" si="6"/>
        <v>Blé de printemps</v>
      </c>
      <c r="D149" s="765" t="s">
        <v>288</v>
      </c>
      <c r="E149" s="1371" t="s">
        <v>937</v>
      </c>
      <c r="F149" s="1945"/>
      <c r="G149" s="1946">
        <f ca="1">OFFSET(RéfChamps!$O$5,0,IF(ProdS0="Biologique",0,3))</f>
        <v>3.2</v>
      </c>
      <c r="H149" s="994"/>
      <c r="I149" s="1468">
        <f ca="1">OFFSET(RéfChamps!$O$5,0,IF(ProdS1="Biologique",0,3))</f>
        <v>3.1</v>
      </c>
      <c r="J149" s="996"/>
      <c r="K149" s="1072">
        <f ca="1">OFFSET(RéfChamps!$O$5,0,IF(ProdS2="Biologique",0,3))</f>
        <v>3.2</v>
      </c>
      <c r="L149" s="1073"/>
      <c r="M149" s="1072">
        <f ca="1">OFFSET(RéfChamps!$O$5,0,IF(ProdS3="Biologique",0,3))</f>
        <v>3.2</v>
      </c>
      <c r="N149" s="1073"/>
      <c r="O149" s="1072">
        <f ca="1">OFFSET(RéfChamps!$O$5,0,IF(ProdS4="Biologique",0,3))</f>
        <v>3.2</v>
      </c>
      <c r="P149" s="1073"/>
      <c r="Q149" s="1072">
        <f ca="1">OFFSET(RéfChamps!$O$5,0,IF(ProdS5="Biologique",0,3))</f>
        <v>3.2</v>
      </c>
    </row>
    <row r="150" spans="1:19">
      <c r="B150" s="412" t="str">
        <f t="shared" si="6"/>
        <v>Blé de printemps</v>
      </c>
      <c r="D150" s="765" t="s">
        <v>253</v>
      </c>
      <c r="E150" s="1371" t="s">
        <v>225</v>
      </c>
      <c r="F150" s="1945"/>
      <c r="G150" s="1946">
        <f ca="1">OFFSET(RéfChamps!$P$5,0,IF(PrixS0="Biologique",0,3))</f>
        <v>265</v>
      </c>
      <c r="H150" s="994"/>
      <c r="I150" s="835">
        <f ca="1">OFFSET(RéfChamps!$P$5,0,IF(PrixS1="Biologique",0,3))</f>
        <v>265</v>
      </c>
      <c r="J150" s="996"/>
      <c r="K150" s="835">
        <f ca="1">OFFSET(RéfChamps!$P$5,0,IF(PrixS2="Biologique",0,3))</f>
        <v>265</v>
      </c>
      <c r="L150" s="1000"/>
      <c r="M150" s="835">
        <f ca="1">OFFSET(RéfChamps!$P$5,0,IF(PrixS3="Biologique",0,3))</f>
        <v>265</v>
      </c>
      <c r="N150" s="1000"/>
      <c r="O150" s="835">
        <f ca="1">OFFSET(RéfChamps!$P$5,0,IF(PrixS4="Biologique",0,3))</f>
        <v>575</v>
      </c>
      <c r="P150" s="1000"/>
      <c r="Q150" s="835">
        <f ca="1">OFFSET(RéfChamps!$P$5,0,IF(PrixS5="Biologique",0,3))</f>
        <v>575</v>
      </c>
    </row>
    <row r="151" spans="1:19">
      <c r="B151" s="412" t="str">
        <f t="shared" si="6"/>
        <v>Blé de printemps</v>
      </c>
      <c r="D151" s="765" t="s">
        <v>282</v>
      </c>
      <c r="E151" s="1371" t="s">
        <v>254</v>
      </c>
      <c r="F151" s="1945"/>
      <c r="G151" s="1946">
        <f ca="1">SUMPRODUCT(OFFSET(RéfChamps!$O$5:$O$9,0,IF(ProdS0="Biologique",0,3)),OFFSET(RéfChamps!$P$5:$P$9,0,IF(PrixS0="Biologique",0,3)))</f>
        <v>1003.985</v>
      </c>
      <c r="H151" s="994"/>
      <c r="I151" s="835">
        <f ca="1">SUMPRODUCT(OFFSET(RéfChamps!$O$5:$O$9,0,IF(ProdS1="Biologique",0,3)),OFFSET(RéfChamps!$P$5:$P$9,0,IF(PrixS1="Biologique",0,3)))</f>
        <v>1202.4849999999999</v>
      </c>
      <c r="J151" s="997"/>
      <c r="K151" s="835">
        <f ca="1">SUMPRODUCT(OFFSET(RéfChamps!$O$5:$O$9,0,IF(ProdS2="Biologique",0,3)),OFFSET(RéfChamps!$P$5:$P$9,0,IF(PrixS2="Biologique",0,3)))</f>
        <v>1003.985</v>
      </c>
      <c r="L151" s="1000"/>
      <c r="M151" s="835">
        <f ca="1">SUMPRODUCT(OFFSET(RéfChamps!$O$5:$O$9,0,IF(ProdS3="Biologique",0,3)),OFFSET(RéfChamps!$P$5:$P$9,0,IF(PrixS3="Biologique",0,3)))</f>
        <v>1003.985</v>
      </c>
      <c r="N151" s="1000"/>
      <c r="O151" s="835">
        <f ca="1">SUMPRODUCT(OFFSET(RéfChamps!$O$5:$O$9,0,IF(ProdS4="Biologique",0,3)),OFFSET(RéfChamps!$P$5:$P$9,0,IF(PrixS4="Biologique",0,3)))</f>
        <v>2190.1600000000003</v>
      </c>
      <c r="P151" s="1000"/>
      <c r="Q151" s="835">
        <f ca="1">SUMPRODUCT(OFFSET(RéfChamps!$O$5:$O$9,0,IF(ProdS5="Biologique",0,3)),OFFSET(RéfChamps!$P$5:$P$9,0,IF(PrixS5="Biologique",0,3)))</f>
        <v>2190.1600000000003</v>
      </c>
    </row>
    <row r="152" spans="1:19">
      <c r="B152" s="412" t="str">
        <f t="shared" si="6"/>
        <v>Blé de printemps</v>
      </c>
      <c r="D152" s="765" t="s">
        <v>1457</v>
      </c>
      <c r="E152" s="1371" t="s">
        <v>254</v>
      </c>
      <c r="F152" s="1945"/>
      <c r="G152" s="1951">
        <f ca="1">IFERROR(G151-G148,"Erreur")</f>
        <v>-20.724578833333339</v>
      </c>
      <c r="H152" s="994"/>
      <c r="I152" s="846">
        <f ca="1">IFERROR(I151-I148,"Erreur")</f>
        <v>244.45527507500003</v>
      </c>
      <c r="J152" s="998"/>
      <c r="K152" s="846">
        <f ca="1">IFERROR(K151-K148,"Erreur")</f>
        <v>-20.724578833333339</v>
      </c>
      <c r="L152" s="1001"/>
      <c r="M152" s="846">
        <f ca="1">IFERROR(M151-M148,"Erreur")</f>
        <v>-20.724578833333339</v>
      </c>
      <c r="N152" s="1001"/>
      <c r="O152" s="846">
        <f ca="1">IFERROR(O151-O148,"Erreur")</f>
        <v>1165.450421166667</v>
      </c>
      <c r="P152" s="1001"/>
      <c r="Q152" s="846">
        <f ca="1">IFERROR(Q151-Q148,"Erreur")</f>
        <v>1165.450421166667</v>
      </c>
    </row>
    <row r="153" spans="1:19" s="36" customFormat="1">
      <c r="A153" s="409"/>
      <c r="B153" s="412" t="str">
        <f t="shared" si="6"/>
        <v>Blé de printemps</v>
      </c>
      <c r="D153" s="2085" t="str">
        <f>"Détails pour le "&amp;LOWER(D147)</f>
        <v>Détails pour le blé de printemps</v>
      </c>
      <c r="E153" s="1371"/>
      <c r="F153" s="1952"/>
      <c r="G153" s="1951"/>
      <c r="H153" s="994"/>
      <c r="I153" s="1612"/>
      <c r="J153" s="1002"/>
      <c r="K153" s="1612"/>
      <c r="L153" s="1002"/>
      <c r="M153" s="1612"/>
      <c r="N153" s="1002"/>
      <c r="O153" s="1612"/>
      <c r="P153" s="1002"/>
      <c r="Q153" s="1612"/>
      <c r="R153" s="1701"/>
    </row>
    <row r="154" spans="1:19" ht="15" hidden="1" thickTop="1">
      <c r="B154" s="412" t="str">
        <f t="shared" ref="B154:B160" si="7">D$154</f>
        <v>Orge</v>
      </c>
      <c r="C154" s="2086" t="s">
        <v>275</v>
      </c>
      <c r="D154" s="832" t="s">
        <v>4</v>
      </c>
      <c r="E154" s="1370" t="s">
        <v>224</v>
      </c>
      <c r="F154" s="1945" t="str">
        <f>IFERROR(G154/G$248,"")</f>
        <v/>
      </c>
      <c r="G154" s="1946">
        <f>SUMIFS(F$92:F$101,PlanRotationPaturageS0,$B154)+SUMIFS(F$78:F$87,PlanRotationS0,$B154)</f>
        <v>0</v>
      </c>
      <c r="H154" s="837" t="str">
        <f>IFERROR(I154/I$248,"")</f>
        <v/>
      </c>
      <c r="I154" s="845">
        <f>SUMIFS(H$92:H$101,PlanRotationPaturageS1,$B154)+SUMIFS(H$78:H$87,PlanRotationS1,$B154)</f>
        <v>0</v>
      </c>
      <c r="J154" s="839" t="str">
        <f>IFERROR(K154/K$248,"")</f>
        <v/>
      </c>
      <c r="K154" s="845">
        <f>SUMIFS(J$92:J$101,PlanRotationPaturageS2,$B154)+SUMIFS(J$78:J$87,PlanRotationS2,$B154)</f>
        <v>0</v>
      </c>
      <c r="L154" s="842" t="str">
        <f>IFERROR(M154/M$248,"")</f>
        <v/>
      </c>
      <c r="M154" s="845">
        <f>SUMIFS(L$92:L$101,PlanRotationPaturageS3,$B154)+SUMIFS(L$78:L$87,PlanRotationS3,$B154)</f>
        <v>0</v>
      </c>
      <c r="N154" s="842" t="str">
        <f>IFERROR(O154/O$248,"")</f>
        <v/>
      </c>
      <c r="O154" s="845">
        <f>SUMIFS(N$92:N$101,PlanRotationPaturageS4,$B154)+SUMIFS(N$78:N$87,PlanRotationS4,$B154)</f>
        <v>0</v>
      </c>
      <c r="P154" s="842" t="str">
        <f>IFERROR(Q154/Q$248,"")</f>
        <v/>
      </c>
      <c r="Q154" s="845">
        <f>SUMIFS(P$92:P$101,PlanRotationPaturageS5,$B154)+SUMIFS(P$78:P$87,PlanRotationS5,$B154)</f>
        <v>0</v>
      </c>
    </row>
    <row r="155" spans="1:19" hidden="1">
      <c r="B155" s="412" t="str">
        <f t="shared" si="7"/>
        <v>Orge</v>
      </c>
      <c r="D155" s="765" t="s">
        <v>1171</v>
      </c>
      <c r="E155" s="1371" t="s">
        <v>254</v>
      </c>
      <c r="F155" s="1953"/>
      <c r="G155" s="1946">
        <f ca="1">OFFSET(RéfChamps!$AC$55,0,IF(ProdS0="Biologique",0,3))</f>
        <v>640.90465284825859</v>
      </c>
      <c r="H155" s="469"/>
      <c r="I155" s="834">
        <f ca="1">OFFSET(RéfChamps!$AC$55,0,IF(ProdS1="Biologique",0,3))</f>
        <v>679.27330007812498</v>
      </c>
      <c r="J155" s="996"/>
      <c r="K155" s="834">
        <f ca="1">OFFSET(RéfChamps!$AC$55,0,IF(ProdS2="Biologique",0,3))</f>
        <v>640.90465284825859</v>
      </c>
      <c r="L155" s="999"/>
      <c r="M155" s="834">
        <f ca="1">OFFSET(RéfChamps!$AC$55,0,IF(ProdS3="Biologique",0,3))</f>
        <v>640.90465284825859</v>
      </c>
      <c r="N155" s="999"/>
      <c r="O155" s="834">
        <f ca="1">OFFSET(RéfChamps!$AC$55,0,IF(ProdS4="Biologique",0,3))</f>
        <v>640.90465284825859</v>
      </c>
      <c r="P155" s="999"/>
      <c r="Q155" s="834">
        <f ca="1">OFFSET(RéfChamps!$AC$55,0,IF(ProdS5="Biologique",0,3))</f>
        <v>640.90465284825859</v>
      </c>
      <c r="S155" s="14"/>
    </row>
    <row r="156" spans="1:19" hidden="1">
      <c r="B156" s="412" t="str">
        <f t="shared" si="7"/>
        <v>Orge</v>
      </c>
      <c r="D156" s="765" t="s">
        <v>288</v>
      </c>
      <c r="E156" s="1371" t="s">
        <v>937</v>
      </c>
      <c r="F156" s="1945"/>
      <c r="G156" s="1946">
        <f ca="1">OFFSET(RéfChamps!$AA$5,0,IF(ProdS0="Biologique",0,3))</f>
        <v>2.7</v>
      </c>
      <c r="H156" s="469"/>
      <c r="I156" s="1468">
        <f ca="1">OFFSET(RéfChamps!$AA$5,0,IF(ProdS1="Biologique",0,3))</f>
        <v>2.89</v>
      </c>
      <c r="J156" s="996"/>
      <c r="K156" s="1072">
        <f ca="1">OFFSET(RéfChamps!$AA$5,0,IF(ProdS2="Biologique",0,3))</f>
        <v>2.7</v>
      </c>
      <c r="L156" s="1073"/>
      <c r="M156" s="1072">
        <f ca="1">OFFSET(RéfChamps!$AA$5,0,IF(ProdS3="Biologique",0,3))</f>
        <v>2.7</v>
      </c>
      <c r="N156" s="1073"/>
      <c r="O156" s="1072">
        <f ca="1">OFFSET(RéfChamps!$AA$5,0,IF(ProdS4="Biologique",0,3))</f>
        <v>2.7</v>
      </c>
      <c r="P156" s="1073"/>
      <c r="Q156" s="1072">
        <f ca="1">OFFSET(RéfChamps!$AA$5,0,IF(ProdS5="Biologique",0,3))</f>
        <v>2.7</v>
      </c>
    </row>
    <row r="157" spans="1:19" hidden="1">
      <c r="B157" s="412" t="str">
        <f t="shared" si="7"/>
        <v>Orge</v>
      </c>
      <c r="D157" s="765" t="s">
        <v>253</v>
      </c>
      <c r="E157" s="1371" t="s">
        <v>225</v>
      </c>
      <c r="F157" s="1945"/>
      <c r="G157" s="1946">
        <f ca="1">OFFSET(RéfChamps!$AB$5,0,IF(PrixS0="Biologique",0,3))</f>
        <v>190</v>
      </c>
      <c r="H157" s="469"/>
      <c r="I157" s="835">
        <f ca="1">OFFSET(RéfChamps!$AB$5,0,IF(PrixS1="Biologique",0,3))</f>
        <v>190</v>
      </c>
      <c r="J157" s="996"/>
      <c r="K157" s="835">
        <f ca="1">OFFSET(RéfChamps!$AB$5,0,IF(PrixS2="Biologique",0,3))</f>
        <v>190</v>
      </c>
      <c r="L157" s="1000"/>
      <c r="M157" s="835">
        <f ca="1">OFFSET(RéfChamps!$AB$5,0,IF(PrixS3="Biologique",0,3))</f>
        <v>190</v>
      </c>
      <c r="N157" s="1000"/>
      <c r="O157" s="835">
        <f ca="1">OFFSET(RéfChamps!$AB$5,0,IF(PrixS4="Biologique",0,3))</f>
        <v>425</v>
      </c>
      <c r="P157" s="1000"/>
      <c r="Q157" s="835">
        <f ca="1">OFFSET(RéfChamps!$AB$5,0,IF(PrixS5="Biologique",0,3))</f>
        <v>425</v>
      </c>
    </row>
    <row r="158" spans="1:19" hidden="1">
      <c r="B158" s="412" t="str">
        <f t="shared" si="7"/>
        <v>Orge</v>
      </c>
      <c r="D158" s="765" t="s">
        <v>282</v>
      </c>
      <c r="E158" s="1371" t="s">
        <v>254</v>
      </c>
      <c r="F158" s="1945"/>
      <c r="G158" s="1946">
        <f ca="1">SUMPRODUCT(OFFSET(RéfChamps!$AA$5:$AA$9,0,IF(ProdS0="Biologique",0,3)),OFFSET(RéfChamps!$AB$5:$AB$9,0,IF(PrixS0="Biologique",0,3)))</f>
        <v>723.13750000000005</v>
      </c>
      <c r="H158" s="469"/>
      <c r="I158" s="835">
        <f ca="1">SUMPRODUCT(OFFSET(RéfChamps!$AA$5:$AA$9,0,IF(ProdS1="Biologique",0,3)),OFFSET(RéfChamps!$AB$5:$AB$9,0,IF(PrixS1="Biologique",0,3)))</f>
        <v>946.73750000000007</v>
      </c>
      <c r="J158" s="997"/>
      <c r="K158" s="835">
        <f ca="1">SUMPRODUCT(OFFSET(RéfChamps!$AA$5:$AA$9,0,IF(ProdS2="Biologique",0,3)),OFFSET(RéfChamps!$AB$5:$AB$9,0,IF(PrixS2="Biologique",0,3)))</f>
        <v>723.13750000000005</v>
      </c>
      <c r="L158" s="1000"/>
      <c r="M158" s="835">
        <f ca="1">SUMPRODUCT(OFFSET(RéfChamps!$AA$5:$AA$9,0,IF(ProdS3="Biologique",0,3)),OFFSET(RéfChamps!$AB$5:$AB$9,0,IF(PrixS3="Biologique",0,3)))</f>
        <v>723.13750000000005</v>
      </c>
      <c r="N158" s="1000"/>
      <c r="O158" s="835">
        <f ca="1">SUMPRODUCT(OFFSET(RéfChamps!$AA$5:$AA$9,0,IF(ProdS4="Biologique",0,3)),OFFSET(RéfChamps!$AB$5:$AB$9,0,IF(PrixS4="Biologique",0,3)))</f>
        <v>1361.4749999999999</v>
      </c>
      <c r="P158" s="1000"/>
      <c r="Q158" s="835">
        <f ca="1">SUMPRODUCT(OFFSET(RéfChamps!$AA$5:$AA$9,0,IF(ProdS5="Biologique",0,3)),OFFSET(RéfChamps!$AB$5:$AB$9,0,IF(PrixS5="Biologique",0,3)))</f>
        <v>1361.4749999999999</v>
      </c>
    </row>
    <row r="159" spans="1:19" hidden="1">
      <c r="B159" s="412" t="str">
        <f t="shared" si="7"/>
        <v>Orge</v>
      </c>
      <c r="D159" s="765" t="s">
        <v>1457</v>
      </c>
      <c r="E159" s="1371" t="s">
        <v>254</v>
      </c>
      <c r="F159" s="1945"/>
      <c r="G159" s="1951">
        <f ca="1">IFERROR(G158-G155,"Erreur")</f>
        <v>82.232847151741453</v>
      </c>
      <c r="H159" s="469"/>
      <c r="I159" s="846">
        <f ca="1">IFERROR(I158-I155,"Erreur")</f>
        <v>267.46419992187509</v>
      </c>
      <c r="J159" s="998"/>
      <c r="K159" s="846">
        <f ca="1">IFERROR(K158-K155,"Erreur")</f>
        <v>82.232847151741453</v>
      </c>
      <c r="L159" s="1001"/>
      <c r="M159" s="846">
        <f ca="1">IFERROR(M158-M155,"Erreur")</f>
        <v>82.232847151741453</v>
      </c>
      <c r="N159" s="1001"/>
      <c r="O159" s="846">
        <f ca="1">IFERROR(O158-O155,"Erreur")</f>
        <v>720.57034715174132</v>
      </c>
      <c r="P159" s="1001"/>
      <c r="Q159" s="846">
        <f ca="1">IFERROR(Q158-Q155,"Erreur")</f>
        <v>720.57034715174132</v>
      </c>
    </row>
    <row r="160" spans="1:19" s="36" customFormat="1" hidden="1">
      <c r="A160" s="409"/>
      <c r="B160" s="412" t="str">
        <f t="shared" si="7"/>
        <v>Orge</v>
      </c>
      <c r="D160" s="2085" t="str">
        <f>"Détails pour l'"&amp;LOWER(D154)</f>
        <v>Détails pour l'orge</v>
      </c>
      <c r="E160" s="1371"/>
      <c r="F160" s="1952"/>
      <c r="G160" s="1951"/>
      <c r="H160" s="469"/>
      <c r="I160" s="1612"/>
      <c r="J160" s="1002"/>
      <c r="K160" s="1612"/>
      <c r="L160" s="1002"/>
      <c r="M160" s="1612"/>
      <c r="N160" s="1002"/>
      <c r="O160" s="1612"/>
      <c r="P160" s="1002"/>
      <c r="Q160" s="1612"/>
      <c r="R160" s="1701"/>
    </row>
    <row r="161" spans="1:19" hidden="1">
      <c r="B161" s="412" t="str">
        <f t="shared" ref="B161:B167" si="8">D$161</f>
        <v>Avoine</v>
      </c>
      <c r="C161" s="2086" t="s">
        <v>275</v>
      </c>
      <c r="D161" s="832" t="s">
        <v>5</v>
      </c>
      <c r="E161" s="1370" t="s">
        <v>224</v>
      </c>
      <c r="F161" s="1945" t="str">
        <f>IFERROR(G161/G$248,"")</f>
        <v/>
      </c>
      <c r="G161" s="1946">
        <f>SUMIFS(F$92:F$101,PlanRotationPaturageS0,$B161)+SUMIFS(F$78:F$87,PlanRotationS0,$B161)</f>
        <v>0</v>
      </c>
      <c r="H161" s="837" t="str">
        <f>IFERROR(I161/I$248,"")</f>
        <v/>
      </c>
      <c r="I161" s="845">
        <f>SUMIFS(H$92:H$101,PlanRotationPaturageS1,$B161)+SUMIFS(H$78:H$87,PlanRotationS1,$B161)</f>
        <v>0</v>
      </c>
      <c r="J161" s="839" t="str">
        <f>IFERROR(K161/K$248,"")</f>
        <v/>
      </c>
      <c r="K161" s="845">
        <f>SUMIFS(J$92:J$101,PlanRotationPaturageS2,$B161)+SUMIFS(J$78:J$87,PlanRotationS2,$B161)</f>
        <v>0</v>
      </c>
      <c r="L161" s="842" t="str">
        <f>IFERROR(M161/M$248,"")</f>
        <v/>
      </c>
      <c r="M161" s="845">
        <f>SUMIFS(L$92:L$101,PlanRotationPaturageS3,$B161)+SUMIFS(L$78:L$87,PlanRotationS3,$B161)</f>
        <v>0</v>
      </c>
      <c r="N161" s="842" t="str">
        <f>IFERROR(O161/O$248,"")</f>
        <v/>
      </c>
      <c r="O161" s="845">
        <f>SUMIFS(N$92:N$101,PlanRotationPaturageS4,$B161)+SUMIFS(N$78:N$87,PlanRotationS4,$B161)</f>
        <v>0</v>
      </c>
      <c r="P161" s="842" t="str">
        <f>IFERROR(Q161/Q$248,"")</f>
        <v/>
      </c>
      <c r="Q161" s="845">
        <f>SUMIFS(P$92:P$101,PlanRotationPaturageS5,$B161)+SUMIFS(P$78:P$87,PlanRotationS5,$B161)</f>
        <v>0</v>
      </c>
    </row>
    <row r="162" spans="1:19" s="47" customFormat="1" hidden="1">
      <c r="A162" s="409"/>
      <c r="B162" s="412" t="str">
        <f t="shared" si="8"/>
        <v>Avoine</v>
      </c>
      <c r="D162" s="765" t="s">
        <v>281</v>
      </c>
      <c r="E162" s="1371" t="s">
        <v>254</v>
      </c>
      <c r="F162" s="1953"/>
      <c r="G162" s="1946">
        <f ca="1">OFFSET(RéfChamps!$AI$55,0,IF(ProdS0="Biologique",0,3))</f>
        <v>807.82565859825877</v>
      </c>
      <c r="H162" s="994"/>
      <c r="I162" s="834">
        <f ca="1">OFFSET(RéfChamps!$AI$55,0,IF(ProdS1="Biologique",0,3))</f>
        <v>581.47204834000001</v>
      </c>
      <c r="J162" s="996"/>
      <c r="K162" s="834">
        <f ca="1">OFFSET(RéfChamps!$AI$55,0,IF(ProdS2="Biologique",0,3))</f>
        <v>807.82565859825877</v>
      </c>
      <c r="L162" s="999"/>
      <c r="M162" s="834">
        <f ca="1">OFFSET(RéfChamps!$AI$55,0,IF(ProdS3="Biologique",0,3))</f>
        <v>807.82565859825877</v>
      </c>
      <c r="N162" s="999"/>
      <c r="O162" s="834">
        <f ca="1">OFFSET(RéfChamps!$AI$55,0,IF(ProdS4="Biologique",0,3))</f>
        <v>807.82565859825877</v>
      </c>
      <c r="P162" s="999"/>
      <c r="Q162" s="834">
        <f ca="1">OFFSET(RéfChamps!$AI$55,0,IF(ProdS5="Biologique",0,3))</f>
        <v>807.82565859825877</v>
      </c>
      <c r="R162" s="17"/>
      <c r="S162" s="14"/>
    </row>
    <row r="163" spans="1:19" s="47" customFormat="1" hidden="1">
      <c r="A163" s="409"/>
      <c r="B163" s="412" t="str">
        <f t="shared" si="8"/>
        <v>Avoine</v>
      </c>
      <c r="D163" s="765" t="s">
        <v>252</v>
      </c>
      <c r="E163" s="1371" t="s">
        <v>937</v>
      </c>
      <c r="F163" s="1945"/>
      <c r="G163" s="1946">
        <f ca="1">OFFSET(RéfChamps!$AG$5,0,IF(ProdS0="Biologique",0,3))</f>
        <v>2.23</v>
      </c>
      <c r="H163" s="994"/>
      <c r="I163" s="1468">
        <f ca="1">OFFSET(RéfChamps!$AG$5,0,IF(ProdS1="Biologique",0,3))</f>
        <v>2.13</v>
      </c>
      <c r="J163" s="996"/>
      <c r="K163" s="1072">
        <f ca="1">OFFSET(RéfChamps!$AG$5,0,IF(ProdS2="Biologique",0,3))</f>
        <v>2.23</v>
      </c>
      <c r="L163" s="1073"/>
      <c r="M163" s="1072">
        <f ca="1">OFFSET(RéfChamps!$AG$5,0,IF(ProdS3="Biologique",0,3))</f>
        <v>2.23</v>
      </c>
      <c r="N163" s="1073"/>
      <c r="O163" s="1072">
        <f ca="1">OFFSET(RéfChamps!$AG$5,0,IF(ProdS4="Biologique",0,3))</f>
        <v>2.23</v>
      </c>
      <c r="P163" s="1073"/>
      <c r="Q163" s="1072">
        <f ca="1">OFFSET(RéfChamps!$AG$5,0,IF(ProdS5="Biologique",0,3))</f>
        <v>2.23</v>
      </c>
      <c r="R163" s="17"/>
      <c r="S163" s="97"/>
    </row>
    <row r="164" spans="1:19" s="47" customFormat="1" hidden="1">
      <c r="A164" s="409"/>
      <c r="B164" s="412" t="str">
        <f t="shared" si="8"/>
        <v>Avoine</v>
      </c>
      <c r="D164" s="765" t="s">
        <v>253</v>
      </c>
      <c r="E164" s="1371" t="s">
        <v>225</v>
      </c>
      <c r="F164" s="1945"/>
      <c r="G164" s="1946">
        <f ca="1">OFFSET(RéfChamps!$AH$5,0,IF(PrixS0="Biologique",0,3))</f>
        <v>190</v>
      </c>
      <c r="H164" s="994"/>
      <c r="I164" s="835">
        <f ca="1">OFFSET(RéfChamps!$AH$5,0,IF(PrixS1="Biologique",0,3))</f>
        <v>190</v>
      </c>
      <c r="J164" s="996"/>
      <c r="K164" s="835">
        <f ca="1">OFFSET(RéfChamps!$AH$5,0,IF(PrixS2="Biologique",0,3))</f>
        <v>190</v>
      </c>
      <c r="L164" s="1000"/>
      <c r="M164" s="835">
        <f ca="1">OFFSET(RéfChamps!$AH$5,0,IF(PrixS3="Biologique",0,3))</f>
        <v>190</v>
      </c>
      <c r="N164" s="1000"/>
      <c r="O164" s="835">
        <f ca="1">OFFSET(RéfChamps!$AH$5,0,IF(PrixS4="Biologique",0,3))</f>
        <v>400</v>
      </c>
      <c r="P164" s="1000"/>
      <c r="Q164" s="835">
        <f ca="1">OFFSET(RéfChamps!$AH$5,0,IF(PrixS5="Biologique",0,3))</f>
        <v>400</v>
      </c>
      <c r="R164" s="17"/>
      <c r="S164" s="97"/>
    </row>
    <row r="165" spans="1:19" s="47" customFormat="1" hidden="1">
      <c r="A165" s="409"/>
      <c r="B165" s="412" t="str">
        <f t="shared" si="8"/>
        <v>Avoine</v>
      </c>
      <c r="D165" s="765" t="s">
        <v>282</v>
      </c>
      <c r="E165" s="1371" t="s">
        <v>254</v>
      </c>
      <c r="F165" s="1945"/>
      <c r="G165" s="1946">
        <f ca="1">SUMPRODUCT(OFFSET(RéfChamps!$AG$5:$AG$9,0,IF(ProdS0="Biologique",0,3)),OFFSET(RéfChamps!$AH$5:$AH$9,0,IF(PrixS0="Biologique",0,3)))</f>
        <v>737.86300000000006</v>
      </c>
      <c r="H165" s="994"/>
      <c r="I165" s="835">
        <f ca="1">SUMPRODUCT(OFFSET(RéfChamps!$AG$5:$AG$9,0,IF(ProdS1="Biologique",0,3)),OFFSET(RéfChamps!$AH$5:$AH$9,0,IF(PrixS1="Biologique",0,3)))</f>
        <v>906.36300000000006</v>
      </c>
      <c r="J165" s="997"/>
      <c r="K165" s="835">
        <f ca="1">SUMPRODUCT(OFFSET(RéfChamps!$AG$5:$AG$9,0,IF(ProdS2="Biologique",0,3)),OFFSET(RéfChamps!$AH$5:$AH$9,0,IF(PrixS2="Biologique",0,3)))</f>
        <v>737.86300000000006</v>
      </c>
      <c r="L165" s="1000"/>
      <c r="M165" s="835">
        <f ca="1">SUMPRODUCT(OFFSET(RéfChamps!$AG$5:$AG$9,0,IF(ProdS3="Biologique",0,3)),OFFSET(RéfChamps!$AH$5:$AH$9,0,IF(PrixS3="Biologique",0,3)))</f>
        <v>737.86300000000006</v>
      </c>
      <c r="N165" s="1000"/>
      <c r="O165" s="835">
        <f ca="1">SUMPRODUCT(OFFSET(RéfChamps!$AG$5:$AG$9,0,IF(ProdS4="Biologique",0,3)),OFFSET(RéfChamps!$AH$5:$AH$9,0,IF(PrixS4="Biologique",0,3)))</f>
        <v>1206.7075</v>
      </c>
      <c r="P165" s="1000"/>
      <c r="Q165" s="835">
        <f ca="1">SUMPRODUCT(OFFSET(RéfChamps!$AG$5:$AG$9,0,IF(ProdS5="Biologique",0,3)),OFFSET(RéfChamps!$AH$5:$AH$9,0,IF(PrixS5="Biologique",0,3)))</f>
        <v>1206.7075</v>
      </c>
      <c r="R165" s="17"/>
      <c r="S165" s="97"/>
    </row>
    <row r="166" spans="1:19" s="47" customFormat="1" hidden="1">
      <c r="A166" s="409"/>
      <c r="B166" s="412" t="str">
        <f t="shared" si="8"/>
        <v>Avoine</v>
      </c>
      <c r="D166" s="765" t="s">
        <v>1457</v>
      </c>
      <c r="E166" s="1371" t="s">
        <v>254</v>
      </c>
      <c r="F166" s="1945"/>
      <c r="G166" s="1951">
        <f ca="1">IFERROR(G165-G162,"Erreur")</f>
        <v>-69.962658598258713</v>
      </c>
      <c r="H166" s="994"/>
      <c r="I166" s="846">
        <f ca="1">IFERROR(I165-I162,"Erreur")</f>
        <v>324.89095166000004</v>
      </c>
      <c r="J166" s="998"/>
      <c r="K166" s="846">
        <f ca="1">IFERROR(K165-K162,"Erreur")</f>
        <v>-69.962658598258713</v>
      </c>
      <c r="L166" s="1001"/>
      <c r="M166" s="846">
        <f ca="1">IFERROR(M165-M162,"Erreur")</f>
        <v>-69.962658598258713</v>
      </c>
      <c r="N166" s="1001"/>
      <c r="O166" s="846">
        <f ca="1">IFERROR(O165-O162,"Erreur")</f>
        <v>398.88184140174121</v>
      </c>
      <c r="P166" s="1001"/>
      <c r="Q166" s="846">
        <f ca="1">IFERROR(Q165-Q162,"Erreur")</f>
        <v>398.88184140174121</v>
      </c>
      <c r="R166" s="17"/>
      <c r="S166" s="97"/>
    </row>
    <row r="167" spans="1:19" s="36" customFormat="1" hidden="1">
      <c r="A167" s="409"/>
      <c r="B167" s="412" t="str">
        <f t="shared" si="8"/>
        <v>Avoine</v>
      </c>
      <c r="D167" s="2085" t="str">
        <f>"Détails pour l'"&amp;LOWER(D161)</f>
        <v>Détails pour l'avoine</v>
      </c>
      <c r="E167" s="1371"/>
      <c r="F167" s="1952"/>
      <c r="G167" s="1951"/>
      <c r="H167" s="994"/>
      <c r="I167" s="1612"/>
      <c r="J167" s="1002"/>
      <c r="K167" s="1612"/>
      <c r="L167" s="1002"/>
      <c r="M167" s="1612"/>
      <c r="N167" s="1002"/>
      <c r="O167" s="1612"/>
      <c r="P167" s="1002"/>
      <c r="Q167" s="1612"/>
      <c r="R167" s="1701"/>
    </row>
    <row r="168" spans="1:19">
      <c r="B168" s="412" t="str">
        <f t="shared" ref="B168:B174" si="9">D$168</f>
        <v>Blé d'automne</v>
      </c>
      <c r="C168" s="2086" t="s">
        <v>275</v>
      </c>
      <c r="D168" s="832" t="s">
        <v>6</v>
      </c>
      <c r="E168" s="1370" t="s">
        <v>224</v>
      </c>
      <c r="F168" s="1945" t="str">
        <f>IFERROR(G168/G$248,"")</f>
        <v/>
      </c>
      <c r="G168" s="1946">
        <f>SUMIFS(F$92:F$101,PlanRotationPaturageS0,$B168)+SUMIFS(F$78:F$87,PlanRotationS0,$B168)</f>
        <v>0</v>
      </c>
      <c r="H168" s="837" t="str">
        <f>IFERROR(I168/I$248,"")</f>
        <v/>
      </c>
      <c r="I168" s="845">
        <f>SUMIFS(H$92:H$101,PlanRotationPaturageS1,$B168)+SUMIFS(H$78:H$87,PlanRotationS1,$B168)</f>
        <v>0</v>
      </c>
      <c r="J168" s="839" t="str">
        <f>IFERROR(K168/K$248,"")</f>
        <v/>
      </c>
      <c r="K168" s="845">
        <f>SUMIFS(J$92:J$101,PlanRotationPaturageS2,$B168)+SUMIFS(J$78:J$87,PlanRotationS2,$B168)</f>
        <v>0</v>
      </c>
      <c r="L168" s="842" t="str">
        <f>IFERROR(M168/M$248,"")</f>
        <v/>
      </c>
      <c r="M168" s="845">
        <f>SUMIFS(L$92:L$101,PlanRotationPaturageS3,$B168)+SUMIFS(L$78:L$87,PlanRotationS3,$B168)</f>
        <v>0</v>
      </c>
      <c r="N168" s="842" t="str">
        <f>IFERROR(O168/O$248,"")</f>
        <v/>
      </c>
      <c r="O168" s="845">
        <f>SUMIFS(N$92:N$101,PlanRotationPaturageS4,$B168)+SUMIFS(N$78:N$87,PlanRotationS4,$B168)</f>
        <v>0</v>
      </c>
      <c r="P168" s="842" t="str">
        <f>IFERROR(Q168/Q$248,"")</f>
        <v/>
      </c>
      <c r="Q168" s="845">
        <f>SUMIFS(P$92:P$101,PlanRotationPaturageS5,$B168)+SUMIFS(P$78:P$87,PlanRotationS5,$B168)</f>
        <v>0</v>
      </c>
    </row>
    <row r="169" spans="1:19">
      <c r="B169" s="412" t="str">
        <f t="shared" si="9"/>
        <v>Blé d'automne</v>
      </c>
      <c r="D169" s="765" t="s">
        <v>1171</v>
      </c>
      <c r="E169" s="1371" t="s">
        <v>254</v>
      </c>
      <c r="F169" s="1953"/>
      <c r="G169" s="1946">
        <f ca="1">OFFSET(RéfChamps!$W$55,0,IF(ProdS0="Biologique",0,3))</f>
        <v>931.05589133333342</v>
      </c>
      <c r="H169" s="994"/>
      <c r="I169" s="834">
        <f ca="1">OFFSET(RéfChamps!$W$55,0,IF(ProdS1="Biologique",0,3))</f>
        <v>951.02170699999999</v>
      </c>
      <c r="J169" s="996"/>
      <c r="K169" s="834">
        <f ca="1">OFFSET(RéfChamps!$W$55,0,IF(ProdS2="Biologique",0,3))</f>
        <v>931.05589133333342</v>
      </c>
      <c r="L169" s="999"/>
      <c r="M169" s="834">
        <f ca="1">OFFSET(RéfChamps!$W$55,0,IF(ProdS3="Biologique",0,3))</f>
        <v>931.05589133333342</v>
      </c>
      <c r="N169" s="999"/>
      <c r="O169" s="834">
        <f ca="1">OFFSET(RéfChamps!$W$55,0,IF(ProdS4="Biologique",0,3))</f>
        <v>931.05589133333342</v>
      </c>
      <c r="P169" s="999"/>
      <c r="Q169" s="834">
        <f ca="1">OFFSET(RéfChamps!$W$55,0,IF(ProdS5="Biologique",0,3))</f>
        <v>931.05589133333342</v>
      </c>
      <c r="S169" s="14"/>
    </row>
    <row r="170" spans="1:19">
      <c r="B170" s="412" t="str">
        <f t="shared" si="9"/>
        <v>Blé d'automne</v>
      </c>
      <c r="D170" s="765" t="s">
        <v>252</v>
      </c>
      <c r="E170" s="1371" t="s">
        <v>937</v>
      </c>
      <c r="F170" s="1945"/>
      <c r="G170" s="1946">
        <f ca="1">OFFSET(RéfChamps!$U$5,0,IF(ProdS0="Biologique",0,3))</f>
        <v>3.2</v>
      </c>
      <c r="H170" s="994"/>
      <c r="I170" s="1468">
        <f ca="1">OFFSET(RéfChamps!$U$5,0,IF(ProdS1="Biologique",0,3))</f>
        <v>4.2</v>
      </c>
      <c r="J170" s="996"/>
      <c r="K170" s="1072">
        <f ca="1">OFFSET(RéfChamps!$U$5,0,IF(ProdS2="Biologique",0,3))</f>
        <v>3.2</v>
      </c>
      <c r="L170" s="1073"/>
      <c r="M170" s="1072">
        <f ca="1">OFFSET(RéfChamps!$U$5,0,IF(ProdS3="Biologique",0,3))</f>
        <v>3.2</v>
      </c>
      <c r="N170" s="1073"/>
      <c r="O170" s="1072">
        <f ca="1">OFFSET(RéfChamps!$U$5,0,IF(ProdS4="Biologique",0,3))</f>
        <v>3.2</v>
      </c>
      <c r="P170" s="1073"/>
      <c r="Q170" s="1072">
        <f ca="1">OFFSET(RéfChamps!$U$5,0,IF(ProdS5="Biologique",0,3))</f>
        <v>3.2</v>
      </c>
    </row>
    <row r="171" spans="1:19">
      <c r="B171" s="412" t="str">
        <f t="shared" si="9"/>
        <v>Blé d'automne</v>
      </c>
      <c r="D171" s="765" t="s">
        <v>253</v>
      </c>
      <c r="E171" s="1371" t="s">
        <v>225</v>
      </c>
      <c r="F171" s="1945"/>
      <c r="G171" s="1946">
        <f ca="1">OFFSET(RéfChamps!$V$5,0,IF(PrixS0="Biologique",0,3))</f>
        <v>265</v>
      </c>
      <c r="H171" s="994"/>
      <c r="I171" s="835">
        <f ca="1">OFFSET(RéfChamps!$V$5,0,IF(PrixS1="Biologique",0,3))</f>
        <v>265</v>
      </c>
      <c r="J171" s="996"/>
      <c r="K171" s="835">
        <f ca="1">OFFSET(RéfChamps!$V$5,0,IF(PrixS2="Biologique",0,3))</f>
        <v>265</v>
      </c>
      <c r="L171" s="1000"/>
      <c r="M171" s="835">
        <f ca="1">OFFSET(RéfChamps!$V$5,0,IF(PrixS3="Biologique",0,3))</f>
        <v>265</v>
      </c>
      <c r="N171" s="1000"/>
      <c r="O171" s="835">
        <f ca="1">OFFSET(RéfChamps!$V$5,0,IF(PrixS4="Biologique",0,3))</f>
        <v>575</v>
      </c>
      <c r="P171" s="1000"/>
      <c r="Q171" s="835">
        <f ca="1">OFFSET(RéfChamps!$V$5,0,IF(PrixS5="Biologique",0,3))</f>
        <v>575</v>
      </c>
    </row>
    <row r="172" spans="1:19">
      <c r="B172" s="412" t="str">
        <f t="shared" si="9"/>
        <v>Blé d'automne</v>
      </c>
      <c r="D172" s="765" t="s">
        <v>282</v>
      </c>
      <c r="E172" s="1371" t="s">
        <v>254</v>
      </c>
      <c r="F172" s="1945"/>
      <c r="G172" s="1946">
        <f ca="1">SUMPRODUCT(OFFSET(RéfChamps!$U$5:$U$9,0,IF(ProdS0="Biologique",0,3)),OFFSET(RéfChamps!$V$5:$V$9,0,IF(PrixS0="Biologique",0,3)))</f>
        <v>1006.8249999999999</v>
      </c>
      <c r="H172" s="994"/>
      <c r="I172" s="835">
        <f ca="1">SUMPRODUCT(OFFSET(RéfChamps!$U$5:$U$9,0,IF(ProdS1="Biologique",0,3)),OFFSET(RéfChamps!$V$5:$V$9,0,IF(PrixS1="Biologique",0,3)))</f>
        <v>1459.325</v>
      </c>
      <c r="J172" s="997"/>
      <c r="K172" s="835">
        <f ca="1">SUMPRODUCT(OFFSET(RéfChamps!$U$5:$U$9,0,IF(ProdS2="Biologique",0,3)),OFFSET(RéfChamps!$V$5:$V$9,0,IF(PrixS2="Biologique",0,3)))</f>
        <v>1006.8249999999999</v>
      </c>
      <c r="L172" s="1000"/>
      <c r="M172" s="835">
        <f ca="1">SUMPRODUCT(OFFSET(RéfChamps!$U$5:$U$9,0,IF(ProdS3="Biologique",0,3)),OFFSET(RéfChamps!$V$5:$V$9,0,IF(PrixS3="Biologique",0,3)))</f>
        <v>1006.8249999999999</v>
      </c>
      <c r="N172" s="1000"/>
      <c r="O172" s="835">
        <f ca="1">SUMPRODUCT(OFFSET(RéfChamps!$U$5:$U$9,0,IF(ProdS4="Biologique",0,3)),OFFSET(RéfChamps!$V$5:$V$9,0,IF(PrixS4="Biologique",0,3)))</f>
        <v>2190.44</v>
      </c>
      <c r="P172" s="1000"/>
      <c r="Q172" s="835">
        <f ca="1">SUMPRODUCT(OFFSET(RéfChamps!$U$5:$U$9,0,IF(ProdS5="Biologique",0,3)),OFFSET(RéfChamps!$V$5:$V$9,0,IF(PrixS5="Biologique",0,3)))</f>
        <v>2190.44</v>
      </c>
    </row>
    <row r="173" spans="1:19">
      <c r="B173" s="412" t="str">
        <f t="shared" si="9"/>
        <v>Blé d'automne</v>
      </c>
      <c r="D173" s="765" t="s">
        <v>1457</v>
      </c>
      <c r="E173" s="1371" t="s">
        <v>254</v>
      </c>
      <c r="F173" s="1945"/>
      <c r="G173" s="1951">
        <f ca="1">IFERROR(G172-G169,"Erreur")</f>
        <v>75.769108666666511</v>
      </c>
      <c r="H173" s="994"/>
      <c r="I173" s="846">
        <f ca="1">IFERROR(I172-I169,"Erreur")</f>
        <v>508.30329300000005</v>
      </c>
      <c r="J173" s="998"/>
      <c r="K173" s="846">
        <f ca="1">IFERROR(K172-K169,"Erreur")</f>
        <v>75.769108666666511</v>
      </c>
      <c r="L173" s="1001"/>
      <c r="M173" s="846">
        <f ca="1">IFERROR(M172-M169,"Erreur")</f>
        <v>75.769108666666511</v>
      </c>
      <c r="N173" s="1001"/>
      <c r="O173" s="846">
        <f ca="1">IFERROR(O172-O169,"Erreur")</f>
        <v>1259.3841086666666</v>
      </c>
      <c r="P173" s="1001"/>
      <c r="Q173" s="846">
        <f ca="1">IFERROR(Q172-Q169,"Erreur")</f>
        <v>1259.3841086666666</v>
      </c>
    </row>
    <row r="174" spans="1:19" s="36" customFormat="1">
      <c r="A174" s="409"/>
      <c r="B174" s="412" t="str">
        <f t="shared" si="9"/>
        <v>Blé d'automne</v>
      </c>
      <c r="D174" s="2085" t="str">
        <f>"Détails pour le "&amp;LOWER(D168)</f>
        <v>Détails pour le blé d'automne</v>
      </c>
      <c r="E174" s="1371"/>
      <c r="F174" s="1952"/>
      <c r="G174" s="1951"/>
      <c r="H174" s="994"/>
      <c r="I174" s="1612"/>
      <c r="J174" s="1002"/>
      <c r="K174" s="1612"/>
      <c r="L174" s="1002"/>
      <c r="M174" s="1612"/>
      <c r="N174" s="1002"/>
      <c r="O174" s="1612"/>
      <c r="P174" s="1002"/>
      <c r="Q174" s="1612"/>
      <c r="R174" s="1701"/>
    </row>
    <row r="175" spans="1:19" ht="15" hidden="1" thickTop="1">
      <c r="B175" s="412" t="str">
        <f t="shared" ref="B175:B181" si="10">D$175</f>
        <v>Seigle d'automne</v>
      </c>
      <c r="C175" s="2086" t="s">
        <v>275</v>
      </c>
      <c r="D175" s="832" t="s">
        <v>7</v>
      </c>
      <c r="E175" s="1370" t="s">
        <v>224</v>
      </c>
      <c r="F175" s="1945" t="str">
        <f>IFERROR(G175/G$248,"")</f>
        <v/>
      </c>
      <c r="G175" s="1946">
        <f>SUMIFS(F$92:F$101,PlanRotationPaturageS0,$B175)+SUMIFS(F$78:F$87,PlanRotationS0,$B175)</f>
        <v>0</v>
      </c>
      <c r="H175" s="837" t="str">
        <f>IFERROR(I175/I$248,"")</f>
        <v/>
      </c>
      <c r="I175" s="845">
        <f>SUMIFS(H$92:H$101,PlanRotationPaturageS1,$B175)+SUMIFS(H$78:H$87,PlanRotationS1,$B175)</f>
        <v>0</v>
      </c>
      <c r="J175" s="839" t="str">
        <f>IFERROR(K175/K$248,"")</f>
        <v/>
      </c>
      <c r="K175" s="845">
        <f>SUMIFS(J$92:J$101,PlanRotationPaturageS2,$B175)+SUMIFS(J$78:J$87,PlanRotationS2,$B175)</f>
        <v>0</v>
      </c>
      <c r="L175" s="842" t="str">
        <f>IFERROR(M175/M$248,"")</f>
        <v/>
      </c>
      <c r="M175" s="845">
        <f>SUMIFS(L$92:L$101,PlanRotationPaturageS3,$B175)+SUMIFS(L$78:L$87,PlanRotationS3,$B175)</f>
        <v>0</v>
      </c>
      <c r="N175" s="842" t="str">
        <f>IFERROR(O175/O$248,"")</f>
        <v/>
      </c>
      <c r="O175" s="845">
        <f>SUMIFS(N$92:N$101,PlanRotationPaturageS4,$B175)+SUMIFS(N$78:N$87,PlanRotationS4,$B175)</f>
        <v>0</v>
      </c>
      <c r="P175" s="842" t="str">
        <f>IFERROR(Q175/Q$248,"")</f>
        <v/>
      </c>
      <c r="Q175" s="845">
        <f>SUMIFS(P$92:P$101,PlanRotationPaturageS5,$B175)+SUMIFS(P$78:P$87,PlanRotationS5,$B175)</f>
        <v>0</v>
      </c>
    </row>
    <row r="176" spans="1:19" hidden="1">
      <c r="B176" s="412" t="str">
        <f t="shared" si="10"/>
        <v>Seigle d'automne</v>
      </c>
      <c r="D176" s="765" t="s">
        <v>1171</v>
      </c>
      <c r="E176" s="1371" t="s">
        <v>254</v>
      </c>
      <c r="F176" s="1953"/>
      <c r="G176" s="1946">
        <f ca="1">OFFSET(RéfChamps!$W$55,0,IF(ProdS0="Biologique",0,3))</f>
        <v>931.05589133333342</v>
      </c>
      <c r="H176" s="994"/>
      <c r="I176" s="834">
        <f ca="1">OFFSET(RéfChamps!$W$55,0,IF(ProdS1="Biologique",0,3))</f>
        <v>951.02170699999999</v>
      </c>
      <c r="J176" s="996"/>
      <c r="K176" s="834">
        <f ca="1">OFFSET(RéfChamps!$W$55,0,IF(ProdS2="Biologique",0,3))</f>
        <v>931.05589133333342</v>
      </c>
      <c r="L176" s="999"/>
      <c r="M176" s="834">
        <f ca="1">OFFSET(RéfChamps!$W$55,0,IF(ProdS3="Biologique",0,3))</f>
        <v>931.05589133333342</v>
      </c>
      <c r="N176" s="999"/>
      <c r="O176" s="834">
        <f ca="1">OFFSET(RéfChamps!$W$55,0,IF(ProdS4="Biologique",0,3))</f>
        <v>931.05589133333342</v>
      </c>
      <c r="P176" s="999"/>
      <c r="Q176" s="834">
        <f ca="1">OFFSET(RéfChamps!$W$55,0,IF(ProdS5="Biologique",0,3))</f>
        <v>931.05589133333342</v>
      </c>
      <c r="S176" s="14"/>
    </row>
    <row r="177" spans="1:16383" hidden="1">
      <c r="B177" s="412" t="str">
        <f t="shared" si="10"/>
        <v>Seigle d'automne</v>
      </c>
      <c r="D177" s="765" t="s">
        <v>252</v>
      </c>
      <c r="E177" s="1371" t="s">
        <v>937</v>
      </c>
      <c r="F177" s="1945"/>
      <c r="G177" s="1946">
        <f ca="1">OFFSET(RéfChamps!$U$5,0,IF(ProdS0="Biologique",0,3))</f>
        <v>3.2</v>
      </c>
      <c r="H177" s="994"/>
      <c r="I177" s="1468">
        <f ca="1">OFFSET(RéfChamps!$U$5,0,IF(ProdS1="Biologique",0,3))</f>
        <v>4.2</v>
      </c>
      <c r="J177" s="996"/>
      <c r="K177" s="1072">
        <f ca="1">OFFSET(RéfChamps!$U$5,0,IF(ProdS2="Biologique",0,3))</f>
        <v>3.2</v>
      </c>
      <c r="L177" s="1073"/>
      <c r="M177" s="1072">
        <f ca="1">OFFSET(RéfChamps!$U$5,0,IF(ProdS3="Biologique",0,3))</f>
        <v>3.2</v>
      </c>
      <c r="N177" s="1073"/>
      <c r="O177" s="1072">
        <f ca="1">OFFSET(RéfChamps!$U$5,0,IF(ProdS4="Biologique",0,3))</f>
        <v>3.2</v>
      </c>
      <c r="P177" s="1073"/>
      <c r="Q177" s="1072">
        <f ca="1">OFFSET(RéfChamps!$U$5,0,IF(ProdS5="Biologique",0,3))</f>
        <v>3.2</v>
      </c>
    </row>
    <row r="178" spans="1:16383" hidden="1">
      <c r="B178" s="412" t="str">
        <f t="shared" si="10"/>
        <v>Seigle d'automne</v>
      </c>
      <c r="D178" s="765" t="s">
        <v>253</v>
      </c>
      <c r="E178" s="1371" t="s">
        <v>225</v>
      </c>
      <c r="F178" s="1945"/>
      <c r="G178" s="1946">
        <f ca="1">OFFSET(RéfChamps!$BU$5,0,IF(PrixS0="Biologique",0,3))</f>
        <v>190</v>
      </c>
      <c r="H178" s="994"/>
      <c r="I178" s="835">
        <f ca="1">OFFSET(RéfChamps!$BU$5,0,IF(PrixS1="Biologique",0,3))</f>
        <v>190</v>
      </c>
      <c r="J178" s="996"/>
      <c r="K178" s="835">
        <f ca="1">OFFSET(RéfChamps!$BU$5,0,IF(PrixS2="Biologique",0,3))</f>
        <v>190</v>
      </c>
      <c r="L178" s="1000"/>
      <c r="M178" s="835">
        <f ca="1">OFFSET(RéfChamps!$BU$5,0,IF(PrixS3="Biologique",0,3))</f>
        <v>190</v>
      </c>
      <c r="N178" s="1000"/>
      <c r="O178" s="835">
        <f ca="1">OFFSET(RéfChamps!$BU$5,0,IF(PrixS4="Biologique",0,3))</f>
        <v>600</v>
      </c>
      <c r="P178" s="1000"/>
      <c r="Q178" s="835">
        <f ca="1">OFFSET(RéfChamps!$BU$5,0,IF(PrixS5="Biologique",0,3))</f>
        <v>600</v>
      </c>
    </row>
    <row r="179" spans="1:16383" hidden="1">
      <c r="B179" s="412" t="str">
        <f t="shared" si="10"/>
        <v>Seigle d'automne</v>
      </c>
      <c r="D179" s="765" t="s">
        <v>282</v>
      </c>
      <c r="E179" s="1371" t="s">
        <v>254</v>
      </c>
      <c r="F179" s="1945"/>
      <c r="G179" s="1946">
        <f ca="1">SUMPRODUCT(OFFSET(RéfChamps!$U$5:$U$9,0,IF(ProdS0="Biologique",0,3)),OFFSET(RéfChamps!$V$5:$V$9,0,IF(PrixS0="Biologique",0,3)))</f>
        <v>1006.8249999999999</v>
      </c>
      <c r="H179" s="994"/>
      <c r="I179" s="835">
        <f ca="1">SUMPRODUCT(OFFSET(RéfChamps!$U$5:$U$9,0,IF(ProdS1="Biologique",0,3)),OFFSET(RéfChamps!$V$5:$V$9,0,IF(PrixS1="Biologique",0,3)))</f>
        <v>1459.325</v>
      </c>
      <c r="J179" s="997"/>
      <c r="K179" s="835">
        <f ca="1">SUMPRODUCT(OFFSET(RéfChamps!$U$5:$U$9,0,IF(ProdS2="Biologique",0,3)),OFFSET(RéfChamps!$V$5:$V$9,0,IF(PrixS2="Biologique",0,3)))</f>
        <v>1006.8249999999999</v>
      </c>
      <c r="L179" s="1000"/>
      <c r="M179" s="835">
        <f ca="1">SUMPRODUCT(OFFSET(RéfChamps!$U$5:$U$9,0,IF(ProdS3="Biologique",0,3)),OFFSET(RéfChamps!$V$5:$V$9,0,IF(PrixS3="Biologique",0,3)))</f>
        <v>1006.8249999999999</v>
      </c>
      <c r="N179" s="1000"/>
      <c r="O179" s="835">
        <f ca="1">SUMPRODUCT(OFFSET(RéfChamps!$U$5:$U$9,0,IF(ProdS4="Biologique",0,3)),OFFSET(RéfChamps!$V$5:$V$9,0,IF(PrixS4="Biologique",0,3)))</f>
        <v>2190.44</v>
      </c>
      <c r="P179" s="1000"/>
      <c r="Q179" s="835">
        <f ca="1">SUMPRODUCT(OFFSET(RéfChamps!$U$5:$U$9,0,IF(ProdS5="Biologique",0,3)),OFFSET(RéfChamps!$V$5:$V$9,0,IF(PrixS5="Biologique",0,3)))</f>
        <v>2190.44</v>
      </c>
    </row>
    <row r="180" spans="1:16383" hidden="1">
      <c r="B180" s="412" t="str">
        <f t="shared" si="10"/>
        <v>Seigle d'automne</v>
      </c>
      <c r="D180" s="765" t="s">
        <v>1457</v>
      </c>
      <c r="E180" s="1371" t="s">
        <v>254</v>
      </c>
      <c r="F180" s="1945"/>
      <c r="G180" s="1951">
        <f ca="1">IFERROR(G179-G176,"Erreur")</f>
        <v>75.769108666666511</v>
      </c>
      <c r="H180" s="994"/>
      <c r="I180" s="846">
        <f ca="1">IFERROR(I179-I176,"Erreur")</f>
        <v>508.30329300000005</v>
      </c>
      <c r="J180" s="998"/>
      <c r="K180" s="846">
        <f ca="1">IFERROR(K179-K176,"Erreur")</f>
        <v>75.769108666666511</v>
      </c>
      <c r="L180" s="1001"/>
      <c r="M180" s="846">
        <f ca="1">IFERROR(M179-M176,"Erreur")</f>
        <v>75.769108666666511</v>
      </c>
      <c r="N180" s="1001"/>
      <c r="O180" s="846">
        <f ca="1">IFERROR(O179-O176,"Erreur")</f>
        <v>1259.3841086666666</v>
      </c>
      <c r="P180" s="1001"/>
      <c r="Q180" s="846">
        <f ca="1">IFERROR(Q179-Q176,"Erreur")</f>
        <v>1259.3841086666666</v>
      </c>
    </row>
    <row r="181" spans="1:16383" s="36" customFormat="1" hidden="1">
      <c r="A181" s="409"/>
      <c r="B181" s="412" t="str">
        <f t="shared" si="10"/>
        <v>Seigle d'automne</v>
      </c>
      <c r="D181" s="2085" t="str">
        <f>"Détails pour le "&amp;LOWER(D175)</f>
        <v>Détails pour le seigle d'automne</v>
      </c>
      <c r="E181" s="1371"/>
      <c r="F181" s="1952"/>
      <c r="G181" s="1946"/>
      <c r="H181" s="994"/>
      <c r="I181" s="1612"/>
      <c r="J181" s="1002"/>
      <c r="K181" s="1612"/>
      <c r="L181" s="1002"/>
      <c r="M181" s="1612"/>
      <c r="N181" s="1002"/>
      <c r="O181" s="1612"/>
      <c r="P181" s="1002"/>
      <c r="Q181" s="1612"/>
      <c r="R181" s="1701"/>
    </row>
    <row r="182" spans="1:16383" ht="15" hidden="1" thickTop="1">
      <c r="B182" s="412" t="str">
        <f t="shared" ref="B182:B188" si="11">D$182</f>
        <v>Épeautre d'automne</v>
      </c>
      <c r="C182" s="2086" t="s">
        <v>275</v>
      </c>
      <c r="D182" s="832" t="s">
        <v>1291</v>
      </c>
      <c r="E182" s="1370" t="s">
        <v>224</v>
      </c>
      <c r="F182" s="1945" t="str">
        <f>IFERROR(G182/G$248,"")</f>
        <v/>
      </c>
      <c r="G182" s="1946">
        <f>SUMIFS(F$92:F$101,PlanRotationPaturageS0,$B182)+SUMIFS(F$78:F$87,PlanRotationS0,$B182)</f>
        <v>0</v>
      </c>
      <c r="H182" s="837" t="str">
        <f>IFERROR(I182/I$248,"")</f>
        <v/>
      </c>
      <c r="I182" s="845">
        <f>SUMIFS(H$92:H$101,PlanRotationPaturageS1,$B182)+SUMIFS(H$78:H$87,PlanRotationS1,$B182)</f>
        <v>0</v>
      </c>
      <c r="J182" s="839" t="str">
        <f>IFERROR(K182/K$248,"")</f>
        <v/>
      </c>
      <c r="K182" s="845">
        <f>SUMIFS(J$92:J$101,PlanRotationPaturageS2,$B182)+SUMIFS(J$78:J$87,PlanRotationS2,$B182)</f>
        <v>0</v>
      </c>
      <c r="L182" s="842" t="str">
        <f>IFERROR(M182/M$248,"")</f>
        <v/>
      </c>
      <c r="M182" s="845">
        <f>SUMIFS(L$92:L$101,PlanRotationPaturageS3,$B182)+SUMIFS(L$78:L$87,PlanRotationS3,$B182)</f>
        <v>0</v>
      </c>
      <c r="N182" s="842" t="str">
        <f>IFERROR(O182/O$248,"")</f>
        <v/>
      </c>
      <c r="O182" s="845">
        <f>SUMIFS(N$92:N$101,PlanRotationPaturageS4,$B182)+SUMIFS(N$78:N$87,PlanRotationS4,$B182)</f>
        <v>0</v>
      </c>
      <c r="P182" s="842" t="str">
        <f>IFERROR(Q182/Q$248,"")</f>
        <v/>
      </c>
      <c r="Q182" s="845">
        <f>SUMIFS(P$92:P$101,PlanRotationPaturageS5,$B182)+SUMIFS(P$78:P$87,PlanRotationS5,$B182)</f>
        <v>0</v>
      </c>
    </row>
    <row r="183" spans="1:16383" hidden="1">
      <c r="B183" s="412" t="str">
        <f t="shared" si="11"/>
        <v>Épeautre d'automne</v>
      </c>
      <c r="D183" s="765" t="s">
        <v>281</v>
      </c>
      <c r="E183" s="1371" t="s">
        <v>254</v>
      </c>
      <c r="F183" s="1953"/>
      <c r="G183" s="1946">
        <f ca="1">OFFSET(RéfChamps!$BV$55,0,IF(ProdS0="Biologique",0,3))</f>
        <v>817.21271993159201</v>
      </c>
      <c r="H183" s="469"/>
      <c r="I183" s="834">
        <f ca="1">OFFSET(RéfChamps!$BV$55,0,IF(ProdS1="Biologique",0,3))</f>
        <v>756.31762291666666</v>
      </c>
      <c r="J183" s="996"/>
      <c r="K183" s="834">
        <f ca="1">OFFSET(RéfChamps!$BV$55,0,IF(ProdS2="Biologique",0,3))</f>
        <v>817.21271993159201</v>
      </c>
      <c r="L183" s="999"/>
      <c r="M183" s="834">
        <f ca="1">OFFSET(RéfChamps!$BV$55,0,IF(ProdS3="Biologique",0,3))</f>
        <v>817.21271993159201</v>
      </c>
      <c r="N183" s="999"/>
      <c r="O183" s="834">
        <f ca="1">OFFSET(RéfChamps!$BV$55,0,IF(ProdS4="Biologique",0,3))</f>
        <v>817.21271993159201</v>
      </c>
      <c r="P183" s="999"/>
      <c r="Q183" s="834">
        <f ca="1">OFFSET(RéfChamps!$BV$55,0,IF(ProdS5="Biologique",0,3))</f>
        <v>817.21271993159201</v>
      </c>
      <c r="S183" s="14"/>
    </row>
    <row r="184" spans="1:16383" hidden="1">
      <c r="B184" s="412" t="str">
        <f t="shared" si="11"/>
        <v>Épeautre d'automne</v>
      </c>
      <c r="D184" s="765" t="s">
        <v>252</v>
      </c>
      <c r="E184" s="1371" t="s">
        <v>937</v>
      </c>
      <c r="F184" s="1945"/>
      <c r="G184" s="1946">
        <f ca="1">OFFSET(RéfChamps!$BT$5,0,IF(ProdS0="Biologique",0,3))</f>
        <v>2.5</v>
      </c>
      <c r="H184" s="469"/>
      <c r="I184" s="1468">
        <f ca="1">OFFSET(RéfChamps!$BT$5,0,IF(ProdS1="Biologique",0,3))</f>
        <v>2.5</v>
      </c>
      <c r="J184" s="996"/>
      <c r="K184" s="1072">
        <f ca="1">OFFSET(RéfChamps!$BT$5,0,IF(ProdS2="Biologique",0,3))</f>
        <v>2.5</v>
      </c>
      <c r="L184" s="1073"/>
      <c r="M184" s="1072">
        <f ca="1">OFFSET(RéfChamps!$BT$5,0,IF(ProdS3="Biologique",0,3))</f>
        <v>2.5</v>
      </c>
      <c r="N184" s="1073"/>
      <c r="O184" s="1072">
        <f ca="1">OFFSET(RéfChamps!$BT$5,0,IF(ProdS4="Biologique",0,3))</f>
        <v>2.5</v>
      </c>
      <c r="P184" s="1073"/>
      <c r="Q184" s="1072">
        <f ca="1">OFFSET(RéfChamps!$BT$5,0,IF(ProdS5="Biologique",0,3))</f>
        <v>2.5</v>
      </c>
    </row>
    <row r="185" spans="1:16383" hidden="1">
      <c r="B185" s="412" t="str">
        <f t="shared" si="11"/>
        <v>Épeautre d'automne</v>
      </c>
      <c r="D185" s="765" t="s">
        <v>253</v>
      </c>
      <c r="E185" s="1371" t="s">
        <v>225</v>
      </c>
      <c r="F185" s="1945"/>
      <c r="G185" s="1946">
        <f ca="1">OFFSET(RéfChamps!$BU$5,0,IF(PrixS0="Biologique",0,3))</f>
        <v>190</v>
      </c>
      <c r="H185" s="469"/>
      <c r="I185" s="835">
        <f ca="1">OFFSET(RéfChamps!$BU$5,0,IF(PrixS1="Biologique",0,3))</f>
        <v>190</v>
      </c>
      <c r="J185" s="996"/>
      <c r="K185" s="835">
        <f ca="1">OFFSET(RéfChamps!$BU$5,0,IF(PrixS2="Biologique",0,3))</f>
        <v>190</v>
      </c>
      <c r="L185" s="1000"/>
      <c r="M185" s="835">
        <f ca="1">OFFSET(RéfChamps!$BU$5,0,IF(PrixS3="Biologique",0,3))</f>
        <v>190</v>
      </c>
      <c r="N185" s="1000"/>
      <c r="O185" s="835">
        <f ca="1">OFFSET(RéfChamps!$BU$5,0,IF(PrixS4="Biologique",0,3))</f>
        <v>600</v>
      </c>
      <c r="P185" s="1000"/>
      <c r="Q185" s="835">
        <f ca="1">OFFSET(RéfChamps!$BU$5,0,IF(PrixS5="Biologique",0,3))</f>
        <v>600</v>
      </c>
    </row>
    <row r="186" spans="1:16383" hidden="1">
      <c r="B186" s="412" t="str">
        <f t="shared" si="11"/>
        <v>Épeautre d'automne</v>
      </c>
      <c r="D186" s="765" t="s">
        <v>282</v>
      </c>
      <c r="E186" s="1371" t="s">
        <v>254</v>
      </c>
      <c r="F186" s="1945"/>
      <c r="G186" s="1946">
        <f ca="1">SUMPRODUCT(OFFSET(RéfChamps!$BT$5:$BT$9,0,IF(ProdS0="Biologique",0,3)),OFFSET(RéfChamps!$BU$5:$BU$9,0,IF(PrixS0="Biologique",0,3)))</f>
        <v>623.77</v>
      </c>
      <c r="H186" s="469"/>
      <c r="I186" s="835">
        <f ca="1">SUMPRODUCT(OFFSET(RéfChamps!$BT$5:$BT$9,0,IF(ProdS1="Biologique",0,3)),OFFSET(RéfChamps!$BU$5:$BU$9,0,IF(PrixS1="Biologique",0,3)))</f>
        <v>623.77</v>
      </c>
      <c r="J186" s="997"/>
      <c r="K186" s="835">
        <f ca="1">SUMPRODUCT(OFFSET(RéfChamps!$BT$5:$BT$9,0,IF(ProdS2="Biologique",0,3)),OFFSET(RéfChamps!$BU$5:$BU$9,0,IF(PrixS2="Biologique",0,3)))</f>
        <v>623.77</v>
      </c>
      <c r="L186" s="1000"/>
      <c r="M186" s="835">
        <f ca="1">SUMPRODUCT(OFFSET(RéfChamps!$BT$5:$BT$9,0,IF(ProdS3="Biologique",0,3)),OFFSET(RéfChamps!$BU$5:$BU$9,0,IF(PrixS3="Biologique",0,3)))</f>
        <v>623.77</v>
      </c>
      <c r="N186" s="1000"/>
      <c r="O186" s="835">
        <f ca="1">SUMPRODUCT(OFFSET(RéfChamps!$BT$5:$BT$9,0,IF(ProdS4="Biologique",0,3)),OFFSET(RéfChamps!$BU$5:$BU$9,0,IF(PrixS4="Biologique",0,3)))</f>
        <v>1659.02</v>
      </c>
      <c r="P186" s="1000"/>
      <c r="Q186" s="835">
        <f ca="1">SUMPRODUCT(OFFSET(RéfChamps!$BT$5:$BT$9,0,IF(ProdS5="Biologique",0,3)),OFFSET(RéfChamps!$BU$5:$BU$9,0,IF(PrixS5="Biologique",0,3)))</f>
        <v>1659.02</v>
      </c>
    </row>
    <row r="187" spans="1:16383" s="346" customFormat="1" ht="15" hidden="1" thickBot="1">
      <c r="A187" s="413"/>
      <c r="B187" s="428" t="str">
        <f t="shared" si="11"/>
        <v>Épeautre d'automne</v>
      </c>
      <c r="D187" s="765" t="s">
        <v>1457</v>
      </c>
      <c r="E187" s="1371" t="s">
        <v>254</v>
      </c>
      <c r="F187" s="1945"/>
      <c r="G187" s="1951">
        <f ca="1">IFERROR(G186-G183,"Erreur")</f>
        <v>-193.44271993159202</v>
      </c>
      <c r="H187" s="469"/>
      <c r="I187" s="846">
        <f ca="1">IFERROR(I186-I183,"Erreur")</f>
        <v>-132.54762291666668</v>
      </c>
      <c r="J187" s="998"/>
      <c r="K187" s="846">
        <f ca="1">IFERROR(K186-K183,"Erreur")</f>
        <v>-193.44271993159202</v>
      </c>
      <c r="L187" s="1001"/>
      <c r="M187" s="846">
        <f ca="1">IFERROR(M186-M183,"Erreur")</f>
        <v>-193.44271993159202</v>
      </c>
      <c r="N187" s="1001"/>
      <c r="O187" s="846">
        <f ca="1">IFERROR(O186-O183,"Erreur")</f>
        <v>841.80728006840798</v>
      </c>
      <c r="P187" s="1001"/>
      <c r="Q187" s="846">
        <f ca="1">IFERROR(Q186-Q183,"Erreur")</f>
        <v>841.80728006840798</v>
      </c>
      <c r="R187" s="1698"/>
    </row>
    <row r="188" spans="1:16383" s="28" customFormat="1" ht="15.75" hidden="1" thickTop="1" thickBot="1">
      <c r="A188" s="411"/>
      <c r="B188" s="428" t="str">
        <f t="shared" si="11"/>
        <v>Épeautre d'automne</v>
      </c>
      <c r="C188" s="36"/>
      <c r="D188" s="2085" t="str">
        <f>"Détails pour l'"&amp;LOWER(D182)</f>
        <v>Détails pour l'épeautre d'automne</v>
      </c>
      <c r="E188" s="1371"/>
      <c r="F188" s="1952"/>
      <c r="G188" s="1946"/>
      <c r="H188" s="994"/>
      <c r="I188" s="1612"/>
      <c r="J188" s="1002"/>
      <c r="K188" s="1612"/>
      <c r="L188" s="1002"/>
      <c r="M188" s="1612"/>
      <c r="N188" s="1002"/>
      <c r="O188" s="1612"/>
      <c r="P188" s="1002"/>
      <c r="Q188" s="1612"/>
      <c r="R188" s="1701"/>
      <c r="S188" s="36"/>
      <c r="T188" s="36"/>
      <c r="U188" s="36"/>
      <c r="V188" s="36"/>
      <c r="W188" s="36"/>
      <c r="X188" s="36"/>
      <c r="Y188" s="36"/>
      <c r="Z188" s="36"/>
      <c r="AA188" s="36"/>
      <c r="AB188" s="36"/>
      <c r="AC188" s="36"/>
      <c r="AD188" s="36"/>
      <c r="AE188" s="36"/>
      <c r="AF188" s="36"/>
      <c r="AG188" s="36"/>
      <c r="AH188" s="36"/>
      <c r="AI188" s="36"/>
      <c r="AJ188" s="36"/>
      <c r="AK188" s="36"/>
      <c r="AL188" s="36"/>
      <c r="AM188" s="36"/>
      <c r="AN188" s="36"/>
      <c r="AO188" s="36"/>
      <c r="AP188" s="36"/>
      <c r="AQ188" s="36"/>
      <c r="AR188" s="36"/>
      <c r="AS188" s="36"/>
      <c r="AT188" s="36"/>
      <c r="AU188" s="36"/>
      <c r="AV188" s="36"/>
      <c r="AW188" s="36"/>
      <c r="AX188" s="36"/>
      <c r="AY188" s="36"/>
      <c r="AZ188" s="36"/>
      <c r="BA188" s="36"/>
      <c r="BB188" s="36"/>
      <c r="BC188" s="36"/>
      <c r="BD188" s="36"/>
      <c r="BE188" s="36"/>
      <c r="BF188" s="36"/>
      <c r="BG188" s="36"/>
      <c r="BH188" s="36"/>
      <c r="BI188" s="36"/>
      <c r="BJ188" s="36"/>
      <c r="BK188" s="36"/>
      <c r="BL188" s="36"/>
      <c r="BM188" s="36"/>
      <c r="BN188" s="36"/>
      <c r="BO188" s="36"/>
      <c r="BP188" s="36"/>
      <c r="BQ188" s="36"/>
      <c r="BR188" s="36"/>
      <c r="BS188" s="36"/>
      <c r="BT188" s="36"/>
      <c r="BU188" s="36"/>
      <c r="BV188" s="36"/>
      <c r="BW188" s="36"/>
      <c r="BX188" s="36"/>
      <c r="BY188" s="36"/>
      <c r="BZ188" s="36"/>
      <c r="CA188" s="36"/>
      <c r="CB188" s="36"/>
      <c r="CC188" s="36"/>
      <c r="CD188" s="36"/>
      <c r="CE188" s="36"/>
      <c r="CF188" s="36"/>
      <c r="CG188" s="36"/>
      <c r="CH188" s="36"/>
      <c r="CI188" s="36"/>
      <c r="CJ188" s="36"/>
      <c r="CK188" s="36"/>
      <c r="CL188" s="36"/>
      <c r="CM188" s="36"/>
      <c r="CN188" s="36"/>
      <c r="CO188" s="36"/>
      <c r="CP188" s="36"/>
      <c r="CQ188" s="36"/>
      <c r="CR188" s="36"/>
      <c r="CS188" s="36"/>
      <c r="CT188" s="36"/>
      <c r="CU188" s="36"/>
      <c r="CV188" s="36"/>
      <c r="CW188" s="36"/>
      <c r="CX188" s="36"/>
      <c r="CY188" s="36"/>
      <c r="CZ188" s="36"/>
      <c r="DA188" s="36"/>
      <c r="DB188" s="36"/>
      <c r="DC188" s="36"/>
      <c r="DD188" s="36"/>
      <c r="DE188" s="36"/>
      <c r="DF188" s="36"/>
      <c r="DG188" s="36"/>
      <c r="DH188" s="36"/>
      <c r="DI188" s="36"/>
      <c r="DJ188" s="36"/>
      <c r="DK188" s="36"/>
      <c r="DL188" s="36"/>
      <c r="DM188" s="36"/>
      <c r="DN188" s="36"/>
      <c r="DO188" s="36"/>
      <c r="DP188" s="36"/>
      <c r="DQ188" s="36"/>
      <c r="DR188" s="36"/>
      <c r="DS188" s="36"/>
      <c r="DT188" s="36"/>
      <c r="DU188" s="36"/>
      <c r="DV188" s="36"/>
      <c r="DW188" s="36"/>
      <c r="DX188" s="36"/>
      <c r="DY188" s="36"/>
      <c r="DZ188" s="36"/>
      <c r="EA188" s="36"/>
      <c r="EB188" s="36"/>
      <c r="EC188" s="36"/>
      <c r="ED188" s="36"/>
      <c r="EE188" s="36"/>
      <c r="EF188" s="36"/>
      <c r="EG188" s="36"/>
      <c r="EH188" s="36"/>
      <c r="EI188" s="36"/>
      <c r="EJ188" s="36"/>
      <c r="EK188" s="36"/>
      <c r="EL188" s="36"/>
      <c r="EM188" s="36"/>
      <c r="EN188" s="36"/>
      <c r="EO188" s="36"/>
      <c r="EP188" s="36"/>
      <c r="EQ188" s="36"/>
      <c r="ER188" s="36"/>
      <c r="ES188" s="36"/>
      <c r="ET188" s="36"/>
      <c r="EU188" s="36"/>
      <c r="EV188" s="36"/>
      <c r="EW188" s="36"/>
      <c r="EX188" s="36"/>
      <c r="EY188" s="36"/>
      <c r="EZ188" s="36"/>
      <c r="FA188" s="36"/>
      <c r="FB188" s="36"/>
      <c r="FC188" s="36"/>
      <c r="FD188" s="36"/>
      <c r="FE188" s="36"/>
      <c r="FF188" s="36"/>
      <c r="FG188" s="36"/>
      <c r="FH188" s="36"/>
      <c r="FI188" s="36"/>
      <c r="FJ188" s="36"/>
      <c r="FK188" s="36"/>
      <c r="FL188" s="36"/>
      <c r="FM188" s="36"/>
      <c r="FN188" s="36"/>
      <c r="FO188" s="36"/>
      <c r="FP188" s="36"/>
      <c r="FQ188" s="36"/>
      <c r="FR188" s="36"/>
      <c r="FS188" s="36"/>
      <c r="FT188" s="36"/>
      <c r="FU188" s="36"/>
      <c r="FV188" s="36"/>
      <c r="FW188" s="36"/>
      <c r="FX188" s="36"/>
      <c r="FY188" s="36"/>
      <c r="FZ188" s="36"/>
      <c r="GA188" s="36"/>
      <c r="GB188" s="36"/>
      <c r="GC188" s="36"/>
      <c r="GD188" s="36"/>
      <c r="GE188" s="36"/>
      <c r="GF188" s="36"/>
      <c r="GG188" s="36"/>
      <c r="GH188" s="36"/>
      <c r="GI188" s="36"/>
      <c r="GJ188" s="36"/>
      <c r="GK188" s="36"/>
      <c r="GL188" s="36"/>
      <c r="GM188" s="36"/>
      <c r="GN188" s="36"/>
      <c r="GO188" s="36"/>
      <c r="GP188" s="36"/>
      <c r="GQ188" s="36"/>
      <c r="GR188" s="36"/>
      <c r="GS188" s="36"/>
      <c r="GT188" s="36"/>
      <c r="GU188" s="36"/>
      <c r="GV188" s="36"/>
      <c r="GW188" s="36"/>
      <c r="GX188" s="36"/>
      <c r="GY188" s="36"/>
      <c r="GZ188" s="36"/>
      <c r="HA188" s="36"/>
      <c r="HB188" s="36"/>
      <c r="HC188" s="36"/>
      <c r="HD188" s="36"/>
      <c r="HE188" s="36"/>
      <c r="HF188" s="36"/>
      <c r="HG188" s="36"/>
      <c r="HH188" s="36"/>
      <c r="HI188" s="36"/>
      <c r="HJ188" s="36"/>
      <c r="HK188" s="36"/>
      <c r="HL188" s="36"/>
      <c r="HM188" s="36"/>
      <c r="HN188" s="36"/>
      <c r="HO188" s="36"/>
      <c r="HP188" s="36"/>
      <c r="HQ188" s="36"/>
      <c r="HR188" s="36"/>
      <c r="HS188" s="36"/>
      <c r="HT188" s="36"/>
      <c r="HU188" s="36"/>
      <c r="HV188" s="36"/>
      <c r="HW188" s="36"/>
      <c r="HX188" s="36"/>
      <c r="HY188" s="36"/>
      <c r="HZ188" s="36"/>
      <c r="IA188" s="36"/>
      <c r="IB188" s="36"/>
      <c r="IC188" s="36"/>
      <c r="ID188" s="36"/>
      <c r="IE188" s="36"/>
      <c r="IF188" s="36"/>
      <c r="IG188" s="36"/>
      <c r="IH188" s="36"/>
      <c r="II188" s="36"/>
      <c r="IJ188" s="36"/>
      <c r="IK188" s="36"/>
      <c r="IL188" s="36"/>
      <c r="IM188" s="36"/>
      <c r="IN188" s="36"/>
      <c r="IO188" s="36"/>
      <c r="IP188" s="36"/>
      <c r="IQ188" s="36"/>
      <c r="IR188" s="36"/>
      <c r="IS188" s="36"/>
      <c r="IT188" s="36"/>
      <c r="IU188" s="36"/>
      <c r="IV188" s="36"/>
      <c r="IW188" s="36"/>
      <c r="IX188" s="36"/>
      <c r="IY188" s="36"/>
      <c r="IZ188" s="36"/>
      <c r="JA188" s="36"/>
      <c r="JB188" s="36"/>
      <c r="JC188" s="36"/>
      <c r="JD188" s="36"/>
      <c r="JE188" s="36"/>
      <c r="JF188" s="36"/>
      <c r="JG188" s="36"/>
      <c r="JH188" s="36"/>
      <c r="JI188" s="36"/>
      <c r="JJ188" s="36"/>
      <c r="JK188" s="36"/>
      <c r="JL188" s="36"/>
      <c r="JM188" s="36"/>
      <c r="JN188" s="36"/>
      <c r="JO188" s="36"/>
      <c r="JP188" s="36"/>
      <c r="JQ188" s="36"/>
      <c r="JR188" s="36"/>
      <c r="JS188" s="36"/>
      <c r="JT188" s="36"/>
      <c r="JU188" s="36"/>
      <c r="JV188" s="36"/>
      <c r="JW188" s="36"/>
      <c r="JX188" s="36"/>
      <c r="JY188" s="36"/>
      <c r="JZ188" s="36"/>
      <c r="KA188" s="36"/>
      <c r="KB188" s="36"/>
      <c r="KC188" s="36"/>
      <c r="KD188" s="36"/>
      <c r="KE188" s="36"/>
      <c r="KF188" s="36"/>
      <c r="KG188" s="36"/>
      <c r="KH188" s="36"/>
      <c r="KI188" s="36"/>
      <c r="KJ188" s="36"/>
      <c r="KK188" s="36"/>
      <c r="KL188" s="36"/>
      <c r="KM188" s="36"/>
      <c r="KN188" s="36"/>
      <c r="KO188" s="36"/>
      <c r="KP188" s="36"/>
      <c r="KQ188" s="36"/>
      <c r="KR188" s="36"/>
      <c r="KS188" s="36"/>
      <c r="KT188" s="36"/>
      <c r="KU188" s="36"/>
      <c r="KV188" s="36"/>
      <c r="KW188" s="36"/>
      <c r="KX188" s="36"/>
      <c r="KY188" s="36"/>
      <c r="KZ188" s="36"/>
      <c r="LA188" s="36"/>
      <c r="LB188" s="36"/>
      <c r="LC188" s="36"/>
      <c r="LD188" s="36"/>
      <c r="LE188" s="36"/>
      <c r="LF188" s="36"/>
      <c r="LG188" s="36"/>
      <c r="LH188" s="36"/>
      <c r="LI188" s="36"/>
      <c r="LJ188" s="36"/>
      <c r="LK188" s="36"/>
      <c r="LL188" s="36"/>
      <c r="LM188" s="36"/>
      <c r="LN188" s="36"/>
      <c r="LO188" s="36"/>
      <c r="LP188" s="36"/>
      <c r="LQ188" s="36"/>
      <c r="LR188" s="36"/>
      <c r="LS188" s="36"/>
      <c r="LT188" s="36"/>
      <c r="LU188" s="36"/>
      <c r="LV188" s="36"/>
      <c r="LW188" s="36"/>
      <c r="LX188" s="36"/>
      <c r="LY188" s="36"/>
      <c r="LZ188" s="36"/>
      <c r="MA188" s="36"/>
      <c r="MB188" s="36"/>
      <c r="MC188" s="36"/>
      <c r="MD188" s="36"/>
      <c r="ME188" s="36"/>
      <c r="MF188" s="36"/>
      <c r="MG188" s="36"/>
      <c r="MH188" s="36"/>
      <c r="MI188" s="36"/>
      <c r="MJ188" s="36"/>
      <c r="MK188" s="36"/>
      <c r="ML188" s="36"/>
      <c r="MM188" s="36"/>
      <c r="MN188" s="36"/>
      <c r="MO188" s="36"/>
      <c r="MP188" s="36"/>
      <c r="MQ188" s="36"/>
      <c r="MR188" s="36"/>
      <c r="MS188" s="36"/>
      <c r="MT188" s="36"/>
      <c r="MU188" s="36"/>
      <c r="MV188" s="36"/>
      <c r="MW188" s="36"/>
      <c r="MX188" s="36"/>
      <c r="MY188" s="36"/>
      <c r="MZ188" s="36"/>
      <c r="NA188" s="36"/>
      <c r="NB188" s="36"/>
      <c r="NC188" s="36"/>
      <c r="ND188" s="36"/>
      <c r="NE188" s="36"/>
      <c r="NF188" s="36"/>
      <c r="NG188" s="36"/>
      <c r="NH188" s="36"/>
      <c r="NI188" s="36"/>
      <c r="NJ188" s="36"/>
      <c r="NK188" s="36"/>
      <c r="NL188" s="36"/>
      <c r="NM188" s="36"/>
      <c r="NN188" s="36"/>
      <c r="NO188" s="36"/>
      <c r="NP188" s="36"/>
      <c r="NQ188" s="36"/>
      <c r="NR188" s="36"/>
      <c r="NS188" s="36"/>
      <c r="NT188" s="36"/>
      <c r="NU188" s="36"/>
      <c r="NV188" s="36"/>
      <c r="NW188" s="36"/>
      <c r="NX188" s="36"/>
      <c r="NY188" s="36"/>
      <c r="NZ188" s="36"/>
      <c r="OA188" s="36"/>
      <c r="OB188" s="36"/>
      <c r="OC188" s="36"/>
      <c r="OD188" s="36"/>
      <c r="OE188" s="36"/>
      <c r="OF188" s="36"/>
      <c r="OG188" s="36"/>
      <c r="OH188" s="36"/>
      <c r="OI188" s="36"/>
      <c r="OJ188" s="36"/>
      <c r="OK188" s="36"/>
      <c r="OL188" s="36"/>
      <c r="OM188" s="36"/>
      <c r="ON188" s="36"/>
      <c r="OO188" s="36"/>
      <c r="OP188" s="36"/>
      <c r="OQ188" s="36"/>
      <c r="OR188" s="36"/>
      <c r="OS188" s="36"/>
      <c r="OT188" s="36"/>
      <c r="OU188" s="36"/>
      <c r="OV188" s="36"/>
      <c r="OW188" s="36"/>
      <c r="OX188" s="36"/>
      <c r="OY188" s="36"/>
      <c r="OZ188" s="36"/>
      <c r="PA188" s="36"/>
      <c r="PB188" s="36"/>
      <c r="PC188" s="36"/>
      <c r="PD188" s="36"/>
      <c r="PE188" s="36"/>
      <c r="PF188" s="36"/>
      <c r="PG188" s="36"/>
      <c r="PH188" s="36"/>
      <c r="PI188" s="36"/>
      <c r="PJ188" s="36"/>
      <c r="PK188" s="36"/>
      <c r="PL188" s="36"/>
      <c r="PM188" s="36"/>
      <c r="PN188" s="36"/>
      <c r="PO188" s="36"/>
      <c r="PP188" s="36"/>
      <c r="PQ188" s="36"/>
      <c r="PR188" s="36"/>
      <c r="PS188" s="36"/>
      <c r="PT188" s="36"/>
      <c r="PU188" s="36"/>
      <c r="PV188" s="36"/>
      <c r="PW188" s="36"/>
      <c r="PX188" s="36"/>
      <c r="PY188" s="36"/>
      <c r="PZ188" s="36"/>
      <c r="QA188" s="36"/>
      <c r="QB188" s="36"/>
      <c r="QC188" s="36"/>
      <c r="QD188" s="36"/>
      <c r="QE188" s="36"/>
      <c r="QF188" s="36"/>
      <c r="QG188" s="36"/>
      <c r="QH188" s="36"/>
      <c r="QI188" s="36"/>
      <c r="QJ188" s="36"/>
      <c r="QK188" s="36"/>
      <c r="QL188" s="36"/>
      <c r="QM188" s="36"/>
      <c r="QN188" s="36"/>
      <c r="QO188" s="36"/>
      <c r="QP188" s="36"/>
      <c r="QQ188" s="36"/>
      <c r="QR188" s="36"/>
      <c r="QS188" s="36"/>
      <c r="QT188" s="36"/>
      <c r="QU188" s="36"/>
      <c r="QV188" s="36"/>
      <c r="QW188" s="36"/>
      <c r="QX188" s="36"/>
      <c r="QY188" s="36"/>
      <c r="QZ188" s="36"/>
      <c r="RA188" s="36"/>
      <c r="RB188" s="36"/>
      <c r="RC188" s="36"/>
      <c r="RD188" s="36"/>
      <c r="RE188" s="36"/>
      <c r="RF188" s="36"/>
      <c r="RG188" s="36"/>
      <c r="RH188" s="36"/>
      <c r="RI188" s="36"/>
      <c r="RJ188" s="36"/>
      <c r="RK188" s="36"/>
      <c r="RL188" s="36"/>
      <c r="RM188" s="36"/>
      <c r="RN188" s="36"/>
      <c r="RO188" s="36"/>
      <c r="RP188" s="36"/>
      <c r="RQ188" s="36"/>
      <c r="RR188" s="36"/>
      <c r="RS188" s="36"/>
      <c r="RT188" s="36"/>
      <c r="RU188" s="36"/>
      <c r="RV188" s="36"/>
      <c r="RW188" s="36"/>
      <c r="RX188" s="36"/>
      <c r="RY188" s="36"/>
      <c r="RZ188" s="36"/>
      <c r="SA188" s="36"/>
      <c r="SB188" s="36"/>
      <c r="SC188" s="36"/>
      <c r="SD188" s="36"/>
      <c r="SE188" s="36"/>
      <c r="SF188" s="36"/>
      <c r="SG188" s="36"/>
      <c r="SH188" s="36"/>
      <c r="SI188" s="36"/>
      <c r="SJ188" s="36"/>
      <c r="SK188" s="36"/>
      <c r="SL188" s="36"/>
      <c r="SM188" s="36"/>
      <c r="SN188" s="36"/>
      <c r="SO188" s="36"/>
      <c r="SP188" s="36"/>
      <c r="SQ188" s="36"/>
      <c r="SR188" s="36"/>
      <c r="SS188" s="36"/>
      <c r="ST188" s="36"/>
      <c r="SU188" s="36"/>
      <c r="SV188" s="36"/>
      <c r="SW188" s="36"/>
      <c r="SX188" s="36"/>
      <c r="SY188" s="36"/>
      <c r="SZ188" s="36"/>
      <c r="TA188" s="36"/>
      <c r="TB188" s="36"/>
      <c r="TC188" s="36"/>
      <c r="TD188" s="36"/>
      <c r="TE188" s="36"/>
      <c r="TF188" s="36"/>
      <c r="TG188" s="36"/>
      <c r="TH188" s="36"/>
      <c r="TI188" s="36"/>
      <c r="TJ188" s="36"/>
      <c r="TK188" s="36"/>
      <c r="TL188" s="36"/>
      <c r="TM188" s="36"/>
      <c r="TN188" s="36"/>
      <c r="TO188" s="36"/>
      <c r="TP188" s="36"/>
      <c r="TQ188" s="36"/>
      <c r="TR188" s="36"/>
      <c r="TS188" s="36"/>
      <c r="TT188" s="36"/>
      <c r="TU188" s="36"/>
      <c r="TV188" s="36"/>
      <c r="TW188" s="36"/>
      <c r="TX188" s="36"/>
      <c r="TY188" s="36"/>
      <c r="TZ188" s="36"/>
      <c r="UA188" s="36"/>
      <c r="UB188" s="36"/>
      <c r="UC188" s="36"/>
      <c r="UD188" s="36"/>
      <c r="UE188" s="36"/>
      <c r="UF188" s="36"/>
      <c r="UG188" s="36"/>
      <c r="UH188" s="36"/>
      <c r="UI188" s="36"/>
      <c r="UJ188" s="36"/>
      <c r="UK188" s="36"/>
      <c r="UL188" s="36"/>
      <c r="UM188" s="36"/>
      <c r="UN188" s="36"/>
      <c r="UO188" s="36"/>
      <c r="UP188" s="36"/>
      <c r="UQ188" s="36"/>
      <c r="UR188" s="36"/>
      <c r="US188" s="36"/>
      <c r="UT188" s="36"/>
      <c r="UU188" s="36"/>
      <c r="UV188" s="36"/>
      <c r="UW188" s="36"/>
      <c r="UX188" s="36"/>
      <c r="UY188" s="36"/>
      <c r="UZ188" s="36"/>
      <c r="VA188" s="36"/>
      <c r="VB188" s="36"/>
      <c r="VC188" s="36"/>
      <c r="VD188" s="36"/>
      <c r="VE188" s="36"/>
      <c r="VF188" s="36"/>
      <c r="VG188" s="36"/>
      <c r="VH188" s="36"/>
      <c r="VI188" s="36"/>
      <c r="VJ188" s="36"/>
      <c r="VK188" s="36"/>
      <c r="VL188" s="36"/>
      <c r="VM188" s="36"/>
      <c r="VN188" s="36"/>
      <c r="VO188" s="36"/>
      <c r="VP188" s="36"/>
      <c r="VQ188" s="36"/>
      <c r="VR188" s="36"/>
      <c r="VS188" s="36"/>
      <c r="VT188" s="36"/>
      <c r="VU188" s="36"/>
      <c r="VV188" s="36"/>
      <c r="VW188" s="36"/>
      <c r="VX188" s="36"/>
      <c r="VY188" s="36"/>
      <c r="VZ188" s="36"/>
      <c r="WA188" s="36"/>
      <c r="WB188" s="36"/>
      <c r="WC188" s="36"/>
      <c r="WD188" s="36"/>
      <c r="WE188" s="36"/>
      <c r="WF188" s="36"/>
      <c r="WG188" s="36"/>
      <c r="WH188" s="36"/>
      <c r="WI188" s="36"/>
      <c r="WJ188" s="36"/>
      <c r="WK188" s="36"/>
      <c r="WL188" s="36"/>
      <c r="WM188" s="36"/>
      <c r="WN188" s="36"/>
      <c r="WO188" s="36"/>
      <c r="WP188" s="36"/>
      <c r="WQ188" s="36"/>
      <c r="WR188" s="36"/>
      <c r="WS188" s="36"/>
      <c r="WT188" s="36"/>
      <c r="WU188" s="36"/>
      <c r="WV188" s="36"/>
      <c r="WW188" s="36"/>
      <c r="WX188" s="36"/>
      <c r="WY188" s="36"/>
      <c r="WZ188" s="36"/>
      <c r="XA188" s="36"/>
      <c r="XB188" s="36"/>
      <c r="XC188" s="36"/>
      <c r="XD188" s="36"/>
      <c r="XE188" s="36"/>
      <c r="XF188" s="36"/>
      <c r="XG188" s="36"/>
      <c r="XH188" s="36"/>
      <c r="XI188" s="36"/>
      <c r="XJ188" s="36"/>
      <c r="XK188" s="36"/>
      <c r="XL188" s="36"/>
      <c r="XM188" s="36"/>
      <c r="XN188" s="36"/>
      <c r="XO188" s="36"/>
      <c r="XP188" s="36"/>
      <c r="XQ188" s="36"/>
      <c r="XR188" s="36"/>
      <c r="XS188" s="36"/>
      <c r="XT188" s="36"/>
      <c r="XU188" s="36"/>
      <c r="XV188" s="36"/>
      <c r="XW188" s="36"/>
      <c r="XX188" s="36"/>
      <c r="XY188" s="36"/>
      <c r="XZ188" s="36"/>
      <c r="YA188" s="36"/>
      <c r="YB188" s="36"/>
      <c r="YC188" s="36"/>
      <c r="YD188" s="36"/>
      <c r="YE188" s="36"/>
      <c r="YF188" s="36"/>
      <c r="YG188" s="36"/>
      <c r="YH188" s="36"/>
      <c r="YI188" s="36"/>
      <c r="YJ188" s="36"/>
      <c r="YK188" s="36"/>
      <c r="YL188" s="36"/>
      <c r="YM188" s="36"/>
      <c r="YN188" s="36"/>
      <c r="YO188" s="36"/>
      <c r="YP188" s="36"/>
      <c r="YQ188" s="36"/>
      <c r="YR188" s="36"/>
      <c r="YS188" s="36"/>
      <c r="YT188" s="36"/>
      <c r="YU188" s="36"/>
      <c r="YV188" s="36"/>
      <c r="YW188" s="36"/>
      <c r="YX188" s="36"/>
      <c r="YY188" s="36"/>
      <c r="YZ188" s="36"/>
      <c r="ZA188" s="36"/>
      <c r="ZB188" s="36"/>
      <c r="ZC188" s="36"/>
      <c r="ZD188" s="36"/>
      <c r="ZE188" s="36"/>
      <c r="ZF188" s="36"/>
      <c r="ZG188" s="36"/>
      <c r="ZH188" s="36"/>
      <c r="ZI188" s="36"/>
      <c r="ZJ188" s="36"/>
      <c r="ZK188" s="36"/>
      <c r="ZL188" s="36"/>
      <c r="ZM188" s="36"/>
      <c r="ZN188" s="36"/>
      <c r="ZO188" s="36"/>
      <c r="ZP188" s="36"/>
      <c r="ZQ188" s="36"/>
      <c r="ZR188" s="36"/>
      <c r="ZS188" s="36"/>
      <c r="ZT188" s="36"/>
      <c r="ZU188" s="36"/>
      <c r="ZV188" s="36"/>
      <c r="ZW188" s="36"/>
      <c r="ZX188" s="36"/>
      <c r="ZY188" s="36"/>
      <c r="ZZ188" s="36"/>
      <c r="AAA188" s="36"/>
      <c r="AAB188" s="36"/>
      <c r="AAC188" s="36"/>
      <c r="AAD188" s="36"/>
      <c r="AAE188" s="36"/>
      <c r="AAF188" s="36"/>
      <c r="AAG188" s="36"/>
      <c r="AAH188" s="36"/>
      <c r="AAI188" s="36"/>
      <c r="AAJ188" s="36"/>
      <c r="AAK188" s="36"/>
      <c r="AAL188" s="36"/>
      <c r="AAM188" s="36"/>
      <c r="AAN188" s="36"/>
      <c r="AAO188" s="36"/>
      <c r="AAP188" s="36"/>
      <c r="AAQ188" s="36"/>
      <c r="AAR188" s="36"/>
      <c r="AAS188" s="36"/>
      <c r="AAT188" s="36"/>
      <c r="AAU188" s="36"/>
      <c r="AAV188" s="36"/>
      <c r="AAW188" s="36"/>
      <c r="AAX188" s="36"/>
      <c r="AAY188" s="36"/>
      <c r="AAZ188" s="36"/>
      <c r="ABA188" s="36"/>
      <c r="ABB188" s="36"/>
      <c r="ABC188" s="36"/>
      <c r="ABD188" s="36"/>
      <c r="ABE188" s="36"/>
      <c r="ABF188" s="36"/>
      <c r="ABG188" s="36"/>
      <c r="ABH188" s="36"/>
      <c r="ABI188" s="36"/>
      <c r="ABJ188" s="36"/>
      <c r="ABK188" s="36"/>
      <c r="ABL188" s="36"/>
      <c r="ABM188" s="36"/>
      <c r="ABN188" s="36"/>
      <c r="ABO188" s="36"/>
      <c r="ABP188" s="36"/>
      <c r="ABQ188" s="36"/>
      <c r="ABR188" s="36"/>
      <c r="ABS188" s="36"/>
      <c r="ABT188" s="36"/>
      <c r="ABU188" s="36"/>
      <c r="ABV188" s="36"/>
      <c r="ABW188" s="36"/>
      <c r="ABX188" s="36"/>
      <c r="ABY188" s="36"/>
      <c r="ABZ188" s="36"/>
      <c r="ACA188" s="36"/>
      <c r="ACB188" s="36"/>
      <c r="ACC188" s="36"/>
      <c r="ACD188" s="36"/>
      <c r="ACE188" s="36"/>
      <c r="ACF188" s="36"/>
      <c r="ACG188" s="36"/>
      <c r="ACH188" s="36"/>
      <c r="ACI188" s="36"/>
      <c r="ACJ188" s="36"/>
      <c r="ACK188" s="36"/>
      <c r="ACL188" s="36"/>
      <c r="ACM188" s="36"/>
      <c r="ACN188" s="36"/>
      <c r="ACO188" s="36"/>
      <c r="ACP188" s="36"/>
      <c r="ACQ188" s="36"/>
      <c r="ACR188" s="36"/>
      <c r="ACS188" s="36"/>
      <c r="ACT188" s="36"/>
      <c r="ACU188" s="36"/>
      <c r="ACV188" s="36"/>
      <c r="ACW188" s="36"/>
      <c r="ACX188" s="36"/>
      <c r="ACY188" s="36"/>
      <c r="ACZ188" s="36"/>
      <c r="ADA188" s="36"/>
      <c r="ADB188" s="36"/>
      <c r="ADC188" s="36"/>
      <c r="ADD188" s="36"/>
      <c r="ADE188" s="36"/>
      <c r="ADF188" s="36"/>
      <c r="ADG188" s="36"/>
      <c r="ADH188" s="36"/>
      <c r="ADI188" s="36"/>
      <c r="ADJ188" s="36"/>
      <c r="ADK188" s="36"/>
      <c r="ADL188" s="36"/>
      <c r="ADM188" s="36"/>
      <c r="ADN188" s="36"/>
      <c r="ADO188" s="36"/>
      <c r="ADP188" s="36"/>
      <c r="ADQ188" s="36"/>
      <c r="ADR188" s="36"/>
      <c r="ADS188" s="36"/>
      <c r="ADT188" s="36"/>
      <c r="ADU188" s="36"/>
      <c r="ADV188" s="36"/>
      <c r="ADW188" s="36"/>
      <c r="ADX188" s="36"/>
      <c r="ADY188" s="36"/>
      <c r="ADZ188" s="36"/>
      <c r="AEA188" s="36"/>
      <c r="AEB188" s="36"/>
      <c r="AEC188" s="36"/>
      <c r="AED188" s="36"/>
      <c r="AEE188" s="36"/>
      <c r="AEF188" s="36"/>
      <c r="AEG188" s="36"/>
      <c r="AEH188" s="36"/>
      <c r="AEI188" s="36"/>
      <c r="AEJ188" s="36"/>
      <c r="AEK188" s="36"/>
      <c r="AEL188" s="36"/>
      <c r="AEM188" s="36"/>
      <c r="AEN188" s="36"/>
      <c r="AEO188" s="36"/>
      <c r="AEP188" s="36"/>
      <c r="AEQ188" s="36"/>
      <c r="AER188" s="36"/>
      <c r="AES188" s="36"/>
      <c r="AET188" s="36"/>
      <c r="AEU188" s="36"/>
      <c r="AEV188" s="36"/>
      <c r="AEW188" s="36"/>
      <c r="AEX188" s="36"/>
      <c r="AEY188" s="36"/>
      <c r="AEZ188" s="36"/>
      <c r="AFA188" s="36"/>
      <c r="AFB188" s="36"/>
      <c r="AFC188" s="36"/>
      <c r="AFD188" s="36"/>
      <c r="AFE188" s="36"/>
      <c r="AFF188" s="36"/>
      <c r="AFG188" s="36"/>
      <c r="AFH188" s="36"/>
      <c r="AFI188" s="36"/>
      <c r="AFJ188" s="36"/>
      <c r="AFK188" s="36"/>
      <c r="AFL188" s="36"/>
      <c r="AFM188" s="36"/>
      <c r="AFN188" s="36"/>
      <c r="AFO188" s="36"/>
      <c r="AFP188" s="36"/>
      <c r="AFQ188" s="36"/>
      <c r="AFR188" s="36"/>
      <c r="AFS188" s="36"/>
      <c r="AFT188" s="36"/>
      <c r="AFU188" s="36"/>
      <c r="AFV188" s="36"/>
      <c r="AFW188" s="36"/>
      <c r="AFX188" s="36"/>
      <c r="AFY188" s="36"/>
      <c r="AFZ188" s="36"/>
      <c r="AGA188" s="36"/>
      <c r="AGB188" s="36"/>
      <c r="AGC188" s="36"/>
      <c r="AGD188" s="36"/>
      <c r="AGE188" s="36"/>
      <c r="AGF188" s="36"/>
      <c r="AGG188" s="36"/>
      <c r="AGH188" s="36"/>
      <c r="AGI188" s="36"/>
      <c r="AGJ188" s="36"/>
      <c r="AGK188" s="36"/>
      <c r="AGL188" s="36"/>
      <c r="AGM188" s="36"/>
      <c r="AGN188" s="36"/>
      <c r="AGO188" s="36"/>
      <c r="AGP188" s="36"/>
      <c r="AGQ188" s="36"/>
      <c r="AGR188" s="36"/>
      <c r="AGS188" s="36"/>
      <c r="AGT188" s="36"/>
      <c r="AGU188" s="36"/>
      <c r="AGV188" s="36"/>
      <c r="AGW188" s="36"/>
      <c r="AGX188" s="36"/>
      <c r="AGY188" s="36"/>
      <c r="AGZ188" s="36"/>
      <c r="AHA188" s="36"/>
      <c r="AHB188" s="36"/>
      <c r="AHC188" s="36"/>
      <c r="AHD188" s="36"/>
      <c r="AHE188" s="36"/>
      <c r="AHF188" s="36"/>
      <c r="AHG188" s="36"/>
      <c r="AHH188" s="36"/>
      <c r="AHI188" s="36"/>
      <c r="AHJ188" s="36"/>
      <c r="AHK188" s="36"/>
      <c r="AHL188" s="36"/>
      <c r="AHM188" s="36"/>
      <c r="AHN188" s="36"/>
      <c r="AHO188" s="36"/>
      <c r="AHP188" s="36"/>
      <c r="AHQ188" s="36"/>
      <c r="AHR188" s="36"/>
      <c r="AHS188" s="36"/>
      <c r="AHT188" s="36"/>
      <c r="AHU188" s="36"/>
      <c r="AHV188" s="36"/>
      <c r="AHW188" s="36"/>
      <c r="AHX188" s="36"/>
      <c r="AHY188" s="36"/>
      <c r="AHZ188" s="36"/>
      <c r="AIA188" s="36"/>
      <c r="AIB188" s="36"/>
      <c r="AIC188" s="36"/>
      <c r="AID188" s="36"/>
      <c r="AIE188" s="36"/>
      <c r="AIF188" s="36"/>
      <c r="AIG188" s="36"/>
      <c r="AIH188" s="36"/>
      <c r="AII188" s="36"/>
      <c r="AIJ188" s="36"/>
      <c r="AIK188" s="36"/>
      <c r="AIL188" s="36"/>
      <c r="AIM188" s="36"/>
      <c r="AIN188" s="36"/>
      <c r="AIO188" s="36"/>
      <c r="AIP188" s="36"/>
      <c r="AIQ188" s="36"/>
      <c r="AIR188" s="36"/>
      <c r="AIS188" s="36"/>
      <c r="AIT188" s="36"/>
      <c r="AIU188" s="36"/>
      <c r="AIV188" s="36"/>
      <c r="AIW188" s="36"/>
      <c r="AIX188" s="36"/>
      <c r="AIY188" s="36"/>
      <c r="AIZ188" s="36"/>
      <c r="AJA188" s="36"/>
      <c r="AJB188" s="36"/>
      <c r="AJC188" s="36"/>
      <c r="AJD188" s="36"/>
      <c r="AJE188" s="36"/>
      <c r="AJF188" s="36"/>
      <c r="AJG188" s="36"/>
      <c r="AJH188" s="36"/>
      <c r="AJI188" s="36"/>
      <c r="AJJ188" s="36"/>
      <c r="AJK188" s="36"/>
      <c r="AJL188" s="36"/>
      <c r="AJM188" s="36"/>
      <c r="AJN188" s="36"/>
      <c r="AJO188" s="36"/>
      <c r="AJP188" s="36"/>
      <c r="AJQ188" s="36"/>
      <c r="AJR188" s="36"/>
      <c r="AJS188" s="36"/>
      <c r="AJT188" s="36"/>
      <c r="AJU188" s="36"/>
      <c r="AJV188" s="36"/>
      <c r="AJW188" s="36"/>
      <c r="AJX188" s="36"/>
      <c r="AJY188" s="36"/>
      <c r="AJZ188" s="36"/>
      <c r="AKA188" s="36"/>
      <c r="AKB188" s="36"/>
      <c r="AKC188" s="36"/>
      <c r="AKD188" s="36"/>
      <c r="AKE188" s="36"/>
      <c r="AKF188" s="36"/>
      <c r="AKG188" s="36"/>
      <c r="AKH188" s="36"/>
      <c r="AKI188" s="36"/>
      <c r="AKJ188" s="36"/>
      <c r="AKK188" s="36"/>
      <c r="AKL188" s="36"/>
      <c r="AKM188" s="36"/>
      <c r="AKN188" s="36"/>
      <c r="AKO188" s="36"/>
      <c r="AKP188" s="36"/>
      <c r="AKQ188" s="36"/>
      <c r="AKR188" s="36"/>
      <c r="AKS188" s="36"/>
      <c r="AKT188" s="36"/>
      <c r="AKU188" s="36"/>
      <c r="AKV188" s="36"/>
      <c r="AKW188" s="36"/>
      <c r="AKX188" s="36"/>
      <c r="AKY188" s="36"/>
      <c r="AKZ188" s="36"/>
      <c r="ALA188" s="36"/>
      <c r="ALB188" s="36"/>
      <c r="ALC188" s="36"/>
      <c r="ALD188" s="36"/>
      <c r="ALE188" s="36"/>
      <c r="ALF188" s="36"/>
      <c r="ALG188" s="36"/>
      <c r="ALH188" s="36"/>
      <c r="ALI188" s="36"/>
      <c r="ALJ188" s="36"/>
      <c r="ALK188" s="36"/>
      <c r="ALL188" s="36"/>
      <c r="ALM188" s="36"/>
      <c r="ALN188" s="36"/>
      <c r="ALO188" s="36"/>
      <c r="ALP188" s="36"/>
      <c r="ALQ188" s="36"/>
      <c r="ALR188" s="36"/>
      <c r="ALS188" s="36"/>
      <c r="ALT188" s="36"/>
      <c r="ALU188" s="36"/>
      <c r="ALV188" s="36"/>
      <c r="ALW188" s="36"/>
      <c r="ALX188" s="36"/>
      <c r="ALY188" s="36"/>
      <c r="ALZ188" s="36"/>
      <c r="AMA188" s="36"/>
      <c r="AMB188" s="36"/>
      <c r="AMC188" s="36"/>
      <c r="AMD188" s="36"/>
      <c r="AME188" s="36"/>
      <c r="AMF188" s="36"/>
      <c r="AMG188" s="36"/>
      <c r="AMH188" s="36"/>
      <c r="AMI188" s="36"/>
      <c r="AMJ188" s="36"/>
      <c r="AMK188" s="36"/>
      <c r="AML188" s="36"/>
      <c r="AMM188" s="36"/>
      <c r="AMN188" s="36"/>
      <c r="AMO188" s="36"/>
      <c r="AMP188" s="36"/>
      <c r="AMQ188" s="36"/>
      <c r="AMR188" s="36"/>
      <c r="AMS188" s="36"/>
      <c r="AMT188" s="36"/>
      <c r="AMU188" s="36"/>
      <c r="AMV188" s="36"/>
      <c r="AMW188" s="36"/>
      <c r="AMX188" s="36"/>
      <c r="AMY188" s="36"/>
      <c r="AMZ188" s="36"/>
      <c r="ANA188" s="36"/>
      <c r="ANB188" s="36"/>
      <c r="ANC188" s="36"/>
      <c r="AND188" s="36"/>
      <c r="ANE188" s="36"/>
      <c r="ANF188" s="36"/>
      <c r="ANG188" s="36"/>
      <c r="ANH188" s="36"/>
      <c r="ANI188" s="36"/>
      <c r="ANJ188" s="36"/>
      <c r="ANK188" s="36"/>
      <c r="ANL188" s="36"/>
      <c r="ANM188" s="36"/>
      <c r="ANN188" s="36"/>
      <c r="ANO188" s="36"/>
      <c r="ANP188" s="36"/>
      <c r="ANQ188" s="36"/>
      <c r="ANR188" s="36"/>
      <c r="ANS188" s="36"/>
      <c r="ANT188" s="36"/>
      <c r="ANU188" s="36"/>
      <c r="ANV188" s="36"/>
      <c r="ANW188" s="36"/>
      <c r="ANX188" s="36"/>
      <c r="ANY188" s="36"/>
      <c r="ANZ188" s="36"/>
      <c r="AOA188" s="36"/>
      <c r="AOB188" s="36"/>
      <c r="AOC188" s="36"/>
      <c r="AOD188" s="36"/>
      <c r="AOE188" s="36"/>
      <c r="AOF188" s="36"/>
      <c r="AOG188" s="36"/>
      <c r="AOH188" s="36"/>
      <c r="AOI188" s="36"/>
      <c r="AOJ188" s="36"/>
      <c r="AOK188" s="36"/>
      <c r="AOL188" s="36"/>
      <c r="AOM188" s="36"/>
      <c r="AON188" s="36"/>
      <c r="AOO188" s="36"/>
      <c r="AOP188" s="36"/>
      <c r="AOQ188" s="36"/>
      <c r="AOR188" s="36"/>
      <c r="AOS188" s="36"/>
      <c r="AOT188" s="36"/>
      <c r="AOU188" s="36"/>
      <c r="AOV188" s="36"/>
      <c r="AOW188" s="36"/>
      <c r="AOX188" s="36"/>
      <c r="AOY188" s="36"/>
      <c r="AOZ188" s="36"/>
      <c r="APA188" s="36"/>
      <c r="APB188" s="36"/>
      <c r="APC188" s="36"/>
      <c r="APD188" s="36"/>
      <c r="APE188" s="36"/>
      <c r="APF188" s="36"/>
      <c r="APG188" s="36"/>
      <c r="APH188" s="36"/>
      <c r="API188" s="36"/>
      <c r="APJ188" s="36"/>
      <c r="APK188" s="36"/>
      <c r="APL188" s="36"/>
      <c r="APM188" s="36"/>
      <c r="APN188" s="36"/>
      <c r="APO188" s="36"/>
      <c r="APP188" s="36"/>
      <c r="APQ188" s="36"/>
      <c r="APR188" s="36"/>
      <c r="APS188" s="36"/>
      <c r="APT188" s="36"/>
      <c r="APU188" s="36"/>
      <c r="APV188" s="36"/>
      <c r="APW188" s="36"/>
      <c r="APX188" s="36"/>
      <c r="APY188" s="36"/>
      <c r="APZ188" s="36"/>
      <c r="AQA188" s="36"/>
      <c r="AQB188" s="36"/>
      <c r="AQC188" s="36"/>
      <c r="AQD188" s="36"/>
      <c r="AQE188" s="36"/>
      <c r="AQF188" s="36"/>
      <c r="AQG188" s="36"/>
      <c r="AQH188" s="36"/>
      <c r="AQI188" s="36"/>
      <c r="AQJ188" s="36"/>
      <c r="AQK188" s="36"/>
      <c r="AQL188" s="36"/>
      <c r="AQM188" s="36"/>
      <c r="AQN188" s="36"/>
      <c r="AQO188" s="36"/>
      <c r="AQP188" s="36"/>
      <c r="AQQ188" s="36"/>
      <c r="AQR188" s="36"/>
      <c r="AQS188" s="36"/>
      <c r="AQT188" s="36"/>
      <c r="AQU188" s="36"/>
      <c r="AQV188" s="36"/>
      <c r="AQW188" s="36"/>
      <c r="AQX188" s="36"/>
      <c r="AQY188" s="36"/>
      <c r="AQZ188" s="36"/>
      <c r="ARA188" s="36"/>
      <c r="ARB188" s="36"/>
      <c r="ARC188" s="36"/>
      <c r="ARD188" s="36"/>
      <c r="ARE188" s="36"/>
      <c r="ARF188" s="36"/>
      <c r="ARG188" s="36"/>
      <c r="ARH188" s="36"/>
      <c r="ARI188" s="36"/>
      <c r="ARJ188" s="36"/>
      <c r="ARK188" s="36"/>
      <c r="ARL188" s="36"/>
      <c r="ARM188" s="36"/>
      <c r="ARN188" s="36"/>
      <c r="ARO188" s="36"/>
      <c r="ARP188" s="36"/>
      <c r="ARQ188" s="36"/>
      <c r="ARR188" s="36"/>
      <c r="ARS188" s="36"/>
      <c r="ART188" s="36"/>
      <c r="ARU188" s="36"/>
      <c r="ARV188" s="36"/>
      <c r="ARW188" s="36"/>
      <c r="ARX188" s="36"/>
      <c r="ARY188" s="36"/>
      <c r="ARZ188" s="36"/>
      <c r="ASA188" s="36"/>
      <c r="ASB188" s="36"/>
      <c r="ASC188" s="36"/>
      <c r="ASD188" s="36"/>
      <c r="ASE188" s="36"/>
      <c r="ASF188" s="36"/>
      <c r="ASG188" s="36"/>
      <c r="ASH188" s="36"/>
      <c r="ASI188" s="36"/>
      <c r="ASJ188" s="36"/>
      <c r="ASK188" s="36"/>
      <c r="ASL188" s="36"/>
      <c r="ASM188" s="36"/>
      <c r="ASN188" s="36"/>
      <c r="ASO188" s="36"/>
      <c r="ASP188" s="36"/>
      <c r="ASQ188" s="36"/>
      <c r="ASR188" s="36"/>
      <c r="ASS188" s="36"/>
      <c r="AST188" s="36"/>
      <c r="ASU188" s="36"/>
      <c r="ASV188" s="36"/>
      <c r="ASW188" s="36"/>
      <c r="ASX188" s="36"/>
      <c r="ASY188" s="36"/>
      <c r="ASZ188" s="36"/>
      <c r="ATA188" s="36"/>
      <c r="ATB188" s="36"/>
      <c r="ATC188" s="36"/>
      <c r="ATD188" s="36"/>
      <c r="ATE188" s="36"/>
      <c r="ATF188" s="36"/>
      <c r="ATG188" s="36"/>
      <c r="ATH188" s="36"/>
      <c r="ATI188" s="36"/>
      <c r="ATJ188" s="36"/>
      <c r="ATK188" s="36"/>
      <c r="ATL188" s="36"/>
      <c r="ATM188" s="36"/>
      <c r="ATN188" s="36"/>
      <c r="ATO188" s="36"/>
      <c r="ATP188" s="36"/>
      <c r="ATQ188" s="36"/>
      <c r="ATR188" s="36"/>
      <c r="ATS188" s="36"/>
      <c r="ATT188" s="36"/>
      <c r="ATU188" s="36"/>
      <c r="ATV188" s="36"/>
      <c r="ATW188" s="36"/>
      <c r="ATX188" s="36"/>
      <c r="ATY188" s="36"/>
      <c r="ATZ188" s="36"/>
      <c r="AUA188" s="36"/>
      <c r="AUB188" s="36"/>
      <c r="AUC188" s="36"/>
      <c r="AUD188" s="36"/>
      <c r="AUE188" s="36"/>
      <c r="AUF188" s="36"/>
      <c r="AUG188" s="36"/>
      <c r="AUH188" s="36"/>
      <c r="AUI188" s="36"/>
      <c r="AUJ188" s="36"/>
      <c r="AUK188" s="36"/>
      <c r="AUL188" s="36"/>
      <c r="AUM188" s="36"/>
      <c r="AUN188" s="36"/>
      <c r="AUO188" s="36"/>
      <c r="AUP188" s="36"/>
      <c r="AUQ188" s="36"/>
      <c r="AUR188" s="36"/>
      <c r="AUS188" s="36"/>
      <c r="AUT188" s="36"/>
      <c r="AUU188" s="36"/>
      <c r="AUV188" s="36"/>
      <c r="AUW188" s="36"/>
      <c r="AUX188" s="36"/>
      <c r="AUY188" s="36"/>
      <c r="AUZ188" s="36"/>
      <c r="AVA188" s="36"/>
      <c r="AVB188" s="36"/>
      <c r="AVC188" s="36"/>
      <c r="AVD188" s="36"/>
      <c r="AVE188" s="36"/>
      <c r="AVF188" s="36"/>
      <c r="AVG188" s="36"/>
      <c r="AVH188" s="36"/>
      <c r="AVI188" s="36"/>
      <c r="AVJ188" s="36"/>
      <c r="AVK188" s="36"/>
      <c r="AVL188" s="36"/>
      <c r="AVM188" s="36"/>
      <c r="AVN188" s="36"/>
      <c r="AVO188" s="36"/>
      <c r="AVP188" s="36"/>
      <c r="AVQ188" s="36"/>
      <c r="AVR188" s="36"/>
      <c r="AVS188" s="36"/>
      <c r="AVT188" s="36"/>
      <c r="AVU188" s="36"/>
      <c r="AVV188" s="36"/>
      <c r="AVW188" s="36"/>
      <c r="AVX188" s="36"/>
      <c r="AVY188" s="36"/>
      <c r="AVZ188" s="36"/>
      <c r="AWA188" s="36"/>
      <c r="AWB188" s="36"/>
      <c r="AWC188" s="36"/>
      <c r="AWD188" s="36"/>
      <c r="AWE188" s="36"/>
      <c r="AWF188" s="36"/>
      <c r="AWG188" s="36"/>
      <c r="AWH188" s="36"/>
      <c r="AWI188" s="36"/>
      <c r="AWJ188" s="36"/>
      <c r="AWK188" s="36"/>
      <c r="AWL188" s="36"/>
      <c r="AWM188" s="36"/>
      <c r="AWN188" s="36"/>
      <c r="AWO188" s="36"/>
      <c r="AWP188" s="36"/>
      <c r="AWQ188" s="36"/>
      <c r="AWR188" s="36"/>
      <c r="AWS188" s="36"/>
      <c r="AWT188" s="36"/>
      <c r="AWU188" s="36"/>
      <c r="AWV188" s="36"/>
      <c r="AWW188" s="36"/>
      <c r="AWX188" s="36"/>
      <c r="AWY188" s="36"/>
      <c r="AWZ188" s="36"/>
      <c r="AXA188" s="36"/>
      <c r="AXB188" s="36"/>
      <c r="AXC188" s="36"/>
      <c r="AXD188" s="36"/>
      <c r="AXE188" s="36"/>
      <c r="AXF188" s="36"/>
      <c r="AXG188" s="36"/>
      <c r="AXH188" s="36"/>
      <c r="AXI188" s="36"/>
      <c r="AXJ188" s="36"/>
      <c r="AXK188" s="36"/>
      <c r="AXL188" s="36"/>
      <c r="AXM188" s="36"/>
      <c r="AXN188" s="36"/>
      <c r="AXO188" s="36"/>
      <c r="AXP188" s="36"/>
      <c r="AXQ188" s="36"/>
      <c r="AXR188" s="36"/>
      <c r="AXS188" s="36"/>
      <c r="AXT188" s="36"/>
      <c r="AXU188" s="36"/>
      <c r="AXV188" s="36"/>
      <c r="AXW188" s="36"/>
      <c r="AXX188" s="36"/>
      <c r="AXY188" s="36"/>
      <c r="AXZ188" s="36"/>
      <c r="AYA188" s="36"/>
      <c r="AYB188" s="36"/>
      <c r="AYC188" s="36"/>
      <c r="AYD188" s="36"/>
      <c r="AYE188" s="36"/>
      <c r="AYF188" s="36"/>
      <c r="AYG188" s="36"/>
      <c r="AYH188" s="36"/>
      <c r="AYI188" s="36"/>
      <c r="AYJ188" s="36"/>
      <c r="AYK188" s="36"/>
      <c r="AYL188" s="36"/>
      <c r="AYM188" s="36"/>
      <c r="AYN188" s="36"/>
      <c r="AYO188" s="36"/>
      <c r="AYP188" s="36"/>
      <c r="AYQ188" s="36"/>
      <c r="AYR188" s="36"/>
      <c r="AYS188" s="36"/>
      <c r="AYT188" s="36"/>
      <c r="AYU188" s="36"/>
      <c r="AYV188" s="36"/>
      <c r="AYW188" s="36"/>
      <c r="AYX188" s="36"/>
      <c r="AYY188" s="36"/>
      <c r="AYZ188" s="36"/>
      <c r="AZA188" s="36"/>
      <c r="AZB188" s="36"/>
      <c r="AZC188" s="36"/>
      <c r="AZD188" s="36"/>
      <c r="AZE188" s="36"/>
      <c r="AZF188" s="36"/>
      <c r="AZG188" s="36"/>
      <c r="AZH188" s="36"/>
      <c r="AZI188" s="36"/>
      <c r="AZJ188" s="36"/>
      <c r="AZK188" s="36"/>
      <c r="AZL188" s="36"/>
      <c r="AZM188" s="36"/>
      <c r="AZN188" s="36"/>
      <c r="AZO188" s="36"/>
      <c r="AZP188" s="36"/>
      <c r="AZQ188" s="36"/>
      <c r="AZR188" s="36"/>
      <c r="AZS188" s="36"/>
      <c r="AZT188" s="36"/>
      <c r="AZU188" s="36"/>
      <c r="AZV188" s="36"/>
      <c r="AZW188" s="36"/>
      <c r="AZX188" s="36"/>
      <c r="AZY188" s="36"/>
      <c r="AZZ188" s="36"/>
      <c r="BAA188" s="36"/>
      <c r="BAB188" s="36"/>
      <c r="BAC188" s="36"/>
      <c r="BAD188" s="36"/>
      <c r="BAE188" s="36"/>
      <c r="BAF188" s="36"/>
      <c r="BAG188" s="36"/>
      <c r="BAH188" s="36"/>
      <c r="BAI188" s="36"/>
      <c r="BAJ188" s="36"/>
      <c r="BAK188" s="36"/>
      <c r="BAL188" s="36"/>
      <c r="BAM188" s="36"/>
      <c r="BAN188" s="36"/>
      <c r="BAO188" s="36"/>
      <c r="BAP188" s="36"/>
      <c r="BAQ188" s="36"/>
      <c r="BAR188" s="36"/>
      <c r="BAS188" s="36"/>
      <c r="BAT188" s="36"/>
      <c r="BAU188" s="36"/>
      <c r="BAV188" s="36"/>
      <c r="BAW188" s="36"/>
      <c r="BAX188" s="36"/>
      <c r="BAY188" s="36"/>
      <c r="BAZ188" s="36"/>
      <c r="BBA188" s="36"/>
      <c r="BBB188" s="36"/>
      <c r="BBC188" s="36"/>
      <c r="BBD188" s="36"/>
      <c r="BBE188" s="36"/>
      <c r="BBF188" s="36"/>
      <c r="BBG188" s="36"/>
      <c r="BBH188" s="36"/>
      <c r="BBI188" s="36"/>
      <c r="BBJ188" s="36"/>
      <c r="BBK188" s="36"/>
      <c r="BBL188" s="36"/>
      <c r="BBM188" s="36"/>
      <c r="BBN188" s="36"/>
      <c r="BBO188" s="36"/>
      <c r="BBP188" s="36"/>
      <c r="BBQ188" s="36"/>
      <c r="BBR188" s="36"/>
      <c r="BBS188" s="36"/>
      <c r="BBT188" s="36"/>
      <c r="BBU188" s="36"/>
      <c r="BBV188" s="36"/>
      <c r="BBW188" s="36"/>
      <c r="BBX188" s="36"/>
      <c r="BBY188" s="36"/>
      <c r="BBZ188" s="36"/>
      <c r="BCA188" s="36"/>
      <c r="BCB188" s="36"/>
      <c r="BCC188" s="36"/>
      <c r="BCD188" s="36"/>
      <c r="BCE188" s="36"/>
      <c r="BCF188" s="36"/>
      <c r="BCG188" s="36"/>
      <c r="BCH188" s="36"/>
      <c r="BCI188" s="36"/>
      <c r="BCJ188" s="36"/>
      <c r="BCK188" s="36"/>
      <c r="BCL188" s="36"/>
      <c r="BCM188" s="36"/>
      <c r="BCN188" s="36"/>
      <c r="BCO188" s="36"/>
      <c r="BCP188" s="36"/>
      <c r="BCQ188" s="36"/>
      <c r="BCR188" s="36"/>
      <c r="BCS188" s="36"/>
      <c r="BCT188" s="36"/>
      <c r="BCU188" s="36"/>
      <c r="BCV188" s="36"/>
      <c r="BCW188" s="36"/>
      <c r="BCX188" s="36"/>
      <c r="BCY188" s="36"/>
      <c r="BCZ188" s="36"/>
      <c r="BDA188" s="36"/>
      <c r="BDB188" s="36"/>
      <c r="BDC188" s="36"/>
      <c r="BDD188" s="36"/>
      <c r="BDE188" s="36"/>
      <c r="BDF188" s="36"/>
      <c r="BDG188" s="36"/>
      <c r="BDH188" s="36"/>
      <c r="BDI188" s="36"/>
      <c r="BDJ188" s="36"/>
      <c r="BDK188" s="36"/>
      <c r="BDL188" s="36"/>
      <c r="BDM188" s="36"/>
      <c r="BDN188" s="36"/>
      <c r="BDO188" s="36"/>
      <c r="BDP188" s="36"/>
      <c r="BDQ188" s="36"/>
      <c r="BDR188" s="36"/>
      <c r="BDS188" s="36"/>
      <c r="BDT188" s="36"/>
      <c r="BDU188" s="36"/>
      <c r="BDV188" s="36"/>
      <c r="BDW188" s="36"/>
      <c r="BDX188" s="36"/>
      <c r="BDY188" s="36"/>
      <c r="BDZ188" s="36"/>
      <c r="BEA188" s="36"/>
      <c r="BEB188" s="36"/>
      <c r="BEC188" s="36"/>
      <c r="BED188" s="36"/>
      <c r="BEE188" s="36"/>
      <c r="BEF188" s="36"/>
      <c r="BEG188" s="36"/>
      <c r="BEH188" s="36"/>
      <c r="BEI188" s="36"/>
      <c r="BEJ188" s="36"/>
      <c r="BEK188" s="36"/>
      <c r="BEL188" s="36"/>
      <c r="BEM188" s="36"/>
      <c r="BEN188" s="36"/>
      <c r="BEO188" s="36"/>
      <c r="BEP188" s="36"/>
      <c r="BEQ188" s="36"/>
      <c r="BER188" s="36"/>
      <c r="BES188" s="36"/>
      <c r="BET188" s="36"/>
      <c r="BEU188" s="36"/>
      <c r="BEV188" s="36"/>
      <c r="BEW188" s="36"/>
      <c r="BEX188" s="36"/>
      <c r="BEY188" s="36"/>
      <c r="BEZ188" s="36"/>
      <c r="BFA188" s="36"/>
      <c r="BFB188" s="36"/>
      <c r="BFC188" s="36"/>
      <c r="BFD188" s="36"/>
      <c r="BFE188" s="36"/>
      <c r="BFF188" s="36"/>
      <c r="BFG188" s="36"/>
      <c r="BFH188" s="36"/>
      <c r="BFI188" s="36"/>
      <c r="BFJ188" s="36"/>
      <c r="BFK188" s="36"/>
      <c r="BFL188" s="36"/>
      <c r="BFM188" s="36"/>
      <c r="BFN188" s="36"/>
      <c r="BFO188" s="36"/>
      <c r="BFP188" s="36"/>
      <c r="BFQ188" s="36"/>
      <c r="BFR188" s="36"/>
      <c r="BFS188" s="36"/>
      <c r="BFT188" s="36"/>
      <c r="BFU188" s="36"/>
      <c r="BFV188" s="36"/>
      <c r="BFW188" s="36"/>
      <c r="BFX188" s="36"/>
      <c r="BFY188" s="36"/>
      <c r="BFZ188" s="36"/>
      <c r="BGA188" s="36"/>
      <c r="BGB188" s="36"/>
      <c r="BGC188" s="36"/>
      <c r="BGD188" s="36"/>
      <c r="BGE188" s="36"/>
      <c r="BGF188" s="36"/>
      <c r="BGG188" s="36"/>
      <c r="BGH188" s="36"/>
      <c r="BGI188" s="36"/>
      <c r="BGJ188" s="36"/>
      <c r="BGK188" s="36"/>
      <c r="BGL188" s="36"/>
      <c r="BGM188" s="36"/>
      <c r="BGN188" s="36"/>
      <c r="BGO188" s="36"/>
      <c r="BGP188" s="36"/>
      <c r="BGQ188" s="36"/>
      <c r="BGR188" s="36"/>
      <c r="BGS188" s="36"/>
      <c r="BGT188" s="36"/>
      <c r="BGU188" s="36"/>
      <c r="BGV188" s="36"/>
      <c r="BGW188" s="36"/>
      <c r="BGX188" s="36"/>
      <c r="BGY188" s="36"/>
      <c r="BGZ188" s="36"/>
      <c r="BHA188" s="36"/>
      <c r="BHB188" s="36"/>
      <c r="BHC188" s="36"/>
      <c r="BHD188" s="36"/>
      <c r="BHE188" s="36"/>
      <c r="BHF188" s="36"/>
      <c r="BHG188" s="36"/>
      <c r="BHH188" s="36"/>
      <c r="BHI188" s="36"/>
      <c r="BHJ188" s="36"/>
      <c r="BHK188" s="36"/>
      <c r="BHL188" s="36"/>
      <c r="BHM188" s="36"/>
      <c r="BHN188" s="36"/>
      <c r="BHO188" s="36"/>
      <c r="BHP188" s="36"/>
      <c r="BHQ188" s="36"/>
      <c r="BHR188" s="36"/>
      <c r="BHS188" s="36"/>
      <c r="BHT188" s="36"/>
      <c r="BHU188" s="36"/>
      <c r="BHV188" s="36"/>
      <c r="BHW188" s="36"/>
      <c r="BHX188" s="36"/>
      <c r="BHY188" s="36"/>
      <c r="BHZ188" s="36"/>
      <c r="BIA188" s="36"/>
      <c r="BIB188" s="36"/>
      <c r="BIC188" s="36"/>
      <c r="BID188" s="36"/>
      <c r="BIE188" s="36"/>
      <c r="BIF188" s="36"/>
      <c r="BIG188" s="36"/>
      <c r="BIH188" s="36"/>
      <c r="BII188" s="36"/>
      <c r="BIJ188" s="36"/>
      <c r="BIK188" s="36"/>
      <c r="BIL188" s="36"/>
      <c r="BIM188" s="36"/>
      <c r="BIN188" s="36"/>
      <c r="BIO188" s="36"/>
      <c r="BIP188" s="36"/>
      <c r="BIQ188" s="36"/>
      <c r="BIR188" s="36"/>
      <c r="BIS188" s="36"/>
      <c r="BIT188" s="36"/>
      <c r="BIU188" s="36"/>
      <c r="BIV188" s="36"/>
      <c r="BIW188" s="36"/>
      <c r="BIX188" s="36"/>
      <c r="BIY188" s="36"/>
      <c r="BIZ188" s="36"/>
      <c r="BJA188" s="36"/>
      <c r="BJB188" s="36"/>
      <c r="BJC188" s="36"/>
      <c r="BJD188" s="36"/>
      <c r="BJE188" s="36"/>
      <c r="BJF188" s="36"/>
      <c r="BJG188" s="36"/>
      <c r="BJH188" s="36"/>
      <c r="BJI188" s="36"/>
      <c r="BJJ188" s="36"/>
      <c r="BJK188" s="36"/>
      <c r="BJL188" s="36"/>
      <c r="BJM188" s="36"/>
      <c r="BJN188" s="36"/>
      <c r="BJO188" s="36"/>
      <c r="BJP188" s="36"/>
      <c r="BJQ188" s="36"/>
      <c r="BJR188" s="36"/>
      <c r="BJS188" s="36"/>
      <c r="BJT188" s="36"/>
      <c r="BJU188" s="36"/>
      <c r="BJV188" s="36"/>
      <c r="BJW188" s="36"/>
      <c r="BJX188" s="36"/>
      <c r="BJY188" s="36"/>
      <c r="BJZ188" s="36"/>
      <c r="BKA188" s="36"/>
      <c r="BKB188" s="36"/>
      <c r="BKC188" s="36"/>
      <c r="BKD188" s="36"/>
      <c r="BKE188" s="36"/>
      <c r="BKF188" s="36"/>
      <c r="BKG188" s="36"/>
      <c r="BKH188" s="36"/>
      <c r="BKI188" s="36"/>
      <c r="BKJ188" s="36"/>
      <c r="BKK188" s="36"/>
      <c r="BKL188" s="36"/>
      <c r="BKM188" s="36"/>
      <c r="BKN188" s="36"/>
      <c r="BKO188" s="36"/>
      <c r="BKP188" s="36"/>
      <c r="BKQ188" s="36"/>
      <c r="BKR188" s="36"/>
      <c r="BKS188" s="36"/>
      <c r="BKT188" s="36"/>
      <c r="BKU188" s="36"/>
      <c r="BKV188" s="36"/>
      <c r="BKW188" s="36"/>
      <c r="BKX188" s="36"/>
      <c r="BKY188" s="36"/>
      <c r="BKZ188" s="36"/>
      <c r="BLA188" s="36"/>
      <c r="BLB188" s="36"/>
      <c r="BLC188" s="36"/>
      <c r="BLD188" s="36"/>
      <c r="BLE188" s="36"/>
      <c r="BLF188" s="36"/>
      <c r="BLG188" s="36"/>
      <c r="BLH188" s="36"/>
      <c r="BLI188" s="36"/>
      <c r="BLJ188" s="36"/>
      <c r="BLK188" s="36"/>
      <c r="BLL188" s="36"/>
      <c r="BLM188" s="36"/>
      <c r="BLN188" s="36"/>
      <c r="BLO188" s="36"/>
      <c r="BLP188" s="36"/>
      <c r="BLQ188" s="36"/>
      <c r="BLR188" s="36"/>
      <c r="BLS188" s="36"/>
      <c r="BLT188" s="36"/>
      <c r="BLU188" s="36"/>
      <c r="BLV188" s="36"/>
      <c r="BLW188" s="36"/>
      <c r="BLX188" s="36"/>
      <c r="BLY188" s="36"/>
      <c r="BLZ188" s="36"/>
      <c r="BMA188" s="36"/>
      <c r="BMB188" s="36"/>
      <c r="BMC188" s="36"/>
      <c r="BMD188" s="36"/>
      <c r="BME188" s="36"/>
      <c r="BMF188" s="36"/>
      <c r="BMG188" s="36"/>
      <c r="BMH188" s="36"/>
      <c r="BMI188" s="36"/>
      <c r="BMJ188" s="36"/>
      <c r="BMK188" s="36"/>
      <c r="BML188" s="36"/>
      <c r="BMM188" s="36"/>
      <c r="BMN188" s="36"/>
      <c r="BMO188" s="36"/>
      <c r="BMP188" s="36"/>
      <c r="BMQ188" s="36"/>
      <c r="BMR188" s="36"/>
      <c r="BMS188" s="36"/>
      <c r="BMT188" s="36"/>
      <c r="BMU188" s="36"/>
      <c r="BMV188" s="36"/>
      <c r="BMW188" s="36"/>
      <c r="BMX188" s="36"/>
      <c r="BMY188" s="36"/>
      <c r="BMZ188" s="36"/>
      <c r="BNA188" s="36"/>
      <c r="BNB188" s="36"/>
      <c r="BNC188" s="36"/>
      <c r="BND188" s="36"/>
      <c r="BNE188" s="36"/>
      <c r="BNF188" s="36"/>
      <c r="BNG188" s="36"/>
      <c r="BNH188" s="36"/>
      <c r="BNI188" s="36"/>
      <c r="BNJ188" s="36"/>
      <c r="BNK188" s="36"/>
      <c r="BNL188" s="36"/>
      <c r="BNM188" s="36"/>
      <c r="BNN188" s="36"/>
      <c r="BNO188" s="36"/>
      <c r="BNP188" s="36"/>
      <c r="BNQ188" s="36"/>
      <c r="BNR188" s="36"/>
      <c r="BNS188" s="36"/>
      <c r="BNT188" s="36"/>
      <c r="BNU188" s="36"/>
      <c r="BNV188" s="36"/>
      <c r="BNW188" s="36"/>
      <c r="BNX188" s="36"/>
      <c r="BNY188" s="36"/>
      <c r="BNZ188" s="36"/>
      <c r="BOA188" s="36"/>
      <c r="BOB188" s="36"/>
      <c r="BOC188" s="36"/>
      <c r="BOD188" s="36"/>
      <c r="BOE188" s="36"/>
      <c r="BOF188" s="36"/>
      <c r="BOG188" s="36"/>
      <c r="BOH188" s="36"/>
      <c r="BOI188" s="36"/>
      <c r="BOJ188" s="36"/>
      <c r="BOK188" s="36"/>
      <c r="BOL188" s="36"/>
      <c r="BOM188" s="36"/>
      <c r="BON188" s="36"/>
      <c r="BOO188" s="36"/>
      <c r="BOP188" s="36"/>
      <c r="BOQ188" s="36"/>
      <c r="BOR188" s="36"/>
      <c r="BOS188" s="36"/>
      <c r="BOT188" s="36"/>
      <c r="BOU188" s="36"/>
      <c r="BOV188" s="36"/>
      <c r="BOW188" s="36"/>
      <c r="BOX188" s="36"/>
      <c r="BOY188" s="36"/>
      <c r="BOZ188" s="36"/>
      <c r="BPA188" s="36"/>
      <c r="BPB188" s="36"/>
      <c r="BPC188" s="36"/>
      <c r="BPD188" s="36"/>
      <c r="BPE188" s="36"/>
      <c r="BPF188" s="36"/>
      <c r="BPG188" s="36"/>
      <c r="BPH188" s="36"/>
      <c r="BPI188" s="36"/>
      <c r="BPJ188" s="36"/>
      <c r="BPK188" s="36"/>
      <c r="BPL188" s="36"/>
      <c r="BPM188" s="36"/>
      <c r="BPN188" s="36"/>
      <c r="BPO188" s="36"/>
      <c r="BPP188" s="36"/>
      <c r="BPQ188" s="36"/>
      <c r="BPR188" s="36"/>
      <c r="BPS188" s="36"/>
      <c r="BPT188" s="36"/>
      <c r="BPU188" s="36"/>
      <c r="BPV188" s="36"/>
      <c r="BPW188" s="36"/>
      <c r="BPX188" s="36"/>
      <c r="BPY188" s="36"/>
      <c r="BPZ188" s="36"/>
      <c r="BQA188" s="36"/>
      <c r="BQB188" s="36"/>
      <c r="BQC188" s="36"/>
      <c r="BQD188" s="36"/>
      <c r="BQE188" s="36"/>
      <c r="BQF188" s="36"/>
      <c r="BQG188" s="36"/>
      <c r="BQH188" s="36"/>
      <c r="BQI188" s="36"/>
      <c r="BQJ188" s="36"/>
      <c r="BQK188" s="36"/>
      <c r="BQL188" s="36"/>
      <c r="BQM188" s="36"/>
      <c r="BQN188" s="36"/>
      <c r="BQO188" s="36"/>
      <c r="BQP188" s="36"/>
      <c r="BQQ188" s="36"/>
      <c r="BQR188" s="36"/>
      <c r="BQS188" s="36"/>
      <c r="BQT188" s="36"/>
      <c r="BQU188" s="36"/>
      <c r="BQV188" s="36"/>
      <c r="BQW188" s="36"/>
      <c r="BQX188" s="36"/>
      <c r="BQY188" s="36"/>
      <c r="BQZ188" s="36"/>
      <c r="BRA188" s="36"/>
      <c r="BRB188" s="36"/>
      <c r="BRC188" s="36"/>
      <c r="BRD188" s="36"/>
      <c r="BRE188" s="36"/>
      <c r="BRF188" s="36"/>
      <c r="BRG188" s="36"/>
      <c r="BRH188" s="36"/>
      <c r="BRI188" s="36"/>
      <c r="BRJ188" s="36"/>
      <c r="BRK188" s="36"/>
      <c r="BRL188" s="36"/>
      <c r="BRM188" s="36"/>
      <c r="BRN188" s="36"/>
      <c r="BRO188" s="36"/>
      <c r="BRP188" s="36"/>
      <c r="BRQ188" s="36"/>
      <c r="BRR188" s="36"/>
      <c r="BRS188" s="36"/>
      <c r="BRT188" s="36"/>
      <c r="BRU188" s="36"/>
      <c r="BRV188" s="36"/>
      <c r="BRW188" s="36"/>
      <c r="BRX188" s="36"/>
      <c r="BRY188" s="36"/>
      <c r="BRZ188" s="36"/>
      <c r="BSA188" s="36"/>
      <c r="BSB188" s="36"/>
      <c r="BSC188" s="36"/>
      <c r="BSD188" s="36"/>
      <c r="BSE188" s="36"/>
      <c r="BSF188" s="36"/>
      <c r="BSG188" s="36"/>
      <c r="BSH188" s="36"/>
      <c r="BSI188" s="36"/>
      <c r="BSJ188" s="36"/>
      <c r="BSK188" s="36"/>
      <c r="BSL188" s="36"/>
      <c r="BSM188" s="36"/>
      <c r="BSN188" s="36"/>
      <c r="BSO188" s="36"/>
      <c r="BSP188" s="36"/>
      <c r="BSQ188" s="36"/>
      <c r="BSR188" s="36"/>
      <c r="BSS188" s="36"/>
      <c r="BST188" s="36"/>
      <c r="BSU188" s="36"/>
      <c r="BSV188" s="36"/>
      <c r="BSW188" s="36"/>
      <c r="BSX188" s="36"/>
      <c r="BSY188" s="36"/>
      <c r="BSZ188" s="36"/>
      <c r="BTA188" s="36"/>
      <c r="BTB188" s="36"/>
      <c r="BTC188" s="36"/>
      <c r="BTD188" s="36"/>
      <c r="BTE188" s="36"/>
      <c r="BTF188" s="36"/>
      <c r="BTG188" s="36"/>
      <c r="BTH188" s="36"/>
      <c r="BTI188" s="36"/>
      <c r="BTJ188" s="36"/>
      <c r="BTK188" s="36"/>
      <c r="BTL188" s="36"/>
      <c r="BTM188" s="36"/>
      <c r="BTN188" s="36"/>
      <c r="BTO188" s="36"/>
      <c r="BTP188" s="36"/>
      <c r="BTQ188" s="36"/>
      <c r="BTR188" s="36"/>
      <c r="BTS188" s="36"/>
      <c r="BTT188" s="36"/>
      <c r="BTU188" s="36"/>
      <c r="BTV188" s="36"/>
      <c r="BTW188" s="36"/>
      <c r="BTX188" s="36"/>
      <c r="BTY188" s="36"/>
      <c r="BTZ188" s="36"/>
      <c r="BUA188" s="36"/>
      <c r="BUB188" s="36"/>
      <c r="BUC188" s="36"/>
      <c r="BUD188" s="36"/>
      <c r="BUE188" s="36"/>
      <c r="BUF188" s="36"/>
      <c r="BUG188" s="36"/>
      <c r="BUH188" s="36"/>
      <c r="BUI188" s="36"/>
      <c r="BUJ188" s="36"/>
      <c r="BUK188" s="36"/>
      <c r="BUL188" s="36"/>
      <c r="BUM188" s="36"/>
      <c r="BUN188" s="36"/>
      <c r="BUO188" s="36"/>
      <c r="BUP188" s="36"/>
      <c r="BUQ188" s="36"/>
      <c r="BUR188" s="36"/>
      <c r="BUS188" s="36"/>
      <c r="BUT188" s="36"/>
      <c r="BUU188" s="36"/>
      <c r="BUV188" s="36"/>
      <c r="BUW188" s="36"/>
      <c r="BUX188" s="36"/>
      <c r="BUY188" s="36"/>
      <c r="BUZ188" s="36"/>
      <c r="BVA188" s="36"/>
      <c r="BVB188" s="36"/>
      <c r="BVC188" s="36"/>
      <c r="BVD188" s="36"/>
      <c r="BVE188" s="36"/>
      <c r="BVF188" s="36"/>
      <c r="BVG188" s="36"/>
      <c r="BVH188" s="36"/>
      <c r="BVI188" s="36"/>
      <c r="BVJ188" s="36"/>
      <c r="BVK188" s="36"/>
      <c r="BVL188" s="36"/>
      <c r="BVM188" s="36"/>
      <c r="BVN188" s="36"/>
      <c r="BVO188" s="36"/>
      <c r="BVP188" s="36"/>
      <c r="BVQ188" s="36"/>
      <c r="BVR188" s="36"/>
      <c r="BVS188" s="36"/>
      <c r="BVT188" s="36"/>
      <c r="BVU188" s="36"/>
      <c r="BVV188" s="36"/>
      <c r="BVW188" s="36"/>
      <c r="BVX188" s="36"/>
      <c r="BVY188" s="36"/>
      <c r="BVZ188" s="36"/>
      <c r="BWA188" s="36"/>
      <c r="BWB188" s="36"/>
      <c r="BWC188" s="36"/>
      <c r="BWD188" s="36"/>
      <c r="BWE188" s="36"/>
      <c r="BWF188" s="36"/>
      <c r="BWG188" s="36"/>
      <c r="BWH188" s="36"/>
      <c r="BWI188" s="36"/>
      <c r="BWJ188" s="36"/>
      <c r="BWK188" s="36"/>
      <c r="BWL188" s="36"/>
      <c r="BWM188" s="36"/>
      <c r="BWN188" s="36"/>
      <c r="BWO188" s="36"/>
      <c r="BWP188" s="36"/>
      <c r="BWQ188" s="36"/>
      <c r="BWR188" s="36"/>
      <c r="BWS188" s="36"/>
      <c r="BWT188" s="36"/>
      <c r="BWU188" s="36"/>
      <c r="BWV188" s="36"/>
      <c r="BWW188" s="36"/>
      <c r="BWX188" s="36"/>
      <c r="BWY188" s="36"/>
      <c r="BWZ188" s="36"/>
      <c r="BXA188" s="36"/>
      <c r="BXB188" s="36"/>
      <c r="BXC188" s="36"/>
      <c r="BXD188" s="36"/>
      <c r="BXE188" s="36"/>
      <c r="BXF188" s="36"/>
      <c r="BXG188" s="36"/>
      <c r="BXH188" s="36"/>
      <c r="BXI188" s="36"/>
      <c r="BXJ188" s="36"/>
      <c r="BXK188" s="36"/>
      <c r="BXL188" s="36"/>
      <c r="BXM188" s="36"/>
      <c r="BXN188" s="36"/>
      <c r="BXO188" s="36"/>
      <c r="BXP188" s="36"/>
      <c r="BXQ188" s="36"/>
      <c r="BXR188" s="36"/>
      <c r="BXS188" s="36"/>
      <c r="BXT188" s="36"/>
      <c r="BXU188" s="36"/>
      <c r="BXV188" s="36"/>
      <c r="BXW188" s="36"/>
      <c r="BXX188" s="36"/>
      <c r="BXY188" s="36"/>
      <c r="BXZ188" s="36"/>
      <c r="BYA188" s="36"/>
      <c r="BYB188" s="36"/>
      <c r="BYC188" s="36"/>
      <c r="BYD188" s="36"/>
      <c r="BYE188" s="36"/>
      <c r="BYF188" s="36"/>
      <c r="BYG188" s="36"/>
      <c r="BYH188" s="36"/>
      <c r="BYI188" s="36"/>
      <c r="BYJ188" s="36"/>
      <c r="BYK188" s="36"/>
      <c r="BYL188" s="36"/>
      <c r="BYM188" s="36"/>
      <c r="BYN188" s="36"/>
      <c r="BYO188" s="36"/>
      <c r="BYP188" s="36"/>
      <c r="BYQ188" s="36"/>
      <c r="BYR188" s="36"/>
      <c r="BYS188" s="36"/>
      <c r="BYT188" s="36"/>
      <c r="BYU188" s="36"/>
      <c r="BYV188" s="36"/>
      <c r="BYW188" s="36"/>
      <c r="BYX188" s="36"/>
      <c r="BYY188" s="36"/>
      <c r="BYZ188" s="36"/>
      <c r="BZA188" s="36"/>
      <c r="BZB188" s="36"/>
      <c r="BZC188" s="36"/>
      <c r="BZD188" s="36"/>
      <c r="BZE188" s="36"/>
      <c r="BZF188" s="36"/>
      <c r="BZG188" s="36"/>
      <c r="BZH188" s="36"/>
      <c r="BZI188" s="36"/>
      <c r="BZJ188" s="36"/>
      <c r="BZK188" s="36"/>
      <c r="BZL188" s="36"/>
      <c r="BZM188" s="36"/>
      <c r="BZN188" s="36"/>
      <c r="BZO188" s="36"/>
      <c r="BZP188" s="36"/>
      <c r="BZQ188" s="36"/>
      <c r="BZR188" s="36"/>
      <c r="BZS188" s="36"/>
      <c r="BZT188" s="36"/>
      <c r="BZU188" s="36"/>
      <c r="BZV188" s="36"/>
      <c r="BZW188" s="36"/>
      <c r="BZX188" s="36"/>
      <c r="BZY188" s="36"/>
      <c r="BZZ188" s="36"/>
      <c r="CAA188" s="36"/>
      <c r="CAB188" s="36"/>
      <c r="CAC188" s="36"/>
      <c r="CAD188" s="36"/>
      <c r="CAE188" s="36"/>
      <c r="CAF188" s="36"/>
      <c r="CAG188" s="36"/>
      <c r="CAH188" s="36"/>
      <c r="CAI188" s="36"/>
      <c r="CAJ188" s="36"/>
      <c r="CAK188" s="36"/>
      <c r="CAL188" s="36"/>
      <c r="CAM188" s="36"/>
      <c r="CAN188" s="36"/>
      <c r="CAO188" s="36"/>
      <c r="CAP188" s="36"/>
      <c r="CAQ188" s="36"/>
      <c r="CAR188" s="36"/>
      <c r="CAS188" s="36"/>
      <c r="CAT188" s="36"/>
      <c r="CAU188" s="36"/>
      <c r="CAV188" s="36"/>
      <c r="CAW188" s="36"/>
      <c r="CAX188" s="36"/>
      <c r="CAY188" s="36"/>
      <c r="CAZ188" s="36"/>
      <c r="CBA188" s="36"/>
      <c r="CBB188" s="36"/>
      <c r="CBC188" s="36"/>
      <c r="CBD188" s="36"/>
      <c r="CBE188" s="36"/>
      <c r="CBF188" s="36"/>
      <c r="CBG188" s="36"/>
      <c r="CBH188" s="36"/>
      <c r="CBI188" s="36"/>
      <c r="CBJ188" s="36"/>
      <c r="CBK188" s="36"/>
      <c r="CBL188" s="36"/>
      <c r="CBM188" s="36"/>
      <c r="CBN188" s="36"/>
      <c r="CBO188" s="36"/>
      <c r="CBP188" s="36"/>
      <c r="CBQ188" s="36"/>
      <c r="CBR188" s="36"/>
      <c r="CBS188" s="36"/>
      <c r="CBT188" s="36"/>
      <c r="CBU188" s="36"/>
      <c r="CBV188" s="36"/>
      <c r="CBW188" s="36"/>
      <c r="CBX188" s="36"/>
      <c r="CBY188" s="36"/>
      <c r="CBZ188" s="36"/>
      <c r="CCA188" s="36"/>
      <c r="CCB188" s="36"/>
      <c r="CCC188" s="36"/>
      <c r="CCD188" s="36"/>
      <c r="CCE188" s="36"/>
      <c r="CCF188" s="36"/>
      <c r="CCG188" s="36"/>
      <c r="CCH188" s="36"/>
      <c r="CCI188" s="36"/>
      <c r="CCJ188" s="36"/>
      <c r="CCK188" s="36"/>
      <c r="CCL188" s="36"/>
      <c r="CCM188" s="36"/>
      <c r="CCN188" s="36"/>
      <c r="CCO188" s="36"/>
      <c r="CCP188" s="36"/>
      <c r="CCQ188" s="36"/>
      <c r="CCR188" s="36"/>
      <c r="CCS188" s="36"/>
      <c r="CCT188" s="36"/>
      <c r="CCU188" s="36"/>
      <c r="CCV188" s="36"/>
      <c r="CCW188" s="36"/>
      <c r="CCX188" s="36"/>
      <c r="CCY188" s="36"/>
      <c r="CCZ188" s="36"/>
      <c r="CDA188" s="36"/>
      <c r="CDB188" s="36"/>
      <c r="CDC188" s="36"/>
      <c r="CDD188" s="36"/>
      <c r="CDE188" s="36"/>
      <c r="CDF188" s="36"/>
      <c r="CDG188" s="36"/>
      <c r="CDH188" s="36"/>
      <c r="CDI188" s="36"/>
      <c r="CDJ188" s="36"/>
      <c r="CDK188" s="36"/>
      <c r="CDL188" s="36"/>
      <c r="CDM188" s="36"/>
      <c r="CDN188" s="36"/>
      <c r="CDO188" s="36"/>
      <c r="CDP188" s="36"/>
      <c r="CDQ188" s="36"/>
      <c r="CDR188" s="36"/>
      <c r="CDS188" s="36"/>
      <c r="CDT188" s="36"/>
      <c r="CDU188" s="36"/>
      <c r="CDV188" s="36"/>
      <c r="CDW188" s="36"/>
      <c r="CDX188" s="36"/>
      <c r="CDY188" s="36"/>
      <c r="CDZ188" s="36"/>
      <c r="CEA188" s="36"/>
      <c r="CEB188" s="36"/>
      <c r="CEC188" s="36"/>
      <c r="CED188" s="36"/>
      <c r="CEE188" s="36"/>
      <c r="CEF188" s="36"/>
      <c r="CEG188" s="36"/>
      <c r="CEH188" s="36"/>
      <c r="CEI188" s="36"/>
      <c r="CEJ188" s="36"/>
      <c r="CEK188" s="36"/>
      <c r="CEL188" s="36"/>
      <c r="CEM188" s="36"/>
      <c r="CEN188" s="36"/>
      <c r="CEO188" s="36"/>
      <c r="CEP188" s="36"/>
      <c r="CEQ188" s="36"/>
      <c r="CER188" s="36"/>
      <c r="CES188" s="36"/>
      <c r="CET188" s="36"/>
      <c r="CEU188" s="36"/>
      <c r="CEV188" s="36"/>
      <c r="CEW188" s="36"/>
      <c r="CEX188" s="36"/>
      <c r="CEY188" s="36"/>
      <c r="CEZ188" s="36"/>
      <c r="CFA188" s="36"/>
      <c r="CFB188" s="36"/>
      <c r="CFC188" s="36"/>
      <c r="CFD188" s="36"/>
      <c r="CFE188" s="36"/>
      <c r="CFF188" s="36"/>
      <c r="CFG188" s="36"/>
      <c r="CFH188" s="36"/>
      <c r="CFI188" s="36"/>
      <c r="CFJ188" s="36"/>
      <c r="CFK188" s="36"/>
      <c r="CFL188" s="36"/>
      <c r="CFM188" s="36"/>
      <c r="CFN188" s="36"/>
      <c r="CFO188" s="36"/>
      <c r="CFP188" s="36"/>
      <c r="CFQ188" s="36"/>
      <c r="CFR188" s="36"/>
      <c r="CFS188" s="36"/>
      <c r="CFT188" s="36"/>
      <c r="CFU188" s="36"/>
      <c r="CFV188" s="36"/>
      <c r="CFW188" s="36"/>
      <c r="CFX188" s="36"/>
      <c r="CFY188" s="36"/>
      <c r="CFZ188" s="36"/>
      <c r="CGA188" s="36"/>
      <c r="CGB188" s="36"/>
      <c r="CGC188" s="36"/>
      <c r="CGD188" s="36"/>
      <c r="CGE188" s="36"/>
      <c r="CGF188" s="36"/>
      <c r="CGG188" s="36"/>
      <c r="CGH188" s="36"/>
      <c r="CGI188" s="36"/>
      <c r="CGJ188" s="36"/>
      <c r="CGK188" s="36"/>
      <c r="CGL188" s="36"/>
      <c r="CGM188" s="36"/>
      <c r="CGN188" s="36"/>
      <c r="CGO188" s="36"/>
      <c r="CGP188" s="36"/>
      <c r="CGQ188" s="36"/>
      <c r="CGR188" s="36"/>
      <c r="CGS188" s="36"/>
      <c r="CGT188" s="36"/>
      <c r="CGU188" s="36"/>
      <c r="CGV188" s="36"/>
      <c r="CGW188" s="36"/>
      <c r="CGX188" s="36"/>
      <c r="CGY188" s="36"/>
      <c r="CGZ188" s="36"/>
      <c r="CHA188" s="36"/>
      <c r="CHB188" s="36"/>
      <c r="CHC188" s="36"/>
      <c r="CHD188" s="36"/>
      <c r="CHE188" s="36"/>
      <c r="CHF188" s="36"/>
      <c r="CHG188" s="36"/>
      <c r="CHH188" s="36"/>
      <c r="CHI188" s="36"/>
      <c r="CHJ188" s="36"/>
      <c r="CHK188" s="36"/>
      <c r="CHL188" s="36"/>
      <c r="CHM188" s="36"/>
      <c r="CHN188" s="36"/>
      <c r="CHO188" s="36"/>
      <c r="CHP188" s="36"/>
      <c r="CHQ188" s="36"/>
      <c r="CHR188" s="36"/>
      <c r="CHS188" s="36"/>
      <c r="CHT188" s="36"/>
      <c r="CHU188" s="36"/>
      <c r="CHV188" s="36"/>
      <c r="CHW188" s="36"/>
      <c r="CHX188" s="36"/>
      <c r="CHY188" s="36"/>
      <c r="CHZ188" s="36"/>
      <c r="CIA188" s="36"/>
      <c r="CIB188" s="36"/>
      <c r="CIC188" s="36"/>
      <c r="CID188" s="36"/>
      <c r="CIE188" s="36"/>
      <c r="CIF188" s="36"/>
      <c r="CIG188" s="36"/>
      <c r="CIH188" s="36"/>
      <c r="CII188" s="36"/>
      <c r="CIJ188" s="36"/>
      <c r="CIK188" s="36"/>
      <c r="CIL188" s="36"/>
      <c r="CIM188" s="36"/>
      <c r="CIN188" s="36"/>
      <c r="CIO188" s="36"/>
      <c r="CIP188" s="36"/>
      <c r="CIQ188" s="36"/>
      <c r="CIR188" s="36"/>
      <c r="CIS188" s="36"/>
      <c r="CIT188" s="36"/>
      <c r="CIU188" s="36"/>
      <c r="CIV188" s="36"/>
      <c r="CIW188" s="36"/>
      <c r="CIX188" s="36"/>
      <c r="CIY188" s="36"/>
      <c r="CIZ188" s="36"/>
      <c r="CJA188" s="36"/>
      <c r="CJB188" s="36"/>
      <c r="CJC188" s="36"/>
      <c r="CJD188" s="36"/>
      <c r="CJE188" s="36"/>
      <c r="CJF188" s="36"/>
      <c r="CJG188" s="36"/>
      <c r="CJH188" s="36"/>
      <c r="CJI188" s="36"/>
      <c r="CJJ188" s="36"/>
      <c r="CJK188" s="36"/>
      <c r="CJL188" s="36"/>
      <c r="CJM188" s="36"/>
      <c r="CJN188" s="36"/>
      <c r="CJO188" s="36"/>
      <c r="CJP188" s="36"/>
      <c r="CJQ188" s="36"/>
      <c r="CJR188" s="36"/>
      <c r="CJS188" s="36"/>
      <c r="CJT188" s="36"/>
      <c r="CJU188" s="36"/>
      <c r="CJV188" s="36"/>
      <c r="CJW188" s="36"/>
      <c r="CJX188" s="36"/>
      <c r="CJY188" s="36"/>
      <c r="CJZ188" s="36"/>
      <c r="CKA188" s="36"/>
      <c r="CKB188" s="36"/>
      <c r="CKC188" s="36"/>
      <c r="CKD188" s="36"/>
      <c r="CKE188" s="36"/>
      <c r="CKF188" s="36"/>
      <c r="CKG188" s="36"/>
      <c r="CKH188" s="36"/>
      <c r="CKI188" s="36"/>
      <c r="CKJ188" s="36"/>
      <c r="CKK188" s="36"/>
      <c r="CKL188" s="36"/>
      <c r="CKM188" s="36"/>
      <c r="CKN188" s="36"/>
      <c r="CKO188" s="36"/>
      <c r="CKP188" s="36"/>
      <c r="CKQ188" s="36"/>
      <c r="CKR188" s="36"/>
      <c r="CKS188" s="36"/>
      <c r="CKT188" s="36"/>
      <c r="CKU188" s="36"/>
      <c r="CKV188" s="36"/>
      <c r="CKW188" s="36"/>
      <c r="CKX188" s="36"/>
      <c r="CKY188" s="36"/>
      <c r="CKZ188" s="36"/>
      <c r="CLA188" s="36"/>
      <c r="CLB188" s="36"/>
      <c r="CLC188" s="36"/>
      <c r="CLD188" s="36"/>
      <c r="CLE188" s="36"/>
      <c r="CLF188" s="36"/>
      <c r="CLG188" s="36"/>
      <c r="CLH188" s="36"/>
      <c r="CLI188" s="36"/>
      <c r="CLJ188" s="36"/>
      <c r="CLK188" s="36"/>
      <c r="CLL188" s="36"/>
      <c r="CLM188" s="36"/>
      <c r="CLN188" s="36"/>
      <c r="CLO188" s="36"/>
      <c r="CLP188" s="36"/>
      <c r="CLQ188" s="36"/>
      <c r="CLR188" s="36"/>
      <c r="CLS188" s="36"/>
      <c r="CLT188" s="36"/>
      <c r="CLU188" s="36"/>
      <c r="CLV188" s="36"/>
      <c r="CLW188" s="36"/>
      <c r="CLX188" s="36"/>
      <c r="CLY188" s="36"/>
      <c r="CLZ188" s="36"/>
      <c r="CMA188" s="36"/>
      <c r="CMB188" s="36"/>
      <c r="CMC188" s="36"/>
      <c r="CMD188" s="36"/>
      <c r="CME188" s="36"/>
      <c r="CMF188" s="36"/>
      <c r="CMG188" s="36"/>
      <c r="CMH188" s="36"/>
      <c r="CMI188" s="36"/>
      <c r="CMJ188" s="36"/>
      <c r="CMK188" s="36"/>
      <c r="CML188" s="36"/>
      <c r="CMM188" s="36"/>
      <c r="CMN188" s="36"/>
      <c r="CMO188" s="36"/>
      <c r="CMP188" s="36"/>
      <c r="CMQ188" s="36"/>
      <c r="CMR188" s="36"/>
      <c r="CMS188" s="36"/>
      <c r="CMT188" s="36"/>
      <c r="CMU188" s="36"/>
      <c r="CMV188" s="36"/>
      <c r="CMW188" s="36"/>
      <c r="CMX188" s="36"/>
      <c r="CMY188" s="36"/>
      <c r="CMZ188" s="36"/>
      <c r="CNA188" s="36"/>
      <c r="CNB188" s="36"/>
      <c r="CNC188" s="36"/>
      <c r="CND188" s="36"/>
      <c r="CNE188" s="36"/>
      <c r="CNF188" s="36"/>
      <c r="CNG188" s="36"/>
      <c r="CNH188" s="36"/>
      <c r="CNI188" s="36"/>
      <c r="CNJ188" s="36"/>
      <c r="CNK188" s="36"/>
      <c r="CNL188" s="36"/>
      <c r="CNM188" s="36"/>
      <c r="CNN188" s="36"/>
      <c r="CNO188" s="36"/>
      <c r="CNP188" s="36"/>
      <c r="CNQ188" s="36"/>
      <c r="CNR188" s="36"/>
      <c r="CNS188" s="36"/>
      <c r="CNT188" s="36"/>
      <c r="CNU188" s="36"/>
      <c r="CNV188" s="36"/>
      <c r="CNW188" s="36"/>
      <c r="CNX188" s="36"/>
      <c r="CNY188" s="36"/>
      <c r="CNZ188" s="36"/>
      <c r="COA188" s="36"/>
      <c r="COB188" s="36"/>
      <c r="COC188" s="36"/>
      <c r="COD188" s="36"/>
      <c r="COE188" s="36"/>
      <c r="COF188" s="36"/>
      <c r="COG188" s="36"/>
      <c r="COH188" s="36"/>
      <c r="COI188" s="36"/>
      <c r="COJ188" s="36"/>
      <c r="COK188" s="36"/>
      <c r="COL188" s="36"/>
      <c r="COM188" s="36"/>
      <c r="CON188" s="36"/>
      <c r="COO188" s="36"/>
      <c r="COP188" s="36"/>
      <c r="COQ188" s="36"/>
      <c r="COR188" s="36"/>
      <c r="COS188" s="36"/>
      <c r="COT188" s="36"/>
      <c r="COU188" s="36"/>
      <c r="COV188" s="36"/>
      <c r="COW188" s="36"/>
      <c r="COX188" s="36"/>
      <c r="COY188" s="36"/>
      <c r="COZ188" s="36"/>
      <c r="CPA188" s="36"/>
      <c r="CPB188" s="36"/>
      <c r="CPC188" s="36"/>
      <c r="CPD188" s="36"/>
      <c r="CPE188" s="36"/>
      <c r="CPF188" s="36"/>
      <c r="CPG188" s="36"/>
      <c r="CPH188" s="36"/>
      <c r="CPI188" s="36"/>
      <c r="CPJ188" s="36"/>
      <c r="CPK188" s="36"/>
      <c r="CPL188" s="36"/>
      <c r="CPM188" s="36"/>
      <c r="CPN188" s="36"/>
      <c r="CPO188" s="36"/>
      <c r="CPP188" s="36"/>
      <c r="CPQ188" s="36"/>
      <c r="CPR188" s="36"/>
      <c r="CPS188" s="36"/>
      <c r="CPT188" s="36"/>
      <c r="CPU188" s="36"/>
      <c r="CPV188" s="36"/>
      <c r="CPW188" s="36"/>
      <c r="CPX188" s="36"/>
      <c r="CPY188" s="36"/>
      <c r="CPZ188" s="36"/>
      <c r="CQA188" s="36"/>
      <c r="CQB188" s="36"/>
      <c r="CQC188" s="36"/>
      <c r="CQD188" s="36"/>
      <c r="CQE188" s="36"/>
      <c r="CQF188" s="36"/>
      <c r="CQG188" s="36"/>
      <c r="CQH188" s="36"/>
      <c r="CQI188" s="36"/>
      <c r="CQJ188" s="36"/>
      <c r="CQK188" s="36"/>
      <c r="CQL188" s="36"/>
      <c r="CQM188" s="36"/>
      <c r="CQN188" s="36"/>
      <c r="CQO188" s="36"/>
      <c r="CQP188" s="36"/>
      <c r="CQQ188" s="36"/>
      <c r="CQR188" s="36"/>
      <c r="CQS188" s="36"/>
      <c r="CQT188" s="36"/>
      <c r="CQU188" s="36"/>
      <c r="CQV188" s="36"/>
      <c r="CQW188" s="36"/>
      <c r="CQX188" s="36"/>
      <c r="CQY188" s="36"/>
      <c r="CQZ188" s="36"/>
      <c r="CRA188" s="36"/>
      <c r="CRB188" s="36"/>
      <c r="CRC188" s="36"/>
      <c r="CRD188" s="36"/>
      <c r="CRE188" s="36"/>
      <c r="CRF188" s="36"/>
      <c r="CRG188" s="36"/>
      <c r="CRH188" s="36"/>
      <c r="CRI188" s="36"/>
      <c r="CRJ188" s="36"/>
      <c r="CRK188" s="36"/>
      <c r="CRL188" s="36"/>
      <c r="CRM188" s="36"/>
      <c r="CRN188" s="36"/>
      <c r="CRO188" s="36"/>
      <c r="CRP188" s="36"/>
      <c r="CRQ188" s="36"/>
      <c r="CRR188" s="36"/>
      <c r="CRS188" s="36"/>
      <c r="CRT188" s="36"/>
      <c r="CRU188" s="36"/>
      <c r="CRV188" s="36"/>
      <c r="CRW188" s="36"/>
      <c r="CRX188" s="36"/>
      <c r="CRY188" s="36"/>
      <c r="CRZ188" s="36"/>
      <c r="CSA188" s="36"/>
      <c r="CSB188" s="36"/>
      <c r="CSC188" s="36"/>
      <c r="CSD188" s="36"/>
      <c r="CSE188" s="36"/>
      <c r="CSF188" s="36"/>
      <c r="CSG188" s="36"/>
      <c r="CSH188" s="36"/>
      <c r="CSI188" s="36"/>
      <c r="CSJ188" s="36"/>
      <c r="CSK188" s="36"/>
      <c r="CSL188" s="36"/>
      <c r="CSM188" s="36"/>
      <c r="CSN188" s="36"/>
      <c r="CSO188" s="36"/>
      <c r="CSP188" s="36"/>
      <c r="CSQ188" s="36"/>
      <c r="CSR188" s="36"/>
      <c r="CSS188" s="36"/>
      <c r="CST188" s="36"/>
      <c r="CSU188" s="36"/>
      <c r="CSV188" s="36"/>
      <c r="CSW188" s="36"/>
      <c r="CSX188" s="36"/>
      <c r="CSY188" s="36"/>
      <c r="CSZ188" s="36"/>
      <c r="CTA188" s="36"/>
      <c r="CTB188" s="36"/>
      <c r="CTC188" s="36"/>
      <c r="CTD188" s="36"/>
      <c r="CTE188" s="36"/>
      <c r="CTF188" s="36"/>
      <c r="CTG188" s="36"/>
      <c r="CTH188" s="36"/>
      <c r="CTI188" s="36"/>
      <c r="CTJ188" s="36"/>
      <c r="CTK188" s="36"/>
      <c r="CTL188" s="36"/>
      <c r="CTM188" s="36"/>
      <c r="CTN188" s="36"/>
      <c r="CTO188" s="36"/>
      <c r="CTP188" s="36"/>
      <c r="CTQ188" s="36"/>
      <c r="CTR188" s="36"/>
      <c r="CTS188" s="36"/>
      <c r="CTT188" s="36"/>
      <c r="CTU188" s="36"/>
      <c r="CTV188" s="36"/>
      <c r="CTW188" s="36"/>
      <c r="CTX188" s="36"/>
      <c r="CTY188" s="36"/>
      <c r="CTZ188" s="36"/>
      <c r="CUA188" s="36"/>
      <c r="CUB188" s="36"/>
      <c r="CUC188" s="36"/>
      <c r="CUD188" s="36"/>
      <c r="CUE188" s="36"/>
      <c r="CUF188" s="36"/>
      <c r="CUG188" s="36"/>
      <c r="CUH188" s="36"/>
      <c r="CUI188" s="36"/>
      <c r="CUJ188" s="36"/>
      <c r="CUK188" s="36"/>
      <c r="CUL188" s="36"/>
      <c r="CUM188" s="36"/>
      <c r="CUN188" s="36"/>
      <c r="CUO188" s="36"/>
      <c r="CUP188" s="36"/>
      <c r="CUQ188" s="36"/>
      <c r="CUR188" s="36"/>
      <c r="CUS188" s="36"/>
      <c r="CUT188" s="36"/>
      <c r="CUU188" s="36"/>
      <c r="CUV188" s="36"/>
      <c r="CUW188" s="36"/>
      <c r="CUX188" s="36"/>
      <c r="CUY188" s="36"/>
      <c r="CUZ188" s="36"/>
      <c r="CVA188" s="36"/>
      <c r="CVB188" s="36"/>
      <c r="CVC188" s="36"/>
      <c r="CVD188" s="36"/>
      <c r="CVE188" s="36"/>
      <c r="CVF188" s="36"/>
      <c r="CVG188" s="36"/>
      <c r="CVH188" s="36"/>
      <c r="CVI188" s="36"/>
      <c r="CVJ188" s="36"/>
      <c r="CVK188" s="36"/>
      <c r="CVL188" s="36"/>
      <c r="CVM188" s="36"/>
      <c r="CVN188" s="36"/>
      <c r="CVO188" s="36"/>
      <c r="CVP188" s="36"/>
      <c r="CVQ188" s="36"/>
      <c r="CVR188" s="36"/>
      <c r="CVS188" s="36"/>
      <c r="CVT188" s="36"/>
      <c r="CVU188" s="36"/>
      <c r="CVV188" s="36"/>
      <c r="CVW188" s="36"/>
      <c r="CVX188" s="36"/>
      <c r="CVY188" s="36"/>
      <c r="CVZ188" s="36"/>
      <c r="CWA188" s="36"/>
      <c r="CWB188" s="36"/>
      <c r="CWC188" s="36"/>
      <c r="CWD188" s="36"/>
      <c r="CWE188" s="36"/>
      <c r="CWF188" s="36"/>
      <c r="CWG188" s="36"/>
      <c r="CWH188" s="36"/>
      <c r="CWI188" s="36"/>
      <c r="CWJ188" s="36"/>
      <c r="CWK188" s="36"/>
      <c r="CWL188" s="36"/>
      <c r="CWM188" s="36"/>
      <c r="CWN188" s="36"/>
      <c r="CWO188" s="36"/>
      <c r="CWP188" s="36"/>
      <c r="CWQ188" s="36"/>
      <c r="CWR188" s="36"/>
      <c r="CWS188" s="36"/>
      <c r="CWT188" s="36"/>
      <c r="CWU188" s="36"/>
      <c r="CWV188" s="36"/>
      <c r="CWW188" s="36"/>
      <c r="CWX188" s="36"/>
      <c r="CWY188" s="36"/>
      <c r="CWZ188" s="36"/>
      <c r="CXA188" s="36"/>
      <c r="CXB188" s="36"/>
      <c r="CXC188" s="36"/>
      <c r="CXD188" s="36"/>
      <c r="CXE188" s="36"/>
      <c r="CXF188" s="36"/>
      <c r="CXG188" s="36"/>
      <c r="CXH188" s="36"/>
      <c r="CXI188" s="36"/>
      <c r="CXJ188" s="36"/>
      <c r="CXK188" s="36"/>
      <c r="CXL188" s="36"/>
      <c r="CXM188" s="36"/>
      <c r="CXN188" s="36"/>
      <c r="CXO188" s="36"/>
      <c r="CXP188" s="36"/>
      <c r="CXQ188" s="36"/>
      <c r="CXR188" s="36"/>
      <c r="CXS188" s="36"/>
      <c r="CXT188" s="36"/>
      <c r="CXU188" s="36"/>
      <c r="CXV188" s="36"/>
      <c r="CXW188" s="36"/>
      <c r="CXX188" s="36"/>
      <c r="CXY188" s="36"/>
      <c r="CXZ188" s="36"/>
      <c r="CYA188" s="36"/>
      <c r="CYB188" s="36"/>
      <c r="CYC188" s="36"/>
      <c r="CYD188" s="36"/>
      <c r="CYE188" s="36"/>
      <c r="CYF188" s="36"/>
      <c r="CYG188" s="36"/>
      <c r="CYH188" s="36"/>
      <c r="CYI188" s="36"/>
      <c r="CYJ188" s="36"/>
      <c r="CYK188" s="36"/>
      <c r="CYL188" s="36"/>
      <c r="CYM188" s="36"/>
      <c r="CYN188" s="36"/>
      <c r="CYO188" s="36"/>
      <c r="CYP188" s="36"/>
      <c r="CYQ188" s="36"/>
      <c r="CYR188" s="36"/>
      <c r="CYS188" s="36"/>
      <c r="CYT188" s="36"/>
      <c r="CYU188" s="36"/>
      <c r="CYV188" s="36"/>
      <c r="CYW188" s="36"/>
      <c r="CYX188" s="36"/>
      <c r="CYY188" s="36"/>
      <c r="CYZ188" s="36"/>
      <c r="CZA188" s="36"/>
      <c r="CZB188" s="36"/>
      <c r="CZC188" s="36"/>
      <c r="CZD188" s="36"/>
      <c r="CZE188" s="36"/>
      <c r="CZF188" s="36"/>
      <c r="CZG188" s="36"/>
      <c r="CZH188" s="36"/>
      <c r="CZI188" s="36"/>
      <c r="CZJ188" s="36"/>
      <c r="CZK188" s="36"/>
      <c r="CZL188" s="36"/>
      <c r="CZM188" s="36"/>
      <c r="CZN188" s="36"/>
      <c r="CZO188" s="36"/>
      <c r="CZP188" s="36"/>
      <c r="CZQ188" s="36"/>
      <c r="CZR188" s="36"/>
      <c r="CZS188" s="36"/>
      <c r="CZT188" s="36"/>
      <c r="CZU188" s="36"/>
      <c r="CZV188" s="36"/>
      <c r="CZW188" s="36"/>
      <c r="CZX188" s="36"/>
      <c r="CZY188" s="36"/>
      <c r="CZZ188" s="36"/>
      <c r="DAA188" s="36"/>
      <c r="DAB188" s="36"/>
      <c r="DAC188" s="36"/>
      <c r="DAD188" s="36"/>
      <c r="DAE188" s="36"/>
      <c r="DAF188" s="36"/>
      <c r="DAG188" s="36"/>
      <c r="DAH188" s="36"/>
      <c r="DAI188" s="36"/>
      <c r="DAJ188" s="36"/>
      <c r="DAK188" s="36"/>
      <c r="DAL188" s="36"/>
      <c r="DAM188" s="36"/>
      <c r="DAN188" s="36"/>
      <c r="DAO188" s="36"/>
      <c r="DAP188" s="36"/>
      <c r="DAQ188" s="36"/>
      <c r="DAR188" s="36"/>
      <c r="DAS188" s="36"/>
      <c r="DAT188" s="36"/>
      <c r="DAU188" s="36"/>
      <c r="DAV188" s="36"/>
      <c r="DAW188" s="36"/>
      <c r="DAX188" s="36"/>
      <c r="DAY188" s="36"/>
      <c r="DAZ188" s="36"/>
      <c r="DBA188" s="36"/>
      <c r="DBB188" s="36"/>
      <c r="DBC188" s="36"/>
      <c r="DBD188" s="36"/>
      <c r="DBE188" s="36"/>
      <c r="DBF188" s="36"/>
      <c r="DBG188" s="36"/>
      <c r="DBH188" s="36"/>
      <c r="DBI188" s="36"/>
      <c r="DBJ188" s="36"/>
      <c r="DBK188" s="36"/>
      <c r="DBL188" s="36"/>
      <c r="DBM188" s="36"/>
      <c r="DBN188" s="36"/>
      <c r="DBO188" s="36"/>
      <c r="DBP188" s="36"/>
      <c r="DBQ188" s="36"/>
      <c r="DBR188" s="36"/>
      <c r="DBS188" s="36"/>
      <c r="DBT188" s="36"/>
      <c r="DBU188" s="36"/>
      <c r="DBV188" s="36"/>
      <c r="DBW188" s="36"/>
      <c r="DBX188" s="36"/>
      <c r="DBY188" s="36"/>
      <c r="DBZ188" s="36"/>
      <c r="DCA188" s="36"/>
      <c r="DCB188" s="36"/>
      <c r="DCC188" s="36"/>
      <c r="DCD188" s="36"/>
      <c r="DCE188" s="36"/>
      <c r="DCF188" s="36"/>
      <c r="DCG188" s="36"/>
      <c r="DCH188" s="36"/>
      <c r="DCI188" s="36"/>
      <c r="DCJ188" s="36"/>
      <c r="DCK188" s="36"/>
      <c r="DCL188" s="36"/>
      <c r="DCM188" s="36"/>
      <c r="DCN188" s="36"/>
      <c r="DCO188" s="36"/>
      <c r="DCP188" s="36"/>
      <c r="DCQ188" s="36"/>
      <c r="DCR188" s="36"/>
      <c r="DCS188" s="36"/>
      <c r="DCT188" s="36"/>
      <c r="DCU188" s="36"/>
      <c r="DCV188" s="36"/>
      <c r="DCW188" s="36"/>
      <c r="DCX188" s="36"/>
      <c r="DCY188" s="36"/>
      <c r="DCZ188" s="36"/>
      <c r="DDA188" s="36"/>
      <c r="DDB188" s="36"/>
      <c r="DDC188" s="36"/>
      <c r="DDD188" s="36"/>
      <c r="DDE188" s="36"/>
      <c r="DDF188" s="36"/>
      <c r="DDG188" s="36"/>
      <c r="DDH188" s="36"/>
      <c r="DDI188" s="36"/>
      <c r="DDJ188" s="36"/>
      <c r="DDK188" s="36"/>
      <c r="DDL188" s="36"/>
      <c r="DDM188" s="36"/>
      <c r="DDN188" s="36"/>
      <c r="DDO188" s="36"/>
      <c r="DDP188" s="36"/>
      <c r="DDQ188" s="36"/>
      <c r="DDR188" s="36"/>
      <c r="DDS188" s="36"/>
      <c r="DDT188" s="36"/>
      <c r="DDU188" s="36"/>
      <c r="DDV188" s="36"/>
      <c r="DDW188" s="36"/>
      <c r="DDX188" s="36"/>
      <c r="DDY188" s="36"/>
      <c r="DDZ188" s="36"/>
      <c r="DEA188" s="36"/>
      <c r="DEB188" s="36"/>
      <c r="DEC188" s="36"/>
      <c r="DED188" s="36"/>
      <c r="DEE188" s="36"/>
      <c r="DEF188" s="36"/>
      <c r="DEG188" s="36"/>
      <c r="DEH188" s="36"/>
      <c r="DEI188" s="36"/>
      <c r="DEJ188" s="36"/>
      <c r="DEK188" s="36"/>
      <c r="DEL188" s="36"/>
      <c r="DEM188" s="36"/>
      <c r="DEN188" s="36"/>
      <c r="DEO188" s="36"/>
      <c r="DEP188" s="36"/>
      <c r="DEQ188" s="36"/>
      <c r="DER188" s="36"/>
      <c r="DES188" s="36"/>
      <c r="DET188" s="36"/>
      <c r="DEU188" s="36"/>
      <c r="DEV188" s="36"/>
      <c r="DEW188" s="36"/>
      <c r="DEX188" s="36"/>
      <c r="DEY188" s="36"/>
      <c r="DEZ188" s="36"/>
      <c r="DFA188" s="36"/>
      <c r="DFB188" s="36"/>
      <c r="DFC188" s="36"/>
      <c r="DFD188" s="36"/>
      <c r="DFE188" s="36"/>
      <c r="DFF188" s="36"/>
      <c r="DFG188" s="36"/>
      <c r="DFH188" s="36"/>
      <c r="DFI188" s="36"/>
      <c r="DFJ188" s="36"/>
      <c r="DFK188" s="36"/>
      <c r="DFL188" s="36"/>
      <c r="DFM188" s="36"/>
      <c r="DFN188" s="36"/>
      <c r="DFO188" s="36"/>
      <c r="DFP188" s="36"/>
      <c r="DFQ188" s="36"/>
      <c r="DFR188" s="36"/>
      <c r="DFS188" s="36"/>
      <c r="DFT188" s="36"/>
      <c r="DFU188" s="36"/>
      <c r="DFV188" s="36"/>
      <c r="DFW188" s="36"/>
      <c r="DFX188" s="36"/>
      <c r="DFY188" s="36"/>
      <c r="DFZ188" s="36"/>
      <c r="DGA188" s="36"/>
      <c r="DGB188" s="36"/>
      <c r="DGC188" s="36"/>
      <c r="DGD188" s="36"/>
      <c r="DGE188" s="36"/>
      <c r="DGF188" s="36"/>
      <c r="DGG188" s="36"/>
      <c r="DGH188" s="36"/>
      <c r="DGI188" s="36"/>
      <c r="DGJ188" s="36"/>
      <c r="DGK188" s="36"/>
      <c r="DGL188" s="36"/>
      <c r="DGM188" s="36"/>
      <c r="DGN188" s="36"/>
      <c r="DGO188" s="36"/>
      <c r="DGP188" s="36"/>
      <c r="DGQ188" s="36"/>
      <c r="DGR188" s="36"/>
      <c r="DGS188" s="36"/>
      <c r="DGT188" s="36"/>
      <c r="DGU188" s="36"/>
      <c r="DGV188" s="36"/>
      <c r="DGW188" s="36"/>
      <c r="DGX188" s="36"/>
      <c r="DGY188" s="36"/>
      <c r="DGZ188" s="36"/>
      <c r="DHA188" s="36"/>
      <c r="DHB188" s="36"/>
      <c r="DHC188" s="36"/>
      <c r="DHD188" s="36"/>
      <c r="DHE188" s="36"/>
      <c r="DHF188" s="36"/>
      <c r="DHG188" s="36"/>
      <c r="DHH188" s="36"/>
      <c r="DHI188" s="36"/>
      <c r="DHJ188" s="36"/>
      <c r="DHK188" s="36"/>
      <c r="DHL188" s="36"/>
      <c r="DHM188" s="36"/>
      <c r="DHN188" s="36"/>
      <c r="DHO188" s="36"/>
      <c r="DHP188" s="36"/>
      <c r="DHQ188" s="36"/>
      <c r="DHR188" s="36"/>
      <c r="DHS188" s="36"/>
      <c r="DHT188" s="36"/>
      <c r="DHU188" s="36"/>
      <c r="DHV188" s="36"/>
      <c r="DHW188" s="36"/>
      <c r="DHX188" s="36"/>
      <c r="DHY188" s="36"/>
      <c r="DHZ188" s="36"/>
      <c r="DIA188" s="36"/>
      <c r="DIB188" s="36"/>
      <c r="DIC188" s="36"/>
      <c r="DID188" s="36"/>
      <c r="DIE188" s="36"/>
      <c r="DIF188" s="36"/>
      <c r="DIG188" s="36"/>
      <c r="DIH188" s="36"/>
      <c r="DII188" s="36"/>
      <c r="DIJ188" s="36"/>
      <c r="DIK188" s="36"/>
      <c r="DIL188" s="36"/>
      <c r="DIM188" s="36"/>
      <c r="DIN188" s="36"/>
      <c r="DIO188" s="36"/>
      <c r="DIP188" s="36"/>
      <c r="DIQ188" s="36"/>
      <c r="DIR188" s="36"/>
      <c r="DIS188" s="36"/>
      <c r="DIT188" s="36"/>
      <c r="DIU188" s="36"/>
      <c r="DIV188" s="36"/>
      <c r="DIW188" s="36"/>
      <c r="DIX188" s="36"/>
      <c r="DIY188" s="36"/>
      <c r="DIZ188" s="36"/>
      <c r="DJA188" s="36"/>
      <c r="DJB188" s="36"/>
      <c r="DJC188" s="36"/>
      <c r="DJD188" s="36"/>
      <c r="DJE188" s="36"/>
      <c r="DJF188" s="36"/>
      <c r="DJG188" s="36"/>
      <c r="DJH188" s="36"/>
      <c r="DJI188" s="36"/>
      <c r="DJJ188" s="36"/>
      <c r="DJK188" s="36"/>
      <c r="DJL188" s="36"/>
      <c r="DJM188" s="36"/>
      <c r="DJN188" s="36"/>
      <c r="DJO188" s="36"/>
      <c r="DJP188" s="36"/>
      <c r="DJQ188" s="36"/>
      <c r="DJR188" s="36"/>
      <c r="DJS188" s="36"/>
      <c r="DJT188" s="36"/>
      <c r="DJU188" s="36"/>
      <c r="DJV188" s="36"/>
      <c r="DJW188" s="36"/>
      <c r="DJX188" s="36"/>
      <c r="DJY188" s="36"/>
      <c r="DJZ188" s="36"/>
      <c r="DKA188" s="36"/>
      <c r="DKB188" s="36"/>
      <c r="DKC188" s="36"/>
      <c r="DKD188" s="36"/>
      <c r="DKE188" s="36"/>
      <c r="DKF188" s="36"/>
      <c r="DKG188" s="36"/>
      <c r="DKH188" s="36"/>
      <c r="DKI188" s="36"/>
      <c r="DKJ188" s="36"/>
      <c r="DKK188" s="36"/>
      <c r="DKL188" s="36"/>
      <c r="DKM188" s="36"/>
      <c r="DKN188" s="36"/>
      <c r="DKO188" s="36"/>
      <c r="DKP188" s="36"/>
      <c r="DKQ188" s="36"/>
      <c r="DKR188" s="36"/>
      <c r="DKS188" s="36"/>
      <c r="DKT188" s="36"/>
      <c r="DKU188" s="36"/>
      <c r="DKV188" s="36"/>
      <c r="DKW188" s="36"/>
      <c r="DKX188" s="36"/>
      <c r="DKY188" s="36"/>
      <c r="DKZ188" s="36"/>
      <c r="DLA188" s="36"/>
      <c r="DLB188" s="36"/>
      <c r="DLC188" s="36"/>
      <c r="DLD188" s="36"/>
      <c r="DLE188" s="36"/>
      <c r="DLF188" s="36"/>
      <c r="DLG188" s="36"/>
      <c r="DLH188" s="36"/>
      <c r="DLI188" s="36"/>
      <c r="DLJ188" s="36"/>
      <c r="DLK188" s="36"/>
      <c r="DLL188" s="36"/>
      <c r="DLM188" s="36"/>
      <c r="DLN188" s="36"/>
      <c r="DLO188" s="36"/>
      <c r="DLP188" s="36"/>
      <c r="DLQ188" s="36"/>
      <c r="DLR188" s="36"/>
      <c r="DLS188" s="36"/>
      <c r="DLT188" s="36"/>
      <c r="DLU188" s="36"/>
      <c r="DLV188" s="36"/>
      <c r="DLW188" s="36"/>
      <c r="DLX188" s="36"/>
      <c r="DLY188" s="36"/>
      <c r="DLZ188" s="36"/>
      <c r="DMA188" s="36"/>
      <c r="DMB188" s="36"/>
      <c r="DMC188" s="36"/>
      <c r="DMD188" s="36"/>
      <c r="DME188" s="36"/>
      <c r="DMF188" s="36"/>
      <c r="DMG188" s="36"/>
      <c r="DMH188" s="36"/>
      <c r="DMI188" s="36"/>
      <c r="DMJ188" s="36"/>
      <c r="DMK188" s="36"/>
      <c r="DML188" s="36"/>
      <c r="DMM188" s="36"/>
      <c r="DMN188" s="36"/>
      <c r="DMO188" s="36"/>
      <c r="DMP188" s="36"/>
      <c r="DMQ188" s="36"/>
      <c r="DMR188" s="36"/>
      <c r="DMS188" s="36"/>
      <c r="DMT188" s="36"/>
      <c r="DMU188" s="36"/>
      <c r="DMV188" s="36"/>
      <c r="DMW188" s="36"/>
      <c r="DMX188" s="36"/>
      <c r="DMY188" s="36"/>
      <c r="DMZ188" s="36"/>
      <c r="DNA188" s="36"/>
      <c r="DNB188" s="36"/>
      <c r="DNC188" s="36"/>
      <c r="DND188" s="36"/>
      <c r="DNE188" s="36"/>
      <c r="DNF188" s="36"/>
      <c r="DNG188" s="36"/>
      <c r="DNH188" s="36"/>
      <c r="DNI188" s="36"/>
      <c r="DNJ188" s="36"/>
      <c r="DNK188" s="36"/>
      <c r="DNL188" s="36"/>
      <c r="DNM188" s="36"/>
      <c r="DNN188" s="36"/>
      <c r="DNO188" s="36"/>
      <c r="DNP188" s="36"/>
      <c r="DNQ188" s="36"/>
      <c r="DNR188" s="36"/>
      <c r="DNS188" s="36"/>
      <c r="DNT188" s="36"/>
      <c r="DNU188" s="36"/>
      <c r="DNV188" s="36"/>
      <c r="DNW188" s="36"/>
      <c r="DNX188" s="36"/>
      <c r="DNY188" s="36"/>
      <c r="DNZ188" s="36"/>
      <c r="DOA188" s="36"/>
      <c r="DOB188" s="36"/>
      <c r="DOC188" s="36"/>
      <c r="DOD188" s="36"/>
      <c r="DOE188" s="36"/>
      <c r="DOF188" s="36"/>
      <c r="DOG188" s="36"/>
      <c r="DOH188" s="36"/>
      <c r="DOI188" s="36"/>
      <c r="DOJ188" s="36"/>
      <c r="DOK188" s="36"/>
      <c r="DOL188" s="36"/>
      <c r="DOM188" s="36"/>
      <c r="DON188" s="36"/>
      <c r="DOO188" s="36"/>
      <c r="DOP188" s="36"/>
      <c r="DOQ188" s="36"/>
      <c r="DOR188" s="36"/>
      <c r="DOS188" s="36"/>
      <c r="DOT188" s="36"/>
      <c r="DOU188" s="36"/>
      <c r="DOV188" s="36"/>
      <c r="DOW188" s="36"/>
      <c r="DOX188" s="36"/>
      <c r="DOY188" s="36"/>
      <c r="DOZ188" s="36"/>
      <c r="DPA188" s="36"/>
      <c r="DPB188" s="36"/>
      <c r="DPC188" s="36"/>
      <c r="DPD188" s="36"/>
      <c r="DPE188" s="36"/>
      <c r="DPF188" s="36"/>
      <c r="DPG188" s="36"/>
      <c r="DPH188" s="36"/>
      <c r="DPI188" s="36"/>
      <c r="DPJ188" s="36"/>
      <c r="DPK188" s="36"/>
      <c r="DPL188" s="36"/>
      <c r="DPM188" s="36"/>
      <c r="DPN188" s="36"/>
      <c r="DPO188" s="36"/>
      <c r="DPP188" s="36"/>
      <c r="DPQ188" s="36"/>
      <c r="DPR188" s="36"/>
      <c r="DPS188" s="36"/>
      <c r="DPT188" s="36"/>
      <c r="DPU188" s="36"/>
      <c r="DPV188" s="36"/>
      <c r="DPW188" s="36"/>
      <c r="DPX188" s="36"/>
      <c r="DPY188" s="36"/>
      <c r="DPZ188" s="36"/>
      <c r="DQA188" s="36"/>
      <c r="DQB188" s="36"/>
      <c r="DQC188" s="36"/>
      <c r="DQD188" s="36"/>
      <c r="DQE188" s="36"/>
      <c r="DQF188" s="36"/>
      <c r="DQG188" s="36"/>
      <c r="DQH188" s="36"/>
      <c r="DQI188" s="36"/>
      <c r="DQJ188" s="36"/>
      <c r="DQK188" s="36"/>
      <c r="DQL188" s="36"/>
      <c r="DQM188" s="36"/>
      <c r="DQN188" s="36"/>
      <c r="DQO188" s="36"/>
      <c r="DQP188" s="36"/>
      <c r="DQQ188" s="36"/>
      <c r="DQR188" s="36"/>
      <c r="DQS188" s="36"/>
      <c r="DQT188" s="36"/>
      <c r="DQU188" s="36"/>
      <c r="DQV188" s="36"/>
      <c r="DQW188" s="36"/>
      <c r="DQX188" s="36"/>
      <c r="DQY188" s="36"/>
      <c r="DQZ188" s="36"/>
      <c r="DRA188" s="36"/>
      <c r="DRB188" s="36"/>
      <c r="DRC188" s="36"/>
      <c r="DRD188" s="36"/>
      <c r="DRE188" s="36"/>
      <c r="DRF188" s="36"/>
      <c r="DRG188" s="36"/>
      <c r="DRH188" s="36"/>
      <c r="DRI188" s="36"/>
      <c r="DRJ188" s="36"/>
      <c r="DRK188" s="36"/>
      <c r="DRL188" s="36"/>
      <c r="DRM188" s="36"/>
      <c r="DRN188" s="36"/>
      <c r="DRO188" s="36"/>
      <c r="DRP188" s="36"/>
      <c r="DRQ188" s="36"/>
      <c r="DRR188" s="36"/>
      <c r="DRS188" s="36"/>
      <c r="DRT188" s="36"/>
      <c r="DRU188" s="36"/>
      <c r="DRV188" s="36"/>
      <c r="DRW188" s="36"/>
      <c r="DRX188" s="36"/>
      <c r="DRY188" s="36"/>
      <c r="DRZ188" s="36"/>
      <c r="DSA188" s="36"/>
      <c r="DSB188" s="36"/>
      <c r="DSC188" s="36"/>
      <c r="DSD188" s="36"/>
      <c r="DSE188" s="36"/>
      <c r="DSF188" s="36"/>
      <c r="DSG188" s="36"/>
      <c r="DSH188" s="36"/>
      <c r="DSI188" s="36"/>
      <c r="DSJ188" s="36"/>
      <c r="DSK188" s="36"/>
      <c r="DSL188" s="36"/>
      <c r="DSM188" s="36"/>
      <c r="DSN188" s="36"/>
      <c r="DSO188" s="36"/>
      <c r="DSP188" s="36"/>
      <c r="DSQ188" s="36"/>
      <c r="DSR188" s="36"/>
      <c r="DSS188" s="36"/>
      <c r="DST188" s="36"/>
      <c r="DSU188" s="36"/>
      <c r="DSV188" s="36"/>
      <c r="DSW188" s="36"/>
      <c r="DSX188" s="36"/>
      <c r="DSY188" s="36"/>
      <c r="DSZ188" s="36"/>
      <c r="DTA188" s="36"/>
      <c r="DTB188" s="36"/>
      <c r="DTC188" s="36"/>
      <c r="DTD188" s="36"/>
      <c r="DTE188" s="36"/>
      <c r="DTF188" s="36"/>
      <c r="DTG188" s="36"/>
      <c r="DTH188" s="36"/>
      <c r="DTI188" s="36"/>
      <c r="DTJ188" s="36"/>
      <c r="DTK188" s="36"/>
      <c r="DTL188" s="36"/>
      <c r="DTM188" s="36"/>
      <c r="DTN188" s="36"/>
      <c r="DTO188" s="36"/>
      <c r="DTP188" s="36"/>
      <c r="DTQ188" s="36"/>
      <c r="DTR188" s="36"/>
      <c r="DTS188" s="36"/>
      <c r="DTT188" s="36"/>
      <c r="DTU188" s="36"/>
      <c r="DTV188" s="36"/>
      <c r="DTW188" s="36"/>
      <c r="DTX188" s="36"/>
      <c r="DTY188" s="36"/>
      <c r="DTZ188" s="36"/>
      <c r="DUA188" s="36"/>
      <c r="DUB188" s="36"/>
      <c r="DUC188" s="36"/>
      <c r="DUD188" s="36"/>
      <c r="DUE188" s="36"/>
      <c r="DUF188" s="36"/>
      <c r="DUG188" s="36"/>
      <c r="DUH188" s="36"/>
      <c r="DUI188" s="36"/>
      <c r="DUJ188" s="36"/>
      <c r="DUK188" s="36"/>
      <c r="DUL188" s="36"/>
      <c r="DUM188" s="36"/>
      <c r="DUN188" s="36"/>
      <c r="DUO188" s="36"/>
      <c r="DUP188" s="36"/>
      <c r="DUQ188" s="36"/>
      <c r="DUR188" s="36"/>
      <c r="DUS188" s="36"/>
      <c r="DUT188" s="36"/>
      <c r="DUU188" s="36"/>
      <c r="DUV188" s="36"/>
      <c r="DUW188" s="36"/>
      <c r="DUX188" s="36"/>
      <c r="DUY188" s="36"/>
      <c r="DUZ188" s="36"/>
      <c r="DVA188" s="36"/>
      <c r="DVB188" s="36"/>
      <c r="DVC188" s="36"/>
      <c r="DVD188" s="36"/>
      <c r="DVE188" s="36"/>
      <c r="DVF188" s="36"/>
      <c r="DVG188" s="36"/>
      <c r="DVH188" s="36"/>
      <c r="DVI188" s="36"/>
      <c r="DVJ188" s="36"/>
      <c r="DVK188" s="36"/>
      <c r="DVL188" s="36"/>
      <c r="DVM188" s="36"/>
      <c r="DVN188" s="36"/>
      <c r="DVO188" s="36"/>
      <c r="DVP188" s="36"/>
      <c r="DVQ188" s="36"/>
      <c r="DVR188" s="36"/>
      <c r="DVS188" s="36"/>
      <c r="DVT188" s="36"/>
      <c r="DVU188" s="36"/>
      <c r="DVV188" s="36"/>
      <c r="DVW188" s="36"/>
      <c r="DVX188" s="36"/>
      <c r="DVY188" s="36"/>
      <c r="DVZ188" s="36"/>
      <c r="DWA188" s="36"/>
      <c r="DWB188" s="36"/>
      <c r="DWC188" s="36"/>
      <c r="DWD188" s="36"/>
      <c r="DWE188" s="36"/>
      <c r="DWF188" s="36"/>
      <c r="DWG188" s="36"/>
      <c r="DWH188" s="36"/>
      <c r="DWI188" s="36"/>
      <c r="DWJ188" s="36"/>
      <c r="DWK188" s="36"/>
      <c r="DWL188" s="36"/>
      <c r="DWM188" s="36"/>
      <c r="DWN188" s="36"/>
      <c r="DWO188" s="36"/>
      <c r="DWP188" s="36"/>
      <c r="DWQ188" s="36"/>
      <c r="DWR188" s="36"/>
      <c r="DWS188" s="36"/>
      <c r="DWT188" s="36"/>
      <c r="DWU188" s="36"/>
      <c r="DWV188" s="36"/>
      <c r="DWW188" s="36"/>
      <c r="DWX188" s="36"/>
      <c r="DWY188" s="36"/>
      <c r="DWZ188" s="36"/>
      <c r="DXA188" s="36"/>
      <c r="DXB188" s="36"/>
      <c r="DXC188" s="36"/>
      <c r="DXD188" s="36"/>
      <c r="DXE188" s="36"/>
      <c r="DXF188" s="36"/>
      <c r="DXG188" s="36"/>
      <c r="DXH188" s="36"/>
      <c r="DXI188" s="36"/>
      <c r="DXJ188" s="36"/>
      <c r="DXK188" s="36"/>
      <c r="DXL188" s="36"/>
      <c r="DXM188" s="36"/>
      <c r="DXN188" s="36"/>
      <c r="DXO188" s="36"/>
      <c r="DXP188" s="36"/>
      <c r="DXQ188" s="36"/>
      <c r="DXR188" s="36"/>
      <c r="DXS188" s="36"/>
      <c r="DXT188" s="36"/>
      <c r="DXU188" s="36"/>
      <c r="DXV188" s="36"/>
      <c r="DXW188" s="36"/>
      <c r="DXX188" s="36"/>
      <c r="DXY188" s="36"/>
      <c r="DXZ188" s="36"/>
      <c r="DYA188" s="36"/>
      <c r="DYB188" s="36"/>
      <c r="DYC188" s="36"/>
      <c r="DYD188" s="36"/>
      <c r="DYE188" s="36"/>
      <c r="DYF188" s="36"/>
      <c r="DYG188" s="36"/>
      <c r="DYH188" s="36"/>
      <c r="DYI188" s="36"/>
      <c r="DYJ188" s="36"/>
      <c r="DYK188" s="36"/>
      <c r="DYL188" s="36"/>
      <c r="DYM188" s="36"/>
      <c r="DYN188" s="36"/>
      <c r="DYO188" s="36"/>
      <c r="DYP188" s="36"/>
      <c r="DYQ188" s="36"/>
      <c r="DYR188" s="36"/>
      <c r="DYS188" s="36"/>
      <c r="DYT188" s="36"/>
      <c r="DYU188" s="36"/>
      <c r="DYV188" s="36"/>
      <c r="DYW188" s="36"/>
      <c r="DYX188" s="36"/>
      <c r="DYY188" s="36"/>
      <c r="DYZ188" s="36"/>
      <c r="DZA188" s="36"/>
      <c r="DZB188" s="36"/>
      <c r="DZC188" s="36"/>
      <c r="DZD188" s="36"/>
      <c r="DZE188" s="36"/>
      <c r="DZF188" s="36"/>
      <c r="DZG188" s="36"/>
      <c r="DZH188" s="36"/>
      <c r="DZI188" s="36"/>
      <c r="DZJ188" s="36"/>
      <c r="DZK188" s="36"/>
      <c r="DZL188" s="36"/>
      <c r="DZM188" s="36"/>
      <c r="DZN188" s="36"/>
      <c r="DZO188" s="36"/>
      <c r="DZP188" s="36"/>
      <c r="DZQ188" s="36"/>
      <c r="DZR188" s="36"/>
      <c r="DZS188" s="36"/>
      <c r="DZT188" s="36"/>
      <c r="DZU188" s="36"/>
      <c r="DZV188" s="36"/>
      <c r="DZW188" s="36"/>
      <c r="DZX188" s="36"/>
      <c r="DZY188" s="36"/>
      <c r="DZZ188" s="36"/>
      <c r="EAA188" s="36"/>
      <c r="EAB188" s="36"/>
      <c r="EAC188" s="36"/>
      <c r="EAD188" s="36"/>
      <c r="EAE188" s="36"/>
      <c r="EAF188" s="36"/>
      <c r="EAG188" s="36"/>
      <c r="EAH188" s="36"/>
      <c r="EAI188" s="36"/>
      <c r="EAJ188" s="36"/>
      <c r="EAK188" s="36"/>
      <c r="EAL188" s="36"/>
      <c r="EAM188" s="36"/>
      <c r="EAN188" s="36"/>
      <c r="EAO188" s="36"/>
      <c r="EAP188" s="36"/>
      <c r="EAQ188" s="36"/>
      <c r="EAR188" s="36"/>
      <c r="EAS188" s="36"/>
      <c r="EAT188" s="36"/>
      <c r="EAU188" s="36"/>
      <c r="EAV188" s="36"/>
      <c r="EAW188" s="36"/>
      <c r="EAX188" s="36"/>
      <c r="EAY188" s="36"/>
      <c r="EAZ188" s="36"/>
      <c r="EBA188" s="36"/>
      <c r="EBB188" s="36"/>
      <c r="EBC188" s="36"/>
      <c r="EBD188" s="36"/>
      <c r="EBE188" s="36"/>
      <c r="EBF188" s="36"/>
      <c r="EBG188" s="36"/>
      <c r="EBH188" s="36"/>
      <c r="EBI188" s="36"/>
      <c r="EBJ188" s="36"/>
      <c r="EBK188" s="36"/>
      <c r="EBL188" s="36"/>
      <c r="EBM188" s="36"/>
      <c r="EBN188" s="36"/>
      <c r="EBO188" s="36"/>
      <c r="EBP188" s="36"/>
      <c r="EBQ188" s="36"/>
      <c r="EBR188" s="36"/>
      <c r="EBS188" s="36"/>
      <c r="EBT188" s="36"/>
      <c r="EBU188" s="36"/>
      <c r="EBV188" s="36"/>
      <c r="EBW188" s="36"/>
      <c r="EBX188" s="36"/>
      <c r="EBY188" s="36"/>
      <c r="EBZ188" s="36"/>
      <c r="ECA188" s="36"/>
      <c r="ECB188" s="36"/>
      <c r="ECC188" s="36"/>
      <c r="ECD188" s="36"/>
      <c r="ECE188" s="36"/>
      <c r="ECF188" s="36"/>
      <c r="ECG188" s="36"/>
      <c r="ECH188" s="36"/>
      <c r="ECI188" s="36"/>
      <c r="ECJ188" s="36"/>
      <c r="ECK188" s="36"/>
      <c r="ECL188" s="36"/>
      <c r="ECM188" s="36"/>
      <c r="ECN188" s="36"/>
      <c r="ECO188" s="36"/>
      <c r="ECP188" s="36"/>
      <c r="ECQ188" s="36"/>
      <c r="ECR188" s="36"/>
      <c r="ECS188" s="36"/>
      <c r="ECT188" s="36"/>
      <c r="ECU188" s="36"/>
      <c r="ECV188" s="36"/>
      <c r="ECW188" s="36"/>
      <c r="ECX188" s="36"/>
      <c r="ECY188" s="36"/>
      <c r="ECZ188" s="36"/>
      <c r="EDA188" s="36"/>
      <c r="EDB188" s="36"/>
      <c r="EDC188" s="36"/>
      <c r="EDD188" s="36"/>
      <c r="EDE188" s="36"/>
      <c r="EDF188" s="36"/>
      <c r="EDG188" s="36"/>
      <c r="EDH188" s="36"/>
      <c r="EDI188" s="36"/>
      <c r="EDJ188" s="36"/>
      <c r="EDK188" s="36"/>
      <c r="EDL188" s="36"/>
      <c r="EDM188" s="36"/>
      <c r="EDN188" s="36"/>
      <c r="EDO188" s="36"/>
      <c r="EDP188" s="36"/>
      <c r="EDQ188" s="36"/>
      <c r="EDR188" s="36"/>
      <c r="EDS188" s="36"/>
      <c r="EDT188" s="36"/>
      <c r="EDU188" s="36"/>
      <c r="EDV188" s="36"/>
      <c r="EDW188" s="36"/>
      <c r="EDX188" s="36"/>
      <c r="EDY188" s="36"/>
      <c r="EDZ188" s="36"/>
      <c r="EEA188" s="36"/>
      <c r="EEB188" s="36"/>
      <c r="EEC188" s="36"/>
      <c r="EED188" s="36"/>
      <c r="EEE188" s="36"/>
      <c r="EEF188" s="36"/>
      <c r="EEG188" s="36"/>
      <c r="EEH188" s="36"/>
      <c r="EEI188" s="36"/>
      <c r="EEJ188" s="36"/>
      <c r="EEK188" s="36"/>
      <c r="EEL188" s="36"/>
      <c r="EEM188" s="36"/>
      <c r="EEN188" s="36"/>
      <c r="EEO188" s="36"/>
      <c r="EEP188" s="36"/>
      <c r="EEQ188" s="36"/>
      <c r="EER188" s="36"/>
      <c r="EES188" s="36"/>
      <c r="EET188" s="36"/>
      <c r="EEU188" s="36"/>
      <c r="EEV188" s="36"/>
      <c r="EEW188" s="36"/>
      <c r="EEX188" s="36"/>
      <c r="EEY188" s="36"/>
      <c r="EEZ188" s="36"/>
      <c r="EFA188" s="36"/>
      <c r="EFB188" s="36"/>
      <c r="EFC188" s="36"/>
      <c r="EFD188" s="36"/>
      <c r="EFE188" s="36"/>
      <c r="EFF188" s="36"/>
      <c r="EFG188" s="36"/>
      <c r="EFH188" s="36"/>
      <c r="EFI188" s="36"/>
      <c r="EFJ188" s="36"/>
      <c r="EFK188" s="36"/>
      <c r="EFL188" s="36"/>
      <c r="EFM188" s="36"/>
      <c r="EFN188" s="36"/>
      <c r="EFO188" s="36"/>
      <c r="EFP188" s="36"/>
      <c r="EFQ188" s="36"/>
      <c r="EFR188" s="36"/>
      <c r="EFS188" s="36"/>
      <c r="EFT188" s="36"/>
      <c r="EFU188" s="36"/>
      <c r="EFV188" s="36"/>
      <c r="EFW188" s="36"/>
      <c r="EFX188" s="36"/>
      <c r="EFY188" s="36"/>
      <c r="EFZ188" s="36"/>
      <c r="EGA188" s="36"/>
      <c r="EGB188" s="36"/>
      <c r="EGC188" s="36"/>
      <c r="EGD188" s="36"/>
      <c r="EGE188" s="36"/>
      <c r="EGF188" s="36"/>
      <c r="EGG188" s="36"/>
      <c r="EGH188" s="36"/>
      <c r="EGI188" s="36"/>
      <c r="EGJ188" s="36"/>
      <c r="EGK188" s="36"/>
      <c r="EGL188" s="36"/>
      <c r="EGM188" s="36"/>
      <c r="EGN188" s="36"/>
      <c r="EGO188" s="36"/>
      <c r="EGP188" s="36"/>
      <c r="EGQ188" s="36"/>
      <c r="EGR188" s="36"/>
      <c r="EGS188" s="36"/>
      <c r="EGT188" s="36"/>
      <c r="EGU188" s="36"/>
      <c r="EGV188" s="36"/>
      <c r="EGW188" s="36"/>
      <c r="EGX188" s="36"/>
      <c r="EGY188" s="36"/>
      <c r="EGZ188" s="36"/>
      <c r="EHA188" s="36"/>
      <c r="EHB188" s="36"/>
      <c r="EHC188" s="36"/>
      <c r="EHD188" s="36"/>
      <c r="EHE188" s="36"/>
      <c r="EHF188" s="36"/>
      <c r="EHG188" s="36"/>
      <c r="EHH188" s="36"/>
      <c r="EHI188" s="36"/>
      <c r="EHJ188" s="36"/>
      <c r="EHK188" s="36"/>
      <c r="EHL188" s="36"/>
      <c r="EHM188" s="36"/>
      <c r="EHN188" s="36"/>
      <c r="EHO188" s="36"/>
      <c r="EHP188" s="36"/>
      <c r="EHQ188" s="36"/>
      <c r="EHR188" s="36"/>
      <c r="EHS188" s="36"/>
      <c r="EHT188" s="36"/>
      <c r="EHU188" s="36"/>
      <c r="EHV188" s="36"/>
      <c r="EHW188" s="36"/>
      <c r="EHX188" s="36"/>
      <c r="EHY188" s="36"/>
      <c r="EHZ188" s="36"/>
      <c r="EIA188" s="36"/>
      <c r="EIB188" s="36"/>
      <c r="EIC188" s="36"/>
      <c r="EID188" s="36"/>
      <c r="EIE188" s="36"/>
      <c r="EIF188" s="36"/>
      <c r="EIG188" s="36"/>
      <c r="EIH188" s="36"/>
      <c r="EII188" s="36"/>
      <c r="EIJ188" s="36"/>
      <c r="EIK188" s="36"/>
      <c r="EIL188" s="36"/>
      <c r="EIM188" s="36"/>
      <c r="EIN188" s="36"/>
      <c r="EIO188" s="36"/>
      <c r="EIP188" s="36"/>
      <c r="EIQ188" s="36"/>
      <c r="EIR188" s="36"/>
      <c r="EIS188" s="36"/>
      <c r="EIT188" s="36"/>
      <c r="EIU188" s="36"/>
      <c r="EIV188" s="36"/>
      <c r="EIW188" s="36"/>
      <c r="EIX188" s="36"/>
      <c r="EIY188" s="36"/>
      <c r="EIZ188" s="36"/>
      <c r="EJA188" s="36"/>
      <c r="EJB188" s="36"/>
      <c r="EJC188" s="36"/>
      <c r="EJD188" s="36"/>
      <c r="EJE188" s="36"/>
      <c r="EJF188" s="36"/>
      <c r="EJG188" s="36"/>
      <c r="EJH188" s="36"/>
      <c r="EJI188" s="36"/>
      <c r="EJJ188" s="36"/>
      <c r="EJK188" s="36"/>
      <c r="EJL188" s="36"/>
      <c r="EJM188" s="36"/>
      <c r="EJN188" s="36"/>
      <c r="EJO188" s="36"/>
      <c r="EJP188" s="36"/>
      <c r="EJQ188" s="36"/>
      <c r="EJR188" s="36"/>
      <c r="EJS188" s="36"/>
      <c r="EJT188" s="36"/>
      <c r="EJU188" s="36"/>
      <c r="EJV188" s="36"/>
      <c r="EJW188" s="36"/>
      <c r="EJX188" s="36"/>
      <c r="EJY188" s="36"/>
      <c r="EJZ188" s="36"/>
      <c r="EKA188" s="36"/>
      <c r="EKB188" s="36"/>
      <c r="EKC188" s="36"/>
      <c r="EKD188" s="36"/>
      <c r="EKE188" s="36"/>
      <c r="EKF188" s="36"/>
      <c r="EKG188" s="36"/>
      <c r="EKH188" s="36"/>
      <c r="EKI188" s="36"/>
      <c r="EKJ188" s="36"/>
      <c r="EKK188" s="36"/>
      <c r="EKL188" s="36"/>
      <c r="EKM188" s="36"/>
      <c r="EKN188" s="36"/>
      <c r="EKO188" s="36"/>
      <c r="EKP188" s="36"/>
      <c r="EKQ188" s="36"/>
      <c r="EKR188" s="36"/>
      <c r="EKS188" s="36"/>
      <c r="EKT188" s="36"/>
      <c r="EKU188" s="36"/>
      <c r="EKV188" s="36"/>
      <c r="EKW188" s="36"/>
      <c r="EKX188" s="36"/>
      <c r="EKY188" s="36"/>
      <c r="EKZ188" s="36"/>
      <c r="ELA188" s="36"/>
      <c r="ELB188" s="36"/>
      <c r="ELC188" s="36"/>
      <c r="ELD188" s="36"/>
      <c r="ELE188" s="36"/>
      <c r="ELF188" s="36"/>
      <c r="ELG188" s="36"/>
      <c r="ELH188" s="36"/>
      <c r="ELI188" s="36"/>
      <c r="ELJ188" s="36"/>
      <c r="ELK188" s="36"/>
      <c r="ELL188" s="36"/>
      <c r="ELM188" s="36"/>
      <c r="ELN188" s="36"/>
      <c r="ELO188" s="36"/>
      <c r="ELP188" s="36"/>
      <c r="ELQ188" s="36"/>
      <c r="ELR188" s="36"/>
      <c r="ELS188" s="36"/>
      <c r="ELT188" s="36"/>
      <c r="ELU188" s="36"/>
      <c r="ELV188" s="36"/>
      <c r="ELW188" s="36"/>
      <c r="ELX188" s="36"/>
      <c r="ELY188" s="36"/>
      <c r="ELZ188" s="36"/>
      <c r="EMA188" s="36"/>
      <c r="EMB188" s="36"/>
      <c r="EMC188" s="36"/>
      <c r="EMD188" s="36"/>
      <c r="EME188" s="36"/>
      <c r="EMF188" s="36"/>
      <c r="EMG188" s="36"/>
      <c r="EMH188" s="36"/>
      <c r="EMI188" s="36"/>
      <c r="EMJ188" s="36"/>
      <c r="EMK188" s="36"/>
      <c r="EML188" s="36"/>
      <c r="EMM188" s="36"/>
      <c r="EMN188" s="36"/>
      <c r="EMO188" s="36"/>
      <c r="EMP188" s="36"/>
      <c r="EMQ188" s="36"/>
      <c r="EMR188" s="36"/>
      <c r="EMS188" s="36"/>
      <c r="EMT188" s="36"/>
      <c r="EMU188" s="36"/>
      <c r="EMV188" s="36"/>
      <c r="EMW188" s="36"/>
      <c r="EMX188" s="36"/>
      <c r="EMY188" s="36"/>
      <c r="EMZ188" s="36"/>
      <c r="ENA188" s="36"/>
      <c r="ENB188" s="36"/>
      <c r="ENC188" s="36"/>
      <c r="END188" s="36"/>
      <c r="ENE188" s="36"/>
      <c r="ENF188" s="36"/>
      <c r="ENG188" s="36"/>
      <c r="ENH188" s="36"/>
      <c r="ENI188" s="36"/>
      <c r="ENJ188" s="36"/>
      <c r="ENK188" s="36"/>
      <c r="ENL188" s="36"/>
      <c r="ENM188" s="36"/>
      <c r="ENN188" s="36"/>
      <c r="ENO188" s="36"/>
      <c r="ENP188" s="36"/>
      <c r="ENQ188" s="36"/>
      <c r="ENR188" s="36"/>
      <c r="ENS188" s="36"/>
      <c r="ENT188" s="36"/>
      <c r="ENU188" s="36"/>
      <c r="ENV188" s="36"/>
      <c r="ENW188" s="36"/>
      <c r="ENX188" s="36"/>
      <c r="ENY188" s="36"/>
      <c r="ENZ188" s="36"/>
      <c r="EOA188" s="36"/>
      <c r="EOB188" s="36"/>
      <c r="EOC188" s="36"/>
      <c r="EOD188" s="36"/>
      <c r="EOE188" s="36"/>
      <c r="EOF188" s="36"/>
      <c r="EOG188" s="36"/>
      <c r="EOH188" s="36"/>
      <c r="EOI188" s="36"/>
      <c r="EOJ188" s="36"/>
      <c r="EOK188" s="36"/>
      <c r="EOL188" s="36"/>
      <c r="EOM188" s="36"/>
      <c r="EON188" s="36"/>
      <c r="EOO188" s="36"/>
      <c r="EOP188" s="36"/>
      <c r="EOQ188" s="36"/>
      <c r="EOR188" s="36"/>
      <c r="EOS188" s="36"/>
      <c r="EOT188" s="36"/>
      <c r="EOU188" s="36"/>
      <c r="EOV188" s="36"/>
      <c r="EOW188" s="36"/>
      <c r="EOX188" s="36"/>
      <c r="EOY188" s="36"/>
      <c r="EOZ188" s="36"/>
      <c r="EPA188" s="36"/>
      <c r="EPB188" s="36"/>
      <c r="EPC188" s="36"/>
      <c r="EPD188" s="36"/>
      <c r="EPE188" s="36"/>
      <c r="EPF188" s="36"/>
      <c r="EPG188" s="36"/>
      <c r="EPH188" s="36"/>
      <c r="EPI188" s="36"/>
      <c r="EPJ188" s="36"/>
      <c r="EPK188" s="36"/>
      <c r="EPL188" s="36"/>
      <c r="EPM188" s="36"/>
      <c r="EPN188" s="36"/>
      <c r="EPO188" s="36"/>
      <c r="EPP188" s="36"/>
      <c r="EPQ188" s="36"/>
      <c r="EPR188" s="36"/>
      <c r="EPS188" s="36"/>
      <c r="EPT188" s="36"/>
      <c r="EPU188" s="36"/>
      <c r="EPV188" s="36"/>
      <c r="EPW188" s="36"/>
      <c r="EPX188" s="36"/>
      <c r="EPY188" s="36"/>
      <c r="EPZ188" s="36"/>
      <c r="EQA188" s="36"/>
      <c r="EQB188" s="36"/>
      <c r="EQC188" s="36"/>
      <c r="EQD188" s="36"/>
      <c r="EQE188" s="36"/>
      <c r="EQF188" s="36"/>
      <c r="EQG188" s="36"/>
      <c r="EQH188" s="36"/>
      <c r="EQI188" s="36"/>
      <c r="EQJ188" s="36"/>
      <c r="EQK188" s="36"/>
      <c r="EQL188" s="36"/>
      <c r="EQM188" s="36"/>
      <c r="EQN188" s="36"/>
      <c r="EQO188" s="36"/>
      <c r="EQP188" s="36"/>
      <c r="EQQ188" s="36"/>
      <c r="EQR188" s="36"/>
      <c r="EQS188" s="36"/>
      <c r="EQT188" s="36"/>
      <c r="EQU188" s="36"/>
      <c r="EQV188" s="36"/>
      <c r="EQW188" s="36"/>
      <c r="EQX188" s="36"/>
      <c r="EQY188" s="36"/>
      <c r="EQZ188" s="36"/>
      <c r="ERA188" s="36"/>
      <c r="ERB188" s="36"/>
      <c r="ERC188" s="36"/>
      <c r="ERD188" s="36"/>
      <c r="ERE188" s="36"/>
      <c r="ERF188" s="36"/>
      <c r="ERG188" s="36"/>
      <c r="ERH188" s="36"/>
      <c r="ERI188" s="36"/>
      <c r="ERJ188" s="36"/>
      <c r="ERK188" s="36"/>
      <c r="ERL188" s="36"/>
      <c r="ERM188" s="36"/>
      <c r="ERN188" s="36"/>
      <c r="ERO188" s="36"/>
      <c r="ERP188" s="36"/>
      <c r="ERQ188" s="36"/>
      <c r="ERR188" s="36"/>
      <c r="ERS188" s="36"/>
      <c r="ERT188" s="36"/>
      <c r="ERU188" s="36"/>
      <c r="ERV188" s="36"/>
      <c r="ERW188" s="36"/>
      <c r="ERX188" s="36"/>
      <c r="ERY188" s="36"/>
      <c r="ERZ188" s="36"/>
      <c r="ESA188" s="36"/>
      <c r="ESB188" s="36"/>
      <c r="ESC188" s="36"/>
      <c r="ESD188" s="36"/>
      <c r="ESE188" s="36"/>
      <c r="ESF188" s="36"/>
      <c r="ESG188" s="36"/>
      <c r="ESH188" s="36"/>
      <c r="ESI188" s="36"/>
      <c r="ESJ188" s="36"/>
      <c r="ESK188" s="36"/>
      <c r="ESL188" s="36"/>
      <c r="ESM188" s="36"/>
      <c r="ESN188" s="36"/>
      <c r="ESO188" s="36"/>
      <c r="ESP188" s="36"/>
      <c r="ESQ188" s="36"/>
      <c r="ESR188" s="36"/>
      <c r="ESS188" s="36"/>
      <c r="EST188" s="36"/>
      <c r="ESU188" s="36"/>
      <c r="ESV188" s="36"/>
      <c r="ESW188" s="36"/>
      <c r="ESX188" s="36"/>
      <c r="ESY188" s="36"/>
      <c r="ESZ188" s="36"/>
      <c r="ETA188" s="36"/>
      <c r="ETB188" s="36"/>
      <c r="ETC188" s="36"/>
      <c r="ETD188" s="36"/>
      <c r="ETE188" s="36"/>
      <c r="ETF188" s="36"/>
      <c r="ETG188" s="36"/>
      <c r="ETH188" s="36"/>
      <c r="ETI188" s="36"/>
      <c r="ETJ188" s="36"/>
      <c r="ETK188" s="36"/>
      <c r="ETL188" s="36"/>
      <c r="ETM188" s="36"/>
      <c r="ETN188" s="36"/>
      <c r="ETO188" s="36"/>
      <c r="ETP188" s="36"/>
      <c r="ETQ188" s="36"/>
      <c r="ETR188" s="36"/>
      <c r="ETS188" s="36"/>
      <c r="ETT188" s="36"/>
      <c r="ETU188" s="36"/>
      <c r="ETV188" s="36"/>
      <c r="ETW188" s="36"/>
      <c r="ETX188" s="36"/>
      <c r="ETY188" s="36"/>
      <c r="ETZ188" s="36"/>
      <c r="EUA188" s="36"/>
      <c r="EUB188" s="36"/>
      <c r="EUC188" s="36"/>
      <c r="EUD188" s="36"/>
      <c r="EUE188" s="36"/>
      <c r="EUF188" s="36"/>
      <c r="EUG188" s="36"/>
      <c r="EUH188" s="36"/>
      <c r="EUI188" s="36"/>
      <c r="EUJ188" s="36"/>
      <c r="EUK188" s="36"/>
      <c r="EUL188" s="36"/>
      <c r="EUM188" s="36"/>
      <c r="EUN188" s="36"/>
      <c r="EUO188" s="36"/>
      <c r="EUP188" s="36"/>
      <c r="EUQ188" s="36"/>
      <c r="EUR188" s="36"/>
      <c r="EUS188" s="36"/>
      <c r="EUT188" s="36"/>
      <c r="EUU188" s="36"/>
      <c r="EUV188" s="36"/>
      <c r="EUW188" s="36"/>
      <c r="EUX188" s="36"/>
      <c r="EUY188" s="36"/>
      <c r="EUZ188" s="36"/>
      <c r="EVA188" s="36"/>
      <c r="EVB188" s="36"/>
      <c r="EVC188" s="36"/>
      <c r="EVD188" s="36"/>
      <c r="EVE188" s="36"/>
      <c r="EVF188" s="36"/>
      <c r="EVG188" s="36"/>
      <c r="EVH188" s="36"/>
      <c r="EVI188" s="36"/>
      <c r="EVJ188" s="36"/>
      <c r="EVK188" s="36"/>
      <c r="EVL188" s="36"/>
      <c r="EVM188" s="36"/>
      <c r="EVN188" s="36"/>
      <c r="EVO188" s="36"/>
      <c r="EVP188" s="36"/>
      <c r="EVQ188" s="36"/>
      <c r="EVR188" s="36"/>
      <c r="EVS188" s="36"/>
      <c r="EVT188" s="36"/>
      <c r="EVU188" s="36"/>
      <c r="EVV188" s="36"/>
      <c r="EVW188" s="36"/>
      <c r="EVX188" s="36"/>
      <c r="EVY188" s="36"/>
      <c r="EVZ188" s="36"/>
      <c r="EWA188" s="36"/>
      <c r="EWB188" s="36"/>
      <c r="EWC188" s="36"/>
      <c r="EWD188" s="36"/>
      <c r="EWE188" s="36"/>
      <c r="EWF188" s="36"/>
      <c r="EWG188" s="36"/>
      <c r="EWH188" s="36"/>
      <c r="EWI188" s="36"/>
      <c r="EWJ188" s="36"/>
      <c r="EWK188" s="36"/>
      <c r="EWL188" s="36"/>
      <c r="EWM188" s="36"/>
      <c r="EWN188" s="36"/>
      <c r="EWO188" s="36"/>
      <c r="EWP188" s="36"/>
      <c r="EWQ188" s="36"/>
      <c r="EWR188" s="36"/>
      <c r="EWS188" s="36"/>
      <c r="EWT188" s="36"/>
      <c r="EWU188" s="36"/>
      <c r="EWV188" s="36"/>
      <c r="EWW188" s="36"/>
      <c r="EWX188" s="36"/>
      <c r="EWY188" s="36"/>
      <c r="EWZ188" s="36"/>
      <c r="EXA188" s="36"/>
      <c r="EXB188" s="36"/>
      <c r="EXC188" s="36"/>
      <c r="EXD188" s="36"/>
      <c r="EXE188" s="36"/>
      <c r="EXF188" s="36"/>
      <c r="EXG188" s="36"/>
      <c r="EXH188" s="36"/>
      <c r="EXI188" s="36"/>
      <c r="EXJ188" s="36"/>
      <c r="EXK188" s="36"/>
      <c r="EXL188" s="36"/>
      <c r="EXM188" s="36"/>
      <c r="EXN188" s="36"/>
      <c r="EXO188" s="36"/>
      <c r="EXP188" s="36"/>
      <c r="EXQ188" s="36"/>
      <c r="EXR188" s="36"/>
      <c r="EXS188" s="36"/>
      <c r="EXT188" s="36"/>
      <c r="EXU188" s="36"/>
      <c r="EXV188" s="36"/>
      <c r="EXW188" s="36"/>
      <c r="EXX188" s="36"/>
      <c r="EXY188" s="36"/>
      <c r="EXZ188" s="36"/>
      <c r="EYA188" s="36"/>
      <c r="EYB188" s="36"/>
      <c r="EYC188" s="36"/>
      <c r="EYD188" s="36"/>
      <c r="EYE188" s="36"/>
      <c r="EYF188" s="36"/>
      <c r="EYG188" s="36"/>
      <c r="EYH188" s="36"/>
      <c r="EYI188" s="36"/>
      <c r="EYJ188" s="36"/>
      <c r="EYK188" s="36"/>
      <c r="EYL188" s="36"/>
      <c r="EYM188" s="36"/>
      <c r="EYN188" s="36"/>
      <c r="EYO188" s="36"/>
      <c r="EYP188" s="36"/>
      <c r="EYQ188" s="36"/>
      <c r="EYR188" s="36"/>
      <c r="EYS188" s="36"/>
      <c r="EYT188" s="36"/>
      <c r="EYU188" s="36"/>
      <c r="EYV188" s="36"/>
      <c r="EYW188" s="36"/>
      <c r="EYX188" s="36"/>
      <c r="EYY188" s="36"/>
      <c r="EYZ188" s="36"/>
      <c r="EZA188" s="36"/>
      <c r="EZB188" s="36"/>
      <c r="EZC188" s="36"/>
      <c r="EZD188" s="36"/>
      <c r="EZE188" s="36"/>
      <c r="EZF188" s="36"/>
      <c r="EZG188" s="36"/>
      <c r="EZH188" s="36"/>
      <c r="EZI188" s="36"/>
      <c r="EZJ188" s="36"/>
      <c r="EZK188" s="36"/>
      <c r="EZL188" s="36"/>
      <c r="EZM188" s="36"/>
      <c r="EZN188" s="36"/>
      <c r="EZO188" s="36"/>
      <c r="EZP188" s="36"/>
      <c r="EZQ188" s="36"/>
      <c r="EZR188" s="36"/>
      <c r="EZS188" s="36"/>
      <c r="EZT188" s="36"/>
      <c r="EZU188" s="36"/>
      <c r="EZV188" s="36"/>
      <c r="EZW188" s="36"/>
      <c r="EZX188" s="36"/>
      <c r="EZY188" s="36"/>
      <c r="EZZ188" s="36"/>
      <c r="FAA188" s="36"/>
      <c r="FAB188" s="36"/>
      <c r="FAC188" s="36"/>
      <c r="FAD188" s="36"/>
      <c r="FAE188" s="36"/>
      <c r="FAF188" s="36"/>
      <c r="FAG188" s="36"/>
      <c r="FAH188" s="36"/>
      <c r="FAI188" s="36"/>
      <c r="FAJ188" s="36"/>
      <c r="FAK188" s="36"/>
      <c r="FAL188" s="36"/>
      <c r="FAM188" s="36"/>
      <c r="FAN188" s="36"/>
      <c r="FAO188" s="36"/>
      <c r="FAP188" s="36"/>
      <c r="FAQ188" s="36"/>
      <c r="FAR188" s="36"/>
      <c r="FAS188" s="36"/>
      <c r="FAT188" s="36"/>
      <c r="FAU188" s="36"/>
      <c r="FAV188" s="36"/>
      <c r="FAW188" s="36"/>
      <c r="FAX188" s="36"/>
      <c r="FAY188" s="36"/>
      <c r="FAZ188" s="36"/>
      <c r="FBA188" s="36"/>
      <c r="FBB188" s="36"/>
      <c r="FBC188" s="36"/>
      <c r="FBD188" s="36"/>
      <c r="FBE188" s="36"/>
      <c r="FBF188" s="36"/>
      <c r="FBG188" s="36"/>
      <c r="FBH188" s="36"/>
      <c r="FBI188" s="36"/>
      <c r="FBJ188" s="36"/>
      <c r="FBK188" s="36"/>
      <c r="FBL188" s="36"/>
      <c r="FBM188" s="36"/>
      <c r="FBN188" s="36"/>
      <c r="FBO188" s="36"/>
      <c r="FBP188" s="36"/>
      <c r="FBQ188" s="36"/>
      <c r="FBR188" s="36"/>
      <c r="FBS188" s="36"/>
      <c r="FBT188" s="36"/>
      <c r="FBU188" s="36"/>
      <c r="FBV188" s="36"/>
      <c r="FBW188" s="36"/>
      <c r="FBX188" s="36"/>
      <c r="FBY188" s="36"/>
      <c r="FBZ188" s="36"/>
      <c r="FCA188" s="36"/>
      <c r="FCB188" s="36"/>
      <c r="FCC188" s="36"/>
      <c r="FCD188" s="36"/>
      <c r="FCE188" s="36"/>
      <c r="FCF188" s="36"/>
      <c r="FCG188" s="36"/>
      <c r="FCH188" s="36"/>
      <c r="FCI188" s="36"/>
      <c r="FCJ188" s="36"/>
      <c r="FCK188" s="36"/>
      <c r="FCL188" s="36"/>
      <c r="FCM188" s="36"/>
      <c r="FCN188" s="36"/>
      <c r="FCO188" s="36"/>
      <c r="FCP188" s="36"/>
      <c r="FCQ188" s="36"/>
      <c r="FCR188" s="36"/>
      <c r="FCS188" s="36"/>
      <c r="FCT188" s="36"/>
      <c r="FCU188" s="36"/>
      <c r="FCV188" s="36"/>
      <c r="FCW188" s="36"/>
      <c r="FCX188" s="36"/>
      <c r="FCY188" s="36"/>
      <c r="FCZ188" s="36"/>
      <c r="FDA188" s="36"/>
      <c r="FDB188" s="36"/>
      <c r="FDC188" s="36"/>
      <c r="FDD188" s="36"/>
      <c r="FDE188" s="36"/>
      <c r="FDF188" s="36"/>
      <c r="FDG188" s="36"/>
      <c r="FDH188" s="36"/>
      <c r="FDI188" s="36"/>
      <c r="FDJ188" s="36"/>
      <c r="FDK188" s="36"/>
      <c r="FDL188" s="36"/>
      <c r="FDM188" s="36"/>
      <c r="FDN188" s="36"/>
      <c r="FDO188" s="36"/>
      <c r="FDP188" s="36"/>
      <c r="FDQ188" s="36"/>
      <c r="FDR188" s="36"/>
      <c r="FDS188" s="36"/>
      <c r="FDT188" s="36"/>
      <c r="FDU188" s="36"/>
      <c r="FDV188" s="36"/>
      <c r="FDW188" s="36"/>
      <c r="FDX188" s="36"/>
      <c r="FDY188" s="36"/>
      <c r="FDZ188" s="36"/>
      <c r="FEA188" s="36"/>
      <c r="FEB188" s="36"/>
      <c r="FEC188" s="36"/>
      <c r="FED188" s="36"/>
      <c r="FEE188" s="36"/>
      <c r="FEF188" s="36"/>
      <c r="FEG188" s="36"/>
      <c r="FEH188" s="36"/>
      <c r="FEI188" s="36"/>
      <c r="FEJ188" s="36"/>
      <c r="FEK188" s="36"/>
      <c r="FEL188" s="36"/>
      <c r="FEM188" s="36"/>
      <c r="FEN188" s="36"/>
      <c r="FEO188" s="36"/>
      <c r="FEP188" s="36"/>
      <c r="FEQ188" s="36"/>
      <c r="FER188" s="36"/>
      <c r="FES188" s="36"/>
      <c r="FET188" s="36"/>
      <c r="FEU188" s="36"/>
      <c r="FEV188" s="36"/>
      <c r="FEW188" s="36"/>
      <c r="FEX188" s="36"/>
      <c r="FEY188" s="36"/>
      <c r="FEZ188" s="36"/>
      <c r="FFA188" s="36"/>
      <c r="FFB188" s="36"/>
      <c r="FFC188" s="36"/>
      <c r="FFD188" s="36"/>
      <c r="FFE188" s="36"/>
      <c r="FFF188" s="36"/>
      <c r="FFG188" s="36"/>
      <c r="FFH188" s="36"/>
      <c r="FFI188" s="36"/>
      <c r="FFJ188" s="36"/>
      <c r="FFK188" s="36"/>
      <c r="FFL188" s="36"/>
      <c r="FFM188" s="36"/>
      <c r="FFN188" s="36"/>
      <c r="FFO188" s="36"/>
      <c r="FFP188" s="36"/>
      <c r="FFQ188" s="36"/>
      <c r="FFR188" s="36"/>
      <c r="FFS188" s="36"/>
      <c r="FFT188" s="36"/>
      <c r="FFU188" s="36"/>
      <c r="FFV188" s="36"/>
      <c r="FFW188" s="36"/>
      <c r="FFX188" s="36"/>
      <c r="FFY188" s="36"/>
      <c r="FFZ188" s="36"/>
      <c r="FGA188" s="36"/>
      <c r="FGB188" s="36"/>
      <c r="FGC188" s="36"/>
      <c r="FGD188" s="36"/>
      <c r="FGE188" s="36"/>
      <c r="FGF188" s="36"/>
      <c r="FGG188" s="36"/>
      <c r="FGH188" s="36"/>
      <c r="FGI188" s="36"/>
      <c r="FGJ188" s="36"/>
      <c r="FGK188" s="36"/>
      <c r="FGL188" s="36"/>
      <c r="FGM188" s="36"/>
      <c r="FGN188" s="36"/>
      <c r="FGO188" s="36"/>
      <c r="FGP188" s="36"/>
      <c r="FGQ188" s="36"/>
      <c r="FGR188" s="36"/>
      <c r="FGS188" s="36"/>
      <c r="FGT188" s="36"/>
      <c r="FGU188" s="36"/>
      <c r="FGV188" s="36"/>
      <c r="FGW188" s="36"/>
      <c r="FGX188" s="36"/>
      <c r="FGY188" s="36"/>
      <c r="FGZ188" s="36"/>
      <c r="FHA188" s="36"/>
      <c r="FHB188" s="36"/>
      <c r="FHC188" s="36"/>
      <c r="FHD188" s="36"/>
      <c r="FHE188" s="36"/>
      <c r="FHF188" s="36"/>
      <c r="FHG188" s="36"/>
      <c r="FHH188" s="36"/>
      <c r="FHI188" s="36"/>
      <c r="FHJ188" s="36"/>
      <c r="FHK188" s="36"/>
      <c r="FHL188" s="36"/>
      <c r="FHM188" s="36"/>
      <c r="FHN188" s="36"/>
      <c r="FHO188" s="36"/>
      <c r="FHP188" s="36"/>
      <c r="FHQ188" s="36"/>
      <c r="FHR188" s="36"/>
      <c r="FHS188" s="36"/>
      <c r="FHT188" s="36"/>
      <c r="FHU188" s="36"/>
      <c r="FHV188" s="36"/>
      <c r="FHW188" s="36"/>
      <c r="FHX188" s="36"/>
      <c r="FHY188" s="36"/>
      <c r="FHZ188" s="36"/>
      <c r="FIA188" s="36"/>
      <c r="FIB188" s="36"/>
      <c r="FIC188" s="36"/>
      <c r="FID188" s="36"/>
      <c r="FIE188" s="36"/>
      <c r="FIF188" s="36"/>
      <c r="FIG188" s="36"/>
      <c r="FIH188" s="36"/>
      <c r="FII188" s="36"/>
      <c r="FIJ188" s="36"/>
      <c r="FIK188" s="36"/>
      <c r="FIL188" s="36"/>
      <c r="FIM188" s="36"/>
      <c r="FIN188" s="36"/>
      <c r="FIO188" s="36"/>
      <c r="FIP188" s="36"/>
      <c r="FIQ188" s="36"/>
      <c r="FIR188" s="36"/>
      <c r="FIS188" s="36"/>
      <c r="FIT188" s="36"/>
      <c r="FIU188" s="36"/>
      <c r="FIV188" s="36"/>
      <c r="FIW188" s="36"/>
      <c r="FIX188" s="36"/>
      <c r="FIY188" s="36"/>
      <c r="FIZ188" s="36"/>
      <c r="FJA188" s="36"/>
      <c r="FJB188" s="36"/>
      <c r="FJC188" s="36"/>
      <c r="FJD188" s="36"/>
      <c r="FJE188" s="36"/>
      <c r="FJF188" s="36"/>
      <c r="FJG188" s="36"/>
      <c r="FJH188" s="36"/>
      <c r="FJI188" s="36"/>
      <c r="FJJ188" s="36"/>
      <c r="FJK188" s="36"/>
      <c r="FJL188" s="36"/>
      <c r="FJM188" s="36"/>
      <c r="FJN188" s="36"/>
      <c r="FJO188" s="36"/>
      <c r="FJP188" s="36"/>
      <c r="FJQ188" s="36"/>
      <c r="FJR188" s="36"/>
      <c r="FJS188" s="36"/>
      <c r="FJT188" s="36"/>
      <c r="FJU188" s="36"/>
      <c r="FJV188" s="36"/>
      <c r="FJW188" s="36"/>
      <c r="FJX188" s="36"/>
      <c r="FJY188" s="36"/>
      <c r="FJZ188" s="36"/>
      <c r="FKA188" s="36"/>
      <c r="FKB188" s="36"/>
      <c r="FKC188" s="36"/>
      <c r="FKD188" s="36"/>
      <c r="FKE188" s="36"/>
      <c r="FKF188" s="36"/>
      <c r="FKG188" s="36"/>
      <c r="FKH188" s="36"/>
      <c r="FKI188" s="36"/>
      <c r="FKJ188" s="36"/>
      <c r="FKK188" s="36"/>
      <c r="FKL188" s="36"/>
      <c r="FKM188" s="36"/>
      <c r="FKN188" s="36"/>
      <c r="FKO188" s="36"/>
      <c r="FKP188" s="36"/>
      <c r="FKQ188" s="36"/>
      <c r="FKR188" s="36"/>
      <c r="FKS188" s="36"/>
      <c r="FKT188" s="36"/>
      <c r="FKU188" s="36"/>
      <c r="FKV188" s="36"/>
      <c r="FKW188" s="36"/>
      <c r="FKX188" s="36"/>
      <c r="FKY188" s="36"/>
      <c r="FKZ188" s="36"/>
      <c r="FLA188" s="36"/>
      <c r="FLB188" s="36"/>
      <c r="FLC188" s="36"/>
      <c r="FLD188" s="36"/>
      <c r="FLE188" s="36"/>
      <c r="FLF188" s="36"/>
      <c r="FLG188" s="36"/>
      <c r="FLH188" s="36"/>
      <c r="FLI188" s="36"/>
      <c r="FLJ188" s="36"/>
      <c r="FLK188" s="36"/>
      <c r="FLL188" s="36"/>
      <c r="FLM188" s="36"/>
      <c r="FLN188" s="36"/>
      <c r="FLO188" s="36"/>
      <c r="FLP188" s="36"/>
      <c r="FLQ188" s="36"/>
      <c r="FLR188" s="36"/>
      <c r="FLS188" s="36"/>
      <c r="FLT188" s="36"/>
      <c r="FLU188" s="36"/>
      <c r="FLV188" s="36"/>
      <c r="FLW188" s="36"/>
      <c r="FLX188" s="36"/>
      <c r="FLY188" s="36"/>
      <c r="FLZ188" s="36"/>
      <c r="FMA188" s="36"/>
      <c r="FMB188" s="36"/>
      <c r="FMC188" s="36"/>
      <c r="FMD188" s="36"/>
      <c r="FME188" s="36"/>
      <c r="FMF188" s="36"/>
      <c r="FMG188" s="36"/>
      <c r="FMH188" s="36"/>
      <c r="FMI188" s="36"/>
      <c r="FMJ188" s="36"/>
      <c r="FMK188" s="36"/>
      <c r="FML188" s="36"/>
      <c r="FMM188" s="36"/>
      <c r="FMN188" s="36"/>
      <c r="FMO188" s="36"/>
      <c r="FMP188" s="36"/>
      <c r="FMQ188" s="36"/>
      <c r="FMR188" s="36"/>
      <c r="FMS188" s="36"/>
      <c r="FMT188" s="36"/>
      <c r="FMU188" s="36"/>
      <c r="FMV188" s="36"/>
      <c r="FMW188" s="36"/>
      <c r="FMX188" s="36"/>
      <c r="FMY188" s="36"/>
      <c r="FMZ188" s="36"/>
      <c r="FNA188" s="36"/>
      <c r="FNB188" s="36"/>
      <c r="FNC188" s="36"/>
      <c r="FND188" s="36"/>
      <c r="FNE188" s="36"/>
      <c r="FNF188" s="36"/>
      <c r="FNG188" s="36"/>
      <c r="FNH188" s="36"/>
      <c r="FNI188" s="36"/>
      <c r="FNJ188" s="36"/>
      <c r="FNK188" s="36"/>
      <c r="FNL188" s="36"/>
      <c r="FNM188" s="36"/>
      <c r="FNN188" s="36"/>
      <c r="FNO188" s="36"/>
      <c r="FNP188" s="36"/>
      <c r="FNQ188" s="36"/>
      <c r="FNR188" s="36"/>
      <c r="FNS188" s="36"/>
      <c r="FNT188" s="36"/>
      <c r="FNU188" s="36"/>
      <c r="FNV188" s="36"/>
      <c r="FNW188" s="36"/>
      <c r="FNX188" s="36"/>
      <c r="FNY188" s="36"/>
      <c r="FNZ188" s="36"/>
      <c r="FOA188" s="36"/>
      <c r="FOB188" s="36"/>
      <c r="FOC188" s="36"/>
      <c r="FOD188" s="36"/>
      <c r="FOE188" s="36"/>
      <c r="FOF188" s="36"/>
      <c r="FOG188" s="36"/>
      <c r="FOH188" s="36"/>
      <c r="FOI188" s="36"/>
      <c r="FOJ188" s="36"/>
      <c r="FOK188" s="36"/>
      <c r="FOL188" s="36"/>
      <c r="FOM188" s="36"/>
      <c r="FON188" s="36"/>
      <c r="FOO188" s="36"/>
      <c r="FOP188" s="36"/>
      <c r="FOQ188" s="36"/>
      <c r="FOR188" s="36"/>
      <c r="FOS188" s="36"/>
      <c r="FOT188" s="36"/>
      <c r="FOU188" s="36"/>
      <c r="FOV188" s="36"/>
      <c r="FOW188" s="36"/>
      <c r="FOX188" s="36"/>
      <c r="FOY188" s="36"/>
      <c r="FOZ188" s="36"/>
      <c r="FPA188" s="36"/>
      <c r="FPB188" s="36"/>
      <c r="FPC188" s="36"/>
      <c r="FPD188" s="36"/>
      <c r="FPE188" s="36"/>
      <c r="FPF188" s="36"/>
      <c r="FPG188" s="36"/>
      <c r="FPH188" s="36"/>
      <c r="FPI188" s="36"/>
      <c r="FPJ188" s="36"/>
      <c r="FPK188" s="36"/>
      <c r="FPL188" s="36"/>
      <c r="FPM188" s="36"/>
      <c r="FPN188" s="36"/>
      <c r="FPO188" s="36"/>
      <c r="FPP188" s="36"/>
      <c r="FPQ188" s="36"/>
      <c r="FPR188" s="36"/>
      <c r="FPS188" s="36"/>
      <c r="FPT188" s="36"/>
      <c r="FPU188" s="36"/>
      <c r="FPV188" s="36"/>
      <c r="FPW188" s="36"/>
      <c r="FPX188" s="36"/>
      <c r="FPY188" s="36"/>
      <c r="FPZ188" s="36"/>
      <c r="FQA188" s="36"/>
      <c r="FQB188" s="36"/>
      <c r="FQC188" s="36"/>
      <c r="FQD188" s="36"/>
      <c r="FQE188" s="36"/>
      <c r="FQF188" s="36"/>
      <c r="FQG188" s="36"/>
      <c r="FQH188" s="36"/>
      <c r="FQI188" s="36"/>
      <c r="FQJ188" s="36"/>
      <c r="FQK188" s="36"/>
      <c r="FQL188" s="36"/>
      <c r="FQM188" s="36"/>
      <c r="FQN188" s="36"/>
      <c r="FQO188" s="36"/>
      <c r="FQP188" s="36"/>
      <c r="FQQ188" s="36"/>
      <c r="FQR188" s="36"/>
      <c r="FQS188" s="36"/>
      <c r="FQT188" s="36"/>
      <c r="FQU188" s="36"/>
      <c r="FQV188" s="36"/>
      <c r="FQW188" s="36"/>
      <c r="FQX188" s="36"/>
      <c r="FQY188" s="36"/>
      <c r="FQZ188" s="36"/>
      <c r="FRA188" s="36"/>
      <c r="FRB188" s="36"/>
      <c r="FRC188" s="36"/>
      <c r="FRD188" s="36"/>
      <c r="FRE188" s="36"/>
      <c r="FRF188" s="36"/>
      <c r="FRG188" s="36"/>
      <c r="FRH188" s="36"/>
      <c r="FRI188" s="36"/>
      <c r="FRJ188" s="36"/>
      <c r="FRK188" s="36"/>
      <c r="FRL188" s="36"/>
      <c r="FRM188" s="36"/>
      <c r="FRN188" s="36"/>
      <c r="FRO188" s="36"/>
      <c r="FRP188" s="36"/>
      <c r="FRQ188" s="36"/>
      <c r="FRR188" s="36"/>
      <c r="FRS188" s="36"/>
      <c r="FRT188" s="36"/>
      <c r="FRU188" s="36"/>
      <c r="FRV188" s="36"/>
      <c r="FRW188" s="36"/>
      <c r="FRX188" s="36"/>
      <c r="FRY188" s="36"/>
      <c r="FRZ188" s="36"/>
      <c r="FSA188" s="36"/>
      <c r="FSB188" s="36"/>
      <c r="FSC188" s="36"/>
      <c r="FSD188" s="36"/>
      <c r="FSE188" s="36"/>
      <c r="FSF188" s="36"/>
      <c r="FSG188" s="36"/>
      <c r="FSH188" s="36"/>
      <c r="FSI188" s="36"/>
      <c r="FSJ188" s="36"/>
      <c r="FSK188" s="36"/>
      <c r="FSL188" s="36"/>
      <c r="FSM188" s="36"/>
      <c r="FSN188" s="36"/>
      <c r="FSO188" s="36"/>
      <c r="FSP188" s="36"/>
      <c r="FSQ188" s="36"/>
      <c r="FSR188" s="36"/>
      <c r="FSS188" s="36"/>
      <c r="FST188" s="36"/>
      <c r="FSU188" s="36"/>
      <c r="FSV188" s="36"/>
      <c r="FSW188" s="36"/>
      <c r="FSX188" s="36"/>
      <c r="FSY188" s="36"/>
      <c r="FSZ188" s="36"/>
      <c r="FTA188" s="36"/>
      <c r="FTB188" s="36"/>
      <c r="FTC188" s="36"/>
      <c r="FTD188" s="36"/>
      <c r="FTE188" s="36"/>
      <c r="FTF188" s="36"/>
      <c r="FTG188" s="36"/>
      <c r="FTH188" s="36"/>
      <c r="FTI188" s="36"/>
      <c r="FTJ188" s="36"/>
      <c r="FTK188" s="36"/>
      <c r="FTL188" s="36"/>
      <c r="FTM188" s="36"/>
      <c r="FTN188" s="36"/>
      <c r="FTO188" s="36"/>
      <c r="FTP188" s="36"/>
      <c r="FTQ188" s="36"/>
      <c r="FTR188" s="36"/>
      <c r="FTS188" s="36"/>
      <c r="FTT188" s="36"/>
      <c r="FTU188" s="36"/>
      <c r="FTV188" s="36"/>
      <c r="FTW188" s="36"/>
      <c r="FTX188" s="36"/>
      <c r="FTY188" s="36"/>
      <c r="FTZ188" s="36"/>
      <c r="FUA188" s="36"/>
      <c r="FUB188" s="36"/>
      <c r="FUC188" s="36"/>
      <c r="FUD188" s="36"/>
      <c r="FUE188" s="36"/>
      <c r="FUF188" s="36"/>
      <c r="FUG188" s="36"/>
      <c r="FUH188" s="36"/>
      <c r="FUI188" s="36"/>
      <c r="FUJ188" s="36"/>
      <c r="FUK188" s="36"/>
      <c r="FUL188" s="36"/>
      <c r="FUM188" s="36"/>
      <c r="FUN188" s="36"/>
      <c r="FUO188" s="36"/>
      <c r="FUP188" s="36"/>
      <c r="FUQ188" s="36"/>
      <c r="FUR188" s="36"/>
      <c r="FUS188" s="36"/>
      <c r="FUT188" s="36"/>
      <c r="FUU188" s="36"/>
      <c r="FUV188" s="36"/>
      <c r="FUW188" s="36"/>
      <c r="FUX188" s="36"/>
      <c r="FUY188" s="36"/>
      <c r="FUZ188" s="36"/>
      <c r="FVA188" s="36"/>
      <c r="FVB188" s="36"/>
      <c r="FVC188" s="36"/>
      <c r="FVD188" s="36"/>
      <c r="FVE188" s="36"/>
      <c r="FVF188" s="36"/>
      <c r="FVG188" s="36"/>
      <c r="FVH188" s="36"/>
      <c r="FVI188" s="36"/>
      <c r="FVJ188" s="36"/>
      <c r="FVK188" s="36"/>
      <c r="FVL188" s="36"/>
      <c r="FVM188" s="36"/>
      <c r="FVN188" s="36"/>
      <c r="FVO188" s="36"/>
      <c r="FVP188" s="36"/>
      <c r="FVQ188" s="36"/>
      <c r="FVR188" s="36"/>
      <c r="FVS188" s="36"/>
      <c r="FVT188" s="36"/>
      <c r="FVU188" s="36"/>
      <c r="FVV188" s="36"/>
      <c r="FVW188" s="36"/>
      <c r="FVX188" s="36"/>
      <c r="FVY188" s="36"/>
      <c r="FVZ188" s="36"/>
      <c r="FWA188" s="36"/>
      <c r="FWB188" s="36"/>
      <c r="FWC188" s="36"/>
      <c r="FWD188" s="36"/>
      <c r="FWE188" s="36"/>
      <c r="FWF188" s="36"/>
      <c r="FWG188" s="36"/>
      <c r="FWH188" s="36"/>
      <c r="FWI188" s="36"/>
      <c r="FWJ188" s="36"/>
      <c r="FWK188" s="36"/>
      <c r="FWL188" s="36"/>
      <c r="FWM188" s="36"/>
      <c r="FWN188" s="36"/>
      <c r="FWO188" s="36"/>
      <c r="FWP188" s="36"/>
      <c r="FWQ188" s="36"/>
      <c r="FWR188" s="36"/>
      <c r="FWS188" s="36"/>
      <c r="FWT188" s="36"/>
      <c r="FWU188" s="36"/>
      <c r="FWV188" s="36"/>
      <c r="FWW188" s="36"/>
      <c r="FWX188" s="36"/>
      <c r="FWY188" s="36"/>
      <c r="FWZ188" s="36"/>
      <c r="FXA188" s="36"/>
      <c r="FXB188" s="36"/>
      <c r="FXC188" s="36"/>
      <c r="FXD188" s="36"/>
      <c r="FXE188" s="36"/>
      <c r="FXF188" s="36"/>
      <c r="FXG188" s="36"/>
      <c r="FXH188" s="36"/>
      <c r="FXI188" s="36"/>
      <c r="FXJ188" s="36"/>
      <c r="FXK188" s="36"/>
      <c r="FXL188" s="36"/>
      <c r="FXM188" s="36"/>
      <c r="FXN188" s="36"/>
      <c r="FXO188" s="36"/>
      <c r="FXP188" s="36"/>
      <c r="FXQ188" s="36"/>
      <c r="FXR188" s="36"/>
      <c r="FXS188" s="36"/>
      <c r="FXT188" s="36"/>
      <c r="FXU188" s="36"/>
      <c r="FXV188" s="36"/>
      <c r="FXW188" s="36"/>
      <c r="FXX188" s="36"/>
      <c r="FXY188" s="36"/>
      <c r="FXZ188" s="36"/>
      <c r="FYA188" s="36"/>
      <c r="FYB188" s="36"/>
      <c r="FYC188" s="36"/>
      <c r="FYD188" s="36"/>
      <c r="FYE188" s="36"/>
      <c r="FYF188" s="36"/>
      <c r="FYG188" s="36"/>
      <c r="FYH188" s="36"/>
      <c r="FYI188" s="36"/>
      <c r="FYJ188" s="36"/>
      <c r="FYK188" s="36"/>
      <c r="FYL188" s="36"/>
      <c r="FYM188" s="36"/>
      <c r="FYN188" s="36"/>
      <c r="FYO188" s="36"/>
      <c r="FYP188" s="36"/>
      <c r="FYQ188" s="36"/>
      <c r="FYR188" s="36"/>
      <c r="FYS188" s="36"/>
      <c r="FYT188" s="36"/>
      <c r="FYU188" s="36"/>
      <c r="FYV188" s="36"/>
      <c r="FYW188" s="36"/>
      <c r="FYX188" s="36"/>
      <c r="FYY188" s="36"/>
      <c r="FYZ188" s="36"/>
      <c r="FZA188" s="36"/>
      <c r="FZB188" s="36"/>
      <c r="FZC188" s="36"/>
      <c r="FZD188" s="36"/>
      <c r="FZE188" s="36"/>
      <c r="FZF188" s="36"/>
      <c r="FZG188" s="36"/>
      <c r="FZH188" s="36"/>
      <c r="FZI188" s="36"/>
      <c r="FZJ188" s="36"/>
      <c r="FZK188" s="36"/>
      <c r="FZL188" s="36"/>
      <c r="FZM188" s="36"/>
      <c r="FZN188" s="36"/>
      <c r="FZO188" s="36"/>
      <c r="FZP188" s="36"/>
      <c r="FZQ188" s="36"/>
      <c r="FZR188" s="36"/>
      <c r="FZS188" s="36"/>
      <c r="FZT188" s="36"/>
      <c r="FZU188" s="36"/>
      <c r="FZV188" s="36"/>
      <c r="FZW188" s="36"/>
      <c r="FZX188" s="36"/>
      <c r="FZY188" s="36"/>
      <c r="FZZ188" s="36"/>
      <c r="GAA188" s="36"/>
      <c r="GAB188" s="36"/>
      <c r="GAC188" s="36"/>
      <c r="GAD188" s="36"/>
      <c r="GAE188" s="36"/>
      <c r="GAF188" s="36"/>
      <c r="GAG188" s="36"/>
      <c r="GAH188" s="36"/>
      <c r="GAI188" s="36"/>
      <c r="GAJ188" s="36"/>
      <c r="GAK188" s="36"/>
      <c r="GAL188" s="36"/>
      <c r="GAM188" s="36"/>
      <c r="GAN188" s="36"/>
      <c r="GAO188" s="36"/>
      <c r="GAP188" s="36"/>
      <c r="GAQ188" s="36"/>
      <c r="GAR188" s="36"/>
      <c r="GAS188" s="36"/>
      <c r="GAT188" s="36"/>
      <c r="GAU188" s="36"/>
      <c r="GAV188" s="36"/>
      <c r="GAW188" s="36"/>
      <c r="GAX188" s="36"/>
      <c r="GAY188" s="36"/>
      <c r="GAZ188" s="36"/>
      <c r="GBA188" s="36"/>
      <c r="GBB188" s="36"/>
      <c r="GBC188" s="36"/>
      <c r="GBD188" s="36"/>
      <c r="GBE188" s="36"/>
      <c r="GBF188" s="36"/>
      <c r="GBG188" s="36"/>
      <c r="GBH188" s="36"/>
      <c r="GBI188" s="36"/>
      <c r="GBJ188" s="36"/>
      <c r="GBK188" s="36"/>
      <c r="GBL188" s="36"/>
      <c r="GBM188" s="36"/>
      <c r="GBN188" s="36"/>
      <c r="GBO188" s="36"/>
      <c r="GBP188" s="36"/>
      <c r="GBQ188" s="36"/>
      <c r="GBR188" s="36"/>
      <c r="GBS188" s="36"/>
      <c r="GBT188" s="36"/>
      <c r="GBU188" s="36"/>
      <c r="GBV188" s="36"/>
      <c r="GBW188" s="36"/>
      <c r="GBX188" s="36"/>
      <c r="GBY188" s="36"/>
      <c r="GBZ188" s="36"/>
      <c r="GCA188" s="36"/>
      <c r="GCB188" s="36"/>
      <c r="GCC188" s="36"/>
      <c r="GCD188" s="36"/>
      <c r="GCE188" s="36"/>
      <c r="GCF188" s="36"/>
      <c r="GCG188" s="36"/>
      <c r="GCH188" s="36"/>
      <c r="GCI188" s="36"/>
      <c r="GCJ188" s="36"/>
      <c r="GCK188" s="36"/>
      <c r="GCL188" s="36"/>
      <c r="GCM188" s="36"/>
      <c r="GCN188" s="36"/>
      <c r="GCO188" s="36"/>
      <c r="GCP188" s="36"/>
      <c r="GCQ188" s="36"/>
      <c r="GCR188" s="36"/>
      <c r="GCS188" s="36"/>
      <c r="GCT188" s="36"/>
      <c r="GCU188" s="36"/>
      <c r="GCV188" s="36"/>
      <c r="GCW188" s="36"/>
      <c r="GCX188" s="36"/>
      <c r="GCY188" s="36"/>
      <c r="GCZ188" s="36"/>
      <c r="GDA188" s="36"/>
      <c r="GDB188" s="36"/>
      <c r="GDC188" s="36"/>
      <c r="GDD188" s="36"/>
      <c r="GDE188" s="36"/>
      <c r="GDF188" s="36"/>
      <c r="GDG188" s="36"/>
      <c r="GDH188" s="36"/>
      <c r="GDI188" s="36"/>
      <c r="GDJ188" s="36"/>
      <c r="GDK188" s="36"/>
      <c r="GDL188" s="36"/>
      <c r="GDM188" s="36"/>
      <c r="GDN188" s="36"/>
      <c r="GDO188" s="36"/>
      <c r="GDP188" s="36"/>
      <c r="GDQ188" s="36"/>
      <c r="GDR188" s="36"/>
      <c r="GDS188" s="36"/>
      <c r="GDT188" s="36"/>
      <c r="GDU188" s="36"/>
      <c r="GDV188" s="36"/>
      <c r="GDW188" s="36"/>
      <c r="GDX188" s="36"/>
      <c r="GDY188" s="36"/>
      <c r="GDZ188" s="36"/>
      <c r="GEA188" s="36"/>
      <c r="GEB188" s="36"/>
      <c r="GEC188" s="36"/>
      <c r="GED188" s="36"/>
      <c r="GEE188" s="36"/>
      <c r="GEF188" s="36"/>
      <c r="GEG188" s="36"/>
      <c r="GEH188" s="36"/>
      <c r="GEI188" s="36"/>
      <c r="GEJ188" s="36"/>
      <c r="GEK188" s="36"/>
      <c r="GEL188" s="36"/>
      <c r="GEM188" s="36"/>
      <c r="GEN188" s="36"/>
      <c r="GEO188" s="36"/>
      <c r="GEP188" s="36"/>
      <c r="GEQ188" s="36"/>
      <c r="GER188" s="36"/>
      <c r="GES188" s="36"/>
      <c r="GET188" s="36"/>
      <c r="GEU188" s="36"/>
      <c r="GEV188" s="36"/>
      <c r="GEW188" s="36"/>
      <c r="GEX188" s="36"/>
      <c r="GEY188" s="36"/>
      <c r="GEZ188" s="36"/>
      <c r="GFA188" s="36"/>
      <c r="GFB188" s="36"/>
      <c r="GFC188" s="36"/>
      <c r="GFD188" s="36"/>
      <c r="GFE188" s="36"/>
      <c r="GFF188" s="36"/>
      <c r="GFG188" s="36"/>
      <c r="GFH188" s="36"/>
      <c r="GFI188" s="36"/>
      <c r="GFJ188" s="36"/>
      <c r="GFK188" s="36"/>
      <c r="GFL188" s="36"/>
      <c r="GFM188" s="36"/>
      <c r="GFN188" s="36"/>
      <c r="GFO188" s="36"/>
      <c r="GFP188" s="36"/>
      <c r="GFQ188" s="36"/>
      <c r="GFR188" s="36"/>
      <c r="GFS188" s="36"/>
      <c r="GFT188" s="36"/>
      <c r="GFU188" s="36"/>
      <c r="GFV188" s="36"/>
      <c r="GFW188" s="36"/>
      <c r="GFX188" s="36"/>
      <c r="GFY188" s="36"/>
      <c r="GFZ188" s="36"/>
      <c r="GGA188" s="36"/>
      <c r="GGB188" s="36"/>
      <c r="GGC188" s="36"/>
      <c r="GGD188" s="36"/>
      <c r="GGE188" s="36"/>
      <c r="GGF188" s="36"/>
      <c r="GGG188" s="36"/>
      <c r="GGH188" s="36"/>
      <c r="GGI188" s="36"/>
      <c r="GGJ188" s="36"/>
      <c r="GGK188" s="36"/>
      <c r="GGL188" s="36"/>
      <c r="GGM188" s="36"/>
      <c r="GGN188" s="36"/>
      <c r="GGO188" s="36"/>
      <c r="GGP188" s="36"/>
      <c r="GGQ188" s="36"/>
      <c r="GGR188" s="36"/>
      <c r="GGS188" s="36"/>
      <c r="GGT188" s="36"/>
      <c r="GGU188" s="36"/>
      <c r="GGV188" s="36"/>
      <c r="GGW188" s="36"/>
      <c r="GGX188" s="36"/>
      <c r="GGY188" s="36"/>
      <c r="GGZ188" s="36"/>
      <c r="GHA188" s="36"/>
      <c r="GHB188" s="36"/>
      <c r="GHC188" s="36"/>
      <c r="GHD188" s="36"/>
      <c r="GHE188" s="36"/>
      <c r="GHF188" s="36"/>
      <c r="GHG188" s="36"/>
      <c r="GHH188" s="36"/>
      <c r="GHI188" s="36"/>
      <c r="GHJ188" s="36"/>
      <c r="GHK188" s="36"/>
      <c r="GHL188" s="36"/>
      <c r="GHM188" s="36"/>
      <c r="GHN188" s="36"/>
      <c r="GHO188" s="36"/>
      <c r="GHP188" s="36"/>
      <c r="GHQ188" s="36"/>
      <c r="GHR188" s="36"/>
      <c r="GHS188" s="36"/>
      <c r="GHT188" s="36"/>
      <c r="GHU188" s="36"/>
      <c r="GHV188" s="36"/>
      <c r="GHW188" s="36"/>
      <c r="GHX188" s="36"/>
      <c r="GHY188" s="36"/>
      <c r="GHZ188" s="36"/>
      <c r="GIA188" s="36"/>
      <c r="GIB188" s="36"/>
      <c r="GIC188" s="36"/>
      <c r="GID188" s="36"/>
      <c r="GIE188" s="36"/>
      <c r="GIF188" s="36"/>
      <c r="GIG188" s="36"/>
      <c r="GIH188" s="36"/>
      <c r="GII188" s="36"/>
      <c r="GIJ188" s="36"/>
      <c r="GIK188" s="36"/>
      <c r="GIL188" s="36"/>
      <c r="GIM188" s="36"/>
      <c r="GIN188" s="36"/>
      <c r="GIO188" s="36"/>
      <c r="GIP188" s="36"/>
      <c r="GIQ188" s="36"/>
      <c r="GIR188" s="36"/>
      <c r="GIS188" s="36"/>
      <c r="GIT188" s="36"/>
      <c r="GIU188" s="36"/>
      <c r="GIV188" s="36"/>
      <c r="GIW188" s="36"/>
      <c r="GIX188" s="36"/>
      <c r="GIY188" s="36"/>
      <c r="GIZ188" s="36"/>
      <c r="GJA188" s="36"/>
      <c r="GJB188" s="36"/>
      <c r="GJC188" s="36"/>
      <c r="GJD188" s="36"/>
      <c r="GJE188" s="36"/>
      <c r="GJF188" s="36"/>
      <c r="GJG188" s="36"/>
      <c r="GJH188" s="36"/>
      <c r="GJI188" s="36"/>
      <c r="GJJ188" s="36"/>
      <c r="GJK188" s="36"/>
      <c r="GJL188" s="36"/>
      <c r="GJM188" s="36"/>
      <c r="GJN188" s="36"/>
      <c r="GJO188" s="36"/>
      <c r="GJP188" s="36"/>
      <c r="GJQ188" s="36"/>
      <c r="GJR188" s="36"/>
      <c r="GJS188" s="36"/>
      <c r="GJT188" s="36"/>
      <c r="GJU188" s="36"/>
      <c r="GJV188" s="36"/>
      <c r="GJW188" s="36"/>
      <c r="GJX188" s="36"/>
      <c r="GJY188" s="36"/>
      <c r="GJZ188" s="36"/>
      <c r="GKA188" s="36"/>
      <c r="GKB188" s="36"/>
      <c r="GKC188" s="36"/>
      <c r="GKD188" s="36"/>
      <c r="GKE188" s="36"/>
      <c r="GKF188" s="36"/>
      <c r="GKG188" s="36"/>
      <c r="GKH188" s="36"/>
      <c r="GKI188" s="36"/>
      <c r="GKJ188" s="36"/>
      <c r="GKK188" s="36"/>
      <c r="GKL188" s="36"/>
      <c r="GKM188" s="36"/>
      <c r="GKN188" s="36"/>
      <c r="GKO188" s="36"/>
      <c r="GKP188" s="36"/>
      <c r="GKQ188" s="36"/>
      <c r="GKR188" s="36"/>
      <c r="GKS188" s="36"/>
      <c r="GKT188" s="36"/>
      <c r="GKU188" s="36"/>
      <c r="GKV188" s="36"/>
      <c r="GKW188" s="36"/>
      <c r="GKX188" s="36"/>
      <c r="GKY188" s="36"/>
      <c r="GKZ188" s="36"/>
      <c r="GLA188" s="36"/>
      <c r="GLB188" s="36"/>
      <c r="GLC188" s="36"/>
      <c r="GLD188" s="36"/>
      <c r="GLE188" s="36"/>
      <c r="GLF188" s="36"/>
      <c r="GLG188" s="36"/>
      <c r="GLH188" s="36"/>
      <c r="GLI188" s="36"/>
      <c r="GLJ188" s="36"/>
      <c r="GLK188" s="36"/>
      <c r="GLL188" s="36"/>
      <c r="GLM188" s="36"/>
      <c r="GLN188" s="36"/>
      <c r="GLO188" s="36"/>
      <c r="GLP188" s="36"/>
      <c r="GLQ188" s="36"/>
      <c r="GLR188" s="36"/>
      <c r="GLS188" s="36"/>
      <c r="GLT188" s="36"/>
      <c r="GLU188" s="36"/>
      <c r="GLV188" s="36"/>
      <c r="GLW188" s="36"/>
      <c r="GLX188" s="36"/>
      <c r="GLY188" s="36"/>
      <c r="GLZ188" s="36"/>
      <c r="GMA188" s="36"/>
      <c r="GMB188" s="36"/>
      <c r="GMC188" s="36"/>
      <c r="GMD188" s="36"/>
      <c r="GME188" s="36"/>
      <c r="GMF188" s="36"/>
      <c r="GMG188" s="36"/>
      <c r="GMH188" s="36"/>
      <c r="GMI188" s="36"/>
      <c r="GMJ188" s="36"/>
      <c r="GMK188" s="36"/>
      <c r="GML188" s="36"/>
      <c r="GMM188" s="36"/>
      <c r="GMN188" s="36"/>
      <c r="GMO188" s="36"/>
      <c r="GMP188" s="36"/>
      <c r="GMQ188" s="36"/>
      <c r="GMR188" s="36"/>
      <c r="GMS188" s="36"/>
      <c r="GMT188" s="36"/>
      <c r="GMU188" s="36"/>
      <c r="GMV188" s="36"/>
      <c r="GMW188" s="36"/>
      <c r="GMX188" s="36"/>
      <c r="GMY188" s="36"/>
      <c r="GMZ188" s="36"/>
      <c r="GNA188" s="36"/>
      <c r="GNB188" s="36"/>
      <c r="GNC188" s="36"/>
      <c r="GND188" s="36"/>
      <c r="GNE188" s="36"/>
      <c r="GNF188" s="36"/>
      <c r="GNG188" s="36"/>
      <c r="GNH188" s="36"/>
      <c r="GNI188" s="36"/>
      <c r="GNJ188" s="36"/>
      <c r="GNK188" s="36"/>
      <c r="GNL188" s="36"/>
      <c r="GNM188" s="36"/>
      <c r="GNN188" s="36"/>
      <c r="GNO188" s="36"/>
      <c r="GNP188" s="36"/>
      <c r="GNQ188" s="36"/>
      <c r="GNR188" s="36"/>
      <c r="GNS188" s="36"/>
      <c r="GNT188" s="36"/>
      <c r="GNU188" s="36"/>
      <c r="GNV188" s="36"/>
      <c r="GNW188" s="36"/>
      <c r="GNX188" s="36"/>
      <c r="GNY188" s="36"/>
      <c r="GNZ188" s="36"/>
      <c r="GOA188" s="36"/>
      <c r="GOB188" s="36"/>
      <c r="GOC188" s="36"/>
      <c r="GOD188" s="36"/>
      <c r="GOE188" s="36"/>
      <c r="GOF188" s="36"/>
      <c r="GOG188" s="36"/>
      <c r="GOH188" s="36"/>
      <c r="GOI188" s="36"/>
      <c r="GOJ188" s="36"/>
      <c r="GOK188" s="36"/>
      <c r="GOL188" s="36"/>
      <c r="GOM188" s="36"/>
      <c r="GON188" s="36"/>
      <c r="GOO188" s="36"/>
      <c r="GOP188" s="36"/>
      <c r="GOQ188" s="36"/>
      <c r="GOR188" s="36"/>
      <c r="GOS188" s="36"/>
      <c r="GOT188" s="36"/>
      <c r="GOU188" s="36"/>
      <c r="GOV188" s="36"/>
      <c r="GOW188" s="36"/>
      <c r="GOX188" s="36"/>
      <c r="GOY188" s="36"/>
      <c r="GOZ188" s="36"/>
      <c r="GPA188" s="36"/>
      <c r="GPB188" s="36"/>
      <c r="GPC188" s="36"/>
      <c r="GPD188" s="36"/>
      <c r="GPE188" s="36"/>
      <c r="GPF188" s="36"/>
      <c r="GPG188" s="36"/>
      <c r="GPH188" s="36"/>
      <c r="GPI188" s="36"/>
      <c r="GPJ188" s="36"/>
      <c r="GPK188" s="36"/>
      <c r="GPL188" s="36"/>
      <c r="GPM188" s="36"/>
      <c r="GPN188" s="36"/>
      <c r="GPO188" s="36"/>
      <c r="GPP188" s="36"/>
      <c r="GPQ188" s="36"/>
      <c r="GPR188" s="36"/>
      <c r="GPS188" s="36"/>
      <c r="GPT188" s="36"/>
      <c r="GPU188" s="36"/>
      <c r="GPV188" s="36"/>
      <c r="GPW188" s="36"/>
      <c r="GPX188" s="36"/>
      <c r="GPY188" s="36"/>
      <c r="GPZ188" s="36"/>
      <c r="GQA188" s="36"/>
      <c r="GQB188" s="36"/>
      <c r="GQC188" s="36"/>
      <c r="GQD188" s="36"/>
      <c r="GQE188" s="36"/>
      <c r="GQF188" s="36"/>
      <c r="GQG188" s="36"/>
      <c r="GQH188" s="36"/>
      <c r="GQI188" s="36"/>
      <c r="GQJ188" s="36"/>
      <c r="GQK188" s="36"/>
      <c r="GQL188" s="36"/>
      <c r="GQM188" s="36"/>
      <c r="GQN188" s="36"/>
      <c r="GQO188" s="36"/>
      <c r="GQP188" s="36"/>
      <c r="GQQ188" s="36"/>
      <c r="GQR188" s="36"/>
      <c r="GQS188" s="36"/>
      <c r="GQT188" s="36"/>
      <c r="GQU188" s="36"/>
      <c r="GQV188" s="36"/>
      <c r="GQW188" s="36"/>
      <c r="GQX188" s="36"/>
      <c r="GQY188" s="36"/>
      <c r="GQZ188" s="36"/>
      <c r="GRA188" s="36"/>
      <c r="GRB188" s="36"/>
      <c r="GRC188" s="36"/>
      <c r="GRD188" s="36"/>
      <c r="GRE188" s="36"/>
      <c r="GRF188" s="36"/>
      <c r="GRG188" s="36"/>
      <c r="GRH188" s="36"/>
      <c r="GRI188" s="36"/>
      <c r="GRJ188" s="36"/>
      <c r="GRK188" s="36"/>
      <c r="GRL188" s="36"/>
      <c r="GRM188" s="36"/>
      <c r="GRN188" s="36"/>
      <c r="GRO188" s="36"/>
      <c r="GRP188" s="36"/>
      <c r="GRQ188" s="36"/>
      <c r="GRR188" s="36"/>
      <c r="GRS188" s="36"/>
      <c r="GRT188" s="36"/>
      <c r="GRU188" s="36"/>
      <c r="GRV188" s="36"/>
      <c r="GRW188" s="36"/>
      <c r="GRX188" s="36"/>
      <c r="GRY188" s="36"/>
      <c r="GRZ188" s="36"/>
      <c r="GSA188" s="36"/>
      <c r="GSB188" s="36"/>
      <c r="GSC188" s="36"/>
      <c r="GSD188" s="36"/>
      <c r="GSE188" s="36"/>
      <c r="GSF188" s="36"/>
      <c r="GSG188" s="36"/>
      <c r="GSH188" s="36"/>
      <c r="GSI188" s="36"/>
      <c r="GSJ188" s="36"/>
      <c r="GSK188" s="36"/>
      <c r="GSL188" s="36"/>
      <c r="GSM188" s="36"/>
      <c r="GSN188" s="36"/>
      <c r="GSO188" s="36"/>
      <c r="GSP188" s="36"/>
      <c r="GSQ188" s="36"/>
      <c r="GSR188" s="36"/>
      <c r="GSS188" s="36"/>
      <c r="GST188" s="36"/>
      <c r="GSU188" s="36"/>
      <c r="GSV188" s="36"/>
      <c r="GSW188" s="36"/>
      <c r="GSX188" s="36"/>
      <c r="GSY188" s="36"/>
      <c r="GSZ188" s="36"/>
      <c r="GTA188" s="36"/>
      <c r="GTB188" s="36"/>
      <c r="GTC188" s="36"/>
      <c r="GTD188" s="36"/>
      <c r="GTE188" s="36"/>
      <c r="GTF188" s="36"/>
      <c r="GTG188" s="36"/>
      <c r="GTH188" s="36"/>
      <c r="GTI188" s="36"/>
      <c r="GTJ188" s="36"/>
      <c r="GTK188" s="36"/>
      <c r="GTL188" s="36"/>
      <c r="GTM188" s="36"/>
      <c r="GTN188" s="36"/>
      <c r="GTO188" s="36"/>
      <c r="GTP188" s="36"/>
      <c r="GTQ188" s="36"/>
      <c r="GTR188" s="36"/>
      <c r="GTS188" s="36"/>
      <c r="GTT188" s="36"/>
      <c r="GTU188" s="36"/>
      <c r="GTV188" s="36"/>
      <c r="GTW188" s="36"/>
      <c r="GTX188" s="36"/>
      <c r="GTY188" s="36"/>
      <c r="GTZ188" s="36"/>
      <c r="GUA188" s="36"/>
      <c r="GUB188" s="36"/>
      <c r="GUC188" s="36"/>
      <c r="GUD188" s="36"/>
      <c r="GUE188" s="36"/>
      <c r="GUF188" s="36"/>
      <c r="GUG188" s="36"/>
      <c r="GUH188" s="36"/>
      <c r="GUI188" s="36"/>
      <c r="GUJ188" s="36"/>
      <c r="GUK188" s="36"/>
      <c r="GUL188" s="36"/>
      <c r="GUM188" s="36"/>
      <c r="GUN188" s="36"/>
      <c r="GUO188" s="36"/>
      <c r="GUP188" s="36"/>
      <c r="GUQ188" s="36"/>
      <c r="GUR188" s="36"/>
      <c r="GUS188" s="36"/>
      <c r="GUT188" s="36"/>
      <c r="GUU188" s="36"/>
      <c r="GUV188" s="36"/>
      <c r="GUW188" s="36"/>
      <c r="GUX188" s="36"/>
      <c r="GUY188" s="36"/>
      <c r="GUZ188" s="36"/>
      <c r="GVA188" s="36"/>
      <c r="GVB188" s="36"/>
      <c r="GVC188" s="36"/>
      <c r="GVD188" s="36"/>
      <c r="GVE188" s="36"/>
      <c r="GVF188" s="36"/>
      <c r="GVG188" s="36"/>
      <c r="GVH188" s="36"/>
      <c r="GVI188" s="36"/>
      <c r="GVJ188" s="36"/>
      <c r="GVK188" s="36"/>
      <c r="GVL188" s="36"/>
      <c r="GVM188" s="36"/>
      <c r="GVN188" s="36"/>
      <c r="GVO188" s="36"/>
      <c r="GVP188" s="36"/>
      <c r="GVQ188" s="36"/>
      <c r="GVR188" s="36"/>
      <c r="GVS188" s="36"/>
      <c r="GVT188" s="36"/>
      <c r="GVU188" s="36"/>
      <c r="GVV188" s="36"/>
      <c r="GVW188" s="36"/>
      <c r="GVX188" s="36"/>
      <c r="GVY188" s="36"/>
      <c r="GVZ188" s="36"/>
      <c r="GWA188" s="36"/>
      <c r="GWB188" s="36"/>
      <c r="GWC188" s="36"/>
      <c r="GWD188" s="36"/>
      <c r="GWE188" s="36"/>
      <c r="GWF188" s="36"/>
      <c r="GWG188" s="36"/>
      <c r="GWH188" s="36"/>
      <c r="GWI188" s="36"/>
      <c r="GWJ188" s="36"/>
      <c r="GWK188" s="36"/>
      <c r="GWL188" s="36"/>
      <c r="GWM188" s="36"/>
      <c r="GWN188" s="36"/>
      <c r="GWO188" s="36"/>
      <c r="GWP188" s="36"/>
      <c r="GWQ188" s="36"/>
      <c r="GWR188" s="36"/>
      <c r="GWS188" s="36"/>
      <c r="GWT188" s="36"/>
      <c r="GWU188" s="36"/>
      <c r="GWV188" s="36"/>
      <c r="GWW188" s="36"/>
      <c r="GWX188" s="36"/>
      <c r="GWY188" s="36"/>
      <c r="GWZ188" s="36"/>
      <c r="GXA188" s="36"/>
      <c r="GXB188" s="36"/>
      <c r="GXC188" s="36"/>
      <c r="GXD188" s="36"/>
      <c r="GXE188" s="36"/>
      <c r="GXF188" s="36"/>
      <c r="GXG188" s="36"/>
      <c r="GXH188" s="36"/>
      <c r="GXI188" s="36"/>
      <c r="GXJ188" s="36"/>
      <c r="GXK188" s="36"/>
      <c r="GXL188" s="36"/>
      <c r="GXM188" s="36"/>
      <c r="GXN188" s="36"/>
      <c r="GXO188" s="36"/>
      <c r="GXP188" s="36"/>
      <c r="GXQ188" s="36"/>
      <c r="GXR188" s="36"/>
      <c r="GXS188" s="36"/>
      <c r="GXT188" s="36"/>
      <c r="GXU188" s="36"/>
      <c r="GXV188" s="36"/>
      <c r="GXW188" s="36"/>
      <c r="GXX188" s="36"/>
      <c r="GXY188" s="36"/>
      <c r="GXZ188" s="36"/>
      <c r="GYA188" s="36"/>
      <c r="GYB188" s="36"/>
      <c r="GYC188" s="36"/>
      <c r="GYD188" s="36"/>
      <c r="GYE188" s="36"/>
      <c r="GYF188" s="36"/>
      <c r="GYG188" s="36"/>
      <c r="GYH188" s="36"/>
      <c r="GYI188" s="36"/>
      <c r="GYJ188" s="36"/>
      <c r="GYK188" s="36"/>
      <c r="GYL188" s="36"/>
      <c r="GYM188" s="36"/>
      <c r="GYN188" s="36"/>
      <c r="GYO188" s="36"/>
      <c r="GYP188" s="36"/>
      <c r="GYQ188" s="36"/>
      <c r="GYR188" s="36"/>
      <c r="GYS188" s="36"/>
      <c r="GYT188" s="36"/>
      <c r="GYU188" s="36"/>
      <c r="GYV188" s="36"/>
      <c r="GYW188" s="36"/>
      <c r="GYX188" s="36"/>
      <c r="GYY188" s="36"/>
      <c r="GYZ188" s="36"/>
      <c r="GZA188" s="36"/>
      <c r="GZB188" s="36"/>
      <c r="GZC188" s="36"/>
      <c r="GZD188" s="36"/>
      <c r="GZE188" s="36"/>
      <c r="GZF188" s="36"/>
      <c r="GZG188" s="36"/>
      <c r="GZH188" s="36"/>
      <c r="GZI188" s="36"/>
      <c r="GZJ188" s="36"/>
      <c r="GZK188" s="36"/>
      <c r="GZL188" s="36"/>
      <c r="GZM188" s="36"/>
      <c r="GZN188" s="36"/>
      <c r="GZO188" s="36"/>
      <c r="GZP188" s="36"/>
      <c r="GZQ188" s="36"/>
      <c r="GZR188" s="36"/>
      <c r="GZS188" s="36"/>
      <c r="GZT188" s="36"/>
      <c r="GZU188" s="36"/>
      <c r="GZV188" s="36"/>
      <c r="GZW188" s="36"/>
      <c r="GZX188" s="36"/>
      <c r="GZY188" s="36"/>
      <c r="GZZ188" s="36"/>
      <c r="HAA188" s="36"/>
      <c r="HAB188" s="36"/>
      <c r="HAC188" s="36"/>
      <c r="HAD188" s="36"/>
      <c r="HAE188" s="36"/>
      <c r="HAF188" s="36"/>
      <c r="HAG188" s="36"/>
      <c r="HAH188" s="36"/>
      <c r="HAI188" s="36"/>
      <c r="HAJ188" s="36"/>
      <c r="HAK188" s="36"/>
      <c r="HAL188" s="36"/>
      <c r="HAM188" s="36"/>
      <c r="HAN188" s="36"/>
      <c r="HAO188" s="36"/>
      <c r="HAP188" s="36"/>
      <c r="HAQ188" s="36"/>
      <c r="HAR188" s="36"/>
      <c r="HAS188" s="36"/>
      <c r="HAT188" s="36"/>
      <c r="HAU188" s="36"/>
      <c r="HAV188" s="36"/>
      <c r="HAW188" s="36"/>
      <c r="HAX188" s="36"/>
      <c r="HAY188" s="36"/>
      <c r="HAZ188" s="36"/>
      <c r="HBA188" s="36"/>
      <c r="HBB188" s="36"/>
      <c r="HBC188" s="36"/>
      <c r="HBD188" s="36"/>
      <c r="HBE188" s="36"/>
      <c r="HBF188" s="36"/>
      <c r="HBG188" s="36"/>
      <c r="HBH188" s="36"/>
      <c r="HBI188" s="36"/>
      <c r="HBJ188" s="36"/>
      <c r="HBK188" s="36"/>
      <c r="HBL188" s="36"/>
      <c r="HBM188" s="36"/>
      <c r="HBN188" s="36"/>
      <c r="HBO188" s="36"/>
      <c r="HBP188" s="36"/>
      <c r="HBQ188" s="36"/>
      <c r="HBR188" s="36"/>
      <c r="HBS188" s="36"/>
      <c r="HBT188" s="36"/>
      <c r="HBU188" s="36"/>
      <c r="HBV188" s="36"/>
      <c r="HBW188" s="36"/>
      <c r="HBX188" s="36"/>
      <c r="HBY188" s="36"/>
      <c r="HBZ188" s="36"/>
      <c r="HCA188" s="36"/>
      <c r="HCB188" s="36"/>
      <c r="HCC188" s="36"/>
      <c r="HCD188" s="36"/>
      <c r="HCE188" s="36"/>
      <c r="HCF188" s="36"/>
      <c r="HCG188" s="36"/>
      <c r="HCH188" s="36"/>
      <c r="HCI188" s="36"/>
      <c r="HCJ188" s="36"/>
      <c r="HCK188" s="36"/>
      <c r="HCL188" s="36"/>
      <c r="HCM188" s="36"/>
      <c r="HCN188" s="36"/>
      <c r="HCO188" s="36"/>
      <c r="HCP188" s="36"/>
      <c r="HCQ188" s="36"/>
      <c r="HCR188" s="36"/>
      <c r="HCS188" s="36"/>
      <c r="HCT188" s="36"/>
      <c r="HCU188" s="36"/>
      <c r="HCV188" s="36"/>
      <c r="HCW188" s="36"/>
      <c r="HCX188" s="36"/>
      <c r="HCY188" s="36"/>
      <c r="HCZ188" s="36"/>
      <c r="HDA188" s="36"/>
      <c r="HDB188" s="36"/>
      <c r="HDC188" s="36"/>
      <c r="HDD188" s="36"/>
      <c r="HDE188" s="36"/>
      <c r="HDF188" s="36"/>
      <c r="HDG188" s="36"/>
      <c r="HDH188" s="36"/>
      <c r="HDI188" s="36"/>
      <c r="HDJ188" s="36"/>
      <c r="HDK188" s="36"/>
      <c r="HDL188" s="36"/>
      <c r="HDM188" s="36"/>
      <c r="HDN188" s="36"/>
      <c r="HDO188" s="36"/>
      <c r="HDP188" s="36"/>
      <c r="HDQ188" s="36"/>
      <c r="HDR188" s="36"/>
      <c r="HDS188" s="36"/>
      <c r="HDT188" s="36"/>
      <c r="HDU188" s="36"/>
      <c r="HDV188" s="36"/>
      <c r="HDW188" s="36"/>
      <c r="HDX188" s="36"/>
      <c r="HDY188" s="36"/>
      <c r="HDZ188" s="36"/>
      <c r="HEA188" s="36"/>
      <c r="HEB188" s="36"/>
      <c r="HEC188" s="36"/>
      <c r="HED188" s="36"/>
      <c r="HEE188" s="36"/>
      <c r="HEF188" s="36"/>
      <c r="HEG188" s="36"/>
      <c r="HEH188" s="36"/>
      <c r="HEI188" s="36"/>
      <c r="HEJ188" s="36"/>
      <c r="HEK188" s="36"/>
      <c r="HEL188" s="36"/>
      <c r="HEM188" s="36"/>
      <c r="HEN188" s="36"/>
      <c r="HEO188" s="36"/>
      <c r="HEP188" s="36"/>
      <c r="HEQ188" s="36"/>
      <c r="HER188" s="36"/>
      <c r="HES188" s="36"/>
      <c r="HET188" s="36"/>
      <c r="HEU188" s="36"/>
      <c r="HEV188" s="36"/>
      <c r="HEW188" s="36"/>
      <c r="HEX188" s="36"/>
      <c r="HEY188" s="36"/>
      <c r="HEZ188" s="36"/>
      <c r="HFA188" s="36"/>
      <c r="HFB188" s="36"/>
      <c r="HFC188" s="36"/>
      <c r="HFD188" s="36"/>
      <c r="HFE188" s="36"/>
      <c r="HFF188" s="36"/>
      <c r="HFG188" s="36"/>
      <c r="HFH188" s="36"/>
      <c r="HFI188" s="36"/>
      <c r="HFJ188" s="36"/>
      <c r="HFK188" s="36"/>
      <c r="HFL188" s="36"/>
      <c r="HFM188" s="36"/>
      <c r="HFN188" s="36"/>
      <c r="HFO188" s="36"/>
      <c r="HFP188" s="36"/>
      <c r="HFQ188" s="36"/>
      <c r="HFR188" s="36"/>
      <c r="HFS188" s="36"/>
      <c r="HFT188" s="36"/>
      <c r="HFU188" s="36"/>
      <c r="HFV188" s="36"/>
      <c r="HFW188" s="36"/>
      <c r="HFX188" s="36"/>
      <c r="HFY188" s="36"/>
      <c r="HFZ188" s="36"/>
      <c r="HGA188" s="36"/>
      <c r="HGB188" s="36"/>
      <c r="HGC188" s="36"/>
      <c r="HGD188" s="36"/>
      <c r="HGE188" s="36"/>
      <c r="HGF188" s="36"/>
      <c r="HGG188" s="36"/>
      <c r="HGH188" s="36"/>
      <c r="HGI188" s="36"/>
      <c r="HGJ188" s="36"/>
      <c r="HGK188" s="36"/>
      <c r="HGL188" s="36"/>
      <c r="HGM188" s="36"/>
      <c r="HGN188" s="36"/>
      <c r="HGO188" s="36"/>
      <c r="HGP188" s="36"/>
      <c r="HGQ188" s="36"/>
      <c r="HGR188" s="36"/>
      <c r="HGS188" s="36"/>
      <c r="HGT188" s="36"/>
      <c r="HGU188" s="36"/>
      <c r="HGV188" s="36"/>
      <c r="HGW188" s="36"/>
      <c r="HGX188" s="36"/>
      <c r="HGY188" s="36"/>
      <c r="HGZ188" s="36"/>
      <c r="HHA188" s="36"/>
      <c r="HHB188" s="36"/>
      <c r="HHC188" s="36"/>
      <c r="HHD188" s="36"/>
      <c r="HHE188" s="36"/>
      <c r="HHF188" s="36"/>
      <c r="HHG188" s="36"/>
      <c r="HHH188" s="36"/>
      <c r="HHI188" s="36"/>
      <c r="HHJ188" s="36"/>
      <c r="HHK188" s="36"/>
      <c r="HHL188" s="36"/>
      <c r="HHM188" s="36"/>
      <c r="HHN188" s="36"/>
      <c r="HHO188" s="36"/>
      <c r="HHP188" s="36"/>
      <c r="HHQ188" s="36"/>
      <c r="HHR188" s="36"/>
      <c r="HHS188" s="36"/>
      <c r="HHT188" s="36"/>
      <c r="HHU188" s="36"/>
      <c r="HHV188" s="36"/>
      <c r="HHW188" s="36"/>
      <c r="HHX188" s="36"/>
      <c r="HHY188" s="36"/>
      <c r="HHZ188" s="36"/>
      <c r="HIA188" s="36"/>
      <c r="HIB188" s="36"/>
      <c r="HIC188" s="36"/>
      <c r="HID188" s="36"/>
      <c r="HIE188" s="36"/>
      <c r="HIF188" s="36"/>
      <c r="HIG188" s="36"/>
      <c r="HIH188" s="36"/>
      <c r="HII188" s="36"/>
      <c r="HIJ188" s="36"/>
      <c r="HIK188" s="36"/>
      <c r="HIL188" s="36"/>
      <c r="HIM188" s="36"/>
      <c r="HIN188" s="36"/>
      <c r="HIO188" s="36"/>
      <c r="HIP188" s="36"/>
      <c r="HIQ188" s="36"/>
      <c r="HIR188" s="36"/>
      <c r="HIS188" s="36"/>
      <c r="HIT188" s="36"/>
      <c r="HIU188" s="36"/>
      <c r="HIV188" s="36"/>
      <c r="HIW188" s="36"/>
      <c r="HIX188" s="36"/>
      <c r="HIY188" s="36"/>
      <c r="HIZ188" s="36"/>
      <c r="HJA188" s="36"/>
      <c r="HJB188" s="36"/>
      <c r="HJC188" s="36"/>
      <c r="HJD188" s="36"/>
      <c r="HJE188" s="36"/>
      <c r="HJF188" s="36"/>
      <c r="HJG188" s="36"/>
      <c r="HJH188" s="36"/>
      <c r="HJI188" s="36"/>
      <c r="HJJ188" s="36"/>
      <c r="HJK188" s="36"/>
      <c r="HJL188" s="36"/>
      <c r="HJM188" s="36"/>
      <c r="HJN188" s="36"/>
      <c r="HJO188" s="36"/>
      <c r="HJP188" s="36"/>
      <c r="HJQ188" s="36"/>
      <c r="HJR188" s="36"/>
      <c r="HJS188" s="36"/>
      <c r="HJT188" s="36"/>
      <c r="HJU188" s="36"/>
      <c r="HJV188" s="36"/>
      <c r="HJW188" s="36"/>
      <c r="HJX188" s="36"/>
      <c r="HJY188" s="36"/>
      <c r="HJZ188" s="36"/>
      <c r="HKA188" s="36"/>
      <c r="HKB188" s="36"/>
      <c r="HKC188" s="36"/>
      <c r="HKD188" s="36"/>
      <c r="HKE188" s="36"/>
      <c r="HKF188" s="36"/>
      <c r="HKG188" s="36"/>
      <c r="HKH188" s="36"/>
      <c r="HKI188" s="36"/>
      <c r="HKJ188" s="36"/>
      <c r="HKK188" s="36"/>
      <c r="HKL188" s="36"/>
      <c r="HKM188" s="36"/>
      <c r="HKN188" s="36"/>
      <c r="HKO188" s="36"/>
      <c r="HKP188" s="36"/>
      <c r="HKQ188" s="36"/>
      <c r="HKR188" s="36"/>
      <c r="HKS188" s="36"/>
      <c r="HKT188" s="36"/>
      <c r="HKU188" s="36"/>
      <c r="HKV188" s="36"/>
      <c r="HKW188" s="36"/>
      <c r="HKX188" s="36"/>
      <c r="HKY188" s="36"/>
      <c r="HKZ188" s="36"/>
      <c r="HLA188" s="36"/>
      <c r="HLB188" s="36"/>
      <c r="HLC188" s="36"/>
      <c r="HLD188" s="36"/>
      <c r="HLE188" s="36"/>
      <c r="HLF188" s="36"/>
      <c r="HLG188" s="36"/>
      <c r="HLH188" s="36"/>
      <c r="HLI188" s="36"/>
      <c r="HLJ188" s="36"/>
      <c r="HLK188" s="36"/>
      <c r="HLL188" s="36"/>
      <c r="HLM188" s="36"/>
      <c r="HLN188" s="36"/>
      <c r="HLO188" s="36"/>
      <c r="HLP188" s="36"/>
      <c r="HLQ188" s="36"/>
      <c r="HLR188" s="36"/>
      <c r="HLS188" s="36"/>
      <c r="HLT188" s="36"/>
      <c r="HLU188" s="36"/>
      <c r="HLV188" s="36"/>
      <c r="HLW188" s="36"/>
      <c r="HLX188" s="36"/>
      <c r="HLY188" s="36"/>
      <c r="HLZ188" s="36"/>
      <c r="HMA188" s="36"/>
      <c r="HMB188" s="36"/>
      <c r="HMC188" s="36"/>
      <c r="HMD188" s="36"/>
      <c r="HME188" s="36"/>
      <c r="HMF188" s="36"/>
      <c r="HMG188" s="36"/>
      <c r="HMH188" s="36"/>
      <c r="HMI188" s="36"/>
      <c r="HMJ188" s="36"/>
      <c r="HMK188" s="36"/>
      <c r="HML188" s="36"/>
      <c r="HMM188" s="36"/>
      <c r="HMN188" s="36"/>
      <c r="HMO188" s="36"/>
      <c r="HMP188" s="36"/>
      <c r="HMQ188" s="36"/>
      <c r="HMR188" s="36"/>
      <c r="HMS188" s="36"/>
      <c r="HMT188" s="36"/>
      <c r="HMU188" s="36"/>
      <c r="HMV188" s="36"/>
      <c r="HMW188" s="36"/>
      <c r="HMX188" s="36"/>
      <c r="HMY188" s="36"/>
      <c r="HMZ188" s="36"/>
      <c r="HNA188" s="36"/>
      <c r="HNB188" s="36"/>
      <c r="HNC188" s="36"/>
      <c r="HND188" s="36"/>
      <c r="HNE188" s="36"/>
      <c r="HNF188" s="36"/>
      <c r="HNG188" s="36"/>
      <c r="HNH188" s="36"/>
      <c r="HNI188" s="36"/>
      <c r="HNJ188" s="36"/>
      <c r="HNK188" s="36"/>
      <c r="HNL188" s="36"/>
      <c r="HNM188" s="36"/>
      <c r="HNN188" s="36"/>
      <c r="HNO188" s="36"/>
      <c r="HNP188" s="36"/>
      <c r="HNQ188" s="36"/>
      <c r="HNR188" s="36"/>
      <c r="HNS188" s="36"/>
      <c r="HNT188" s="36"/>
      <c r="HNU188" s="36"/>
      <c r="HNV188" s="36"/>
      <c r="HNW188" s="36"/>
      <c r="HNX188" s="36"/>
      <c r="HNY188" s="36"/>
      <c r="HNZ188" s="36"/>
      <c r="HOA188" s="36"/>
      <c r="HOB188" s="36"/>
      <c r="HOC188" s="36"/>
      <c r="HOD188" s="36"/>
      <c r="HOE188" s="36"/>
      <c r="HOF188" s="36"/>
      <c r="HOG188" s="36"/>
      <c r="HOH188" s="36"/>
      <c r="HOI188" s="36"/>
      <c r="HOJ188" s="36"/>
      <c r="HOK188" s="36"/>
      <c r="HOL188" s="36"/>
      <c r="HOM188" s="36"/>
      <c r="HON188" s="36"/>
      <c r="HOO188" s="36"/>
      <c r="HOP188" s="36"/>
      <c r="HOQ188" s="36"/>
      <c r="HOR188" s="36"/>
      <c r="HOS188" s="36"/>
      <c r="HOT188" s="36"/>
      <c r="HOU188" s="36"/>
      <c r="HOV188" s="36"/>
      <c r="HOW188" s="36"/>
      <c r="HOX188" s="36"/>
      <c r="HOY188" s="36"/>
      <c r="HOZ188" s="36"/>
      <c r="HPA188" s="36"/>
      <c r="HPB188" s="36"/>
      <c r="HPC188" s="36"/>
      <c r="HPD188" s="36"/>
      <c r="HPE188" s="36"/>
      <c r="HPF188" s="36"/>
      <c r="HPG188" s="36"/>
      <c r="HPH188" s="36"/>
      <c r="HPI188" s="36"/>
      <c r="HPJ188" s="36"/>
      <c r="HPK188" s="36"/>
      <c r="HPL188" s="36"/>
      <c r="HPM188" s="36"/>
      <c r="HPN188" s="36"/>
      <c r="HPO188" s="36"/>
      <c r="HPP188" s="36"/>
      <c r="HPQ188" s="36"/>
      <c r="HPR188" s="36"/>
      <c r="HPS188" s="36"/>
      <c r="HPT188" s="36"/>
      <c r="HPU188" s="36"/>
      <c r="HPV188" s="36"/>
      <c r="HPW188" s="36"/>
      <c r="HPX188" s="36"/>
      <c r="HPY188" s="36"/>
      <c r="HPZ188" s="36"/>
      <c r="HQA188" s="36"/>
      <c r="HQB188" s="36"/>
      <c r="HQC188" s="36"/>
      <c r="HQD188" s="36"/>
      <c r="HQE188" s="36"/>
      <c r="HQF188" s="36"/>
      <c r="HQG188" s="36"/>
      <c r="HQH188" s="36"/>
      <c r="HQI188" s="36"/>
      <c r="HQJ188" s="36"/>
      <c r="HQK188" s="36"/>
      <c r="HQL188" s="36"/>
      <c r="HQM188" s="36"/>
      <c r="HQN188" s="36"/>
      <c r="HQO188" s="36"/>
      <c r="HQP188" s="36"/>
      <c r="HQQ188" s="36"/>
      <c r="HQR188" s="36"/>
      <c r="HQS188" s="36"/>
      <c r="HQT188" s="36"/>
      <c r="HQU188" s="36"/>
      <c r="HQV188" s="36"/>
      <c r="HQW188" s="36"/>
      <c r="HQX188" s="36"/>
      <c r="HQY188" s="36"/>
      <c r="HQZ188" s="36"/>
      <c r="HRA188" s="36"/>
      <c r="HRB188" s="36"/>
      <c r="HRC188" s="36"/>
      <c r="HRD188" s="36"/>
      <c r="HRE188" s="36"/>
      <c r="HRF188" s="36"/>
      <c r="HRG188" s="36"/>
      <c r="HRH188" s="36"/>
      <c r="HRI188" s="36"/>
      <c r="HRJ188" s="36"/>
      <c r="HRK188" s="36"/>
      <c r="HRL188" s="36"/>
      <c r="HRM188" s="36"/>
      <c r="HRN188" s="36"/>
      <c r="HRO188" s="36"/>
      <c r="HRP188" s="36"/>
      <c r="HRQ188" s="36"/>
      <c r="HRR188" s="36"/>
      <c r="HRS188" s="36"/>
      <c r="HRT188" s="36"/>
      <c r="HRU188" s="36"/>
      <c r="HRV188" s="36"/>
      <c r="HRW188" s="36"/>
      <c r="HRX188" s="36"/>
      <c r="HRY188" s="36"/>
      <c r="HRZ188" s="36"/>
      <c r="HSA188" s="36"/>
      <c r="HSB188" s="36"/>
      <c r="HSC188" s="36"/>
      <c r="HSD188" s="36"/>
      <c r="HSE188" s="36"/>
      <c r="HSF188" s="36"/>
      <c r="HSG188" s="36"/>
      <c r="HSH188" s="36"/>
      <c r="HSI188" s="36"/>
      <c r="HSJ188" s="36"/>
      <c r="HSK188" s="36"/>
      <c r="HSL188" s="36"/>
      <c r="HSM188" s="36"/>
      <c r="HSN188" s="36"/>
      <c r="HSO188" s="36"/>
      <c r="HSP188" s="36"/>
      <c r="HSQ188" s="36"/>
      <c r="HSR188" s="36"/>
      <c r="HSS188" s="36"/>
      <c r="HST188" s="36"/>
      <c r="HSU188" s="36"/>
      <c r="HSV188" s="36"/>
      <c r="HSW188" s="36"/>
      <c r="HSX188" s="36"/>
      <c r="HSY188" s="36"/>
      <c r="HSZ188" s="36"/>
      <c r="HTA188" s="36"/>
      <c r="HTB188" s="36"/>
      <c r="HTC188" s="36"/>
      <c r="HTD188" s="36"/>
      <c r="HTE188" s="36"/>
      <c r="HTF188" s="36"/>
      <c r="HTG188" s="36"/>
      <c r="HTH188" s="36"/>
      <c r="HTI188" s="36"/>
      <c r="HTJ188" s="36"/>
      <c r="HTK188" s="36"/>
      <c r="HTL188" s="36"/>
      <c r="HTM188" s="36"/>
      <c r="HTN188" s="36"/>
      <c r="HTO188" s="36"/>
      <c r="HTP188" s="36"/>
      <c r="HTQ188" s="36"/>
      <c r="HTR188" s="36"/>
      <c r="HTS188" s="36"/>
      <c r="HTT188" s="36"/>
      <c r="HTU188" s="36"/>
      <c r="HTV188" s="36"/>
      <c r="HTW188" s="36"/>
      <c r="HTX188" s="36"/>
      <c r="HTY188" s="36"/>
      <c r="HTZ188" s="36"/>
      <c r="HUA188" s="36"/>
      <c r="HUB188" s="36"/>
      <c r="HUC188" s="36"/>
      <c r="HUD188" s="36"/>
      <c r="HUE188" s="36"/>
      <c r="HUF188" s="36"/>
      <c r="HUG188" s="36"/>
      <c r="HUH188" s="36"/>
      <c r="HUI188" s="36"/>
      <c r="HUJ188" s="36"/>
      <c r="HUK188" s="36"/>
      <c r="HUL188" s="36"/>
      <c r="HUM188" s="36"/>
      <c r="HUN188" s="36"/>
      <c r="HUO188" s="36"/>
      <c r="HUP188" s="36"/>
      <c r="HUQ188" s="36"/>
      <c r="HUR188" s="36"/>
      <c r="HUS188" s="36"/>
      <c r="HUT188" s="36"/>
      <c r="HUU188" s="36"/>
      <c r="HUV188" s="36"/>
      <c r="HUW188" s="36"/>
      <c r="HUX188" s="36"/>
      <c r="HUY188" s="36"/>
      <c r="HUZ188" s="36"/>
      <c r="HVA188" s="36"/>
      <c r="HVB188" s="36"/>
      <c r="HVC188" s="36"/>
      <c r="HVD188" s="36"/>
      <c r="HVE188" s="36"/>
      <c r="HVF188" s="36"/>
      <c r="HVG188" s="36"/>
      <c r="HVH188" s="36"/>
      <c r="HVI188" s="36"/>
      <c r="HVJ188" s="36"/>
      <c r="HVK188" s="36"/>
      <c r="HVL188" s="36"/>
      <c r="HVM188" s="36"/>
      <c r="HVN188" s="36"/>
      <c r="HVO188" s="36"/>
      <c r="HVP188" s="36"/>
      <c r="HVQ188" s="36"/>
      <c r="HVR188" s="36"/>
      <c r="HVS188" s="36"/>
      <c r="HVT188" s="36"/>
      <c r="HVU188" s="36"/>
      <c r="HVV188" s="36"/>
      <c r="HVW188" s="36"/>
      <c r="HVX188" s="36"/>
      <c r="HVY188" s="36"/>
      <c r="HVZ188" s="36"/>
      <c r="HWA188" s="36"/>
      <c r="HWB188" s="36"/>
      <c r="HWC188" s="36"/>
      <c r="HWD188" s="36"/>
      <c r="HWE188" s="36"/>
      <c r="HWF188" s="36"/>
      <c r="HWG188" s="36"/>
      <c r="HWH188" s="36"/>
      <c r="HWI188" s="36"/>
      <c r="HWJ188" s="36"/>
      <c r="HWK188" s="36"/>
      <c r="HWL188" s="36"/>
      <c r="HWM188" s="36"/>
      <c r="HWN188" s="36"/>
      <c r="HWO188" s="36"/>
      <c r="HWP188" s="36"/>
      <c r="HWQ188" s="36"/>
      <c r="HWR188" s="36"/>
      <c r="HWS188" s="36"/>
      <c r="HWT188" s="36"/>
      <c r="HWU188" s="36"/>
      <c r="HWV188" s="36"/>
      <c r="HWW188" s="36"/>
      <c r="HWX188" s="36"/>
      <c r="HWY188" s="36"/>
      <c r="HWZ188" s="36"/>
      <c r="HXA188" s="36"/>
      <c r="HXB188" s="36"/>
      <c r="HXC188" s="36"/>
      <c r="HXD188" s="36"/>
      <c r="HXE188" s="36"/>
      <c r="HXF188" s="36"/>
      <c r="HXG188" s="36"/>
      <c r="HXH188" s="36"/>
      <c r="HXI188" s="36"/>
      <c r="HXJ188" s="36"/>
      <c r="HXK188" s="36"/>
      <c r="HXL188" s="36"/>
      <c r="HXM188" s="36"/>
      <c r="HXN188" s="36"/>
      <c r="HXO188" s="36"/>
      <c r="HXP188" s="36"/>
      <c r="HXQ188" s="36"/>
      <c r="HXR188" s="36"/>
      <c r="HXS188" s="36"/>
      <c r="HXT188" s="36"/>
      <c r="HXU188" s="36"/>
      <c r="HXV188" s="36"/>
      <c r="HXW188" s="36"/>
      <c r="HXX188" s="36"/>
      <c r="HXY188" s="36"/>
      <c r="HXZ188" s="36"/>
      <c r="HYA188" s="36"/>
      <c r="HYB188" s="36"/>
      <c r="HYC188" s="36"/>
      <c r="HYD188" s="36"/>
      <c r="HYE188" s="36"/>
      <c r="HYF188" s="36"/>
      <c r="HYG188" s="36"/>
      <c r="HYH188" s="36"/>
      <c r="HYI188" s="36"/>
      <c r="HYJ188" s="36"/>
      <c r="HYK188" s="36"/>
      <c r="HYL188" s="36"/>
      <c r="HYM188" s="36"/>
      <c r="HYN188" s="36"/>
      <c r="HYO188" s="36"/>
      <c r="HYP188" s="36"/>
      <c r="HYQ188" s="36"/>
      <c r="HYR188" s="36"/>
      <c r="HYS188" s="36"/>
      <c r="HYT188" s="36"/>
      <c r="HYU188" s="36"/>
      <c r="HYV188" s="36"/>
      <c r="HYW188" s="36"/>
      <c r="HYX188" s="36"/>
      <c r="HYY188" s="36"/>
      <c r="HYZ188" s="36"/>
      <c r="HZA188" s="36"/>
      <c r="HZB188" s="36"/>
      <c r="HZC188" s="36"/>
      <c r="HZD188" s="36"/>
      <c r="HZE188" s="36"/>
      <c r="HZF188" s="36"/>
      <c r="HZG188" s="36"/>
      <c r="HZH188" s="36"/>
      <c r="HZI188" s="36"/>
      <c r="HZJ188" s="36"/>
      <c r="HZK188" s="36"/>
      <c r="HZL188" s="36"/>
      <c r="HZM188" s="36"/>
      <c r="HZN188" s="36"/>
      <c r="HZO188" s="36"/>
      <c r="HZP188" s="36"/>
      <c r="HZQ188" s="36"/>
      <c r="HZR188" s="36"/>
      <c r="HZS188" s="36"/>
      <c r="HZT188" s="36"/>
      <c r="HZU188" s="36"/>
      <c r="HZV188" s="36"/>
      <c r="HZW188" s="36"/>
      <c r="HZX188" s="36"/>
      <c r="HZY188" s="36"/>
      <c r="HZZ188" s="36"/>
      <c r="IAA188" s="36"/>
      <c r="IAB188" s="36"/>
      <c r="IAC188" s="36"/>
      <c r="IAD188" s="36"/>
      <c r="IAE188" s="36"/>
      <c r="IAF188" s="36"/>
      <c r="IAG188" s="36"/>
      <c r="IAH188" s="36"/>
      <c r="IAI188" s="36"/>
      <c r="IAJ188" s="36"/>
      <c r="IAK188" s="36"/>
      <c r="IAL188" s="36"/>
      <c r="IAM188" s="36"/>
      <c r="IAN188" s="36"/>
      <c r="IAO188" s="36"/>
      <c r="IAP188" s="36"/>
      <c r="IAQ188" s="36"/>
      <c r="IAR188" s="36"/>
      <c r="IAS188" s="36"/>
      <c r="IAT188" s="36"/>
      <c r="IAU188" s="36"/>
      <c r="IAV188" s="36"/>
      <c r="IAW188" s="36"/>
      <c r="IAX188" s="36"/>
      <c r="IAY188" s="36"/>
      <c r="IAZ188" s="36"/>
      <c r="IBA188" s="36"/>
      <c r="IBB188" s="36"/>
      <c r="IBC188" s="36"/>
      <c r="IBD188" s="36"/>
      <c r="IBE188" s="36"/>
      <c r="IBF188" s="36"/>
      <c r="IBG188" s="36"/>
      <c r="IBH188" s="36"/>
      <c r="IBI188" s="36"/>
      <c r="IBJ188" s="36"/>
      <c r="IBK188" s="36"/>
      <c r="IBL188" s="36"/>
      <c r="IBM188" s="36"/>
      <c r="IBN188" s="36"/>
      <c r="IBO188" s="36"/>
      <c r="IBP188" s="36"/>
      <c r="IBQ188" s="36"/>
      <c r="IBR188" s="36"/>
      <c r="IBS188" s="36"/>
      <c r="IBT188" s="36"/>
      <c r="IBU188" s="36"/>
      <c r="IBV188" s="36"/>
      <c r="IBW188" s="36"/>
      <c r="IBX188" s="36"/>
      <c r="IBY188" s="36"/>
      <c r="IBZ188" s="36"/>
      <c r="ICA188" s="36"/>
      <c r="ICB188" s="36"/>
      <c r="ICC188" s="36"/>
      <c r="ICD188" s="36"/>
      <c r="ICE188" s="36"/>
      <c r="ICF188" s="36"/>
      <c r="ICG188" s="36"/>
      <c r="ICH188" s="36"/>
      <c r="ICI188" s="36"/>
      <c r="ICJ188" s="36"/>
      <c r="ICK188" s="36"/>
      <c r="ICL188" s="36"/>
      <c r="ICM188" s="36"/>
      <c r="ICN188" s="36"/>
      <c r="ICO188" s="36"/>
      <c r="ICP188" s="36"/>
      <c r="ICQ188" s="36"/>
      <c r="ICR188" s="36"/>
      <c r="ICS188" s="36"/>
      <c r="ICT188" s="36"/>
      <c r="ICU188" s="36"/>
      <c r="ICV188" s="36"/>
      <c r="ICW188" s="36"/>
      <c r="ICX188" s="36"/>
      <c r="ICY188" s="36"/>
      <c r="ICZ188" s="36"/>
      <c r="IDA188" s="36"/>
      <c r="IDB188" s="36"/>
      <c r="IDC188" s="36"/>
      <c r="IDD188" s="36"/>
      <c r="IDE188" s="36"/>
      <c r="IDF188" s="36"/>
      <c r="IDG188" s="36"/>
      <c r="IDH188" s="36"/>
      <c r="IDI188" s="36"/>
      <c r="IDJ188" s="36"/>
      <c r="IDK188" s="36"/>
      <c r="IDL188" s="36"/>
      <c r="IDM188" s="36"/>
      <c r="IDN188" s="36"/>
      <c r="IDO188" s="36"/>
      <c r="IDP188" s="36"/>
      <c r="IDQ188" s="36"/>
      <c r="IDR188" s="36"/>
      <c r="IDS188" s="36"/>
      <c r="IDT188" s="36"/>
      <c r="IDU188" s="36"/>
      <c r="IDV188" s="36"/>
      <c r="IDW188" s="36"/>
      <c r="IDX188" s="36"/>
      <c r="IDY188" s="36"/>
      <c r="IDZ188" s="36"/>
      <c r="IEA188" s="36"/>
      <c r="IEB188" s="36"/>
      <c r="IEC188" s="36"/>
      <c r="IED188" s="36"/>
      <c r="IEE188" s="36"/>
      <c r="IEF188" s="36"/>
      <c r="IEG188" s="36"/>
      <c r="IEH188" s="36"/>
      <c r="IEI188" s="36"/>
      <c r="IEJ188" s="36"/>
      <c r="IEK188" s="36"/>
      <c r="IEL188" s="36"/>
      <c r="IEM188" s="36"/>
      <c r="IEN188" s="36"/>
      <c r="IEO188" s="36"/>
      <c r="IEP188" s="36"/>
      <c r="IEQ188" s="36"/>
      <c r="IER188" s="36"/>
      <c r="IES188" s="36"/>
      <c r="IET188" s="36"/>
      <c r="IEU188" s="36"/>
      <c r="IEV188" s="36"/>
      <c r="IEW188" s="36"/>
      <c r="IEX188" s="36"/>
      <c r="IEY188" s="36"/>
      <c r="IEZ188" s="36"/>
      <c r="IFA188" s="36"/>
      <c r="IFB188" s="36"/>
      <c r="IFC188" s="36"/>
      <c r="IFD188" s="36"/>
      <c r="IFE188" s="36"/>
      <c r="IFF188" s="36"/>
      <c r="IFG188" s="36"/>
      <c r="IFH188" s="36"/>
      <c r="IFI188" s="36"/>
      <c r="IFJ188" s="36"/>
      <c r="IFK188" s="36"/>
      <c r="IFL188" s="36"/>
      <c r="IFM188" s="36"/>
      <c r="IFN188" s="36"/>
      <c r="IFO188" s="36"/>
      <c r="IFP188" s="36"/>
      <c r="IFQ188" s="36"/>
      <c r="IFR188" s="36"/>
      <c r="IFS188" s="36"/>
      <c r="IFT188" s="36"/>
      <c r="IFU188" s="36"/>
      <c r="IFV188" s="36"/>
      <c r="IFW188" s="36"/>
      <c r="IFX188" s="36"/>
      <c r="IFY188" s="36"/>
      <c r="IFZ188" s="36"/>
      <c r="IGA188" s="36"/>
      <c r="IGB188" s="36"/>
      <c r="IGC188" s="36"/>
      <c r="IGD188" s="36"/>
      <c r="IGE188" s="36"/>
      <c r="IGF188" s="36"/>
      <c r="IGG188" s="36"/>
      <c r="IGH188" s="36"/>
      <c r="IGI188" s="36"/>
      <c r="IGJ188" s="36"/>
      <c r="IGK188" s="36"/>
      <c r="IGL188" s="36"/>
      <c r="IGM188" s="36"/>
      <c r="IGN188" s="36"/>
      <c r="IGO188" s="36"/>
      <c r="IGP188" s="36"/>
      <c r="IGQ188" s="36"/>
      <c r="IGR188" s="36"/>
      <c r="IGS188" s="36"/>
      <c r="IGT188" s="36"/>
      <c r="IGU188" s="36"/>
      <c r="IGV188" s="36"/>
      <c r="IGW188" s="36"/>
      <c r="IGX188" s="36"/>
      <c r="IGY188" s="36"/>
      <c r="IGZ188" s="36"/>
      <c r="IHA188" s="36"/>
      <c r="IHB188" s="36"/>
      <c r="IHC188" s="36"/>
      <c r="IHD188" s="36"/>
      <c r="IHE188" s="36"/>
      <c r="IHF188" s="36"/>
      <c r="IHG188" s="36"/>
      <c r="IHH188" s="36"/>
      <c r="IHI188" s="36"/>
      <c r="IHJ188" s="36"/>
      <c r="IHK188" s="36"/>
      <c r="IHL188" s="36"/>
      <c r="IHM188" s="36"/>
      <c r="IHN188" s="36"/>
      <c r="IHO188" s="36"/>
      <c r="IHP188" s="36"/>
      <c r="IHQ188" s="36"/>
      <c r="IHR188" s="36"/>
      <c r="IHS188" s="36"/>
      <c r="IHT188" s="36"/>
      <c r="IHU188" s="36"/>
      <c r="IHV188" s="36"/>
      <c r="IHW188" s="36"/>
      <c r="IHX188" s="36"/>
      <c r="IHY188" s="36"/>
      <c r="IHZ188" s="36"/>
      <c r="IIA188" s="36"/>
      <c r="IIB188" s="36"/>
      <c r="IIC188" s="36"/>
      <c r="IID188" s="36"/>
      <c r="IIE188" s="36"/>
      <c r="IIF188" s="36"/>
      <c r="IIG188" s="36"/>
      <c r="IIH188" s="36"/>
      <c r="III188" s="36"/>
      <c r="IIJ188" s="36"/>
      <c r="IIK188" s="36"/>
      <c r="IIL188" s="36"/>
      <c r="IIM188" s="36"/>
      <c r="IIN188" s="36"/>
      <c r="IIO188" s="36"/>
      <c r="IIP188" s="36"/>
      <c r="IIQ188" s="36"/>
      <c r="IIR188" s="36"/>
      <c r="IIS188" s="36"/>
      <c r="IIT188" s="36"/>
      <c r="IIU188" s="36"/>
      <c r="IIV188" s="36"/>
      <c r="IIW188" s="36"/>
      <c r="IIX188" s="36"/>
      <c r="IIY188" s="36"/>
      <c r="IIZ188" s="36"/>
      <c r="IJA188" s="36"/>
      <c r="IJB188" s="36"/>
      <c r="IJC188" s="36"/>
      <c r="IJD188" s="36"/>
      <c r="IJE188" s="36"/>
      <c r="IJF188" s="36"/>
      <c r="IJG188" s="36"/>
      <c r="IJH188" s="36"/>
      <c r="IJI188" s="36"/>
      <c r="IJJ188" s="36"/>
      <c r="IJK188" s="36"/>
      <c r="IJL188" s="36"/>
      <c r="IJM188" s="36"/>
      <c r="IJN188" s="36"/>
      <c r="IJO188" s="36"/>
      <c r="IJP188" s="36"/>
      <c r="IJQ188" s="36"/>
      <c r="IJR188" s="36"/>
      <c r="IJS188" s="36"/>
      <c r="IJT188" s="36"/>
      <c r="IJU188" s="36"/>
      <c r="IJV188" s="36"/>
      <c r="IJW188" s="36"/>
      <c r="IJX188" s="36"/>
      <c r="IJY188" s="36"/>
      <c r="IJZ188" s="36"/>
      <c r="IKA188" s="36"/>
      <c r="IKB188" s="36"/>
      <c r="IKC188" s="36"/>
      <c r="IKD188" s="36"/>
      <c r="IKE188" s="36"/>
      <c r="IKF188" s="36"/>
      <c r="IKG188" s="36"/>
      <c r="IKH188" s="36"/>
      <c r="IKI188" s="36"/>
      <c r="IKJ188" s="36"/>
      <c r="IKK188" s="36"/>
      <c r="IKL188" s="36"/>
      <c r="IKM188" s="36"/>
      <c r="IKN188" s="36"/>
      <c r="IKO188" s="36"/>
      <c r="IKP188" s="36"/>
      <c r="IKQ188" s="36"/>
      <c r="IKR188" s="36"/>
      <c r="IKS188" s="36"/>
      <c r="IKT188" s="36"/>
      <c r="IKU188" s="36"/>
      <c r="IKV188" s="36"/>
      <c r="IKW188" s="36"/>
      <c r="IKX188" s="36"/>
      <c r="IKY188" s="36"/>
      <c r="IKZ188" s="36"/>
      <c r="ILA188" s="36"/>
      <c r="ILB188" s="36"/>
      <c r="ILC188" s="36"/>
      <c r="ILD188" s="36"/>
      <c r="ILE188" s="36"/>
      <c r="ILF188" s="36"/>
      <c r="ILG188" s="36"/>
      <c r="ILH188" s="36"/>
      <c r="ILI188" s="36"/>
      <c r="ILJ188" s="36"/>
      <c r="ILK188" s="36"/>
      <c r="ILL188" s="36"/>
      <c r="ILM188" s="36"/>
      <c r="ILN188" s="36"/>
      <c r="ILO188" s="36"/>
      <c r="ILP188" s="36"/>
      <c r="ILQ188" s="36"/>
      <c r="ILR188" s="36"/>
      <c r="ILS188" s="36"/>
      <c r="ILT188" s="36"/>
      <c r="ILU188" s="36"/>
      <c r="ILV188" s="36"/>
      <c r="ILW188" s="36"/>
      <c r="ILX188" s="36"/>
      <c r="ILY188" s="36"/>
      <c r="ILZ188" s="36"/>
      <c r="IMA188" s="36"/>
      <c r="IMB188" s="36"/>
      <c r="IMC188" s="36"/>
      <c r="IMD188" s="36"/>
      <c r="IME188" s="36"/>
      <c r="IMF188" s="36"/>
      <c r="IMG188" s="36"/>
      <c r="IMH188" s="36"/>
      <c r="IMI188" s="36"/>
      <c r="IMJ188" s="36"/>
      <c r="IMK188" s="36"/>
      <c r="IML188" s="36"/>
      <c r="IMM188" s="36"/>
      <c r="IMN188" s="36"/>
      <c r="IMO188" s="36"/>
      <c r="IMP188" s="36"/>
      <c r="IMQ188" s="36"/>
      <c r="IMR188" s="36"/>
      <c r="IMS188" s="36"/>
      <c r="IMT188" s="36"/>
      <c r="IMU188" s="36"/>
      <c r="IMV188" s="36"/>
      <c r="IMW188" s="36"/>
      <c r="IMX188" s="36"/>
      <c r="IMY188" s="36"/>
      <c r="IMZ188" s="36"/>
      <c r="INA188" s="36"/>
      <c r="INB188" s="36"/>
      <c r="INC188" s="36"/>
      <c r="IND188" s="36"/>
      <c r="INE188" s="36"/>
      <c r="INF188" s="36"/>
      <c r="ING188" s="36"/>
      <c r="INH188" s="36"/>
      <c r="INI188" s="36"/>
      <c r="INJ188" s="36"/>
      <c r="INK188" s="36"/>
      <c r="INL188" s="36"/>
      <c r="INM188" s="36"/>
      <c r="INN188" s="36"/>
      <c r="INO188" s="36"/>
      <c r="INP188" s="36"/>
      <c r="INQ188" s="36"/>
      <c r="INR188" s="36"/>
      <c r="INS188" s="36"/>
      <c r="INT188" s="36"/>
      <c r="INU188" s="36"/>
      <c r="INV188" s="36"/>
      <c r="INW188" s="36"/>
      <c r="INX188" s="36"/>
      <c r="INY188" s="36"/>
      <c r="INZ188" s="36"/>
      <c r="IOA188" s="36"/>
      <c r="IOB188" s="36"/>
      <c r="IOC188" s="36"/>
      <c r="IOD188" s="36"/>
      <c r="IOE188" s="36"/>
      <c r="IOF188" s="36"/>
      <c r="IOG188" s="36"/>
      <c r="IOH188" s="36"/>
      <c r="IOI188" s="36"/>
      <c r="IOJ188" s="36"/>
      <c r="IOK188" s="36"/>
      <c r="IOL188" s="36"/>
      <c r="IOM188" s="36"/>
      <c r="ION188" s="36"/>
      <c r="IOO188" s="36"/>
      <c r="IOP188" s="36"/>
      <c r="IOQ188" s="36"/>
      <c r="IOR188" s="36"/>
      <c r="IOS188" s="36"/>
      <c r="IOT188" s="36"/>
      <c r="IOU188" s="36"/>
      <c r="IOV188" s="36"/>
      <c r="IOW188" s="36"/>
      <c r="IOX188" s="36"/>
      <c r="IOY188" s="36"/>
      <c r="IOZ188" s="36"/>
      <c r="IPA188" s="36"/>
      <c r="IPB188" s="36"/>
      <c r="IPC188" s="36"/>
      <c r="IPD188" s="36"/>
      <c r="IPE188" s="36"/>
      <c r="IPF188" s="36"/>
      <c r="IPG188" s="36"/>
      <c r="IPH188" s="36"/>
      <c r="IPI188" s="36"/>
      <c r="IPJ188" s="36"/>
      <c r="IPK188" s="36"/>
      <c r="IPL188" s="36"/>
      <c r="IPM188" s="36"/>
      <c r="IPN188" s="36"/>
      <c r="IPO188" s="36"/>
      <c r="IPP188" s="36"/>
      <c r="IPQ188" s="36"/>
      <c r="IPR188" s="36"/>
      <c r="IPS188" s="36"/>
      <c r="IPT188" s="36"/>
      <c r="IPU188" s="36"/>
      <c r="IPV188" s="36"/>
      <c r="IPW188" s="36"/>
      <c r="IPX188" s="36"/>
      <c r="IPY188" s="36"/>
      <c r="IPZ188" s="36"/>
      <c r="IQA188" s="36"/>
      <c r="IQB188" s="36"/>
      <c r="IQC188" s="36"/>
      <c r="IQD188" s="36"/>
      <c r="IQE188" s="36"/>
      <c r="IQF188" s="36"/>
      <c r="IQG188" s="36"/>
      <c r="IQH188" s="36"/>
      <c r="IQI188" s="36"/>
      <c r="IQJ188" s="36"/>
      <c r="IQK188" s="36"/>
      <c r="IQL188" s="36"/>
      <c r="IQM188" s="36"/>
      <c r="IQN188" s="36"/>
      <c r="IQO188" s="36"/>
      <c r="IQP188" s="36"/>
      <c r="IQQ188" s="36"/>
      <c r="IQR188" s="36"/>
      <c r="IQS188" s="36"/>
      <c r="IQT188" s="36"/>
      <c r="IQU188" s="36"/>
      <c r="IQV188" s="36"/>
      <c r="IQW188" s="36"/>
      <c r="IQX188" s="36"/>
      <c r="IQY188" s="36"/>
      <c r="IQZ188" s="36"/>
      <c r="IRA188" s="36"/>
      <c r="IRB188" s="36"/>
      <c r="IRC188" s="36"/>
      <c r="IRD188" s="36"/>
      <c r="IRE188" s="36"/>
      <c r="IRF188" s="36"/>
      <c r="IRG188" s="36"/>
      <c r="IRH188" s="36"/>
      <c r="IRI188" s="36"/>
      <c r="IRJ188" s="36"/>
      <c r="IRK188" s="36"/>
      <c r="IRL188" s="36"/>
      <c r="IRM188" s="36"/>
      <c r="IRN188" s="36"/>
      <c r="IRO188" s="36"/>
      <c r="IRP188" s="36"/>
      <c r="IRQ188" s="36"/>
      <c r="IRR188" s="36"/>
      <c r="IRS188" s="36"/>
      <c r="IRT188" s="36"/>
      <c r="IRU188" s="36"/>
      <c r="IRV188" s="36"/>
      <c r="IRW188" s="36"/>
      <c r="IRX188" s="36"/>
      <c r="IRY188" s="36"/>
      <c r="IRZ188" s="36"/>
      <c r="ISA188" s="36"/>
      <c r="ISB188" s="36"/>
      <c r="ISC188" s="36"/>
      <c r="ISD188" s="36"/>
      <c r="ISE188" s="36"/>
      <c r="ISF188" s="36"/>
      <c r="ISG188" s="36"/>
      <c r="ISH188" s="36"/>
      <c r="ISI188" s="36"/>
      <c r="ISJ188" s="36"/>
      <c r="ISK188" s="36"/>
      <c r="ISL188" s="36"/>
      <c r="ISM188" s="36"/>
      <c r="ISN188" s="36"/>
      <c r="ISO188" s="36"/>
      <c r="ISP188" s="36"/>
      <c r="ISQ188" s="36"/>
      <c r="ISR188" s="36"/>
      <c r="ISS188" s="36"/>
      <c r="IST188" s="36"/>
      <c r="ISU188" s="36"/>
      <c r="ISV188" s="36"/>
      <c r="ISW188" s="36"/>
      <c r="ISX188" s="36"/>
      <c r="ISY188" s="36"/>
      <c r="ISZ188" s="36"/>
      <c r="ITA188" s="36"/>
      <c r="ITB188" s="36"/>
      <c r="ITC188" s="36"/>
      <c r="ITD188" s="36"/>
      <c r="ITE188" s="36"/>
      <c r="ITF188" s="36"/>
      <c r="ITG188" s="36"/>
      <c r="ITH188" s="36"/>
      <c r="ITI188" s="36"/>
      <c r="ITJ188" s="36"/>
      <c r="ITK188" s="36"/>
      <c r="ITL188" s="36"/>
      <c r="ITM188" s="36"/>
      <c r="ITN188" s="36"/>
      <c r="ITO188" s="36"/>
      <c r="ITP188" s="36"/>
      <c r="ITQ188" s="36"/>
      <c r="ITR188" s="36"/>
      <c r="ITS188" s="36"/>
      <c r="ITT188" s="36"/>
      <c r="ITU188" s="36"/>
      <c r="ITV188" s="36"/>
      <c r="ITW188" s="36"/>
      <c r="ITX188" s="36"/>
      <c r="ITY188" s="36"/>
      <c r="ITZ188" s="36"/>
      <c r="IUA188" s="36"/>
      <c r="IUB188" s="36"/>
      <c r="IUC188" s="36"/>
      <c r="IUD188" s="36"/>
      <c r="IUE188" s="36"/>
      <c r="IUF188" s="36"/>
      <c r="IUG188" s="36"/>
      <c r="IUH188" s="36"/>
      <c r="IUI188" s="36"/>
      <c r="IUJ188" s="36"/>
      <c r="IUK188" s="36"/>
      <c r="IUL188" s="36"/>
      <c r="IUM188" s="36"/>
      <c r="IUN188" s="36"/>
      <c r="IUO188" s="36"/>
      <c r="IUP188" s="36"/>
      <c r="IUQ188" s="36"/>
      <c r="IUR188" s="36"/>
      <c r="IUS188" s="36"/>
      <c r="IUT188" s="36"/>
      <c r="IUU188" s="36"/>
      <c r="IUV188" s="36"/>
      <c r="IUW188" s="36"/>
      <c r="IUX188" s="36"/>
      <c r="IUY188" s="36"/>
      <c r="IUZ188" s="36"/>
      <c r="IVA188" s="36"/>
      <c r="IVB188" s="36"/>
      <c r="IVC188" s="36"/>
      <c r="IVD188" s="36"/>
      <c r="IVE188" s="36"/>
      <c r="IVF188" s="36"/>
      <c r="IVG188" s="36"/>
      <c r="IVH188" s="36"/>
      <c r="IVI188" s="36"/>
      <c r="IVJ188" s="36"/>
      <c r="IVK188" s="36"/>
      <c r="IVL188" s="36"/>
      <c r="IVM188" s="36"/>
      <c r="IVN188" s="36"/>
      <c r="IVO188" s="36"/>
      <c r="IVP188" s="36"/>
      <c r="IVQ188" s="36"/>
      <c r="IVR188" s="36"/>
      <c r="IVS188" s="36"/>
      <c r="IVT188" s="36"/>
      <c r="IVU188" s="36"/>
      <c r="IVV188" s="36"/>
      <c r="IVW188" s="36"/>
      <c r="IVX188" s="36"/>
      <c r="IVY188" s="36"/>
      <c r="IVZ188" s="36"/>
      <c r="IWA188" s="36"/>
      <c r="IWB188" s="36"/>
      <c r="IWC188" s="36"/>
      <c r="IWD188" s="36"/>
      <c r="IWE188" s="36"/>
      <c r="IWF188" s="36"/>
      <c r="IWG188" s="36"/>
      <c r="IWH188" s="36"/>
      <c r="IWI188" s="36"/>
      <c r="IWJ188" s="36"/>
      <c r="IWK188" s="36"/>
      <c r="IWL188" s="36"/>
      <c r="IWM188" s="36"/>
      <c r="IWN188" s="36"/>
      <c r="IWO188" s="36"/>
      <c r="IWP188" s="36"/>
      <c r="IWQ188" s="36"/>
      <c r="IWR188" s="36"/>
      <c r="IWS188" s="36"/>
      <c r="IWT188" s="36"/>
      <c r="IWU188" s="36"/>
      <c r="IWV188" s="36"/>
      <c r="IWW188" s="36"/>
      <c r="IWX188" s="36"/>
      <c r="IWY188" s="36"/>
      <c r="IWZ188" s="36"/>
      <c r="IXA188" s="36"/>
      <c r="IXB188" s="36"/>
      <c r="IXC188" s="36"/>
      <c r="IXD188" s="36"/>
      <c r="IXE188" s="36"/>
      <c r="IXF188" s="36"/>
      <c r="IXG188" s="36"/>
      <c r="IXH188" s="36"/>
      <c r="IXI188" s="36"/>
      <c r="IXJ188" s="36"/>
      <c r="IXK188" s="36"/>
      <c r="IXL188" s="36"/>
      <c r="IXM188" s="36"/>
      <c r="IXN188" s="36"/>
      <c r="IXO188" s="36"/>
      <c r="IXP188" s="36"/>
      <c r="IXQ188" s="36"/>
      <c r="IXR188" s="36"/>
      <c r="IXS188" s="36"/>
      <c r="IXT188" s="36"/>
      <c r="IXU188" s="36"/>
      <c r="IXV188" s="36"/>
      <c r="IXW188" s="36"/>
      <c r="IXX188" s="36"/>
      <c r="IXY188" s="36"/>
      <c r="IXZ188" s="36"/>
      <c r="IYA188" s="36"/>
      <c r="IYB188" s="36"/>
      <c r="IYC188" s="36"/>
      <c r="IYD188" s="36"/>
      <c r="IYE188" s="36"/>
      <c r="IYF188" s="36"/>
      <c r="IYG188" s="36"/>
      <c r="IYH188" s="36"/>
      <c r="IYI188" s="36"/>
      <c r="IYJ188" s="36"/>
      <c r="IYK188" s="36"/>
      <c r="IYL188" s="36"/>
      <c r="IYM188" s="36"/>
      <c r="IYN188" s="36"/>
      <c r="IYO188" s="36"/>
      <c r="IYP188" s="36"/>
      <c r="IYQ188" s="36"/>
      <c r="IYR188" s="36"/>
      <c r="IYS188" s="36"/>
      <c r="IYT188" s="36"/>
      <c r="IYU188" s="36"/>
      <c r="IYV188" s="36"/>
      <c r="IYW188" s="36"/>
      <c r="IYX188" s="36"/>
      <c r="IYY188" s="36"/>
      <c r="IYZ188" s="36"/>
      <c r="IZA188" s="36"/>
      <c r="IZB188" s="36"/>
      <c r="IZC188" s="36"/>
      <c r="IZD188" s="36"/>
      <c r="IZE188" s="36"/>
      <c r="IZF188" s="36"/>
      <c r="IZG188" s="36"/>
      <c r="IZH188" s="36"/>
      <c r="IZI188" s="36"/>
      <c r="IZJ188" s="36"/>
      <c r="IZK188" s="36"/>
      <c r="IZL188" s="36"/>
      <c r="IZM188" s="36"/>
      <c r="IZN188" s="36"/>
      <c r="IZO188" s="36"/>
      <c r="IZP188" s="36"/>
      <c r="IZQ188" s="36"/>
      <c r="IZR188" s="36"/>
      <c r="IZS188" s="36"/>
      <c r="IZT188" s="36"/>
      <c r="IZU188" s="36"/>
      <c r="IZV188" s="36"/>
      <c r="IZW188" s="36"/>
      <c r="IZX188" s="36"/>
      <c r="IZY188" s="36"/>
      <c r="IZZ188" s="36"/>
      <c r="JAA188" s="36"/>
      <c r="JAB188" s="36"/>
      <c r="JAC188" s="36"/>
      <c r="JAD188" s="36"/>
      <c r="JAE188" s="36"/>
      <c r="JAF188" s="36"/>
      <c r="JAG188" s="36"/>
      <c r="JAH188" s="36"/>
      <c r="JAI188" s="36"/>
      <c r="JAJ188" s="36"/>
      <c r="JAK188" s="36"/>
      <c r="JAL188" s="36"/>
      <c r="JAM188" s="36"/>
      <c r="JAN188" s="36"/>
      <c r="JAO188" s="36"/>
      <c r="JAP188" s="36"/>
      <c r="JAQ188" s="36"/>
      <c r="JAR188" s="36"/>
      <c r="JAS188" s="36"/>
      <c r="JAT188" s="36"/>
      <c r="JAU188" s="36"/>
      <c r="JAV188" s="36"/>
      <c r="JAW188" s="36"/>
      <c r="JAX188" s="36"/>
      <c r="JAY188" s="36"/>
      <c r="JAZ188" s="36"/>
      <c r="JBA188" s="36"/>
      <c r="JBB188" s="36"/>
      <c r="JBC188" s="36"/>
      <c r="JBD188" s="36"/>
      <c r="JBE188" s="36"/>
      <c r="JBF188" s="36"/>
      <c r="JBG188" s="36"/>
      <c r="JBH188" s="36"/>
      <c r="JBI188" s="36"/>
      <c r="JBJ188" s="36"/>
      <c r="JBK188" s="36"/>
      <c r="JBL188" s="36"/>
      <c r="JBM188" s="36"/>
      <c r="JBN188" s="36"/>
      <c r="JBO188" s="36"/>
      <c r="JBP188" s="36"/>
      <c r="JBQ188" s="36"/>
      <c r="JBR188" s="36"/>
      <c r="JBS188" s="36"/>
      <c r="JBT188" s="36"/>
      <c r="JBU188" s="36"/>
      <c r="JBV188" s="36"/>
      <c r="JBW188" s="36"/>
      <c r="JBX188" s="36"/>
      <c r="JBY188" s="36"/>
      <c r="JBZ188" s="36"/>
      <c r="JCA188" s="36"/>
      <c r="JCB188" s="36"/>
      <c r="JCC188" s="36"/>
      <c r="JCD188" s="36"/>
      <c r="JCE188" s="36"/>
      <c r="JCF188" s="36"/>
      <c r="JCG188" s="36"/>
      <c r="JCH188" s="36"/>
      <c r="JCI188" s="36"/>
      <c r="JCJ188" s="36"/>
      <c r="JCK188" s="36"/>
      <c r="JCL188" s="36"/>
      <c r="JCM188" s="36"/>
      <c r="JCN188" s="36"/>
      <c r="JCO188" s="36"/>
      <c r="JCP188" s="36"/>
      <c r="JCQ188" s="36"/>
      <c r="JCR188" s="36"/>
      <c r="JCS188" s="36"/>
      <c r="JCT188" s="36"/>
      <c r="JCU188" s="36"/>
      <c r="JCV188" s="36"/>
      <c r="JCW188" s="36"/>
      <c r="JCX188" s="36"/>
      <c r="JCY188" s="36"/>
      <c r="JCZ188" s="36"/>
      <c r="JDA188" s="36"/>
      <c r="JDB188" s="36"/>
      <c r="JDC188" s="36"/>
      <c r="JDD188" s="36"/>
      <c r="JDE188" s="36"/>
      <c r="JDF188" s="36"/>
      <c r="JDG188" s="36"/>
      <c r="JDH188" s="36"/>
      <c r="JDI188" s="36"/>
      <c r="JDJ188" s="36"/>
      <c r="JDK188" s="36"/>
      <c r="JDL188" s="36"/>
      <c r="JDM188" s="36"/>
      <c r="JDN188" s="36"/>
      <c r="JDO188" s="36"/>
      <c r="JDP188" s="36"/>
      <c r="JDQ188" s="36"/>
      <c r="JDR188" s="36"/>
      <c r="JDS188" s="36"/>
      <c r="JDT188" s="36"/>
      <c r="JDU188" s="36"/>
      <c r="JDV188" s="36"/>
      <c r="JDW188" s="36"/>
      <c r="JDX188" s="36"/>
      <c r="JDY188" s="36"/>
      <c r="JDZ188" s="36"/>
      <c r="JEA188" s="36"/>
      <c r="JEB188" s="36"/>
      <c r="JEC188" s="36"/>
      <c r="JED188" s="36"/>
      <c r="JEE188" s="36"/>
      <c r="JEF188" s="36"/>
      <c r="JEG188" s="36"/>
      <c r="JEH188" s="36"/>
      <c r="JEI188" s="36"/>
      <c r="JEJ188" s="36"/>
      <c r="JEK188" s="36"/>
      <c r="JEL188" s="36"/>
      <c r="JEM188" s="36"/>
      <c r="JEN188" s="36"/>
      <c r="JEO188" s="36"/>
      <c r="JEP188" s="36"/>
      <c r="JEQ188" s="36"/>
      <c r="JER188" s="36"/>
      <c r="JES188" s="36"/>
      <c r="JET188" s="36"/>
      <c r="JEU188" s="36"/>
      <c r="JEV188" s="36"/>
      <c r="JEW188" s="36"/>
      <c r="JEX188" s="36"/>
      <c r="JEY188" s="36"/>
      <c r="JEZ188" s="36"/>
      <c r="JFA188" s="36"/>
      <c r="JFB188" s="36"/>
      <c r="JFC188" s="36"/>
      <c r="JFD188" s="36"/>
      <c r="JFE188" s="36"/>
      <c r="JFF188" s="36"/>
      <c r="JFG188" s="36"/>
      <c r="JFH188" s="36"/>
      <c r="JFI188" s="36"/>
      <c r="JFJ188" s="36"/>
      <c r="JFK188" s="36"/>
      <c r="JFL188" s="36"/>
      <c r="JFM188" s="36"/>
      <c r="JFN188" s="36"/>
      <c r="JFO188" s="36"/>
      <c r="JFP188" s="36"/>
      <c r="JFQ188" s="36"/>
      <c r="JFR188" s="36"/>
      <c r="JFS188" s="36"/>
      <c r="JFT188" s="36"/>
      <c r="JFU188" s="36"/>
      <c r="JFV188" s="36"/>
      <c r="JFW188" s="36"/>
      <c r="JFX188" s="36"/>
      <c r="JFY188" s="36"/>
      <c r="JFZ188" s="36"/>
      <c r="JGA188" s="36"/>
      <c r="JGB188" s="36"/>
      <c r="JGC188" s="36"/>
      <c r="JGD188" s="36"/>
      <c r="JGE188" s="36"/>
      <c r="JGF188" s="36"/>
      <c r="JGG188" s="36"/>
      <c r="JGH188" s="36"/>
      <c r="JGI188" s="36"/>
      <c r="JGJ188" s="36"/>
      <c r="JGK188" s="36"/>
      <c r="JGL188" s="36"/>
      <c r="JGM188" s="36"/>
      <c r="JGN188" s="36"/>
      <c r="JGO188" s="36"/>
      <c r="JGP188" s="36"/>
      <c r="JGQ188" s="36"/>
      <c r="JGR188" s="36"/>
      <c r="JGS188" s="36"/>
      <c r="JGT188" s="36"/>
      <c r="JGU188" s="36"/>
      <c r="JGV188" s="36"/>
      <c r="JGW188" s="36"/>
      <c r="JGX188" s="36"/>
      <c r="JGY188" s="36"/>
      <c r="JGZ188" s="36"/>
      <c r="JHA188" s="36"/>
      <c r="JHB188" s="36"/>
      <c r="JHC188" s="36"/>
      <c r="JHD188" s="36"/>
      <c r="JHE188" s="36"/>
      <c r="JHF188" s="36"/>
      <c r="JHG188" s="36"/>
      <c r="JHH188" s="36"/>
      <c r="JHI188" s="36"/>
      <c r="JHJ188" s="36"/>
      <c r="JHK188" s="36"/>
      <c r="JHL188" s="36"/>
      <c r="JHM188" s="36"/>
      <c r="JHN188" s="36"/>
      <c r="JHO188" s="36"/>
      <c r="JHP188" s="36"/>
      <c r="JHQ188" s="36"/>
      <c r="JHR188" s="36"/>
      <c r="JHS188" s="36"/>
      <c r="JHT188" s="36"/>
      <c r="JHU188" s="36"/>
      <c r="JHV188" s="36"/>
      <c r="JHW188" s="36"/>
      <c r="JHX188" s="36"/>
      <c r="JHY188" s="36"/>
      <c r="JHZ188" s="36"/>
      <c r="JIA188" s="36"/>
      <c r="JIB188" s="36"/>
      <c r="JIC188" s="36"/>
      <c r="JID188" s="36"/>
      <c r="JIE188" s="36"/>
      <c r="JIF188" s="36"/>
      <c r="JIG188" s="36"/>
      <c r="JIH188" s="36"/>
      <c r="JII188" s="36"/>
      <c r="JIJ188" s="36"/>
      <c r="JIK188" s="36"/>
      <c r="JIL188" s="36"/>
      <c r="JIM188" s="36"/>
      <c r="JIN188" s="36"/>
      <c r="JIO188" s="36"/>
      <c r="JIP188" s="36"/>
      <c r="JIQ188" s="36"/>
      <c r="JIR188" s="36"/>
      <c r="JIS188" s="36"/>
      <c r="JIT188" s="36"/>
      <c r="JIU188" s="36"/>
      <c r="JIV188" s="36"/>
      <c r="JIW188" s="36"/>
      <c r="JIX188" s="36"/>
      <c r="JIY188" s="36"/>
      <c r="JIZ188" s="36"/>
      <c r="JJA188" s="36"/>
      <c r="JJB188" s="36"/>
      <c r="JJC188" s="36"/>
      <c r="JJD188" s="36"/>
      <c r="JJE188" s="36"/>
      <c r="JJF188" s="36"/>
      <c r="JJG188" s="36"/>
      <c r="JJH188" s="36"/>
      <c r="JJI188" s="36"/>
      <c r="JJJ188" s="36"/>
      <c r="JJK188" s="36"/>
      <c r="JJL188" s="36"/>
      <c r="JJM188" s="36"/>
      <c r="JJN188" s="36"/>
      <c r="JJO188" s="36"/>
      <c r="JJP188" s="36"/>
      <c r="JJQ188" s="36"/>
      <c r="JJR188" s="36"/>
      <c r="JJS188" s="36"/>
      <c r="JJT188" s="36"/>
      <c r="JJU188" s="36"/>
      <c r="JJV188" s="36"/>
      <c r="JJW188" s="36"/>
      <c r="JJX188" s="36"/>
      <c r="JJY188" s="36"/>
      <c r="JJZ188" s="36"/>
      <c r="JKA188" s="36"/>
      <c r="JKB188" s="36"/>
      <c r="JKC188" s="36"/>
      <c r="JKD188" s="36"/>
      <c r="JKE188" s="36"/>
      <c r="JKF188" s="36"/>
      <c r="JKG188" s="36"/>
      <c r="JKH188" s="36"/>
      <c r="JKI188" s="36"/>
      <c r="JKJ188" s="36"/>
      <c r="JKK188" s="36"/>
      <c r="JKL188" s="36"/>
      <c r="JKM188" s="36"/>
      <c r="JKN188" s="36"/>
      <c r="JKO188" s="36"/>
      <c r="JKP188" s="36"/>
      <c r="JKQ188" s="36"/>
      <c r="JKR188" s="36"/>
      <c r="JKS188" s="36"/>
      <c r="JKT188" s="36"/>
      <c r="JKU188" s="36"/>
      <c r="JKV188" s="36"/>
      <c r="JKW188" s="36"/>
      <c r="JKX188" s="36"/>
      <c r="JKY188" s="36"/>
      <c r="JKZ188" s="36"/>
      <c r="JLA188" s="36"/>
      <c r="JLB188" s="36"/>
      <c r="JLC188" s="36"/>
      <c r="JLD188" s="36"/>
      <c r="JLE188" s="36"/>
      <c r="JLF188" s="36"/>
      <c r="JLG188" s="36"/>
      <c r="JLH188" s="36"/>
      <c r="JLI188" s="36"/>
      <c r="JLJ188" s="36"/>
      <c r="JLK188" s="36"/>
      <c r="JLL188" s="36"/>
      <c r="JLM188" s="36"/>
      <c r="JLN188" s="36"/>
      <c r="JLO188" s="36"/>
      <c r="JLP188" s="36"/>
      <c r="JLQ188" s="36"/>
      <c r="JLR188" s="36"/>
      <c r="JLS188" s="36"/>
      <c r="JLT188" s="36"/>
      <c r="JLU188" s="36"/>
      <c r="JLV188" s="36"/>
      <c r="JLW188" s="36"/>
      <c r="JLX188" s="36"/>
      <c r="JLY188" s="36"/>
      <c r="JLZ188" s="36"/>
      <c r="JMA188" s="36"/>
      <c r="JMB188" s="36"/>
      <c r="JMC188" s="36"/>
      <c r="JMD188" s="36"/>
      <c r="JME188" s="36"/>
      <c r="JMF188" s="36"/>
      <c r="JMG188" s="36"/>
      <c r="JMH188" s="36"/>
      <c r="JMI188" s="36"/>
      <c r="JMJ188" s="36"/>
      <c r="JMK188" s="36"/>
      <c r="JML188" s="36"/>
      <c r="JMM188" s="36"/>
      <c r="JMN188" s="36"/>
      <c r="JMO188" s="36"/>
      <c r="JMP188" s="36"/>
      <c r="JMQ188" s="36"/>
      <c r="JMR188" s="36"/>
      <c r="JMS188" s="36"/>
      <c r="JMT188" s="36"/>
      <c r="JMU188" s="36"/>
      <c r="JMV188" s="36"/>
      <c r="JMW188" s="36"/>
      <c r="JMX188" s="36"/>
      <c r="JMY188" s="36"/>
      <c r="JMZ188" s="36"/>
      <c r="JNA188" s="36"/>
      <c r="JNB188" s="36"/>
      <c r="JNC188" s="36"/>
      <c r="JND188" s="36"/>
      <c r="JNE188" s="36"/>
      <c r="JNF188" s="36"/>
      <c r="JNG188" s="36"/>
      <c r="JNH188" s="36"/>
      <c r="JNI188" s="36"/>
      <c r="JNJ188" s="36"/>
      <c r="JNK188" s="36"/>
      <c r="JNL188" s="36"/>
      <c r="JNM188" s="36"/>
      <c r="JNN188" s="36"/>
      <c r="JNO188" s="36"/>
      <c r="JNP188" s="36"/>
      <c r="JNQ188" s="36"/>
      <c r="JNR188" s="36"/>
      <c r="JNS188" s="36"/>
      <c r="JNT188" s="36"/>
      <c r="JNU188" s="36"/>
      <c r="JNV188" s="36"/>
      <c r="JNW188" s="36"/>
      <c r="JNX188" s="36"/>
      <c r="JNY188" s="36"/>
      <c r="JNZ188" s="36"/>
      <c r="JOA188" s="36"/>
      <c r="JOB188" s="36"/>
      <c r="JOC188" s="36"/>
      <c r="JOD188" s="36"/>
      <c r="JOE188" s="36"/>
      <c r="JOF188" s="36"/>
      <c r="JOG188" s="36"/>
      <c r="JOH188" s="36"/>
      <c r="JOI188" s="36"/>
      <c r="JOJ188" s="36"/>
      <c r="JOK188" s="36"/>
      <c r="JOL188" s="36"/>
      <c r="JOM188" s="36"/>
      <c r="JON188" s="36"/>
      <c r="JOO188" s="36"/>
      <c r="JOP188" s="36"/>
      <c r="JOQ188" s="36"/>
      <c r="JOR188" s="36"/>
      <c r="JOS188" s="36"/>
      <c r="JOT188" s="36"/>
      <c r="JOU188" s="36"/>
      <c r="JOV188" s="36"/>
      <c r="JOW188" s="36"/>
      <c r="JOX188" s="36"/>
      <c r="JOY188" s="36"/>
      <c r="JOZ188" s="36"/>
      <c r="JPA188" s="36"/>
      <c r="JPB188" s="36"/>
      <c r="JPC188" s="36"/>
      <c r="JPD188" s="36"/>
      <c r="JPE188" s="36"/>
      <c r="JPF188" s="36"/>
      <c r="JPG188" s="36"/>
      <c r="JPH188" s="36"/>
      <c r="JPI188" s="36"/>
      <c r="JPJ188" s="36"/>
      <c r="JPK188" s="36"/>
      <c r="JPL188" s="36"/>
      <c r="JPM188" s="36"/>
      <c r="JPN188" s="36"/>
      <c r="JPO188" s="36"/>
      <c r="JPP188" s="36"/>
      <c r="JPQ188" s="36"/>
      <c r="JPR188" s="36"/>
      <c r="JPS188" s="36"/>
      <c r="JPT188" s="36"/>
      <c r="JPU188" s="36"/>
      <c r="JPV188" s="36"/>
      <c r="JPW188" s="36"/>
      <c r="JPX188" s="36"/>
      <c r="JPY188" s="36"/>
      <c r="JPZ188" s="36"/>
      <c r="JQA188" s="36"/>
      <c r="JQB188" s="36"/>
      <c r="JQC188" s="36"/>
      <c r="JQD188" s="36"/>
      <c r="JQE188" s="36"/>
      <c r="JQF188" s="36"/>
      <c r="JQG188" s="36"/>
      <c r="JQH188" s="36"/>
      <c r="JQI188" s="36"/>
      <c r="JQJ188" s="36"/>
      <c r="JQK188" s="36"/>
      <c r="JQL188" s="36"/>
      <c r="JQM188" s="36"/>
      <c r="JQN188" s="36"/>
      <c r="JQO188" s="36"/>
      <c r="JQP188" s="36"/>
      <c r="JQQ188" s="36"/>
      <c r="JQR188" s="36"/>
      <c r="JQS188" s="36"/>
      <c r="JQT188" s="36"/>
      <c r="JQU188" s="36"/>
      <c r="JQV188" s="36"/>
      <c r="JQW188" s="36"/>
      <c r="JQX188" s="36"/>
      <c r="JQY188" s="36"/>
      <c r="JQZ188" s="36"/>
      <c r="JRA188" s="36"/>
      <c r="JRB188" s="36"/>
      <c r="JRC188" s="36"/>
      <c r="JRD188" s="36"/>
      <c r="JRE188" s="36"/>
      <c r="JRF188" s="36"/>
      <c r="JRG188" s="36"/>
      <c r="JRH188" s="36"/>
      <c r="JRI188" s="36"/>
      <c r="JRJ188" s="36"/>
      <c r="JRK188" s="36"/>
      <c r="JRL188" s="36"/>
      <c r="JRM188" s="36"/>
      <c r="JRN188" s="36"/>
      <c r="JRO188" s="36"/>
      <c r="JRP188" s="36"/>
      <c r="JRQ188" s="36"/>
      <c r="JRR188" s="36"/>
      <c r="JRS188" s="36"/>
      <c r="JRT188" s="36"/>
      <c r="JRU188" s="36"/>
      <c r="JRV188" s="36"/>
      <c r="JRW188" s="36"/>
      <c r="JRX188" s="36"/>
      <c r="JRY188" s="36"/>
      <c r="JRZ188" s="36"/>
      <c r="JSA188" s="36"/>
      <c r="JSB188" s="36"/>
      <c r="JSC188" s="36"/>
      <c r="JSD188" s="36"/>
      <c r="JSE188" s="36"/>
      <c r="JSF188" s="36"/>
      <c r="JSG188" s="36"/>
      <c r="JSH188" s="36"/>
      <c r="JSI188" s="36"/>
      <c r="JSJ188" s="36"/>
      <c r="JSK188" s="36"/>
      <c r="JSL188" s="36"/>
      <c r="JSM188" s="36"/>
      <c r="JSN188" s="36"/>
      <c r="JSO188" s="36"/>
      <c r="JSP188" s="36"/>
      <c r="JSQ188" s="36"/>
      <c r="JSR188" s="36"/>
      <c r="JSS188" s="36"/>
      <c r="JST188" s="36"/>
      <c r="JSU188" s="36"/>
      <c r="JSV188" s="36"/>
      <c r="JSW188" s="36"/>
      <c r="JSX188" s="36"/>
      <c r="JSY188" s="36"/>
      <c r="JSZ188" s="36"/>
      <c r="JTA188" s="36"/>
      <c r="JTB188" s="36"/>
      <c r="JTC188" s="36"/>
      <c r="JTD188" s="36"/>
      <c r="JTE188" s="36"/>
      <c r="JTF188" s="36"/>
      <c r="JTG188" s="36"/>
      <c r="JTH188" s="36"/>
      <c r="JTI188" s="36"/>
      <c r="JTJ188" s="36"/>
      <c r="JTK188" s="36"/>
      <c r="JTL188" s="36"/>
      <c r="JTM188" s="36"/>
      <c r="JTN188" s="36"/>
      <c r="JTO188" s="36"/>
      <c r="JTP188" s="36"/>
      <c r="JTQ188" s="36"/>
      <c r="JTR188" s="36"/>
      <c r="JTS188" s="36"/>
      <c r="JTT188" s="36"/>
      <c r="JTU188" s="36"/>
      <c r="JTV188" s="36"/>
      <c r="JTW188" s="36"/>
      <c r="JTX188" s="36"/>
      <c r="JTY188" s="36"/>
      <c r="JTZ188" s="36"/>
      <c r="JUA188" s="36"/>
      <c r="JUB188" s="36"/>
      <c r="JUC188" s="36"/>
      <c r="JUD188" s="36"/>
      <c r="JUE188" s="36"/>
      <c r="JUF188" s="36"/>
      <c r="JUG188" s="36"/>
      <c r="JUH188" s="36"/>
      <c r="JUI188" s="36"/>
      <c r="JUJ188" s="36"/>
      <c r="JUK188" s="36"/>
      <c r="JUL188" s="36"/>
      <c r="JUM188" s="36"/>
      <c r="JUN188" s="36"/>
      <c r="JUO188" s="36"/>
      <c r="JUP188" s="36"/>
      <c r="JUQ188" s="36"/>
      <c r="JUR188" s="36"/>
      <c r="JUS188" s="36"/>
      <c r="JUT188" s="36"/>
      <c r="JUU188" s="36"/>
      <c r="JUV188" s="36"/>
      <c r="JUW188" s="36"/>
      <c r="JUX188" s="36"/>
      <c r="JUY188" s="36"/>
      <c r="JUZ188" s="36"/>
      <c r="JVA188" s="36"/>
      <c r="JVB188" s="36"/>
      <c r="JVC188" s="36"/>
      <c r="JVD188" s="36"/>
      <c r="JVE188" s="36"/>
      <c r="JVF188" s="36"/>
      <c r="JVG188" s="36"/>
      <c r="JVH188" s="36"/>
      <c r="JVI188" s="36"/>
      <c r="JVJ188" s="36"/>
      <c r="JVK188" s="36"/>
      <c r="JVL188" s="36"/>
      <c r="JVM188" s="36"/>
      <c r="JVN188" s="36"/>
      <c r="JVO188" s="36"/>
      <c r="JVP188" s="36"/>
      <c r="JVQ188" s="36"/>
      <c r="JVR188" s="36"/>
      <c r="JVS188" s="36"/>
      <c r="JVT188" s="36"/>
      <c r="JVU188" s="36"/>
      <c r="JVV188" s="36"/>
      <c r="JVW188" s="36"/>
      <c r="JVX188" s="36"/>
      <c r="JVY188" s="36"/>
      <c r="JVZ188" s="36"/>
      <c r="JWA188" s="36"/>
      <c r="JWB188" s="36"/>
      <c r="JWC188" s="36"/>
      <c r="JWD188" s="36"/>
      <c r="JWE188" s="36"/>
      <c r="JWF188" s="36"/>
      <c r="JWG188" s="36"/>
      <c r="JWH188" s="36"/>
      <c r="JWI188" s="36"/>
      <c r="JWJ188" s="36"/>
      <c r="JWK188" s="36"/>
      <c r="JWL188" s="36"/>
      <c r="JWM188" s="36"/>
      <c r="JWN188" s="36"/>
      <c r="JWO188" s="36"/>
      <c r="JWP188" s="36"/>
      <c r="JWQ188" s="36"/>
      <c r="JWR188" s="36"/>
      <c r="JWS188" s="36"/>
      <c r="JWT188" s="36"/>
      <c r="JWU188" s="36"/>
      <c r="JWV188" s="36"/>
      <c r="JWW188" s="36"/>
      <c r="JWX188" s="36"/>
      <c r="JWY188" s="36"/>
      <c r="JWZ188" s="36"/>
      <c r="JXA188" s="36"/>
      <c r="JXB188" s="36"/>
      <c r="JXC188" s="36"/>
      <c r="JXD188" s="36"/>
      <c r="JXE188" s="36"/>
      <c r="JXF188" s="36"/>
      <c r="JXG188" s="36"/>
      <c r="JXH188" s="36"/>
      <c r="JXI188" s="36"/>
      <c r="JXJ188" s="36"/>
      <c r="JXK188" s="36"/>
      <c r="JXL188" s="36"/>
      <c r="JXM188" s="36"/>
      <c r="JXN188" s="36"/>
      <c r="JXO188" s="36"/>
      <c r="JXP188" s="36"/>
      <c r="JXQ188" s="36"/>
      <c r="JXR188" s="36"/>
      <c r="JXS188" s="36"/>
      <c r="JXT188" s="36"/>
      <c r="JXU188" s="36"/>
      <c r="JXV188" s="36"/>
      <c r="JXW188" s="36"/>
      <c r="JXX188" s="36"/>
      <c r="JXY188" s="36"/>
      <c r="JXZ188" s="36"/>
      <c r="JYA188" s="36"/>
      <c r="JYB188" s="36"/>
      <c r="JYC188" s="36"/>
      <c r="JYD188" s="36"/>
      <c r="JYE188" s="36"/>
      <c r="JYF188" s="36"/>
      <c r="JYG188" s="36"/>
      <c r="JYH188" s="36"/>
      <c r="JYI188" s="36"/>
      <c r="JYJ188" s="36"/>
      <c r="JYK188" s="36"/>
      <c r="JYL188" s="36"/>
      <c r="JYM188" s="36"/>
      <c r="JYN188" s="36"/>
      <c r="JYO188" s="36"/>
      <c r="JYP188" s="36"/>
      <c r="JYQ188" s="36"/>
      <c r="JYR188" s="36"/>
      <c r="JYS188" s="36"/>
      <c r="JYT188" s="36"/>
      <c r="JYU188" s="36"/>
      <c r="JYV188" s="36"/>
      <c r="JYW188" s="36"/>
      <c r="JYX188" s="36"/>
      <c r="JYY188" s="36"/>
      <c r="JYZ188" s="36"/>
      <c r="JZA188" s="36"/>
      <c r="JZB188" s="36"/>
      <c r="JZC188" s="36"/>
      <c r="JZD188" s="36"/>
      <c r="JZE188" s="36"/>
      <c r="JZF188" s="36"/>
      <c r="JZG188" s="36"/>
      <c r="JZH188" s="36"/>
      <c r="JZI188" s="36"/>
      <c r="JZJ188" s="36"/>
      <c r="JZK188" s="36"/>
      <c r="JZL188" s="36"/>
      <c r="JZM188" s="36"/>
      <c r="JZN188" s="36"/>
      <c r="JZO188" s="36"/>
      <c r="JZP188" s="36"/>
      <c r="JZQ188" s="36"/>
      <c r="JZR188" s="36"/>
      <c r="JZS188" s="36"/>
      <c r="JZT188" s="36"/>
      <c r="JZU188" s="36"/>
      <c r="JZV188" s="36"/>
      <c r="JZW188" s="36"/>
      <c r="JZX188" s="36"/>
      <c r="JZY188" s="36"/>
      <c r="JZZ188" s="36"/>
      <c r="KAA188" s="36"/>
      <c r="KAB188" s="36"/>
      <c r="KAC188" s="36"/>
      <c r="KAD188" s="36"/>
      <c r="KAE188" s="36"/>
      <c r="KAF188" s="36"/>
      <c r="KAG188" s="36"/>
      <c r="KAH188" s="36"/>
      <c r="KAI188" s="36"/>
      <c r="KAJ188" s="36"/>
      <c r="KAK188" s="36"/>
      <c r="KAL188" s="36"/>
      <c r="KAM188" s="36"/>
      <c r="KAN188" s="36"/>
      <c r="KAO188" s="36"/>
      <c r="KAP188" s="36"/>
      <c r="KAQ188" s="36"/>
      <c r="KAR188" s="36"/>
      <c r="KAS188" s="36"/>
      <c r="KAT188" s="36"/>
      <c r="KAU188" s="36"/>
      <c r="KAV188" s="36"/>
      <c r="KAW188" s="36"/>
      <c r="KAX188" s="36"/>
      <c r="KAY188" s="36"/>
      <c r="KAZ188" s="36"/>
      <c r="KBA188" s="36"/>
      <c r="KBB188" s="36"/>
      <c r="KBC188" s="36"/>
      <c r="KBD188" s="36"/>
      <c r="KBE188" s="36"/>
      <c r="KBF188" s="36"/>
      <c r="KBG188" s="36"/>
      <c r="KBH188" s="36"/>
      <c r="KBI188" s="36"/>
      <c r="KBJ188" s="36"/>
      <c r="KBK188" s="36"/>
      <c r="KBL188" s="36"/>
      <c r="KBM188" s="36"/>
      <c r="KBN188" s="36"/>
      <c r="KBO188" s="36"/>
      <c r="KBP188" s="36"/>
      <c r="KBQ188" s="36"/>
      <c r="KBR188" s="36"/>
      <c r="KBS188" s="36"/>
      <c r="KBT188" s="36"/>
      <c r="KBU188" s="36"/>
      <c r="KBV188" s="36"/>
      <c r="KBW188" s="36"/>
      <c r="KBX188" s="36"/>
      <c r="KBY188" s="36"/>
      <c r="KBZ188" s="36"/>
      <c r="KCA188" s="36"/>
      <c r="KCB188" s="36"/>
      <c r="KCC188" s="36"/>
      <c r="KCD188" s="36"/>
      <c r="KCE188" s="36"/>
      <c r="KCF188" s="36"/>
      <c r="KCG188" s="36"/>
      <c r="KCH188" s="36"/>
      <c r="KCI188" s="36"/>
      <c r="KCJ188" s="36"/>
      <c r="KCK188" s="36"/>
      <c r="KCL188" s="36"/>
      <c r="KCM188" s="36"/>
      <c r="KCN188" s="36"/>
      <c r="KCO188" s="36"/>
      <c r="KCP188" s="36"/>
      <c r="KCQ188" s="36"/>
      <c r="KCR188" s="36"/>
      <c r="KCS188" s="36"/>
      <c r="KCT188" s="36"/>
      <c r="KCU188" s="36"/>
      <c r="KCV188" s="36"/>
      <c r="KCW188" s="36"/>
      <c r="KCX188" s="36"/>
      <c r="KCY188" s="36"/>
      <c r="KCZ188" s="36"/>
      <c r="KDA188" s="36"/>
      <c r="KDB188" s="36"/>
      <c r="KDC188" s="36"/>
      <c r="KDD188" s="36"/>
      <c r="KDE188" s="36"/>
      <c r="KDF188" s="36"/>
      <c r="KDG188" s="36"/>
      <c r="KDH188" s="36"/>
      <c r="KDI188" s="36"/>
      <c r="KDJ188" s="36"/>
      <c r="KDK188" s="36"/>
      <c r="KDL188" s="36"/>
      <c r="KDM188" s="36"/>
      <c r="KDN188" s="36"/>
      <c r="KDO188" s="36"/>
      <c r="KDP188" s="36"/>
      <c r="KDQ188" s="36"/>
      <c r="KDR188" s="36"/>
      <c r="KDS188" s="36"/>
      <c r="KDT188" s="36"/>
      <c r="KDU188" s="36"/>
      <c r="KDV188" s="36"/>
      <c r="KDW188" s="36"/>
      <c r="KDX188" s="36"/>
      <c r="KDY188" s="36"/>
      <c r="KDZ188" s="36"/>
      <c r="KEA188" s="36"/>
      <c r="KEB188" s="36"/>
      <c r="KEC188" s="36"/>
      <c r="KED188" s="36"/>
      <c r="KEE188" s="36"/>
      <c r="KEF188" s="36"/>
      <c r="KEG188" s="36"/>
      <c r="KEH188" s="36"/>
      <c r="KEI188" s="36"/>
      <c r="KEJ188" s="36"/>
      <c r="KEK188" s="36"/>
      <c r="KEL188" s="36"/>
      <c r="KEM188" s="36"/>
      <c r="KEN188" s="36"/>
      <c r="KEO188" s="36"/>
      <c r="KEP188" s="36"/>
      <c r="KEQ188" s="36"/>
      <c r="KER188" s="36"/>
      <c r="KES188" s="36"/>
      <c r="KET188" s="36"/>
      <c r="KEU188" s="36"/>
      <c r="KEV188" s="36"/>
      <c r="KEW188" s="36"/>
      <c r="KEX188" s="36"/>
      <c r="KEY188" s="36"/>
      <c r="KEZ188" s="36"/>
      <c r="KFA188" s="36"/>
      <c r="KFB188" s="36"/>
      <c r="KFC188" s="36"/>
      <c r="KFD188" s="36"/>
      <c r="KFE188" s="36"/>
      <c r="KFF188" s="36"/>
      <c r="KFG188" s="36"/>
      <c r="KFH188" s="36"/>
      <c r="KFI188" s="36"/>
      <c r="KFJ188" s="36"/>
      <c r="KFK188" s="36"/>
      <c r="KFL188" s="36"/>
      <c r="KFM188" s="36"/>
      <c r="KFN188" s="36"/>
      <c r="KFO188" s="36"/>
      <c r="KFP188" s="36"/>
      <c r="KFQ188" s="36"/>
      <c r="KFR188" s="36"/>
      <c r="KFS188" s="36"/>
      <c r="KFT188" s="36"/>
      <c r="KFU188" s="36"/>
      <c r="KFV188" s="36"/>
      <c r="KFW188" s="36"/>
      <c r="KFX188" s="36"/>
      <c r="KFY188" s="36"/>
      <c r="KFZ188" s="36"/>
      <c r="KGA188" s="36"/>
      <c r="KGB188" s="36"/>
      <c r="KGC188" s="36"/>
      <c r="KGD188" s="36"/>
      <c r="KGE188" s="36"/>
      <c r="KGF188" s="36"/>
      <c r="KGG188" s="36"/>
      <c r="KGH188" s="36"/>
      <c r="KGI188" s="36"/>
      <c r="KGJ188" s="36"/>
      <c r="KGK188" s="36"/>
      <c r="KGL188" s="36"/>
      <c r="KGM188" s="36"/>
      <c r="KGN188" s="36"/>
      <c r="KGO188" s="36"/>
      <c r="KGP188" s="36"/>
      <c r="KGQ188" s="36"/>
      <c r="KGR188" s="36"/>
      <c r="KGS188" s="36"/>
      <c r="KGT188" s="36"/>
      <c r="KGU188" s="36"/>
      <c r="KGV188" s="36"/>
      <c r="KGW188" s="36"/>
      <c r="KGX188" s="36"/>
      <c r="KGY188" s="36"/>
      <c r="KGZ188" s="36"/>
      <c r="KHA188" s="36"/>
      <c r="KHB188" s="36"/>
      <c r="KHC188" s="36"/>
      <c r="KHD188" s="36"/>
      <c r="KHE188" s="36"/>
      <c r="KHF188" s="36"/>
      <c r="KHG188" s="36"/>
      <c r="KHH188" s="36"/>
      <c r="KHI188" s="36"/>
      <c r="KHJ188" s="36"/>
      <c r="KHK188" s="36"/>
      <c r="KHL188" s="36"/>
      <c r="KHM188" s="36"/>
      <c r="KHN188" s="36"/>
      <c r="KHO188" s="36"/>
      <c r="KHP188" s="36"/>
      <c r="KHQ188" s="36"/>
      <c r="KHR188" s="36"/>
      <c r="KHS188" s="36"/>
      <c r="KHT188" s="36"/>
      <c r="KHU188" s="36"/>
      <c r="KHV188" s="36"/>
      <c r="KHW188" s="36"/>
      <c r="KHX188" s="36"/>
      <c r="KHY188" s="36"/>
      <c r="KHZ188" s="36"/>
      <c r="KIA188" s="36"/>
      <c r="KIB188" s="36"/>
      <c r="KIC188" s="36"/>
      <c r="KID188" s="36"/>
      <c r="KIE188" s="36"/>
      <c r="KIF188" s="36"/>
      <c r="KIG188" s="36"/>
      <c r="KIH188" s="36"/>
      <c r="KII188" s="36"/>
      <c r="KIJ188" s="36"/>
      <c r="KIK188" s="36"/>
      <c r="KIL188" s="36"/>
      <c r="KIM188" s="36"/>
      <c r="KIN188" s="36"/>
      <c r="KIO188" s="36"/>
      <c r="KIP188" s="36"/>
      <c r="KIQ188" s="36"/>
      <c r="KIR188" s="36"/>
      <c r="KIS188" s="36"/>
      <c r="KIT188" s="36"/>
      <c r="KIU188" s="36"/>
      <c r="KIV188" s="36"/>
      <c r="KIW188" s="36"/>
      <c r="KIX188" s="36"/>
      <c r="KIY188" s="36"/>
      <c r="KIZ188" s="36"/>
      <c r="KJA188" s="36"/>
      <c r="KJB188" s="36"/>
      <c r="KJC188" s="36"/>
      <c r="KJD188" s="36"/>
      <c r="KJE188" s="36"/>
      <c r="KJF188" s="36"/>
      <c r="KJG188" s="36"/>
      <c r="KJH188" s="36"/>
      <c r="KJI188" s="36"/>
      <c r="KJJ188" s="36"/>
      <c r="KJK188" s="36"/>
      <c r="KJL188" s="36"/>
      <c r="KJM188" s="36"/>
      <c r="KJN188" s="36"/>
      <c r="KJO188" s="36"/>
      <c r="KJP188" s="36"/>
      <c r="KJQ188" s="36"/>
      <c r="KJR188" s="36"/>
      <c r="KJS188" s="36"/>
      <c r="KJT188" s="36"/>
      <c r="KJU188" s="36"/>
      <c r="KJV188" s="36"/>
      <c r="KJW188" s="36"/>
      <c r="KJX188" s="36"/>
      <c r="KJY188" s="36"/>
      <c r="KJZ188" s="36"/>
      <c r="KKA188" s="36"/>
      <c r="KKB188" s="36"/>
      <c r="KKC188" s="36"/>
      <c r="KKD188" s="36"/>
      <c r="KKE188" s="36"/>
      <c r="KKF188" s="36"/>
      <c r="KKG188" s="36"/>
      <c r="KKH188" s="36"/>
      <c r="KKI188" s="36"/>
      <c r="KKJ188" s="36"/>
      <c r="KKK188" s="36"/>
      <c r="KKL188" s="36"/>
      <c r="KKM188" s="36"/>
      <c r="KKN188" s="36"/>
      <c r="KKO188" s="36"/>
      <c r="KKP188" s="36"/>
      <c r="KKQ188" s="36"/>
      <c r="KKR188" s="36"/>
      <c r="KKS188" s="36"/>
      <c r="KKT188" s="36"/>
      <c r="KKU188" s="36"/>
      <c r="KKV188" s="36"/>
      <c r="KKW188" s="36"/>
      <c r="KKX188" s="36"/>
      <c r="KKY188" s="36"/>
      <c r="KKZ188" s="36"/>
      <c r="KLA188" s="36"/>
      <c r="KLB188" s="36"/>
      <c r="KLC188" s="36"/>
      <c r="KLD188" s="36"/>
      <c r="KLE188" s="36"/>
      <c r="KLF188" s="36"/>
      <c r="KLG188" s="36"/>
      <c r="KLH188" s="36"/>
      <c r="KLI188" s="36"/>
      <c r="KLJ188" s="36"/>
      <c r="KLK188" s="36"/>
      <c r="KLL188" s="36"/>
      <c r="KLM188" s="36"/>
      <c r="KLN188" s="36"/>
      <c r="KLO188" s="36"/>
      <c r="KLP188" s="36"/>
      <c r="KLQ188" s="36"/>
      <c r="KLR188" s="36"/>
      <c r="KLS188" s="36"/>
      <c r="KLT188" s="36"/>
      <c r="KLU188" s="36"/>
      <c r="KLV188" s="36"/>
      <c r="KLW188" s="36"/>
      <c r="KLX188" s="36"/>
      <c r="KLY188" s="36"/>
      <c r="KLZ188" s="36"/>
      <c r="KMA188" s="36"/>
      <c r="KMB188" s="36"/>
      <c r="KMC188" s="36"/>
      <c r="KMD188" s="36"/>
      <c r="KME188" s="36"/>
      <c r="KMF188" s="36"/>
      <c r="KMG188" s="36"/>
      <c r="KMH188" s="36"/>
      <c r="KMI188" s="36"/>
      <c r="KMJ188" s="36"/>
      <c r="KMK188" s="36"/>
      <c r="KML188" s="36"/>
      <c r="KMM188" s="36"/>
      <c r="KMN188" s="36"/>
      <c r="KMO188" s="36"/>
      <c r="KMP188" s="36"/>
      <c r="KMQ188" s="36"/>
      <c r="KMR188" s="36"/>
      <c r="KMS188" s="36"/>
      <c r="KMT188" s="36"/>
      <c r="KMU188" s="36"/>
      <c r="KMV188" s="36"/>
      <c r="KMW188" s="36"/>
      <c r="KMX188" s="36"/>
      <c r="KMY188" s="36"/>
      <c r="KMZ188" s="36"/>
      <c r="KNA188" s="36"/>
      <c r="KNB188" s="36"/>
      <c r="KNC188" s="36"/>
      <c r="KND188" s="36"/>
      <c r="KNE188" s="36"/>
      <c r="KNF188" s="36"/>
      <c r="KNG188" s="36"/>
      <c r="KNH188" s="36"/>
      <c r="KNI188" s="36"/>
      <c r="KNJ188" s="36"/>
      <c r="KNK188" s="36"/>
      <c r="KNL188" s="36"/>
      <c r="KNM188" s="36"/>
      <c r="KNN188" s="36"/>
      <c r="KNO188" s="36"/>
      <c r="KNP188" s="36"/>
      <c r="KNQ188" s="36"/>
      <c r="KNR188" s="36"/>
      <c r="KNS188" s="36"/>
      <c r="KNT188" s="36"/>
      <c r="KNU188" s="36"/>
      <c r="KNV188" s="36"/>
      <c r="KNW188" s="36"/>
      <c r="KNX188" s="36"/>
      <c r="KNY188" s="36"/>
      <c r="KNZ188" s="36"/>
      <c r="KOA188" s="36"/>
      <c r="KOB188" s="36"/>
      <c r="KOC188" s="36"/>
      <c r="KOD188" s="36"/>
      <c r="KOE188" s="36"/>
      <c r="KOF188" s="36"/>
      <c r="KOG188" s="36"/>
      <c r="KOH188" s="36"/>
      <c r="KOI188" s="36"/>
      <c r="KOJ188" s="36"/>
      <c r="KOK188" s="36"/>
      <c r="KOL188" s="36"/>
      <c r="KOM188" s="36"/>
      <c r="KON188" s="36"/>
      <c r="KOO188" s="36"/>
      <c r="KOP188" s="36"/>
      <c r="KOQ188" s="36"/>
      <c r="KOR188" s="36"/>
      <c r="KOS188" s="36"/>
      <c r="KOT188" s="36"/>
      <c r="KOU188" s="36"/>
      <c r="KOV188" s="36"/>
      <c r="KOW188" s="36"/>
      <c r="KOX188" s="36"/>
      <c r="KOY188" s="36"/>
      <c r="KOZ188" s="36"/>
      <c r="KPA188" s="36"/>
      <c r="KPB188" s="36"/>
      <c r="KPC188" s="36"/>
      <c r="KPD188" s="36"/>
      <c r="KPE188" s="36"/>
      <c r="KPF188" s="36"/>
      <c r="KPG188" s="36"/>
      <c r="KPH188" s="36"/>
      <c r="KPI188" s="36"/>
      <c r="KPJ188" s="36"/>
      <c r="KPK188" s="36"/>
      <c r="KPL188" s="36"/>
      <c r="KPM188" s="36"/>
      <c r="KPN188" s="36"/>
      <c r="KPO188" s="36"/>
      <c r="KPP188" s="36"/>
      <c r="KPQ188" s="36"/>
      <c r="KPR188" s="36"/>
      <c r="KPS188" s="36"/>
      <c r="KPT188" s="36"/>
      <c r="KPU188" s="36"/>
      <c r="KPV188" s="36"/>
      <c r="KPW188" s="36"/>
      <c r="KPX188" s="36"/>
      <c r="KPY188" s="36"/>
      <c r="KPZ188" s="36"/>
      <c r="KQA188" s="36"/>
      <c r="KQB188" s="36"/>
      <c r="KQC188" s="36"/>
      <c r="KQD188" s="36"/>
      <c r="KQE188" s="36"/>
      <c r="KQF188" s="36"/>
      <c r="KQG188" s="36"/>
      <c r="KQH188" s="36"/>
      <c r="KQI188" s="36"/>
      <c r="KQJ188" s="36"/>
      <c r="KQK188" s="36"/>
      <c r="KQL188" s="36"/>
      <c r="KQM188" s="36"/>
      <c r="KQN188" s="36"/>
      <c r="KQO188" s="36"/>
      <c r="KQP188" s="36"/>
      <c r="KQQ188" s="36"/>
      <c r="KQR188" s="36"/>
      <c r="KQS188" s="36"/>
      <c r="KQT188" s="36"/>
      <c r="KQU188" s="36"/>
      <c r="KQV188" s="36"/>
      <c r="KQW188" s="36"/>
      <c r="KQX188" s="36"/>
      <c r="KQY188" s="36"/>
      <c r="KQZ188" s="36"/>
      <c r="KRA188" s="36"/>
      <c r="KRB188" s="36"/>
      <c r="KRC188" s="36"/>
      <c r="KRD188" s="36"/>
      <c r="KRE188" s="36"/>
      <c r="KRF188" s="36"/>
      <c r="KRG188" s="36"/>
      <c r="KRH188" s="36"/>
      <c r="KRI188" s="36"/>
      <c r="KRJ188" s="36"/>
      <c r="KRK188" s="36"/>
      <c r="KRL188" s="36"/>
      <c r="KRM188" s="36"/>
      <c r="KRN188" s="36"/>
      <c r="KRO188" s="36"/>
      <c r="KRP188" s="36"/>
      <c r="KRQ188" s="36"/>
      <c r="KRR188" s="36"/>
      <c r="KRS188" s="36"/>
      <c r="KRT188" s="36"/>
      <c r="KRU188" s="36"/>
      <c r="KRV188" s="36"/>
      <c r="KRW188" s="36"/>
      <c r="KRX188" s="36"/>
      <c r="KRY188" s="36"/>
      <c r="KRZ188" s="36"/>
      <c r="KSA188" s="36"/>
      <c r="KSB188" s="36"/>
      <c r="KSC188" s="36"/>
      <c r="KSD188" s="36"/>
      <c r="KSE188" s="36"/>
      <c r="KSF188" s="36"/>
      <c r="KSG188" s="36"/>
      <c r="KSH188" s="36"/>
      <c r="KSI188" s="36"/>
      <c r="KSJ188" s="36"/>
      <c r="KSK188" s="36"/>
      <c r="KSL188" s="36"/>
      <c r="KSM188" s="36"/>
      <c r="KSN188" s="36"/>
      <c r="KSO188" s="36"/>
      <c r="KSP188" s="36"/>
      <c r="KSQ188" s="36"/>
      <c r="KSR188" s="36"/>
      <c r="KSS188" s="36"/>
      <c r="KST188" s="36"/>
      <c r="KSU188" s="36"/>
      <c r="KSV188" s="36"/>
      <c r="KSW188" s="36"/>
      <c r="KSX188" s="36"/>
      <c r="KSY188" s="36"/>
      <c r="KSZ188" s="36"/>
      <c r="KTA188" s="36"/>
      <c r="KTB188" s="36"/>
      <c r="KTC188" s="36"/>
      <c r="KTD188" s="36"/>
      <c r="KTE188" s="36"/>
      <c r="KTF188" s="36"/>
      <c r="KTG188" s="36"/>
      <c r="KTH188" s="36"/>
      <c r="KTI188" s="36"/>
      <c r="KTJ188" s="36"/>
      <c r="KTK188" s="36"/>
      <c r="KTL188" s="36"/>
      <c r="KTM188" s="36"/>
      <c r="KTN188" s="36"/>
      <c r="KTO188" s="36"/>
      <c r="KTP188" s="36"/>
      <c r="KTQ188" s="36"/>
      <c r="KTR188" s="36"/>
      <c r="KTS188" s="36"/>
      <c r="KTT188" s="36"/>
      <c r="KTU188" s="36"/>
      <c r="KTV188" s="36"/>
      <c r="KTW188" s="36"/>
      <c r="KTX188" s="36"/>
      <c r="KTY188" s="36"/>
      <c r="KTZ188" s="36"/>
      <c r="KUA188" s="36"/>
      <c r="KUB188" s="36"/>
      <c r="KUC188" s="36"/>
      <c r="KUD188" s="36"/>
      <c r="KUE188" s="36"/>
      <c r="KUF188" s="36"/>
      <c r="KUG188" s="36"/>
      <c r="KUH188" s="36"/>
      <c r="KUI188" s="36"/>
      <c r="KUJ188" s="36"/>
      <c r="KUK188" s="36"/>
      <c r="KUL188" s="36"/>
      <c r="KUM188" s="36"/>
      <c r="KUN188" s="36"/>
      <c r="KUO188" s="36"/>
      <c r="KUP188" s="36"/>
      <c r="KUQ188" s="36"/>
      <c r="KUR188" s="36"/>
      <c r="KUS188" s="36"/>
      <c r="KUT188" s="36"/>
      <c r="KUU188" s="36"/>
      <c r="KUV188" s="36"/>
      <c r="KUW188" s="36"/>
      <c r="KUX188" s="36"/>
      <c r="KUY188" s="36"/>
      <c r="KUZ188" s="36"/>
      <c r="KVA188" s="36"/>
      <c r="KVB188" s="36"/>
      <c r="KVC188" s="36"/>
      <c r="KVD188" s="36"/>
      <c r="KVE188" s="36"/>
      <c r="KVF188" s="36"/>
      <c r="KVG188" s="36"/>
      <c r="KVH188" s="36"/>
      <c r="KVI188" s="36"/>
      <c r="KVJ188" s="36"/>
      <c r="KVK188" s="36"/>
      <c r="KVL188" s="36"/>
      <c r="KVM188" s="36"/>
      <c r="KVN188" s="36"/>
      <c r="KVO188" s="36"/>
      <c r="KVP188" s="36"/>
      <c r="KVQ188" s="36"/>
      <c r="KVR188" s="36"/>
      <c r="KVS188" s="36"/>
      <c r="KVT188" s="36"/>
      <c r="KVU188" s="36"/>
      <c r="KVV188" s="36"/>
      <c r="KVW188" s="36"/>
      <c r="KVX188" s="36"/>
      <c r="KVY188" s="36"/>
      <c r="KVZ188" s="36"/>
      <c r="KWA188" s="36"/>
      <c r="KWB188" s="36"/>
      <c r="KWC188" s="36"/>
      <c r="KWD188" s="36"/>
      <c r="KWE188" s="36"/>
      <c r="KWF188" s="36"/>
      <c r="KWG188" s="36"/>
      <c r="KWH188" s="36"/>
      <c r="KWI188" s="36"/>
      <c r="KWJ188" s="36"/>
      <c r="KWK188" s="36"/>
      <c r="KWL188" s="36"/>
      <c r="KWM188" s="36"/>
      <c r="KWN188" s="36"/>
      <c r="KWO188" s="36"/>
      <c r="KWP188" s="36"/>
      <c r="KWQ188" s="36"/>
      <c r="KWR188" s="36"/>
      <c r="KWS188" s="36"/>
      <c r="KWT188" s="36"/>
      <c r="KWU188" s="36"/>
      <c r="KWV188" s="36"/>
      <c r="KWW188" s="36"/>
      <c r="KWX188" s="36"/>
      <c r="KWY188" s="36"/>
      <c r="KWZ188" s="36"/>
      <c r="KXA188" s="36"/>
      <c r="KXB188" s="36"/>
      <c r="KXC188" s="36"/>
      <c r="KXD188" s="36"/>
      <c r="KXE188" s="36"/>
      <c r="KXF188" s="36"/>
      <c r="KXG188" s="36"/>
      <c r="KXH188" s="36"/>
      <c r="KXI188" s="36"/>
      <c r="KXJ188" s="36"/>
      <c r="KXK188" s="36"/>
      <c r="KXL188" s="36"/>
      <c r="KXM188" s="36"/>
      <c r="KXN188" s="36"/>
      <c r="KXO188" s="36"/>
      <c r="KXP188" s="36"/>
      <c r="KXQ188" s="36"/>
      <c r="KXR188" s="36"/>
      <c r="KXS188" s="36"/>
      <c r="KXT188" s="36"/>
      <c r="KXU188" s="36"/>
      <c r="KXV188" s="36"/>
      <c r="KXW188" s="36"/>
      <c r="KXX188" s="36"/>
      <c r="KXY188" s="36"/>
      <c r="KXZ188" s="36"/>
      <c r="KYA188" s="36"/>
      <c r="KYB188" s="36"/>
      <c r="KYC188" s="36"/>
      <c r="KYD188" s="36"/>
      <c r="KYE188" s="36"/>
      <c r="KYF188" s="36"/>
      <c r="KYG188" s="36"/>
      <c r="KYH188" s="36"/>
      <c r="KYI188" s="36"/>
      <c r="KYJ188" s="36"/>
      <c r="KYK188" s="36"/>
      <c r="KYL188" s="36"/>
      <c r="KYM188" s="36"/>
      <c r="KYN188" s="36"/>
      <c r="KYO188" s="36"/>
      <c r="KYP188" s="36"/>
      <c r="KYQ188" s="36"/>
      <c r="KYR188" s="36"/>
      <c r="KYS188" s="36"/>
      <c r="KYT188" s="36"/>
      <c r="KYU188" s="36"/>
      <c r="KYV188" s="36"/>
      <c r="KYW188" s="36"/>
      <c r="KYX188" s="36"/>
      <c r="KYY188" s="36"/>
      <c r="KYZ188" s="36"/>
      <c r="KZA188" s="36"/>
      <c r="KZB188" s="36"/>
      <c r="KZC188" s="36"/>
      <c r="KZD188" s="36"/>
      <c r="KZE188" s="36"/>
      <c r="KZF188" s="36"/>
      <c r="KZG188" s="36"/>
      <c r="KZH188" s="36"/>
      <c r="KZI188" s="36"/>
      <c r="KZJ188" s="36"/>
      <c r="KZK188" s="36"/>
      <c r="KZL188" s="36"/>
      <c r="KZM188" s="36"/>
      <c r="KZN188" s="36"/>
      <c r="KZO188" s="36"/>
      <c r="KZP188" s="36"/>
      <c r="KZQ188" s="36"/>
      <c r="KZR188" s="36"/>
      <c r="KZS188" s="36"/>
      <c r="KZT188" s="36"/>
      <c r="KZU188" s="36"/>
      <c r="KZV188" s="36"/>
      <c r="KZW188" s="36"/>
      <c r="KZX188" s="36"/>
      <c r="KZY188" s="36"/>
      <c r="KZZ188" s="36"/>
      <c r="LAA188" s="36"/>
      <c r="LAB188" s="36"/>
      <c r="LAC188" s="36"/>
      <c r="LAD188" s="36"/>
      <c r="LAE188" s="36"/>
      <c r="LAF188" s="36"/>
      <c r="LAG188" s="36"/>
      <c r="LAH188" s="36"/>
      <c r="LAI188" s="36"/>
      <c r="LAJ188" s="36"/>
      <c r="LAK188" s="36"/>
      <c r="LAL188" s="36"/>
      <c r="LAM188" s="36"/>
      <c r="LAN188" s="36"/>
      <c r="LAO188" s="36"/>
      <c r="LAP188" s="36"/>
      <c r="LAQ188" s="36"/>
      <c r="LAR188" s="36"/>
      <c r="LAS188" s="36"/>
      <c r="LAT188" s="36"/>
      <c r="LAU188" s="36"/>
      <c r="LAV188" s="36"/>
      <c r="LAW188" s="36"/>
      <c r="LAX188" s="36"/>
      <c r="LAY188" s="36"/>
      <c r="LAZ188" s="36"/>
      <c r="LBA188" s="36"/>
      <c r="LBB188" s="36"/>
      <c r="LBC188" s="36"/>
      <c r="LBD188" s="36"/>
      <c r="LBE188" s="36"/>
      <c r="LBF188" s="36"/>
      <c r="LBG188" s="36"/>
      <c r="LBH188" s="36"/>
      <c r="LBI188" s="36"/>
      <c r="LBJ188" s="36"/>
      <c r="LBK188" s="36"/>
      <c r="LBL188" s="36"/>
      <c r="LBM188" s="36"/>
      <c r="LBN188" s="36"/>
      <c r="LBO188" s="36"/>
      <c r="LBP188" s="36"/>
      <c r="LBQ188" s="36"/>
      <c r="LBR188" s="36"/>
      <c r="LBS188" s="36"/>
      <c r="LBT188" s="36"/>
      <c r="LBU188" s="36"/>
      <c r="LBV188" s="36"/>
      <c r="LBW188" s="36"/>
      <c r="LBX188" s="36"/>
      <c r="LBY188" s="36"/>
      <c r="LBZ188" s="36"/>
      <c r="LCA188" s="36"/>
      <c r="LCB188" s="36"/>
      <c r="LCC188" s="36"/>
      <c r="LCD188" s="36"/>
      <c r="LCE188" s="36"/>
      <c r="LCF188" s="36"/>
      <c r="LCG188" s="36"/>
      <c r="LCH188" s="36"/>
      <c r="LCI188" s="36"/>
      <c r="LCJ188" s="36"/>
      <c r="LCK188" s="36"/>
      <c r="LCL188" s="36"/>
      <c r="LCM188" s="36"/>
      <c r="LCN188" s="36"/>
      <c r="LCO188" s="36"/>
      <c r="LCP188" s="36"/>
      <c r="LCQ188" s="36"/>
      <c r="LCR188" s="36"/>
      <c r="LCS188" s="36"/>
      <c r="LCT188" s="36"/>
      <c r="LCU188" s="36"/>
      <c r="LCV188" s="36"/>
      <c r="LCW188" s="36"/>
      <c r="LCX188" s="36"/>
      <c r="LCY188" s="36"/>
      <c r="LCZ188" s="36"/>
      <c r="LDA188" s="36"/>
      <c r="LDB188" s="36"/>
      <c r="LDC188" s="36"/>
      <c r="LDD188" s="36"/>
      <c r="LDE188" s="36"/>
      <c r="LDF188" s="36"/>
      <c r="LDG188" s="36"/>
      <c r="LDH188" s="36"/>
      <c r="LDI188" s="36"/>
      <c r="LDJ188" s="36"/>
      <c r="LDK188" s="36"/>
      <c r="LDL188" s="36"/>
      <c r="LDM188" s="36"/>
      <c r="LDN188" s="36"/>
      <c r="LDO188" s="36"/>
      <c r="LDP188" s="36"/>
      <c r="LDQ188" s="36"/>
      <c r="LDR188" s="36"/>
      <c r="LDS188" s="36"/>
      <c r="LDT188" s="36"/>
      <c r="LDU188" s="36"/>
      <c r="LDV188" s="36"/>
      <c r="LDW188" s="36"/>
      <c r="LDX188" s="36"/>
      <c r="LDY188" s="36"/>
      <c r="LDZ188" s="36"/>
      <c r="LEA188" s="36"/>
      <c r="LEB188" s="36"/>
      <c r="LEC188" s="36"/>
      <c r="LED188" s="36"/>
      <c r="LEE188" s="36"/>
      <c r="LEF188" s="36"/>
      <c r="LEG188" s="36"/>
      <c r="LEH188" s="36"/>
      <c r="LEI188" s="36"/>
      <c r="LEJ188" s="36"/>
      <c r="LEK188" s="36"/>
      <c r="LEL188" s="36"/>
      <c r="LEM188" s="36"/>
      <c r="LEN188" s="36"/>
      <c r="LEO188" s="36"/>
      <c r="LEP188" s="36"/>
      <c r="LEQ188" s="36"/>
      <c r="LER188" s="36"/>
      <c r="LES188" s="36"/>
      <c r="LET188" s="36"/>
      <c r="LEU188" s="36"/>
      <c r="LEV188" s="36"/>
      <c r="LEW188" s="36"/>
      <c r="LEX188" s="36"/>
      <c r="LEY188" s="36"/>
      <c r="LEZ188" s="36"/>
      <c r="LFA188" s="36"/>
      <c r="LFB188" s="36"/>
      <c r="LFC188" s="36"/>
      <c r="LFD188" s="36"/>
      <c r="LFE188" s="36"/>
      <c r="LFF188" s="36"/>
      <c r="LFG188" s="36"/>
      <c r="LFH188" s="36"/>
      <c r="LFI188" s="36"/>
      <c r="LFJ188" s="36"/>
      <c r="LFK188" s="36"/>
      <c r="LFL188" s="36"/>
      <c r="LFM188" s="36"/>
      <c r="LFN188" s="36"/>
      <c r="LFO188" s="36"/>
      <c r="LFP188" s="36"/>
      <c r="LFQ188" s="36"/>
      <c r="LFR188" s="36"/>
      <c r="LFS188" s="36"/>
      <c r="LFT188" s="36"/>
      <c r="LFU188" s="36"/>
      <c r="LFV188" s="36"/>
      <c r="LFW188" s="36"/>
      <c r="LFX188" s="36"/>
      <c r="LFY188" s="36"/>
      <c r="LFZ188" s="36"/>
      <c r="LGA188" s="36"/>
      <c r="LGB188" s="36"/>
      <c r="LGC188" s="36"/>
      <c r="LGD188" s="36"/>
      <c r="LGE188" s="36"/>
      <c r="LGF188" s="36"/>
      <c r="LGG188" s="36"/>
      <c r="LGH188" s="36"/>
      <c r="LGI188" s="36"/>
      <c r="LGJ188" s="36"/>
      <c r="LGK188" s="36"/>
      <c r="LGL188" s="36"/>
      <c r="LGM188" s="36"/>
      <c r="LGN188" s="36"/>
      <c r="LGO188" s="36"/>
      <c r="LGP188" s="36"/>
      <c r="LGQ188" s="36"/>
      <c r="LGR188" s="36"/>
      <c r="LGS188" s="36"/>
      <c r="LGT188" s="36"/>
      <c r="LGU188" s="36"/>
      <c r="LGV188" s="36"/>
      <c r="LGW188" s="36"/>
      <c r="LGX188" s="36"/>
      <c r="LGY188" s="36"/>
      <c r="LGZ188" s="36"/>
      <c r="LHA188" s="36"/>
      <c r="LHB188" s="36"/>
      <c r="LHC188" s="36"/>
      <c r="LHD188" s="36"/>
      <c r="LHE188" s="36"/>
      <c r="LHF188" s="36"/>
      <c r="LHG188" s="36"/>
      <c r="LHH188" s="36"/>
      <c r="LHI188" s="36"/>
      <c r="LHJ188" s="36"/>
      <c r="LHK188" s="36"/>
      <c r="LHL188" s="36"/>
      <c r="LHM188" s="36"/>
      <c r="LHN188" s="36"/>
      <c r="LHO188" s="36"/>
      <c r="LHP188" s="36"/>
      <c r="LHQ188" s="36"/>
      <c r="LHR188" s="36"/>
      <c r="LHS188" s="36"/>
      <c r="LHT188" s="36"/>
      <c r="LHU188" s="36"/>
      <c r="LHV188" s="36"/>
      <c r="LHW188" s="36"/>
      <c r="LHX188" s="36"/>
      <c r="LHY188" s="36"/>
      <c r="LHZ188" s="36"/>
      <c r="LIA188" s="36"/>
      <c r="LIB188" s="36"/>
      <c r="LIC188" s="36"/>
      <c r="LID188" s="36"/>
      <c r="LIE188" s="36"/>
      <c r="LIF188" s="36"/>
      <c r="LIG188" s="36"/>
      <c r="LIH188" s="36"/>
      <c r="LII188" s="36"/>
      <c r="LIJ188" s="36"/>
      <c r="LIK188" s="36"/>
      <c r="LIL188" s="36"/>
      <c r="LIM188" s="36"/>
      <c r="LIN188" s="36"/>
      <c r="LIO188" s="36"/>
      <c r="LIP188" s="36"/>
      <c r="LIQ188" s="36"/>
      <c r="LIR188" s="36"/>
      <c r="LIS188" s="36"/>
      <c r="LIT188" s="36"/>
      <c r="LIU188" s="36"/>
      <c r="LIV188" s="36"/>
      <c r="LIW188" s="36"/>
      <c r="LIX188" s="36"/>
      <c r="LIY188" s="36"/>
      <c r="LIZ188" s="36"/>
      <c r="LJA188" s="36"/>
      <c r="LJB188" s="36"/>
      <c r="LJC188" s="36"/>
      <c r="LJD188" s="36"/>
      <c r="LJE188" s="36"/>
      <c r="LJF188" s="36"/>
      <c r="LJG188" s="36"/>
      <c r="LJH188" s="36"/>
      <c r="LJI188" s="36"/>
      <c r="LJJ188" s="36"/>
      <c r="LJK188" s="36"/>
      <c r="LJL188" s="36"/>
      <c r="LJM188" s="36"/>
      <c r="LJN188" s="36"/>
      <c r="LJO188" s="36"/>
      <c r="LJP188" s="36"/>
      <c r="LJQ188" s="36"/>
      <c r="LJR188" s="36"/>
      <c r="LJS188" s="36"/>
      <c r="LJT188" s="36"/>
      <c r="LJU188" s="36"/>
      <c r="LJV188" s="36"/>
      <c r="LJW188" s="36"/>
      <c r="LJX188" s="36"/>
      <c r="LJY188" s="36"/>
      <c r="LJZ188" s="36"/>
      <c r="LKA188" s="36"/>
      <c r="LKB188" s="36"/>
      <c r="LKC188" s="36"/>
      <c r="LKD188" s="36"/>
      <c r="LKE188" s="36"/>
      <c r="LKF188" s="36"/>
      <c r="LKG188" s="36"/>
      <c r="LKH188" s="36"/>
      <c r="LKI188" s="36"/>
      <c r="LKJ188" s="36"/>
      <c r="LKK188" s="36"/>
      <c r="LKL188" s="36"/>
      <c r="LKM188" s="36"/>
      <c r="LKN188" s="36"/>
      <c r="LKO188" s="36"/>
      <c r="LKP188" s="36"/>
      <c r="LKQ188" s="36"/>
      <c r="LKR188" s="36"/>
      <c r="LKS188" s="36"/>
      <c r="LKT188" s="36"/>
      <c r="LKU188" s="36"/>
      <c r="LKV188" s="36"/>
      <c r="LKW188" s="36"/>
      <c r="LKX188" s="36"/>
      <c r="LKY188" s="36"/>
      <c r="LKZ188" s="36"/>
      <c r="LLA188" s="36"/>
      <c r="LLB188" s="36"/>
      <c r="LLC188" s="36"/>
      <c r="LLD188" s="36"/>
      <c r="LLE188" s="36"/>
      <c r="LLF188" s="36"/>
      <c r="LLG188" s="36"/>
      <c r="LLH188" s="36"/>
      <c r="LLI188" s="36"/>
      <c r="LLJ188" s="36"/>
      <c r="LLK188" s="36"/>
      <c r="LLL188" s="36"/>
      <c r="LLM188" s="36"/>
      <c r="LLN188" s="36"/>
      <c r="LLO188" s="36"/>
      <c r="LLP188" s="36"/>
      <c r="LLQ188" s="36"/>
      <c r="LLR188" s="36"/>
      <c r="LLS188" s="36"/>
      <c r="LLT188" s="36"/>
      <c r="LLU188" s="36"/>
      <c r="LLV188" s="36"/>
      <c r="LLW188" s="36"/>
      <c r="LLX188" s="36"/>
      <c r="LLY188" s="36"/>
      <c r="LLZ188" s="36"/>
      <c r="LMA188" s="36"/>
      <c r="LMB188" s="36"/>
      <c r="LMC188" s="36"/>
      <c r="LMD188" s="36"/>
      <c r="LME188" s="36"/>
      <c r="LMF188" s="36"/>
      <c r="LMG188" s="36"/>
      <c r="LMH188" s="36"/>
      <c r="LMI188" s="36"/>
      <c r="LMJ188" s="36"/>
      <c r="LMK188" s="36"/>
      <c r="LML188" s="36"/>
      <c r="LMM188" s="36"/>
      <c r="LMN188" s="36"/>
      <c r="LMO188" s="36"/>
      <c r="LMP188" s="36"/>
      <c r="LMQ188" s="36"/>
      <c r="LMR188" s="36"/>
      <c r="LMS188" s="36"/>
      <c r="LMT188" s="36"/>
      <c r="LMU188" s="36"/>
      <c r="LMV188" s="36"/>
      <c r="LMW188" s="36"/>
      <c r="LMX188" s="36"/>
      <c r="LMY188" s="36"/>
      <c r="LMZ188" s="36"/>
      <c r="LNA188" s="36"/>
      <c r="LNB188" s="36"/>
      <c r="LNC188" s="36"/>
      <c r="LND188" s="36"/>
      <c r="LNE188" s="36"/>
      <c r="LNF188" s="36"/>
      <c r="LNG188" s="36"/>
      <c r="LNH188" s="36"/>
      <c r="LNI188" s="36"/>
      <c r="LNJ188" s="36"/>
      <c r="LNK188" s="36"/>
      <c r="LNL188" s="36"/>
      <c r="LNM188" s="36"/>
      <c r="LNN188" s="36"/>
      <c r="LNO188" s="36"/>
      <c r="LNP188" s="36"/>
      <c r="LNQ188" s="36"/>
      <c r="LNR188" s="36"/>
      <c r="LNS188" s="36"/>
      <c r="LNT188" s="36"/>
      <c r="LNU188" s="36"/>
      <c r="LNV188" s="36"/>
      <c r="LNW188" s="36"/>
      <c r="LNX188" s="36"/>
      <c r="LNY188" s="36"/>
      <c r="LNZ188" s="36"/>
      <c r="LOA188" s="36"/>
      <c r="LOB188" s="36"/>
      <c r="LOC188" s="36"/>
      <c r="LOD188" s="36"/>
      <c r="LOE188" s="36"/>
      <c r="LOF188" s="36"/>
      <c r="LOG188" s="36"/>
      <c r="LOH188" s="36"/>
      <c r="LOI188" s="36"/>
      <c r="LOJ188" s="36"/>
      <c r="LOK188" s="36"/>
      <c r="LOL188" s="36"/>
      <c r="LOM188" s="36"/>
      <c r="LON188" s="36"/>
      <c r="LOO188" s="36"/>
      <c r="LOP188" s="36"/>
      <c r="LOQ188" s="36"/>
      <c r="LOR188" s="36"/>
      <c r="LOS188" s="36"/>
      <c r="LOT188" s="36"/>
      <c r="LOU188" s="36"/>
      <c r="LOV188" s="36"/>
      <c r="LOW188" s="36"/>
      <c r="LOX188" s="36"/>
      <c r="LOY188" s="36"/>
      <c r="LOZ188" s="36"/>
      <c r="LPA188" s="36"/>
      <c r="LPB188" s="36"/>
      <c r="LPC188" s="36"/>
      <c r="LPD188" s="36"/>
      <c r="LPE188" s="36"/>
      <c r="LPF188" s="36"/>
      <c r="LPG188" s="36"/>
      <c r="LPH188" s="36"/>
      <c r="LPI188" s="36"/>
      <c r="LPJ188" s="36"/>
      <c r="LPK188" s="36"/>
      <c r="LPL188" s="36"/>
      <c r="LPM188" s="36"/>
      <c r="LPN188" s="36"/>
      <c r="LPO188" s="36"/>
      <c r="LPP188" s="36"/>
      <c r="LPQ188" s="36"/>
      <c r="LPR188" s="36"/>
      <c r="LPS188" s="36"/>
      <c r="LPT188" s="36"/>
      <c r="LPU188" s="36"/>
      <c r="LPV188" s="36"/>
      <c r="LPW188" s="36"/>
      <c r="LPX188" s="36"/>
      <c r="LPY188" s="36"/>
      <c r="LPZ188" s="36"/>
      <c r="LQA188" s="36"/>
      <c r="LQB188" s="36"/>
      <c r="LQC188" s="36"/>
      <c r="LQD188" s="36"/>
      <c r="LQE188" s="36"/>
      <c r="LQF188" s="36"/>
      <c r="LQG188" s="36"/>
      <c r="LQH188" s="36"/>
      <c r="LQI188" s="36"/>
      <c r="LQJ188" s="36"/>
      <c r="LQK188" s="36"/>
      <c r="LQL188" s="36"/>
      <c r="LQM188" s="36"/>
      <c r="LQN188" s="36"/>
      <c r="LQO188" s="36"/>
      <c r="LQP188" s="36"/>
      <c r="LQQ188" s="36"/>
      <c r="LQR188" s="36"/>
      <c r="LQS188" s="36"/>
      <c r="LQT188" s="36"/>
      <c r="LQU188" s="36"/>
      <c r="LQV188" s="36"/>
      <c r="LQW188" s="36"/>
      <c r="LQX188" s="36"/>
      <c r="LQY188" s="36"/>
      <c r="LQZ188" s="36"/>
      <c r="LRA188" s="36"/>
      <c r="LRB188" s="36"/>
      <c r="LRC188" s="36"/>
      <c r="LRD188" s="36"/>
      <c r="LRE188" s="36"/>
      <c r="LRF188" s="36"/>
      <c r="LRG188" s="36"/>
      <c r="LRH188" s="36"/>
      <c r="LRI188" s="36"/>
      <c r="LRJ188" s="36"/>
      <c r="LRK188" s="36"/>
      <c r="LRL188" s="36"/>
      <c r="LRM188" s="36"/>
      <c r="LRN188" s="36"/>
      <c r="LRO188" s="36"/>
      <c r="LRP188" s="36"/>
      <c r="LRQ188" s="36"/>
      <c r="LRR188" s="36"/>
      <c r="LRS188" s="36"/>
      <c r="LRT188" s="36"/>
      <c r="LRU188" s="36"/>
      <c r="LRV188" s="36"/>
      <c r="LRW188" s="36"/>
      <c r="LRX188" s="36"/>
      <c r="LRY188" s="36"/>
      <c r="LRZ188" s="36"/>
      <c r="LSA188" s="36"/>
      <c r="LSB188" s="36"/>
      <c r="LSC188" s="36"/>
      <c r="LSD188" s="36"/>
      <c r="LSE188" s="36"/>
      <c r="LSF188" s="36"/>
      <c r="LSG188" s="36"/>
      <c r="LSH188" s="36"/>
      <c r="LSI188" s="36"/>
      <c r="LSJ188" s="36"/>
      <c r="LSK188" s="36"/>
      <c r="LSL188" s="36"/>
      <c r="LSM188" s="36"/>
      <c r="LSN188" s="36"/>
      <c r="LSO188" s="36"/>
      <c r="LSP188" s="36"/>
      <c r="LSQ188" s="36"/>
      <c r="LSR188" s="36"/>
      <c r="LSS188" s="36"/>
      <c r="LST188" s="36"/>
      <c r="LSU188" s="36"/>
      <c r="LSV188" s="36"/>
      <c r="LSW188" s="36"/>
      <c r="LSX188" s="36"/>
      <c r="LSY188" s="36"/>
      <c r="LSZ188" s="36"/>
      <c r="LTA188" s="36"/>
      <c r="LTB188" s="36"/>
      <c r="LTC188" s="36"/>
      <c r="LTD188" s="36"/>
      <c r="LTE188" s="36"/>
      <c r="LTF188" s="36"/>
      <c r="LTG188" s="36"/>
      <c r="LTH188" s="36"/>
      <c r="LTI188" s="36"/>
      <c r="LTJ188" s="36"/>
      <c r="LTK188" s="36"/>
      <c r="LTL188" s="36"/>
      <c r="LTM188" s="36"/>
      <c r="LTN188" s="36"/>
      <c r="LTO188" s="36"/>
      <c r="LTP188" s="36"/>
      <c r="LTQ188" s="36"/>
      <c r="LTR188" s="36"/>
      <c r="LTS188" s="36"/>
      <c r="LTT188" s="36"/>
      <c r="LTU188" s="36"/>
      <c r="LTV188" s="36"/>
      <c r="LTW188" s="36"/>
      <c r="LTX188" s="36"/>
      <c r="LTY188" s="36"/>
      <c r="LTZ188" s="36"/>
      <c r="LUA188" s="36"/>
      <c r="LUB188" s="36"/>
      <c r="LUC188" s="36"/>
      <c r="LUD188" s="36"/>
      <c r="LUE188" s="36"/>
      <c r="LUF188" s="36"/>
      <c r="LUG188" s="36"/>
      <c r="LUH188" s="36"/>
      <c r="LUI188" s="36"/>
      <c r="LUJ188" s="36"/>
      <c r="LUK188" s="36"/>
      <c r="LUL188" s="36"/>
      <c r="LUM188" s="36"/>
      <c r="LUN188" s="36"/>
      <c r="LUO188" s="36"/>
      <c r="LUP188" s="36"/>
      <c r="LUQ188" s="36"/>
      <c r="LUR188" s="36"/>
      <c r="LUS188" s="36"/>
      <c r="LUT188" s="36"/>
      <c r="LUU188" s="36"/>
      <c r="LUV188" s="36"/>
      <c r="LUW188" s="36"/>
      <c r="LUX188" s="36"/>
      <c r="LUY188" s="36"/>
      <c r="LUZ188" s="36"/>
      <c r="LVA188" s="36"/>
      <c r="LVB188" s="36"/>
      <c r="LVC188" s="36"/>
      <c r="LVD188" s="36"/>
      <c r="LVE188" s="36"/>
      <c r="LVF188" s="36"/>
      <c r="LVG188" s="36"/>
      <c r="LVH188" s="36"/>
      <c r="LVI188" s="36"/>
      <c r="LVJ188" s="36"/>
      <c r="LVK188" s="36"/>
      <c r="LVL188" s="36"/>
      <c r="LVM188" s="36"/>
      <c r="LVN188" s="36"/>
      <c r="LVO188" s="36"/>
      <c r="LVP188" s="36"/>
      <c r="LVQ188" s="36"/>
      <c r="LVR188" s="36"/>
      <c r="LVS188" s="36"/>
      <c r="LVT188" s="36"/>
      <c r="LVU188" s="36"/>
      <c r="LVV188" s="36"/>
      <c r="LVW188" s="36"/>
      <c r="LVX188" s="36"/>
      <c r="LVY188" s="36"/>
      <c r="LVZ188" s="36"/>
      <c r="LWA188" s="36"/>
      <c r="LWB188" s="36"/>
      <c r="LWC188" s="36"/>
      <c r="LWD188" s="36"/>
      <c r="LWE188" s="36"/>
      <c r="LWF188" s="36"/>
      <c r="LWG188" s="36"/>
      <c r="LWH188" s="36"/>
      <c r="LWI188" s="36"/>
      <c r="LWJ188" s="36"/>
      <c r="LWK188" s="36"/>
      <c r="LWL188" s="36"/>
      <c r="LWM188" s="36"/>
      <c r="LWN188" s="36"/>
      <c r="LWO188" s="36"/>
      <c r="LWP188" s="36"/>
      <c r="LWQ188" s="36"/>
      <c r="LWR188" s="36"/>
      <c r="LWS188" s="36"/>
      <c r="LWT188" s="36"/>
      <c r="LWU188" s="36"/>
      <c r="LWV188" s="36"/>
      <c r="LWW188" s="36"/>
      <c r="LWX188" s="36"/>
      <c r="LWY188" s="36"/>
      <c r="LWZ188" s="36"/>
      <c r="LXA188" s="36"/>
      <c r="LXB188" s="36"/>
      <c r="LXC188" s="36"/>
      <c r="LXD188" s="36"/>
      <c r="LXE188" s="36"/>
      <c r="LXF188" s="36"/>
      <c r="LXG188" s="36"/>
      <c r="LXH188" s="36"/>
      <c r="LXI188" s="36"/>
      <c r="LXJ188" s="36"/>
      <c r="LXK188" s="36"/>
      <c r="LXL188" s="36"/>
      <c r="LXM188" s="36"/>
      <c r="LXN188" s="36"/>
      <c r="LXO188" s="36"/>
      <c r="LXP188" s="36"/>
      <c r="LXQ188" s="36"/>
      <c r="LXR188" s="36"/>
      <c r="LXS188" s="36"/>
      <c r="LXT188" s="36"/>
      <c r="LXU188" s="36"/>
      <c r="LXV188" s="36"/>
      <c r="LXW188" s="36"/>
      <c r="LXX188" s="36"/>
      <c r="LXY188" s="36"/>
      <c r="LXZ188" s="36"/>
      <c r="LYA188" s="36"/>
      <c r="LYB188" s="36"/>
      <c r="LYC188" s="36"/>
      <c r="LYD188" s="36"/>
      <c r="LYE188" s="36"/>
      <c r="LYF188" s="36"/>
      <c r="LYG188" s="36"/>
      <c r="LYH188" s="36"/>
      <c r="LYI188" s="36"/>
      <c r="LYJ188" s="36"/>
      <c r="LYK188" s="36"/>
      <c r="LYL188" s="36"/>
      <c r="LYM188" s="36"/>
      <c r="LYN188" s="36"/>
      <c r="LYO188" s="36"/>
      <c r="LYP188" s="36"/>
      <c r="LYQ188" s="36"/>
      <c r="LYR188" s="36"/>
      <c r="LYS188" s="36"/>
      <c r="LYT188" s="36"/>
      <c r="LYU188" s="36"/>
      <c r="LYV188" s="36"/>
      <c r="LYW188" s="36"/>
      <c r="LYX188" s="36"/>
      <c r="LYY188" s="36"/>
      <c r="LYZ188" s="36"/>
      <c r="LZA188" s="36"/>
      <c r="LZB188" s="36"/>
      <c r="LZC188" s="36"/>
      <c r="LZD188" s="36"/>
      <c r="LZE188" s="36"/>
      <c r="LZF188" s="36"/>
      <c r="LZG188" s="36"/>
      <c r="LZH188" s="36"/>
      <c r="LZI188" s="36"/>
      <c r="LZJ188" s="36"/>
      <c r="LZK188" s="36"/>
      <c r="LZL188" s="36"/>
      <c r="LZM188" s="36"/>
      <c r="LZN188" s="36"/>
      <c r="LZO188" s="36"/>
      <c r="LZP188" s="36"/>
      <c r="LZQ188" s="36"/>
      <c r="LZR188" s="36"/>
      <c r="LZS188" s="36"/>
      <c r="LZT188" s="36"/>
      <c r="LZU188" s="36"/>
      <c r="LZV188" s="36"/>
      <c r="LZW188" s="36"/>
      <c r="LZX188" s="36"/>
      <c r="LZY188" s="36"/>
      <c r="LZZ188" s="36"/>
      <c r="MAA188" s="36"/>
      <c r="MAB188" s="36"/>
      <c r="MAC188" s="36"/>
      <c r="MAD188" s="36"/>
      <c r="MAE188" s="36"/>
      <c r="MAF188" s="36"/>
      <c r="MAG188" s="36"/>
      <c r="MAH188" s="36"/>
      <c r="MAI188" s="36"/>
      <c r="MAJ188" s="36"/>
      <c r="MAK188" s="36"/>
      <c r="MAL188" s="36"/>
      <c r="MAM188" s="36"/>
      <c r="MAN188" s="36"/>
      <c r="MAO188" s="36"/>
      <c r="MAP188" s="36"/>
      <c r="MAQ188" s="36"/>
      <c r="MAR188" s="36"/>
      <c r="MAS188" s="36"/>
      <c r="MAT188" s="36"/>
      <c r="MAU188" s="36"/>
      <c r="MAV188" s="36"/>
      <c r="MAW188" s="36"/>
      <c r="MAX188" s="36"/>
      <c r="MAY188" s="36"/>
      <c r="MAZ188" s="36"/>
      <c r="MBA188" s="36"/>
      <c r="MBB188" s="36"/>
      <c r="MBC188" s="36"/>
      <c r="MBD188" s="36"/>
      <c r="MBE188" s="36"/>
      <c r="MBF188" s="36"/>
      <c r="MBG188" s="36"/>
      <c r="MBH188" s="36"/>
      <c r="MBI188" s="36"/>
      <c r="MBJ188" s="36"/>
      <c r="MBK188" s="36"/>
      <c r="MBL188" s="36"/>
      <c r="MBM188" s="36"/>
      <c r="MBN188" s="36"/>
      <c r="MBO188" s="36"/>
      <c r="MBP188" s="36"/>
      <c r="MBQ188" s="36"/>
      <c r="MBR188" s="36"/>
      <c r="MBS188" s="36"/>
      <c r="MBT188" s="36"/>
      <c r="MBU188" s="36"/>
      <c r="MBV188" s="36"/>
      <c r="MBW188" s="36"/>
      <c r="MBX188" s="36"/>
      <c r="MBY188" s="36"/>
      <c r="MBZ188" s="36"/>
      <c r="MCA188" s="36"/>
      <c r="MCB188" s="36"/>
      <c r="MCC188" s="36"/>
      <c r="MCD188" s="36"/>
      <c r="MCE188" s="36"/>
      <c r="MCF188" s="36"/>
      <c r="MCG188" s="36"/>
      <c r="MCH188" s="36"/>
      <c r="MCI188" s="36"/>
      <c r="MCJ188" s="36"/>
      <c r="MCK188" s="36"/>
      <c r="MCL188" s="36"/>
      <c r="MCM188" s="36"/>
      <c r="MCN188" s="36"/>
      <c r="MCO188" s="36"/>
      <c r="MCP188" s="36"/>
      <c r="MCQ188" s="36"/>
      <c r="MCR188" s="36"/>
      <c r="MCS188" s="36"/>
      <c r="MCT188" s="36"/>
      <c r="MCU188" s="36"/>
      <c r="MCV188" s="36"/>
      <c r="MCW188" s="36"/>
      <c r="MCX188" s="36"/>
      <c r="MCY188" s="36"/>
      <c r="MCZ188" s="36"/>
      <c r="MDA188" s="36"/>
      <c r="MDB188" s="36"/>
      <c r="MDC188" s="36"/>
      <c r="MDD188" s="36"/>
      <c r="MDE188" s="36"/>
      <c r="MDF188" s="36"/>
      <c r="MDG188" s="36"/>
      <c r="MDH188" s="36"/>
      <c r="MDI188" s="36"/>
      <c r="MDJ188" s="36"/>
      <c r="MDK188" s="36"/>
      <c r="MDL188" s="36"/>
      <c r="MDM188" s="36"/>
      <c r="MDN188" s="36"/>
      <c r="MDO188" s="36"/>
      <c r="MDP188" s="36"/>
      <c r="MDQ188" s="36"/>
      <c r="MDR188" s="36"/>
      <c r="MDS188" s="36"/>
      <c r="MDT188" s="36"/>
      <c r="MDU188" s="36"/>
      <c r="MDV188" s="36"/>
      <c r="MDW188" s="36"/>
      <c r="MDX188" s="36"/>
      <c r="MDY188" s="36"/>
      <c r="MDZ188" s="36"/>
      <c r="MEA188" s="36"/>
      <c r="MEB188" s="36"/>
      <c r="MEC188" s="36"/>
      <c r="MED188" s="36"/>
      <c r="MEE188" s="36"/>
      <c r="MEF188" s="36"/>
      <c r="MEG188" s="36"/>
      <c r="MEH188" s="36"/>
      <c r="MEI188" s="36"/>
      <c r="MEJ188" s="36"/>
      <c r="MEK188" s="36"/>
      <c r="MEL188" s="36"/>
      <c r="MEM188" s="36"/>
      <c r="MEN188" s="36"/>
      <c r="MEO188" s="36"/>
      <c r="MEP188" s="36"/>
      <c r="MEQ188" s="36"/>
      <c r="MER188" s="36"/>
      <c r="MES188" s="36"/>
      <c r="MET188" s="36"/>
      <c r="MEU188" s="36"/>
      <c r="MEV188" s="36"/>
      <c r="MEW188" s="36"/>
      <c r="MEX188" s="36"/>
      <c r="MEY188" s="36"/>
      <c r="MEZ188" s="36"/>
      <c r="MFA188" s="36"/>
      <c r="MFB188" s="36"/>
      <c r="MFC188" s="36"/>
      <c r="MFD188" s="36"/>
      <c r="MFE188" s="36"/>
      <c r="MFF188" s="36"/>
      <c r="MFG188" s="36"/>
      <c r="MFH188" s="36"/>
      <c r="MFI188" s="36"/>
      <c r="MFJ188" s="36"/>
      <c r="MFK188" s="36"/>
      <c r="MFL188" s="36"/>
      <c r="MFM188" s="36"/>
      <c r="MFN188" s="36"/>
      <c r="MFO188" s="36"/>
      <c r="MFP188" s="36"/>
      <c r="MFQ188" s="36"/>
      <c r="MFR188" s="36"/>
      <c r="MFS188" s="36"/>
      <c r="MFT188" s="36"/>
      <c r="MFU188" s="36"/>
      <c r="MFV188" s="36"/>
      <c r="MFW188" s="36"/>
      <c r="MFX188" s="36"/>
      <c r="MFY188" s="36"/>
      <c r="MFZ188" s="36"/>
      <c r="MGA188" s="36"/>
      <c r="MGB188" s="36"/>
      <c r="MGC188" s="36"/>
      <c r="MGD188" s="36"/>
      <c r="MGE188" s="36"/>
      <c r="MGF188" s="36"/>
      <c r="MGG188" s="36"/>
      <c r="MGH188" s="36"/>
      <c r="MGI188" s="36"/>
      <c r="MGJ188" s="36"/>
      <c r="MGK188" s="36"/>
      <c r="MGL188" s="36"/>
      <c r="MGM188" s="36"/>
      <c r="MGN188" s="36"/>
      <c r="MGO188" s="36"/>
      <c r="MGP188" s="36"/>
      <c r="MGQ188" s="36"/>
      <c r="MGR188" s="36"/>
      <c r="MGS188" s="36"/>
      <c r="MGT188" s="36"/>
      <c r="MGU188" s="36"/>
      <c r="MGV188" s="36"/>
      <c r="MGW188" s="36"/>
      <c r="MGX188" s="36"/>
      <c r="MGY188" s="36"/>
      <c r="MGZ188" s="36"/>
      <c r="MHA188" s="36"/>
      <c r="MHB188" s="36"/>
      <c r="MHC188" s="36"/>
      <c r="MHD188" s="36"/>
      <c r="MHE188" s="36"/>
      <c r="MHF188" s="36"/>
      <c r="MHG188" s="36"/>
      <c r="MHH188" s="36"/>
      <c r="MHI188" s="36"/>
      <c r="MHJ188" s="36"/>
      <c r="MHK188" s="36"/>
      <c r="MHL188" s="36"/>
      <c r="MHM188" s="36"/>
      <c r="MHN188" s="36"/>
      <c r="MHO188" s="36"/>
      <c r="MHP188" s="36"/>
      <c r="MHQ188" s="36"/>
      <c r="MHR188" s="36"/>
      <c r="MHS188" s="36"/>
      <c r="MHT188" s="36"/>
      <c r="MHU188" s="36"/>
      <c r="MHV188" s="36"/>
      <c r="MHW188" s="36"/>
      <c r="MHX188" s="36"/>
      <c r="MHY188" s="36"/>
      <c r="MHZ188" s="36"/>
      <c r="MIA188" s="36"/>
      <c r="MIB188" s="36"/>
      <c r="MIC188" s="36"/>
      <c r="MID188" s="36"/>
      <c r="MIE188" s="36"/>
      <c r="MIF188" s="36"/>
      <c r="MIG188" s="36"/>
      <c r="MIH188" s="36"/>
      <c r="MII188" s="36"/>
      <c r="MIJ188" s="36"/>
      <c r="MIK188" s="36"/>
      <c r="MIL188" s="36"/>
      <c r="MIM188" s="36"/>
      <c r="MIN188" s="36"/>
      <c r="MIO188" s="36"/>
      <c r="MIP188" s="36"/>
      <c r="MIQ188" s="36"/>
      <c r="MIR188" s="36"/>
      <c r="MIS188" s="36"/>
      <c r="MIT188" s="36"/>
      <c r="MIU188" s="36"/>
      <c r="MIV188" s="36"/>
      <c r="MIW188" s="36"/>
      <c r="MIX188" s="36"/>
      <c r="MIY188" s="36"/>
      <c r="MIZ188" s="36"/>
      <c r="MJA188" s="36"/>
      <c r="MJB188" s="36"/>
      <c r="MJC188" s="36"/>
      <c r="MJD188" s="36"/>
      <c r="MJE188" s="36"/>
      <c r="MJF188" s="36"/>
      <c r="MJG188" s="36"/>
      <c r="MJH188" s="36"/>
      <c r="MJI188" s="36"/>
      <c r="MJJ188" s="36"/>
      <c r="MJK188" s="36"/>
      <c r="MJL188" s="36"/>
      <c r="MJM188" s="36"/>
      <c r="MJN188" s="36"/>
      <c r="MJO188" s="36"/>
      <c r="MJP188" s="36"/>
      <c r="MJQ188" s="36"/>
      <c r="MJR188" s="36"/>
      <c r="MJS188" s="36"/>
      <c r="MJT188" s="36"/>
      <c r="MJU188" s="36"/>
      <c r="MJV188" s="36"/>
      <c r="MJW188" s="36"/>
      <c r="MJX188" s="36"/>
      <c r="MJY188" s="36"/>
      <c r="MJZ188" s="36"/>
      <c r="MKA188" s="36"/>
      <c r="MKB188" s="36"/>
      <c r="MKC188" s="36"/>
      <c r="MKD188" s="36"/>
      <c r="MKE188" s="36"/>
      <c r="MKF188" s="36"/>
      <c r="MKG188" s="36"/>
      <c r="MKH188" s="36"/>
      <c r="MKI188" s="36"/>
      <c r="MKJ188" s="36"/>
      <c r="MKK188" s="36"/>
      <c r="MKL188" s="36"/>
      <c r="MKM188" s="36"/>
      <c r="MKN188" s="36"/>
      <c r="MKO188" s="36"/>
      <c r="MKP188" s="36"/>
      <c r="MKQ188" s="36"/>
      <c r="MKR188" s="36"/>
      <c r="MKS188" s="36"/>
      <c r="MKT188" s="36"/>
      <c r="MKU188" s="36"/>
      <c r="MKV188" s="36"/>
      <c r="MKW188" s="36"/>
      <c r="MKX188" s="36"/>
      <c r="MKY188" s="36"/>
      <c r="MKZ188" s="36"/>
      <c r="MLA188" s="36"/>
      <c r="MLB188" s="36"/>
      <c r="MLC188" s="36"/>
      <c r="MLD188" s="36"/>
      <c r="MLE188" s="36"/>
      <c r="MLF188" s="36"/>
      <c r="MLG188" s="36"/>
      <c r="MLH188" s="36"/>
      <c r="MLI188" s="36"/>
      <c r="MLJ188" s="36"/>
      <c r="MLK188" s="36"/>
      <c r="MLL188" s="36"/>
      <c r="MLM188" s="36"/>
      <c r="MLN188" s="36"/>
      <c r="MLO188" s="36"/>
      <c r="MLP188" s="36"/>
      <c r="MLQ188" s="36"/>
      <c r="MLR188" s="36"/>
      <c r="MLS188" s="36"/>
      <c r="MLT188" s="36"/>
      <c r="MLU188" s="36"/>
      <c r="MLV188" s="36"/>
      <c r="MLW188" s="36"/>
      <c r="MLX188" s="36"/>
      <c r="MLY188" s="36"/>
      <c r="MLZ188" s="36"/>
      <c r="MMA188" s="36"/>
      <c r="MMB188" s="36"/>
      <c r="MMC188" s="36"/>
      <c r="MMD188" s="36"/>
      <c r="MME188" s="36"/>
      <c r="MMF188" s="36"/>
      <c r="MMG188" s="36"/>
      <c r="MMH188" s="36"/>
      <c r="MMI188" s="36"/>
      <c r="MMJ188" s="36"/>
      <c r="MMK188" s="36"/>
      <c r="MML188" s="36"/>
      <c r="MMM188" s="36"/>
      <c r="MMN188" s="36"/>
      <c r="MMO188" s="36"/>
      <c r="MMP188" s="36"/>
      <c r="MMQ188" s="36"/>
      <c r="MMR188" s="36"/>
      <c r="MMS188" s="36"/>
      <c r="MMT188" s="36"/>
      <c r="MMU188" s="36"/>
      <c r="MMV188" s="36"/>
      <c r="MMW188" s="36"/>
      <c r="MMX188" s="36"/>
      <c r="MMY188" s="36"/>
      <c r="MMZ188" s="36"/>
      <c r="MNA188" s="36"/>
      <c r="MNB188" s="36"/>
      <c r="MNC188" s="36"/>
      <c r="MND188" s="36"/>
      <c r="MNE188" s="36"/>
      <c r="MNF188" s="36"/>
      <c r="MNG188" s="36"/>
      <c r="MNH188" s="36"/>
      <c r="MNI188" s="36"/>
      <c r="MNJ188" s="36"/>
      <c r="MNK188" s="36"/>
      <c r="MNL188" s="36"/>
      <c r="MNM188" s="36"/>
      <c r="MNN188" s="36"/>
      <c r="MNO188" s="36"/>
      <c r="MNP188" s="36"/>
      <c r="MNQ188" s="36"/>
      <c r="MNR188" s="36"/>
      <c r="MNS188" s="36"/>
      <c r="MNT188" s="36"/>
      <c r="MNU188" s="36"/>
      <c r="MNV188" s="36"/>
      <c r="MNW188" s="36"/>
      <c r="MNX188" s="36"/>
      <c r="MNY188" s="36"/>
      <c r="MNZ188" s="36"/>
      <c r="MOA188" s="36"/>
      <c r="MOB188" s="36"/>
      <c r="MOC188" s="36"/>
      <c r="MOD188" s="36"/>
      <c r="MOE188" s="36"/>
      <c r="MOF188" s="36"/>
      <c r="MOG188" s="36"/>
      <c r="MOH188" s="36"/>
      <c r="MOI188" s="36"/>
      <c r="MOJ188" s="36"/>
      <c r="MOK188" s="36"/>
      <c r="MOL188" s="36"/>
      <c r="MOM188" s="36"/>
      <c r="MON188" s="36"/>
      <c r="MOO188" s="36"/>
      <c r="MOP188" s="36"/>
      <c r="MOQ188" s="36"/>
      <c r="MOR188" s="36"/>
      <c r="MOS188" s="36"/>
      <c r="MOT188" s="36"/>
      <c r="MOU188" s="36"/>
      <c r="MOV188" s="36"/>
      <c r="MOW188" s="36"/>
      <c r="MOX188" s="36"/>
      <c r="MOY188" s="36"/>
      <c r="MOZ188" s="36"/>
      <c r="MPA188" s="36"/>
      <c r="MPB188" s="36"/>
      <c r="MPC188" s="36"/>
      <c r="MPD188" s="36"/>
      <c r="MPE188" s="36"/>
      <c r="MPF188" s="36"/>
      <c r="MPG188" s="36"/>
      <c r="MPH188" s="36"/>
      <c r="MPI188" s="36"/>
      <c r="MPJ188" s="36"/>
      <c r="MPK188" s="36"/>
      <c r="MPL188" s="36"/>
      <c r="MPM188" s="36"/>
      <c r="MPN188" s="36"/>
      <c r="MPO188" s="36"/>
      <c r="MPP188" s="36"/>
      <c r="MPQ188" s="36"/>
      <c r="MPR188" s="36"/>
      <c r="MPS188" s="36"/>
      <c r="MPT188" s="36"/>
      <c r="MPU188" s="36"/>
      <c r="MPV188" s="36"/>
      <c r="MPW188" s="36"/>
      <c r="MPX188" s="36"/>
      <c r="MPY188" s="36"/>
      <c r="MPZ188" s="36"/>
      <c r="MQA188" s="36"/>
      <c r="MQB188" s="36"/>
      <c r="MQC188" s="36"/>
      <c r="MQD188" s="36"/>
      <c r="MQE188" s="36"/>
      <c r="MQF188" s="36"/>
      <c r="MQG188" s="36"/>
      <c r="MQH188" s="36"/>
      <c r="MQI188" s="36"/>
      <c r="MQJ188" s="36"/>
      <c r="MQK188" s="36"/>
      <c r="MQL188" s="36"/>
      <c r="MQM188" s="36"/>
      <c r="MQN188" s="36"/>
      <c r="MQO188" s="36"/>
      <c r="MQP188" s="36"/>
      <c r="MQQ188" s="36"/>
      <c r="MQR188" s="36"/>
      <c r="MQS188" s="36"/>
      <c r="MQT188" s="36"/>
      <c r="MQU188" s="36"/>
      <c r="MQV188" s="36"/>
      <c r="MQW188" s="36"/>
      <c r="MQX188" s="36"/>
      <c r="MQY188" s="36"/>
      <c r="MQZ188" s="36"/>
      <c r="MRA188" s="36"/>
      <c r="MRB188" s="36"/>
      <c r="MRC188" s="36"/>
      <c r="MRD188" s="36"/>
      <c r="MRE188" s="36"/>
      <c r="MRF188" s="36"/>
      <c r="MRG188" s="36"/>
      <c r="MRH188" s="36"/>
      <c r="MRI188" s="36"/>
      <c r="MRJ188" s="36"/>
      <c r="MRK188" s="36"/>
      <c r="MRL188" s="36"/>
      <c r="MRM188" s="36"/>
      <c r="MRN188" s="36"/>
      <c r="MRO188" s="36"/>
      <c r="MRP188" s="36"/>
      <c r="MRQ188" s="36"/>
      <c r="MRR188" s="36"/>
      <c r="MRS188" s="36"/>
      <c r="MRT188" s="36"/>
      <c r="MRU188" s="36"/>
      <c r="MRV188" s="36"/>
      <c r="MRW188" s="36"/>
      <c r="MRX188" s="36"/>
      <c r="MRY188" s="36"/>
      <c r="MRZ188" s="36"/>
      <c r="MSA188" s="36"/>
      <c r="MSB188" s="36"/>
      <c r="MSC188" s="36"/>
      <c r="MSD188" s="36"/>
      <c r="MSE188" s="36"/>
      <c r="MSF188" s="36"/>
      <c r="MSG188" s="36"/>
      <c r="MSH188" s="36"/>
      <c r="MSI188" s="36"/>
      <c r="MSJ188" s="36"/>
      <c r="MSK188" s="36"/>
      <c r="MSL188" s="36"/>
      <c r="MSM188" s="36"/>
      <c r="MSN188" s="36"/>
      <c r="MSO188" s="36"/>
      <c r="MSP188" s="36"/>
      <c r="MSQ188" s="36"/>
      <c r="MSR188" s="36"/>
      <c r="MSS188" s="36"/>
      <c r="MST188" s="36"/>
      <c r="MSU188" s="36"/>
      <c r="MSV188" s="36"/>
      <c r="MSW188" s="36"/>
      <c r="MSX188" s="36"/>
      <c r="MSY188" s="36"/>
      <c r="MSZ188" s="36"/>
      <c r="MTA188" s="36"/>
      <c r="MTB188" s="36"/>
      <c r="MTC188" s="36"/>
      <c r="MTD188" s="36"/>
      <c r="MTE188" s="36"/>
      <c r="MTF188" s="36"/>
      <c r="MTG188" s="36"/>
      <c r="MTH188" s="36"/>
      <c r="MTI188" s="36"/>
      <c r="MTJ188" s="36"/>
      <c r="MTK188" s="36"/>
      <c r="MTL188" s="36"/>
      <c r="MTM188" s="36"/>
      <c r="MTN188" s="36"/>
      <c r="MTO188" s="36"/>
      <c r="MTP188" s="36"/>
      <c r="MTQ188" s="36"/>
      <c r="MTR188" s="36"/>
      <c r="MTS188" s="36"/>
      <c r="MTT188" s="36"/>
      <c r="MTU188" s="36"/>
      <c r="MTV188" s="36"/>
      <c r="MTW188" s="36"/>
      <c r="MTX188" s="36"/>
      <c r="MTY188" s="36"/>
      <c r="MTZ188" s="36"/>
      <c r="MUA188" s="36"/>
      <c r="MUB188" s="36"/>
      <c r="MUC188" s="36"/>
      <c r="MUD188" s="36"/>
      <c r="MUE188" s="36"/>
      <c r="MUF188" s="36"/>
      <c r="MUG188" s="36"/>
      <c r="MUH188" s="36"/>
      <c r="MUI188" s="36"/>
      <c r="MUJ188" s="36"/>
      <c r="MUK188" s="36"/>
      <c r="MUL188" s="36"/>
      <c r="MUM188" s="36"/>
      <c r="MUN188" s="36"/>
      <c r="MUO188" s="36"/>
      <c r="MUP188" s="36"/>
      <c r="MUQ188" s="36"/>
      <c r="MUR188" s="36"/>
      <c r="MUS188" s="36"/>
      <c r="MUT188" s="36"/>
      <c r="MUU188" s="36"/>
      <c r="MUV188" s="36"/>
      <c r="MUW188" s="36"/>
      <c r="MUX188" s="36"/>
      <c r="MUY188" s="36"/>
      <c r="MUZ188" s="36"/>
      <c r="MVA188" s="36"/>
      <c r="MVB188" s="36"/>
      <c r="MVC188" s="36"/>
      <c r="MVD188" s="36"/>
      <c r="MVE188" s="36"/>
      <c r="MVF188" s="36"/>
      <c r="MVG188" s="36"/>
      <c r="MVH188" s="36"/>
      <c r="MVI188" s="36"/>
      <c r="MVJ188" s="36"/>
      <c r="MVK188" s="36"/>
      <c r="MVL188" s="36"/>
      <c r="MVM188" s="36"/>
      <c r="MVN188" s="36"/>
      <c r="MVO188" s="36"/>
      <c r="MVP188" s="36"/>
      <c r="MVQ188" s="36"/>
      <c r="MVR188" s="36"/>
      <c r="MVS188" s="36"/>
      <c r="MVT188" s="36"/>
      <c r="MVU188" s="36"/>
      <c r="MVV188" s="36"/>
      <c r="MVW188" s="36"/>
      <c r="MVX188" s="36"/>
      <c r="MVY188" s="36"/>
      <c r="MVZ188" s="36"/>
      <c r="MWA188" s="36"/>
      <c r="MWB188" s="36"/>
      <c r="MWC188" s="36"/>
      <c r="MWD188" s="36"/>
      <c r="MWE188" s="36"/>
      <c r="MWF188" s="36"/>
      <c r="MWG188" s="36"/>
      <c r="MWH188" s="36"/>
      <c r="MWI188" s="36"/>
      <c r="MWJ188" s="36"/>
      <c r="MWK188" s="36"/>
      <c r="MWL188" s="36"/>
      <c r="MWM188" s="36"/>
      <c r="MWN188" s="36"/>
      <c r="MWO188" s="36"/>
      <c r="MWP188" s="36"/>
      <c r="MWQ188" s="36"/>
      <c r="MWR188" s="36"/>
      <c r="MWS188" s="36"/>
      <c r="MWT188" s="36"/>
      <c r="MWU188" s="36"/>
      <c r="MWV188" s="36"/>
      <c r="MWW188" s="36"/>
      <c r="MWX188" s="36"/>
      <c r="MWY188" s="36"/>
      <c r="MWZ188" s="36"/>
      <c r="MXA188" s="36"/>
      <c r="MXB188" s="36"/>
      <c r="MXC188" s="36"/>
      <c r="MXD188" s="36"/>
      <c r="MXE188" s="36"/>
      <c r="MXF188" s="36"/>
      <c r="MXG188" s="36"/>
      <c r="MXH188" s="36"/>
      <c r="MXI188" s="36"/>
      <c r="MXJ188" s="36"/>
      <c r="MXK188" s="36"/>
      <c r="MXL188" s="36"/>
      <c r="MXM188" s="36"/>
      <c r="MXN188" s="36"/>
      <c r="MXO188" s="36"/>
      <c r="MXP188" s="36"/>
      <c r="MXQ188" s="36"/>
      <c r="MXR188" s="36"/>
      <c r="MXS188" s="36"/>
      <c r="MXT188" s="36"/>
      <c r="MXU188" s="36"/>
      <c r="MXV188" s="36"/>
      <c r="MXW188" s="36"/>
      <c r="MXX188" s="36"/>
      <c r="MXY188" s="36"/>
      <c r="MXZ188" s="36"/>
      <c r="MYA188" s="36"/>
      <c r="MYB188" s="36"/>
      <c r="MYC188" s="36"/>
      <c r="MYD188" s="36"/>
      <c r="MYE188" s="36"/>
      <c r="MYF188" s="36"/>
      <c r="MYG188" s="36"/>
      <c r="MYH188" s="36"/>
      <c r="MYI188" s="36"/>
      <c r="MYJ188" s="36"/>
      <c r="MYK188" s="36"/>
      <c r="MYL188" s="36"/>
      <c r="MYM188" s="36"/>
      <c r="MYN188" s="36"/>
      <c r="MYO188" s="36"/>
      <c r="MYP188" s="36"/>
      <c r="MYQ188" s="36"/>
      <c r="MYR188" s="36"/>
      <c r="MYS188" s="36"/>
      <c r="MYT188" s="36"/>
      <c r="MYU188" s="36"/>
      <c r="MYV188" s="36"/>
      <c r="MYW188" s="36"/>
      <c r="MYX188" s="36"/>
      <c r="MYY188" s="36"/>
      <c r="MYZ188" s="36"/>
      <c r="MZA188" s="36"/>
      <c r="MZB188" s="36"/>
      <c r="MZC188" s="36"/>
      <c r="MZD188" s="36"/>
      <c r="MZE188" s="36"/>
      <c r="MZF188" s="36"/>
      <c r="MZG188" s="36"/>
      <c r="MZH188" s="36"/>
      <c r="MZI188" s="36"/>
      <c r="MZJ188" s="36"/>
      <c r="MZK188" s="36"/>
      <c r="MZL188" s="36"/>
      <c r="MZM188" s="36"/>
      <c r="MZN188" s="36"/>
      <c r="MZO188" s="36"/>
      <c r="MZP188" s="36"/>
      <c r="MZQ188" s="36"/>
      <c r="MZR188" s="36"/>
      <c r="MZS188" s="36"/>
      <c r="MZT188" s="36"/>
      <c r="MZU188" s="36"/>
      <c r="MZV188" s="36"/>
      <c r="MZW188" s="36"/>
      <c r="MZX188" s="36"/>
      <c r="MZY188" s="36"/>
      <c r="MZZ188" s="36"/>
      <c r="NAA188" s="36"/>
      <c r="NAB188" s="36"/>
      <c r="NAC188" s="36"/>
      <c r="NAD188" s="36"/>
      <c r="NAE188" s="36"/>
      <c r="NAF188" s="36"/>
      <c r="NAG188" s="36"/>
      <c r="NAH188" s="36"/>
      <c r="NAI188" s="36"/>
      <c r="NAJ188" s="36"/>
      <c r="NAK188" s="36"/>
      <c r="NAL188" s="36"/>
      <c r="NAM188" s="36"/>
      <c r="NAN188" s="36"/>
      <c r="NAO188" s="36"/>
      <c r="NAP188" s="36"/>
      <c r="NAQ188" s="36"/>
      <c r="NAR188" s="36"/>
      <c r="NAS188" s="36"/>
      <c r="NAT188" s="36"/>
      <c r="NAU188" s="36"/>
      <c r="NAV188" s="36"/>
      <c r="NAW188" s="36"/>
      <c r="NAX188" s="36"/>
      <c r="NAY188" s="36"/>
      <c r="NAZ188" s="36"/>
      <c r="NBA188" s="36"/>
      <c r="NBB188" s="36"/>
      <c r="NBC188" s="36"/>
      <c r="NBD188" s="36"/>
      <c r="NBE188" s="36"/>
      <c r="NBF188" s="36"/>
      <c r="NBG188" s="36"/>
      <c r="NBH188" s="36"/>
      <c r="NBI188" s="36"/>
      <c r="NBJ188" s="36"/>
      <c r="NBK188" s="36"/>
      <c r="NBL188" s="36"/>
      <c r="NBM188" s="36"/>
      <c r="NBN188" s="36"/>
      <c r="NBO188" s="36"/>
      <c r="NBP188" s="36"/>
      <c r="NBQ188" s="36"/>
      <c r="NBR188" s="36"/>
      <c r="NBS188" s="36"/>
      <c r="NBT188" s="36"/>
      <c r="NBU188" s="36"/>
      <c r="NBV188" s="36"/>
      <c r="NBW188" s="36"/>
      <c r="NBX188" s="36"/>
      <c r="NBY188" s="36"/>
      <c r="NBZ188" s="36"/>
      <c r="NCA188" s="36"/>
      <c r="NCB188" s="36"/>
      <c r="NCC188" s="36"/>
      <c r="NCD188" s="36"/>
      <c r="NCE188" s="36"/>
      <c r="NCF188" s="36"/>
      <c r="NCG188" s="36"/>
      <c r="NCH188" s="36"/>
      <c r="NCI188" s="36"/>
      <c r="NCJ188" s="36"/>
      <c r="NCK188" s="36"/>
      <c r="NCL188" s="36"/>
      <c r="NCM188" s="36"/>
      <c r="NCN188" s="36"/>
      <c r="NCO188" s="36"/>
      <c r="NCP188" s="36"/>
      <c r="NCQ188" s="36"/>
      <c r="NCR188" s="36"/>
      <c r="NCS188" s="36"/>
      <c r="NCT188" s="36"/>
      <c r="NCU188" s="36"/>
      <c r="NCV188" s="36"/>
      <c r="NCW188" s="36"/>
      <c r="NCX188" s="36"/>
      <c r="NCY188" s="36"/>
      <c r="NCZ188" s="36"/>
      <c r="NDA188" s="36"/>
      <c r="NDB188" s="36"/>
      <c r="NDC188" s="36"/>
      <c r="NDD188" s="36"/>
      <c r="NDE188" s="36"/>
      <c r="NDF188" s="36"/>
      <c r="NDG188" s="36"/>
      <c r="NDH188" s="36"/>
      <c r="NDI188" s="36"/>
      <c r="NDJ188" s="36"/>
      <c r="NDK188" s="36"/>
      <c r="NDL188" s="36"/>
      <c r="NDM188" s="36"/>
      <c r="NDN188" s="36"/>
      <c r="NDO188" s="36"/>
      <c r="NDP188" s="36"/>
      <c r="NDQ188" s="36"/>
      <c r="NDR188" s="36"/>
      <c r="NDS188" s="36"/>
      <c r="NDT188" s="36"/>
      <c r="NDU188" s="36"/>
      <c r="NDV188" s="36"/>
      <c r="NDW188" s="36"/>
      <c r="NDX188" s="36"/>
      <c r="NDY188" s="36"/>
      <c r="NDZ188" s="36"/>
      <c r="NEA188" s="36"/>
      <c r="NEB188" s="36"/>
      <c r="NEC188" s="36"/>
      <c r="NED188" s="36"/>
      <c r="NEE188" s="36"/>
      <c r="NEF188" s="36"/>
      <c r="NEG188" s="36"/>
      <c r="NEH188" s="36"/>
      <c r="NEI188" s="36"/>
      <c r="NEJ188" s="36"/>
      <c r="NEK188" s="36"/>
      <c r="NEL188" s="36"/>
      <c r="NEM188" s="36"/>
      <c r="NEN188" s="36"/>
      <c r="NEO188" s="36"/>
      <c r="NEP188" s="36"/>
      <c r="NEQ188" s="36"/>
      <c r="NER188" s="36"/>
      <c r="NES188" s="36"/>
      <c r="NET188" s="36"/>
      <c r="NEU188" s="36"/>
      <c r="NEV188" s="36"/>
      <c r="NEW188" s="36"/>
      <c r="NEX188" s="36"/>
      <c r="NEY188" s="36"/>
      <c r="NEZ188" s="36"/>
      <c r="NFA188" s="36"/>
      <c r="NFB188" s="36"/>
      <c r="NFC188" s="36"/>
      <c r="NFD188" s="36"/>
      <c r="NFE188" s="36"/>
      <c r="NFF188" s="36"/>
      <c r="NFG188" s="36"/>
      <c r="NFH188" s="36"/>
      <c r="NFI188" s="36"/>
      <c r="NFJ188" s="36"/>
      <c r="NFK188" s="36"/>
      <c r="NFL188" s="36"/>
      <c r="NFM188" s="36"/>
      <c r="NFN188" s="36"/>
      <c r="NFO188" s="36"/>
      <c r="NFP188" s="36"/>
      <c r="NFQ188" s="36"/>
      <c r="NFR188" s="36"/>
      <c r="NFS188" s="36"/>
      <c r="NFT188" s="36"/>
      <c r="NFU188" s="36"/>
      <c r="NFV188" s="36"/>
      <c r="NFW188" s="36"/>
      <c r="NFX188" s="36"/>
      <c r="NFY188" s="36"/>
      <c r="NFZ188" s="36"/>
      <c r="NGA188" s="36"/>
      <c r="NGB188" s="36"/>
      <c r="NGC188" s="36"/>
      <c r="NGD188" s="36"/>
      <c r="NGE188" s="36"/>
      <c r="NGF188" s="36"/>
      <c r="NGG188" s="36"/>
      <c r="NGH188" s="36"/>
      <c r="NGI188" s="36"/>
      <c r="NGJ188" s="36"/>
      <c r="NGK188" s="36"/>
      <c r="NGL188" s="36"/>
      <c r="NGM188" s="36"/>
      <c r="NGN188" s="36"/>
      <c r="NGO188" s="36"/>
      <c r="NGP188" s="36"/>
      <c r="NGQ188" s="36"/>
      <c r="NGR188" s="36"/>
      <c r="NGS188" s="36"/>
      <c r="NGT188" s="36"/>
      <c r="NGU188" s="36"/>
      <c r="NGV188" s="36"/>
      <c r="NGW188" s="36"/>
      <c r="NGX188" s="36"/>
      <c r="NGY188" s="36"/>
      <c r="NGZ188" s="36"/>
      <c r="NHA188" s="36"/>
      <c r="NHB188" s="36"/>
      <c r="NHC188" s="36"/>
      <c r="NHD188" s="36"/>
      <c r="NHE188" s="36"/>
      <c r="NHF188" s="36"/>
      <c r="NHG188" s="36"/>
      <c r="NHH188" s="36"/>
      <c r="NHI188" s="36"/>
      <c r="NHJ188" s="36"/>
      <c r="NHK188" s="36"/>
      <c r="NHL188" s="36"/>
      <c r="NHM188" s="36"/>
      <c r="NHN188" s="36"/>
      <c r="NHO188" s="36"/>
      <c r="NHP188" s="36"/>
      <c r="NHQ188" s="36"/>
      <c r="NHR188" s="36"/>
      <c r="NHS188" s="36"/>
      <c r="NHT188" s="36"/>
      <c r="NHU188" s="36"/>
      <c r="NHV188" s="36"/>
      <c r="NHW188" s="36"/>
      <c r="NHX188" s="36"/>
      <c r="NHY188" s="36"/>
      <c r="NHZ188" s="36"/>
      <c r="NIA188" s="36"/>
      <c r="NIB188" s="36"/>
      <c r="NIC188" s="36"/>
      <c r="NID188" s="36"/>
      <c r="NIE188" s="36"/>
      <c r="NIF188" s="36"/>
      <c r="NIG188" s="36"/>
      <c r="NIH188" s="36"/>
      <c r="NII188" s="36"/>
      <c r="NIJ188" s="36"/>
      <c r="NIK188" s="36"/>
      <c r="NIL188" s="36"/>
      <c r="NIM188" s="36"/>
      <c r="NIN188" s="36"/>
      <c r="NIO188" s="36"/>
      <c r="NIP188" s="36"/>
      <c r="NIQ188" s="36"/>
      <c r="NIR188" s="36"/>
      <c r="NIS188" s="36"/>
      <c r="NIT188" s="36"/>
      <c r="NIU188" s="36"/>
      <c r="NIV188" s="36"/>
      <c r="NIW188" s="36"/>
      <c r="NIX188" s="36"/>
      <c r="NIY188" s="36"/>
      <c r="NIZ188" s="36"/>
      <c r="NJA188" s="36"/>
      <c r="NJB188" s="36"/>
      <c r="NJC188" s="36"/>
      <c r="NJD188" s="36"/>
      <c r="NJE188" s="36"/>
      <c r="NJF188" s="36"/>
      <c r="NJG188" s="36"/>
      <c r="NJH188" s="36"/>
      <c r="NJI188" s="36"/>
      <c r="NJJ188" s="36"/>
      <c r="NJK188" s="36"/>
      <c r="NJL188" s="36"/>
      <c r="NJM188" s="36"/>
      <c r="NJN188" s="36"/>
      <c r="NJO188" s="36"/>
      <c r="NJP188" s="36"/>
      <c r="NJQ188" s="36"/>
      <c r="NJR188" s="36"/>
      <c r="NJS188" s="36"/>
      <c r="NJT188" s="36"/>
      <c r="NJU188" s="36"/>
      <c r="NJV188" s="36"/>
      <c r="NJW188" s="36"/>
      <c r="NJX188" s="36"/>
      <c r="NJY188" s="36"/>
      <c r="NJZ188" s="36"/>
      <c r="NKA188" s="36"/>
      <c r="NKB188" s="36"/>
      <c r="NKC188" s="36"/>
      <c r="NKD188" s="36"/>
      <c r="NKE188" s="36"/>
      <c r="NKF188" s="36"/>
      <c r="NKG188" s="36"/>
      <c r="NKH188" s="36"/>
      <c r="NKI188" s="36"/>
      <c r="NKJ188" s="36"/>
      <c r="NKK188" s="36"/>
      <c r="NKL188" s="36"/>
      <c r="NKM188" s="36"/>
      <c r="NKN188" s="36"/>
      <c r="NKO188" s="36"/>
      <c r="NKP188" s="36"/>
      <c r="NKQ188" s="36"/>
      <c r="NKR188" s="36"/>
      <c r="NKS188" s="36"/>
      <c r="NKT188" s="36"/>
      <c r="NKU188" s="36"/>
      <c r="NKV188" s="36"/>
      <c r="NKW188" s="36"/>
      <c r="NKX188" s="36"/>
      <c r="NKY188" s="36"/>
      <c r="NKZ188" s="36"/>
      <c r="NLA188" s="36"/>
      <c r="NLB188" s="36"/>
      <c r="NLC188" s="36"/>
      <c r="NLD188" s="36"/>
      <c r="NLE188" s="36"/>
      <c r="NLF188" s="36"/>
      <c r="NLG188" s="36"/>
      <c r="NLH188" s="36"/>
      <c r="NLI188" s="36"/>
      <c r="NLJ188" s="36"/>
      <c r="NLK188" s="36"/>
      <c r="NLL188" s="36"/>
      <c r="NLM188" s="36"/>
      <c r="NLN188" s="36"/>
      <c r="NLO188" s="36"/>
      <c r="NLP188" s="36"/>
      <c r="NLQ188" s="36"/>
      <c r="NLR188" s="36"/>
      <c r="NLS188" s="36"/>
      <c r="NLT188" s="36"/>
      <c r="NLU188" s="36"/>
      <c r="NLV188" s="36"/>
      <c r="NLW188" s="36"/>
      <c r="NLX188" s="36"/>
      <c r="NLY188" s="36"/>
      <c r="NLZ188" s="36"/>
      <c r="NMA188" s="36"/>
      <c r="NMB188" s="36"/>
      <c r="NMC188" s="36"/>
      <c r="NMD188" s="36"/>
      <c r="NME188" s="36"/>
      <c r="NMF188" s="36"/>
      <c r="NMG188" s="36"/>
      <c r="NMH188" s="36"/>
      <c r="NMI188" s="36"/>
      <c r="NMJ188" s="36"/>
      <c r="NMK188" s="36"/>
      <c r="NML188" s="36"/>
      <c r="NMM188" s="36"/>
      <c r="NMN188" s="36"/>
      <c r="NMO188" s="36"/>
      <c r="NMP188" s="36"/>
      <c r="NMQ188" s="36"/>
      <c r="NMR188" s="36"/>
      <c r="NMS188" s="36"/>
      <c r="NMT188" s="36"/>
      <c r="NMU188" s="36"/>
      <c r="NMV188" s="36"/>
      <c r="NMW188" s="36"/>
      <c r="NMX188" s="36"/>
      <c r="NMY188" s="36"/>
      <c r="NMZ188" s="36"/>
      <c r="NNA188" s="36"/>
      <c r="NNB188" s="36"/>
      <c r="NNC188" s="36"/>
      <c r="NND188" s="36"/>
      <c r="NNE188" s="36"/>
      <c r="NNF188" s="36"/>
      <c r="NNG188" s="36"/>
      <c r="NNH188" s="36"/>
      <c r="NNI188" s="36"/>
      <c r="NNJ188" s="36"/>
      <c r="NNK188" s="36"/>
      <c r="NNL188" s="36"/>
      <c r="NNM188" s="36"/>
      <c r="NNN188" s="36"/>
      <c r="NNO188" s="36"/>
      <c r="NNP188" s="36"/>
      <c r="NNQ188" s="36"/>
      <c r="NNR188" s="36"/>
      <c r="NNS188" s="36"/>
      <c r="NNT188" s="36"/>
      <c r="NNU188" s="36"/>
      <c r="NNV188" s="36"/>
      <c r="NNW188" s="36"/>
      <c r="NNX188" s="36"/>
      <c r="NNY188" s="36"/>
      <c r="NNZ188" s="36"/>
      <c r="NOA188" s="36"/>
      <c r="NOB188" s="36"/>
      <c r="NOC188" s="36"/>
      <c r="NOD188" s="36"/>
      <c r="NOE188" s="36"/>
      <c r="NOF188" s="36"/>
      <c r="NOG188" s="36"/>
      <c r="NOH188" s="36"/>
      <c r="NOI188" s="36"/>
      <c r="NOJ188" s="36"/>
      <c r="NOK188" s="36"/>
      <c r="NOL188" s="36"/>
      <c r="NOM188" s="36"/>
      <c r="NON188" s="36"/>
      <c r="NOO188" s="36"/>
      <c r="NOP188" s="36"/>
      <c r="NOQ188" s="36"/>
      <c r="NOR188" s="36"/>
      <c r="NOS188" s="36"/>
      <c r="NOT188" s="36"/>
      <c r="NOU188" s="36"/>
      <c r="NOV188" s="36"/>
      <c r="NOW188" s="36"/>
      <c r="NOX188" s="36"/>
      <c r="NOY188" s="36"/>
      <c r="NOZ188" s="36"/>
      <c r="NPA188" s="36"/>
      <c r="NPB188" s="36"/>
      <c r="NPC188" s="36"/>
      <c r="NPD188" s="36"/>
      <c r="NPE188" s="36"/>
      <c r="NPF188" s="36"/>
      <c r="NPG188" s="36"/>
      <c r="NPH188" s="36"/>
      <c r="NPI188" s="36"/>
      <c r="NPJ188" s="36"/>
      <c r="NPK188" s="36"/>
      <c r="NPL188" s="36"/>
      <c r="NPM188" s="36"/>
      <c r="NPN188" s="36"/>
      <c r="NPO188" s="36"/>
      <c r="NPP188" s="36"/>
      <c r="NPQ188" s="36"/>
      <c r="NPR188" s="36"/>
      <c r="NPS188" s="36"/>
      <c r="NPT188" s="36"/>
      <c r="NPU188" s="36"/>
      <c r="NPV188" s="36"/>
      <c r="NPW188" s="36"/>
      <c r="NPX188" s="36"/>
      <c r="NPY188" s="36"/>
      <c r="NPZ188" s="36"/>
      <c r="NQA188" s="36"/>
      <c r="NQB188" s="36"/>
      <c r="NQC188" s="36"/>
      <c r="NQD188" s="36"/>
      <c r="NQE188" s="36"/>
      <c r="NQF188" s="36"/>
      <c r="NQG188" s="36"/>
      <c r="NQH188" s="36"/>
      <c r="NQI188" s="36"/>
      <c r="NQJ188" s="36"/>
      <c r="NQK188" s="36"/>
      <c r="NQL188" s="36"/>
      <c r="NQM188" s="36"/>
      <c r="NQN188" s="36"/>
      <c r="NQO188" s="36"/>
      <c r="NQP188" s="36"/>
      <c r="NQQ188" s="36"/>
      <c r="NQR188" s="36"/>
      <c r="NQS188" s="36"/>
      <c r="NQT188" s="36"/>
      <c r="NQU188" s="36"/>
      <c r="NQV188" s="36"/>
      <c r="NQW188" s="36"/>
      <c r="NQX188" s="36"/>
      <c r="NQY188" s="36"/>
      <c r="NQZ188" s="36"/>
      <c r="NRA188" s="36"/>
      <c r="NRB188" s="36"/>
      <c r="NRC188" s="36"/>
      <c r="NRD188" s="36"/>
      <c r="NRE188" s="36"/>
      <c r="NRF188" s="36"/>
      <c r="NRG188" s="36"/>
      <c r="NRH188" s="36"/>
      <c r="NRI188" s="36"/>
      <c r="NRJ188" s="36"/>
      <c r="NRK188" s="36"/>
      <c r="NRL188" s="36"/>
      <c r="NRM188" s="36"/>
      <c r="NRN188" s="36"/>
      <c r="NRO188" s="36"/>
      <c r="NRP188" s="36"/>
      <c r="NRQ188" s="36"/>
      <c r="NRR188" s="36"/>
      <c r="NRS188" s="36"/>
      <c r="NRT188" s="36"/>
      <c r="NRU188" s="36"/>
      <c r="NRV188" s="36"/>
      <c r="NRW188" s="36"/>
      <c r="NRX188" s="36"/>
      <c r="NRY188" s="36"/>
      <c r="NRZ188" s="36"/>
      <c r="NSA188" s="36"/>
      <c r="NSB188" s="36"/>
      <c r="NSC188" s="36"/>
      <c r="NSD188" s="36"/>
      <c r="NSE188" s="36"/>
      <c r="NSF188" s="36"/>
      <c r="NSG188" s="36"/>
      <c r="NSH188" s="36"/>
      <c r="NSI188" s="36"/>
      <c r="NSJ188" s="36"/>
      <c r="NSK188" s="36"/>
      <c r="NSL188" s="36"/>
      <c r="NSM188" s="36"/>
      <c r="NSN188" s="36"/>
      <c r="NSO188" s="36"/>
      <c r="NSP188" s="36"/>
      <c r="NSQ188" s="36"/>
      <c r="NSR188" s="36"/>
      <c r="NSS188" s="36"/>
      <c r="NST188" s="36"/>
      <c r="NSU188" s="36"/>
      <c r="NSV188" s="36"/>
      <c r="NSW188" s="36"/>
      <c r="NSX188" s="36"/>
      <c r="NSY188" s="36"/>
      <c r="NSZ188" s="36"/>
      <c r="NTA188" s="36"/>
      <c r="NTB188" s="36"/>
      <c r="NTC188" s="36"/>
      <c r="NTD188" s="36"/>
      <c r="NTE188" s="36"/>
      <c r="NTF188" s="36"/>
      <c r="NTG188" s="36"/>
      <c r="NTH188" s="36"/>
      <c r="NTI188" s="36"/>
      <c r="NTJ188" s="36"/>
      <c r="NTK188" s="36"/>
      <c r="NTL188" s="36"/>
      <c r="NTM188" s="36"/>
      <c r="NTN188" s="36"/>
      <c r="NTO188" s="36"/>
      <c r="NTP188" s="36"/>
      <c r="NTQ188" s="36"/>
      <c r="NTR188" s="36"/>
      <c r="NTS188" s="36"/>
      <c r="NTT188" s="36"/>
      <c r="NTU188" s="36"/>
      <c r="NTV188" s="36"/>
      <c r="NTW188" s="36"/>
      <c r="NTX188" s="36"/>
      <c r="NTY188" s="36"/>
      <c r="NTZ188" s="36"/>
      <c r="NUA188" s="36"/>
      <c r="NUB188" s="36"/>
      <c r="NUC188" s="36"/>
      <c r="NUD188" s="36"/>
      <c r="NUE188" s="36"/>
      <c r="NUF188" s="36"/>
      <c r="NUG188" s="36"/>
      <c r="NUH188" s="36"/>
      <c r="NUI188" s="36"/>
      <c r="NUJ188" s="36"/>
      <c r="NUK188" s="36"/>
      <c r="NUL188" s="36"/>
      <c r="NUM188" s="36"/>
      <c r="NUN188" s="36"/>
      <c r="NUO188" s="36"/>
      <c r="NUP188" s="36"/>
      <c r="NUQ188" s="36"/>
      <c r="NUR188" s="36"/>
      <c r="NUS188" s="36"/>
      <c r="NUT188" s="36"/>
      <c r="NUU188" s="36"/>
      <c r="NUV188" s="36"/>
      <c r="NUW188" s="36"/>
      <c r="NUX188" s="36"/>
      <c r="NUY188" s="36"/>
      <c r="NUZ188" s="36"/>
      <c r="NVA188" s="36"/>
      <c r="NVB188" s="36"/>
      <c r="NVC188" s="36"/>
      <c r="NVD188" s="36"/>
      <c r="NVE188" s="36"/>
      <c r="NVF188" s="36"/>
      <c r="NVG188" s="36"/>
      <c r="NVH188" s="36"/>
      <c r="NVI188" s="36"/>
      <c r="NVJ188" s="36"/>
      <c r="NVK188" s="36"/>
      <c r="NVL188" s="36"/>
      <c r="NVM188" s="36"/>
      <c r="NVN188" s="36"/>
      <c r="NVO188" s="36"/>
      <c r="NVP188" s="36"/>
      <c r="NVQ188" s="36"/>
      <c r="NVR188" s="36"/>
      <c r="NVS188" s="36"/>
      <c r="NVT188" s="36"/>
      <c r="NVU188" s="36"/>
      <c r="NVV188" s="36"/>
      <c r="NVW188" s="36"/>
      <c r="NVX188" s="36"/>
      <c r="NVY188" s="36"/>
      <c r="NVZ188" s="36"/>
      <c r="NWA188" s="36"/>
      <c r="NWB188" s="36"/>
      <c r="NWC188" s="36"/>
      <c r="NWD188" s="36"/>
      <c r="NWE188" s="36"/>
      <c r="NWF188" s="36"/>
      <c r="NWG188" s="36"/>
      <c r="NWH188" s="36"/>
      <c r="NWI188" s="36"/>
      <c r="NWJ188" s="36"/>
      <c r="NWK188" s="36"/>
      <c r="NWL188" s="36"/>
      <c r="NWM188" s="36"/>
      <c r="NWN188" s="36"/>
      <c r="NWO188" s="36"/>
      <c r="NWP188" s="36"/>
      <c r="NWQ188" s="36"/>
      <c r="NWR188" s="36"/>
      <c r="NWS188" s="36"/>
      <c r="NWT188" s="36"/>
      <c r="NWU188" s="36"/>
      <c r="NWV188" s="36"/>
      <c r="NWW188" s="36"/>
      <c r="NWX188" s="36"/>
      <c r="NWY188" s="36"/>
      <c r="NWZ188" s="36"/>
      <c r="NXA188" s="36"/>
      <c r="NXB188" s="36"/>
      <c r="NXC188" s="36"/>
      <c r="NXD188" s="36"/>
      <c r="NXE188" s="36"/>
      <c r="NXF188" s="36"/>
      <c r="NXG188" s="36"/>
      <c r="NXH188" s="36"/>
      <c r="NXI188" s="36"/>
      <c r="NXJ188" s="36"/>
      <c r="NXK188" s="36"/>
      <c r="NXL188" s="36"/>
      <c r="NXM188" s="36"/>
      <c r="NXN188" s="36"/>
      <c r="NXO188" s="36"/>
      <c r="NXP188" s="36"/>
      <c r="NXQ188" s="36"/>
      <c r="NXR188" s="36"/>
      <c r="NXS188" s="36"/>
      <c r="NXT188" s="36"/>
      <c r="NXU188" s="36"/>
      <c r="NXV188" s="36"/>
      <c r="NXW188" s="36"/>
      <c r="NXX188" s="36"/>
      <c r="NXY188" s="36"/>
      <c r="NXZ188" s="36"/>
      <c r="NYA188" s="36"/>
      <c r="NYB188" s="36"/>
      <c r="NYC188" s="36"/>
      <c r="NYD188" s="36"/>
      <c r="NYE188" s="36"/>
      <c r="NYF188" s="36"/>
      <c r="NYG188" s="36"/>
      <c r="NYH188" s="36"/>
      <c r="NYI188" s="36"/>
      <c r="NYJ188" s="36"/>
      <c r="NYK188" s="36"/>
      <c r="NYL188" s="36"/>
      <c r="NYM188" s="36"/>
      <c r="NYN188" s="36"/>
      <c r="NYO188" s="36"/>
      <c r="NYP188" s="36"/>
      <c r="NYQ188" s="36"/>
      <c r="NYR188" s="36"/>
      <c r="NYS188" s="36"/>
      <c r="NYT188" s="36"/>
      <c r="NYU188" s="36"/>
      <c r="NYV188" s="36"/>
      <c r="NYW188" s="36"/>
      <c r="NYX188" s="36"/>
      <c r="NYY188" s="36"/>
      <c r="NYZ188" s="36"/>
      <c r="NZA188" s="36"/>
      <c r="NZB188" s="36"/>
      <c r="NZC188" s="36"/>
      <c r="NZD188" s="36"/>
      <c r="NZE188" s="36"/>
      <c r="NZF188" s="36"/>
      <c r="NZG188" s="36"/>
      <c r="NZH188" s="36"/>
      <c r="NZI188" s="36"/>
      <c r="NZJ188" s="36"/>
      <c r="NZK188" s="36"/>
      <c r="NZL188" s="36"/>
      <c r="NZM188" s="36"/>
      <c r="NZN188" s="36"/>
      <c r="NZO188" s="36"/>
      <c r="NZP188" s="36"/>
      <c r="NZQ188" s="36"/>
      <c r="NZR188" s="36"/>
      <c r="NZS188" s="36"/>
      <c r="NZT188" s="36"/>
      <c r="NZU188" s="36"/>
      <c r="NZV188" s="36"/>
      <c r="NZW188" s="36"/>
      <c r="NZX188" s="36"/>
      <c r="NZY188" s="36"/>
      <c r="NZZ188" s="36"/>
      <c r="OAA188" s="36"/>
      <c r="OAB188" s="36"/>
      <c r="OAC188" s="36"/>
      <c r="OAD188" s="36"/>
      <c r="OAE188" s="36"/>
      <c r="OAF188" s="36"/>
      <c r="OAG188" s="36"/>
      <c r="OAH188" s="36"/>
      <c r="OAI188" s="36"/>
      <c r="OAJ188" s="36"/>
      <c r="OAK188" s="36"/>
      <c r="OAL188" s="36"/>
      <c r="OAM188" s="36"/>
      <c r="OAN188" s="36"/>
      <c r="OAO188" s="36"/>
      <c r="OAP188" s="36"/>
      <c r="OAQ188" s="36"/>
      <c r="OAR188" s="36"/>
      <c r="OAS188" s="36"/>
      <c r="OAT188" s="36"/>
      <c r="OAU188" s="36"/>
      <c r="OAV188" s="36"/>
      <c r="OAW188" s="36"/>
      <c r="OAX188" s="36"/>
      <c r="OAY188" s="36"/>
      <c r="OAZ188" s="36"/>
      <c r="OBA188" s="36"/>
      <c r="OBB188" s="36"/>
      <c r="OBC188" s="36"/>
      <c r="OBD188" s="36"/>
      <c r="OBE188" s="36"/>
      <c r="OBF188" s="36"/>
      <c r="OBG188" s="36"/>
      <c r="OBH188" s="36"/>
      <c r="OBI188" s="36"/>
      <c r="OBJ188" s="36"/>
      <c r="OBK188" s="36"/>
      <c r="OBL188" s="36"/>
      <c r="OBM188" s="36"/>
      <c r="OBN188" s="36"/>
      <c r="OBO188" s="36"/>
      <c r="OBP188" s="36"/>
      <c r="OBQ188" s="36"/>
      <c r="OBR188" s="36"/>
      <c r="OBS188" s="36"/>
      <c r="OBT188" s="36"/>
      <c r="OBU188" s="36"/>
      <c r="OBV188" s="36"/>
      <c r="OBW188" s="36"/>
      <c r="OBX188" s="36"/>
      <c r="OBY188" s="36"/>
      <c r="OBZ188" s="36"/>
      <c r="OCA188" s="36"/>
      <c r="OCB188" s="36"/>
      <c r="OCC188" s="36"/>
      <c r="OCD188" s="36"/>
      <c r="OCE188" s="36"/>
      <c r="OCF188" s="36"/>
      <c r="OCG188" s="36"/>
      <c r="OCH188" s="36"/>
      <c r="OCI188" s="36"/>
      <c r="OCJ188" s="36"/>
      <c r="OCK188" s="36"/>
      <c r="OCL188" s="36"/>
      <c r="OCM188" s="36"/>
      <c r="OCN188" s="36"/>
      <c r="OCO188" s="36"/>
      <c r="OCP188" s="36"/>
      <c r="OCQ188" s="36"/>
      <c r="OCR188" s="36"/>
      <c r="OCS188" s="36"/>
      <c r="OCT188" s="36"/>
      <c r="OCU188" s="36"/>
      <c r="OCV188" s="36"/>
      <c r="OCW188" s="36"/>
      <c r="OCX188" s="36"/>
      <c r="OCY188" s="36"/>
      <c r="OCZ188" s="36"/>
      <c r="ODA188" s="36"/>
      <c r="ODB188" s="36"/>
      <c r="ODC188" s="36"/>
      <c r="ODD188" s="36"/>
      <c r="ODE188" s="36"/>
      <c r="ODF188" s="36"/>
      <c r="ODG188" s="36"/>
      <c r="ODH188" s="36"/>
      <c r="ODI188" s="36"/>
      <c r="ODJ188" s="36"/>
      <c r="ODK188" s="36"/>
      <c r="ODL188" s="36"/>
      <c r="ODM188" s="36"/>
      <c r="ODN188" s="36"/>
      <c r="ODO188" s="36"/>
      <c r="ODP188" s="36"/>
      <c r="ODQ188" s="36"/>
      <c r="ODR188" s="36"/>
      <c r="ODS188" s="36"/>
      <c r="ODT188" s="36"/>
      <c r="ODU188" s="36"/>
      <c r="ODV188" s="36"/>
      <c r="ODW188" s="36"/>
      <c r="ODX188" s="36"/>
      <c r="ODY188" s="36"/>
      <c r="ODZ188" s="36"/>
      <c r="OEA188" s="36"/>
      <c r="OEB188" s="36"/>
      <c r="OEC188" s="36"/>
      <c r="OED188" s="36"/>
      <c r="OEE188" s="36"/>
      <c r="OEF188" s="36"/>
      <c r="OEG188" s="36"/>
      <c r="OEH188" s="36"/>
      <c r="OEI188" s="36"/>
      <c r="OEJ188" s="36"/>
      <c r="OEK188" s="36"/>
      <c r="OEL188" s="36"/>
      <c r="OEM188" s="36"/>
      <c r="OEN188" s="36"/>
      <c r="OEO188" s="36"/>
      <c r="OEP188" s="36"/>
      <c r="OEQ188" s="36"/>
      <c r="OER188" s="36"/>
      <c r="OES188" s="36"/>
      <c r="OET188" s="36"/>
      <c r="OEU188" s="36"/>
      <c r="OEV188" s="36"/>
      <c r="OEW188" s="36"/>
      <c r="OEX188" s="36"/>
      <c r="OEY188" s="36"/>
      <c r="OEZ188" s="36"/>
      <c r="OFA188" s="36"/>
      <c r="OFB188" s="36"/>
      <c r="OFC188" s="36"/>
      <c r="OFD188" s="36"/>
      <c r="OFE188" s="36"/>
      <c r="OFF188" s="36"/>
      <c r="OFG188" s="36"/>
      <c r="OFH188" s="36"/>
      <c r="OFI188" s="36"/>
      <c r="OFJ188" s="36"/>
      <c r="OFK188" s="36"/>
      <c r="OFL188" s="36"/>
      <c r="OFM188" s="36"/>
      <c r="OFN188" s="36"/>
      <c r="OFO188" s="36"/>
      <c r="OFP188" s="36"/>
      <c r="OFQ188" s="36"/>
      <c r="OFR188" s="36"/>
      <c r="OFS188" s="36"/>
      <c r="OFT188" s="36"/>
      <c r="OFU188" s="36"/>
      <c r="OFV188" s="36"/>
      <c r="OFW188" s="36"/>
      <c r="OFX188" s="36"/>
      <c r="OFY188" s="36"/>
      <c r="OFZ188" s="36"/>
      <c r="OGA188" s="36"/>
      <c r="OGB188" s="36"/>
      <c r="OGC188" s="36"/>
      <c r="OGD188" s="36"/>
      <c r="OGE188" s="36"/>
      <c r="OGF188" s="36"/>
      <c r="OGG188" s="36"/>
      <c r="OGH188" s="36"/>
      <c r="OGI188" s="36"/>
      <c r="OGJ188" s="36"/>
      <c r="OGK188" s="36"/>
      <c r="OGL188" s="36"/>
      <c r="OGM188" s="36"/>
      <c r="OGN188" s="36"/>
      <c r="OGO188" s="36"/>
      <c r="OGP188" s="36"/>
      <c r="OGQ188" s="36"/>
      <c r="OGR188" s="36"/>
      <c r="OGS188" s="36"/>
      <c r="OGT188" s="36"/>
      <c r="OGU188" s="36"/>
      <c r="OGV188" s="36"/>
      <c r="OGW188" s="36"/>
      <c r="OGX188" s="36"/>
      <c r="OGY188" s="36"/>
      <c r="OGZ188" s="36"/>
      <c r="OHA188" s="36"/>
      <c r="OHB188" s="36"/>
      <c r="OHC188" s="36"/>
      <c r="OHD188" s="36"/>
      <c r="OHE188" s="36"/>
      <c r="OHF188" s="36"/>
      <c r="OHG188" s="36"/>
      <c r="OHH188" s="36"/>
      <c r="OHI188" s="36"/>
      <c r="OHJ188" s="36"/>
      <c r="OHK188" s="36"/>
      <c r="OHL188" s="36"/>
      <c r="OHM188" s="36"/>
      <c r="OHN188" s="36"/>
      <c r="OHO188" s="36"/>
      <c r="OHP188" s="36"/>
      <c r="OHQ188" s="36"/>
      <c r="OHR188" s="36"/>
      <c r="OHS188" s="36"/>
      <c r="OHT188" s="36"/>
      <c r="OHU188" s="36"/>
      <c r="OHV188" s="36"/>
      <c r="OHW188" s="36"/>
      <c r="OHX188" s="36"/>
      <c r="OHY188" s="36"/>
      <c r="OHZ188" s="36"/>
      <c r="OIA188" s="36"/>
      <c r="OIB188" s="36"/>
      <c r="OIC188" s="36"/>
      <c r="OID188" s="36"/>
      <c r="OIE188" s="36"/>
      <c r="OIF188" s="36"/>
      <c r="OIG188" s="36"/>
      <c r="OIH188" s="36"/>
      <c r="OII188" s="36"/>
      <c r="OIJ188" s="36"/>
      <c r="OIK188" s="36"/>
      <c r="OIL188" s="36"/>
      <c r="OIM188" s="36"/>
      <c r="OIN188" s="36"/>
      <c r="OIO188" s="36"/>
      <c r="OIP188" s="36"/>
      <c r="OIQ188" s="36"/>
      <c r="OIR188" s="36"/>
      <c r="OIS188" s="36"/>
      <c r="OIT188" s="36"/>
      <c r="OIU188" s="36"/>
      <c r="OIV188" s="36"/>
      <c r="OIW188" s="36"/>
      <c r="OIX188" s="36"/>
      <c r="OIY188" s="36"/>
      <c r="OIZ188" s="36"/>
      <c r="OJA188" s="36"/>
      <c r="OJB188" s="36"/>
      <c r="OJC188" s="36"/>
      <c r="OJD188" s="36"/>
      <c r="OJE188" s="36"/>
      <c r="OJF188" s="36"/>
      <c r="OJG188" s="36"/>
      <c r="OJH188" s="36"/>
      <c r="OJI188" s="36"/>
      <c r="OJJ188" s="36"/>
      <c r="OJK188" s="36"/>
      <c r="OJL188" s="36"/>
      <c r="OJM188" s="36"/>
      <c r="OJN188" s="36"/>
      <c r="OJO188" s="36"/>
      <c r="OJP188" s="36"/>
      <c r="OJQ188" s="36"/>
      <c r="OJR188" s="36"/>
      <c r="OJS188" s="36"/>
      <c r="OJT188" s="36"/>
      <c r="OJU188" s="36"/>
      <c r="OJV188" s="36"/>
      <c r="OJW188" s="36"/>
      <c r="OJX188" s="36"/>
      <c r="OJY188" s="36"/>
      <c r="OJZ188" s="36"/>
      <c r="OKA188" s="36"/>
      <c r="OKB188" s="36"/>
      <c r="OKC188" s="36"/>
      <c r="OKD188" s="36"/>
      <c r="OKE188" s="36"/>
      <c r="OKF188" s="36"/>
      <c r="OKG188" s="36"/>
      <c r="OKH188" s="36"/>
      <c r="OKI188" s="36"/>
      <c r="OKJ188" s="36"/>
      <c r="OKK188" s="36"/>
      <c r="OKL188" s="36"/>
      <c r="OKM188" s="36"/>
      <c r="OKN188" s="36"/>
      <c r="OKO188" s="36"/>
      <c r="OKP188" s="36"/>
      <c r="OKQ188" s="36"/>
      <c r="OKR188" s="36"/>
      <c r="OKS188" s="36"/>
      <c r="OKT188" s="36"/>
      <c r="OKU188" s="36"/>
      <c r="OKV188" s="36"/>
      <c r="OKW188" s="36"/>
      <c r="OKX188" s="36"/>
      <c r="OKY188" s="36"/>
      <c r="OKZ188" s="36"/>
      <c r="OLA188" s="36"/>
      <c r="OLB188" s="36"/>
      <c r="OLC188" s="36"/>
      <c r="OLD188" s="36"/>
      <c r="OLE188" s="36"/>
      <c r="OLF188" s="36"/>
      <c r="OLG188" s="36"/>
      <c r="OLH188" s="36"/>
      <c r="OLI188" s="36"/>
      <c r="OLJ188" s="36"/>
      <c r="OLK188" s="36"/>
      <c r="OLL188" s="36"/>
      <c r="OLM188" s="36"/>
      <c r="OLN188" s="36"/>
      <c r="OLO188" s="36"/>
      <c r="OLP188" s="36"/>
      <c r="OLQ188" s="36"/>
      <c r="OLR188" s="36"/>
      <c r="OLS188" s="36"/>
      <c r="OLT188" s="36"/>
      <c r="OLU188" s="36"/>
      <c r="OLV188" s="36"/>
      <c r="OLW188" s="36"/>
      <c r="OLX188" s="36"/>
      <c r="OLY188" s="36"/>
      <c r="OLZ188" s="36"/>
      <c r="OMA188" s="36"/>
      <c r="OMB188" s="36"/>
      <c r="OMC188" s="36"/>
      <c r="OMD188" s="36"/>
      <c r="OME188" s="36"/>
      <c r="OMF188" s="36"/>
      <c r="OMG188" s="36"/>
      <c r="OMH188" s="36"/>
      <c r="OMI188" s="36"/>
      <c r="OMJ188" s="36"/>
      <c r="OMK188" s="36"/>
      <c r="OML188" s="36"/>
      <c r="OMM188" s="36"/>
      <c r="OMN188" s="36"/>
      <c r="OMO188" s="36"/>
      <c r="OMP188" s="36"/>
      <c r="OMQ188" s="36"/>
      <c r="OMR188" s="36"/>
      <c r="OMS188" s="36"/>
      <c r="OMT188" s="36"/>
      <c r="OMU188" s="36"/>
      <c r="OMV188" s="36"/>
      <c r="OMW188" s="36"/>
      <c r="OMX188" s="36"/>
      <c r="OMY188" s="36"/>
      <c r="OMZ188" s="36"/>
      <c r="ONA188" s="36"/>
      <c r="ONB188" s="36"/>
      <c r="ONC188" s="36"/>
      <c r="OND188" s="36"/>
      <c r="ONE188" s="36"/>
      <c r="ONF188" s="36"/>
      <c r="ONG188" s="36"/>
      <c r="ONH188" s="36"/>
      <c r="ONI188" s="36"/>
      <c r="ONJ188" s="36"/>
      <c r="ONK188" s="36"/>
      <c r="ONL188" s="36"/>
      <c r="ONM188" s="36"/>
      <c r="ONN188" s="36"/>
      <c r="ONO188" s="36"/>
      <c r="ONP188" s="36"/>
      <c r="ONQ188" s="36"/>
      <c r="ONR188" s="36"/>
      <c r="ONS188" s="36"/>
      <c r="ONT188" s="36"/>
      <c r="ONU188" s="36"/>
      <c r="ONV188" s="36"/>
      <c r="ONW188" s="36"/>
      <c r="ONX188" s="36"/>
      <c r="ONY188" s="36"/>
      <c r="ONZ188" s="36"/>
      <c r="OOA188" s="36"/>
      <c r="OOB188" s="36"/>
      <c r="OOC188" s="36"/>
      <c r="OOD188" s="36"/>
      <c r="OOE188" s="36"/>
      <c r="OOF188" s="36"/>
      <c r="OOG188" s="36"/>
      <c r="OOH188" s="36"/>
      <c r="OOI188" s="36"/>
      <c r="OOJ188" s="36"/>
      <c r="OOK188" s="36"/>
      <c r="OOL188" s="36"/>
      <c r="OOM188" s="36"/>
      <c r="OON188" s="36"/>
      <c r="OOO188" s="36"/>
      <c r="OOP188" s="36"/>
      <c r="OOQ188" s="36"/>
      <c r="OOR188" s="36"/>
      <c r="OOS188" s="36"/>
      <c r="OOT188" s="36"/>
      <c r="OOU188" s="36"/>
      <c r="OOV188" s="36"/>
      <c r="OOW188" s="36"/>
      <c r="OOX188" s="36"/>
      <c r="OOY188" s="36"/>
      <c r="OOZ188" s="36"/>
      <c r="OPA188" s="36"/>
      <c r="OPB188" s="36"/>
      <c r="OPC188" s="36"/>
      <c r="OPD188" s="36"/>
      <c r="OPE188" s="36"/>
      <c r="OPF188" s="36"/>
      <c r="OPG188" s="36"/>
      <c r="OPH188" s="36"/>
      <c r="OPI188" s="36"/>
      <c r="OPJ188" s="36"/>
      <c r="OPK188" s="36"/>
      <c r="OPL188" s="36"/>
      <c r="OPM188" s="36"/>
      <c r="OPN188" s="36"/>
      <c r="OPO188" s="36"/>
      <c r="OPP188" s="36"/>
      <c r="OPQ188" s="36"/>
      <c r="OPR188" s="36"/>
      <c r="OPS188" s="36"/>
      <c r="OPT188" s="36"/>
      <c r="OPU188" s="36"/>
      <c r="OPV188" s="36"/>
      <c r="OPW188" s="36"/>
      <c r="OPX188" s="36"/>
      <c r="OPY188" s="36"/>
      <c r="OPZ188" s="36"/>
      <c r="OQA188" s="36"/>
      <c r="OQB188" s="36"/>
      <c r="OQC188" s="36"/>
      <c r="OQD188" s="36"/>
      <c r="OQE188" s="36"/>
      <c r="OQF188" s="36"/>
      <c r="OQG188" s="36"/>
      <c r="OQH188" s="36"/>
      <c r="OQI188" s="36"/>
      <c r="OQJ188" s="36"/>
      <c r="OQK188" s="36"/>
      <c r="OQL188" s="36"/>
      <c r="OQM188" s="36"/>
      <c r="OQN188" s="36"/>
      <c r="OQO188" s="36"/>
      <c r="OQP188" s="36"/>
      <c r="OQQ188" s="36"/>
      <c r="OQR188" s="36"/>
      <c r="OQS188" s="36"/>
      <c r="OQT188" s="36"/>
      <c r="OQU188" s="36"/>
      <c r="OQV188" s="36"/>
      <c r="OQW188" s="36"/>
      <c r="OQX188" s="36"/>
      <c r="OQY188" s="36"/>
      <c r="OQZ188" s="36"/>
      <c r="ORA188" s="36"/>
      <c r="ORB188" s="36"/>
      <c r="ORC188" s="36"/>
      <c r="ORD188" s="36"/>
      <c r="ORE188" s="36"/>
      <c r="ORF188" s="36"/>
      <c r="ORG188" s="36"/>
      <c r="ORH188" s="36"/>
      <c r="ORI188" s="36"/>
      <c r="ORJ188" s="36"/>
      <c r="ORK188" s="36"/>
      <c r="ORL188" s="36"/>
      <c r="ORM188" s="36"/>
      <c r="ORN188" s="36"/>
      <c r="ORO188" s="36"/>
      <c r="ORP188" s="36"/>
      <c r="ORQ188" s="36"/>
      <c r="ORR188" s="36"/>
      <c r="ORS188" s="36"/>
      <c r="ORT188" s="36"/>
      <c r="ORU188" s="36"/>
      <c r="ORV188" s="36"/>
      <c r="ORW188" s="36"/>
      <c r="ORX188" s="36"/>
      <c r="ORY188" s="36"/>
      <c r="ORZ188" s="36"/>
      <c r="OSA188" s="36"/>
      <c r="OSB188" s="36"/>
      <c r="OSC188" s="36"/>
      <c r="OSD188" s="36"/>
      <c r="OSE188" s="36"/>
      <c r="OSF188" s="36"/>
      <c r="OSG188" s="36"/>
      <c r="OSH188" s="36"/>
      <c r="OSI188" s="36"/>
      <c r="OSJ188" s="36"/>
      <c r="OSK188" s="36"/>
      <c r="OSL188" s="36"/>
      <c r="OSM188" s="36"/>
      <c r="OSN188" s="36"/>
      <c r="OSO188" s="36"/>
      <c r="OSP188" s="36"/>
      <c r="OSQ188" s="36"/>
      <c r="OSR188" s="36"/>
      <c r="OSS188" s="36"/>
      <c r="OST188" s="36"/>
      <c r="OSU188" s="36"/>
      <c r="OSV188" s="36"/>
      <c r="OSW188" s="36"/>
      <c r="OSX188" s="36"/>
      <c r="OSY188" s="36"/>
      <c r="OSZ188" s="36"/>
      <c r="OTA188" s="36"/>
      <c r="OTB188" s="36"/>
      <c r="OTC188" s="36"/>
      <c r="OTD188" s="36"/>
      <c r="OTE188" s="36"/>
      <c r="OTF188" s="36"/>
      <c r="OTG188" s="36"/>
      <c r="OTH188" s="36"/>
      <c r="OTI188" s="36"/>
      <c r="OTJ188" s="36"/>
      <c r="OTK188" s="36"/>
      <c r="OTL188" s="36"/>
      <c r="OTM188" s="36"/>
      <c r="OTN188" s="36"/>
      <c r="OTO188" s="36"/>
      <c r="OTP188" s="36"/>
      <c r="OTQ188" s="36"/>
      <c r="OTR188" s="36"/>
      <c r="OTS188" s="36"/>
      <c r="OTT188" s="36"/>
      <c r="OTU188" s="36"/>
      <c r="OTV188" s="36"/>
      <c r="OTW188" s="36"/>
      <c r="OTX188" s="36"/>
      <c r="OTY188" s="36"/>
      <c r="OTZ188" s="36"/>
      <c r="OUA188" s="36"/>
      <c r="OUB188" s="36"/>
      <c r="OUC188" s="36"/>
      <c r="OUD188" s="36"/>
      <c r="OUE188" s="36"/>
      <c r="OUF188" s="36"/>
      <c r="OUG188" s="36"/>
      <c r="OUH188" s="36"/>
      <c r="OUI188" s="36"/>
      <c r="OUJ188" s="36"/>
      <c r="OUK188" s="36"/>
      <c r="OUL188" s="36"/>
      <c r="OUM188" s="36"/>
      <c r="OUN188" s="36"/>
      <c r="OUO188" s="36"/>
      <c r="OUP188" s="36"/>
      <c r="OUQ188" s="36"/>
      <c r="OUR188" s="36"/>
      <c r="OUS188" s="36"/>
      <c r="OUT188" s="36"/>
      <c r="OUU188" s="36"/>
      <c r="OUV188" s="36"/>
      <c r="OUW188" s="36"/>
      <c r="OUX188" s="36"/>
      <c r="OUY188" s="36"/>
      <c r="OUZ188" s="36"/>
      <c r="OVA188" s="36"/>
      <c r="OVB188" s="36"/>
      <c r="OVC188" s="36"/>
      <c r="OVD188" s="36"/>
      <c r="OVE188" s="36"/>
      <c r="OVF188" s="36"/>
      <c r="OVG188" s="36"/>
      <c r="OVH188" s="36"/>
      <c r="OVI188" s="36"/>
      <c r="OVJ188" s="36"/>
      <c r="OVK188" s="36"/>
      <c r="OVL188" s="36"/>
      <c r="OVM188" s="36"/>
      <c r="OVN188" s="36"/>
      <c r="OVO188" s="36"/>
      <c r="OVP188" s="36"/>
      <c r="OVQ188" s="36"/>
      <c r="OVR188" s="36"/>
      <c r="OVS188" s="36"/>
      <c r="OVT188" s="36"/>
      <c r="OVU188" s="36"/>
      <c r="OVV188" s="36"/>
      <c r="OVW188" s="36"/>
      <c r="OVX188" s="36"/>
      <c r="OVY188" s="36"/>
      <c r="OVZ188" s="36"/>
      <c r="OWA188" s="36"/>
      <c r="OWB188" s="36"/>
      <c r="OWC188" s="36"/>
      <c r="OWD188" s="36"/>
      <c r="OWE188" s="36"/>
      <c r="OWF188" s="36"/>
      <c r="OWG188" s="36"/>
      <c r="OWH188" s="36"/>
      <c r="OWI188" s="36"/>
      <c r="OWJ188" s="36"/>
      <c r="OWK188" s="36"/>
      <c r="OWL188" s="36"/>
      <c r="OWM188" s="36"/>
      <c r="OWN188" s="36"/>
      <c r="OWO188" s="36"/>
      <c r="OWP188" s="36"/>
      <c r="OWQ188" s="36"/>
      <c r="OWR188" s="36"/>
      <c r="OWS188" s="36"/>
      <c r="OWT188" s="36"/>
      <c r="OWU188" s="36"/>
      <c r="OWV188" s="36"/>
      <c r="OWW188" s="36"/>
      <c r="OWX188" s="36"/>
      <c r="OWY188" s="36"/>
      <c r="OWZ188" s="36"/>
      <c r="OXA188" s="36"/>
      <c r="OXB188" s="36"/>
      <c r="OXC188" s="36"/>
      <c r="OXD188" s="36"/>
      <c r="OXE188" s="36"/>
      <c r="OXF188" s="36"/>
      <c r="OXG188" s="36"/>
      <c r="OXH188" s="36"/>
      <c r="OXI188" s="36"/>
      <c r="OXJ188" s="36"/>
      <c r="OXK188" s="36"/>
      <c r="OXL188" s="36"/>
      <c r="OXM188" s="36"/>
      <c r="OXN188" s="36"/>
      <c r="OXO188" s="36"/>
      <c r="OXP188" s="36"/>
      <c r="OXQ188" s="36"/>
      <c r="OXR188" s="36"/>
      <c r="OXS188" s="36"/>
      <c r="OXT188" s="36"/>
      <c r="OXU188" s="36"/>
      <c r="OXV188" s="36"/>
      <c r="OXW188" s="36"/>
      <c r="OXX188" s="36"/>
      <c r="OXY188" s="36"/>
      <c r="OXZ188" s="36"/>
      <c r="OYA188" s="36"/>
      <c r="OYB188" s="36"/>
      <c r="OYC188" s="36"/>
      <c r="OYD188" s="36"/>
      <c r="OYE188" s="36"/>
      <c r="OYF188" s="36"/>
      <c r="OYG188" s="36"/>
      <c r="OYH188" s="36"/>
      <c r="OYI188" s="36"/>
      <c r="OYJ188" s="36"/>
      <c r="OYK188" s="36"/>
      <c r="OYL188" s="36"/>
      <c r="OYM188" s="36"/>
      <c r="OYN188" s="36"/>
      <c r="OYO188" s="36"/>
      <c r="OYP188" s="36"/>
      <c r="OYQ188" s="36"/>
      <c r="OYR188" s="36"/>
      <c r="OYS188" s="36"/>
      <c r="OYT188" s="36"/>
      <c r="OYU188" s="36"/>
      <c r="OYV188" s="36"/>
      <c r="OYW188" s="36"/>
      <c r="OYX188" s="36"/>
      <c r="OYY188" s="36"/>
      <c r="OYZ188" s="36"/>
      <c r="OZA188" s="36"/>
      <c r="OZB188" s="36"/>
      <c r="OZC188" s="36"/>
      <c r="OZD188" s="36"/>
      <c r="OZE188" s="36"/>
      <c r="OZF188" s="36"/>
      <c r="OZG188" s="36"/>
      <c r="OZH188" s="36"/>
      <c r="OZI188" s="36"/>
      <c r="OZJ188" s="36"/>
      <c r="OZK188" s="36"/>
      <c r="OZL188" s="36"/>
      <c r="OZM188" s="36"/>
      <c r="OZN188" s="36"/>
      <c r="OZO188" s="36"/>
      <c r="OZP188" s="36"/>
      <c r="OZQ188" s="36"/>
      <c r="OZR188" s="36"/>
      <c r="OZS188" s="36"/>
      <c r="OZT188" s="36"/>
      <c r="OZU188" s="36"/>
      <c r="OZV188" s="36"/>
      <c r="OZW188" s="36"/>
      <c r="OZX188" s="36"/>
      <c r="OZY188" s="36"/>
      <c r="OZZ188" s="36"/>
      <c r="PAA188" s="36"/>
      <c r="PAB188" s="36"/>
      <c r="PAC188" s="36"/>
      <c r="PAD188" s="36"/>
      <c r="PAE188" s="36"/>
      <c r="PAF188" s="36"/>
      <c r="PAG188" s="36"/>
      <c r="PAH188" s="36"/>
      <c r="PAI188" s="36"/>
      <c r="PAJ188" s="36"/>
      <c r="PAK188" s="36"/>
      <c r="PAL188" s="36"/>
      <c r="PAM188" s="36"/>
      <c r="PAN188" s="36"/>
      <c r="PAO188" s="36"/>
      <c r="PAP188" s="36"/>
      <c r="PAQ188" s="36"/>
      <c r="PAR188" s="36"/>
      <c r="PAS188" s="36"/>
      <c r="PAT188" s="36"/>
      <c r="PAU188" s="36"/>
      <c r="PAV188" s="36"/>
      <c r="PAW188" s="36"/>
      <c r="PAX188" s="36"/>
      <c r="PAY188" s="36"/>
      <c r="PAZ188" s="36"/>
      <c r="PBA188" s="36"/>
      <c r="PBB188" s="36"/>
      <c r="PBC188" s="36"/>
      <c r="PBD188" s="36"/>
      <c r="PBE188" s="36"/>
      <c r="PBF188" s="36"/>
      <c r="PBG188" s="36"/>
      <c r="PBH188" s="36"/>
      <c r="PBI188" s="36"/>
      <c r="PBJ188" s="36"/>
      <c r="PBK188" s="36"/>
      <c r="PBL188" s="36"/>
      <c r="PBM188" s="36"/>
      <c r="PBN188" s="36"/>
      <c r="PBO188" s="36"/>
      <c r="PBP188" s="36"/>
      <c r="PBQ188" s="36"/>
      <c r="PBR188" s="36"/>
      <c r="PBS188" s="36"/>
      <c r="PBT188" s="36"/>
      <c r="PBU188" s="36"/>
      <c r="PBV188" s="36"/>
      <c r="PBW188" s="36"/>
      <c r="PBX188" s="36"/>
      <c r="PBY188" s="36"/>
      <c r="PBZ188" s="36"/>
      <c r="PCA188" s="36"/>
      <c r="PCB188" s="36"/>
      <c r="PCC188" s="36"/>
      <c r="PCD188" s="36"/>
      <c r="PCE188" s="36"/>
      <c r="PCF188" s="36"/>
      <c r="PCG188" s="36"/>
      <c r="PCH188" s="36"/>
      <c r="PCI188" s="36"/>
      <c r="PCJ188" s="36"/>
      <c r="PCK188" s="36"/>
      <c r="PCL188" s="36"/>
      <c r="PCM188" s="36"/>
      <c r="PCN188" s="36"/>
      <c r="PCO188" s="36"/>
      <c r="PCP188" s="36"/>
      <c r="PCQ188" s="36"/>
      <c r="PCR188" s="36"/>
      <c r="PCS188" s="36"/>
      <c r="PCT188" s="36"/>
      <c r="PCU188" s="36"/>
      <c r="PCV188" s="36"/>
      <c r="PCW188" s="36"/>
      <c r="PCX188" s="36"/>
      <c r="PCY188" s="36"/>
      <c r="PCZ188" s="36"/>
      <c r="PDA188" s="36"/>
      <c r="PDB188" s="36"/>
      <c r="PDC188" s="36"/>
      <c r="PDD188" s="36"/>
      <c r="PDE188" s="36"/>
      <c r="PDF188" s="36"/>
      <c r="PDG188" s="36"/>
      <c r="PDH188" s="36"/>
      <c r="PDI188" s="36"/>
      <c r="PDJ188" s="36"/>
      <c r="PDK188" s="36"/>
      <c r="PDL188" s="36"/>
      <c r="PDM188" s="36"/>
      <c r="PDN188" s="36"/>
      <c r="PDO188" s="36"/>
      <c r="PDP188" s="36"/>
      <c r="PDQ188" s="36"/>
      <c r="PDR188" s="36"/>
      <c r="PDS188" s="36"/>
      <c r="PDT188" s="36"/>
      <c r="PDU188" s="36"/>
      <c r="PDV188" s="36"/>
      <c r="PDW188" s="36"/>
      <c r="PDX188" s="36"/>
      <c r="PDY188" s="36"/>
      <c r="PDZ188" s="36"/>
      <c r="PEA188" s="36"/>
      <c r="PEB188" s="36"/>
      <c r="PEC188" s="36"/>
      <c r="PED188" s="36"/>
      <c r="PEE188" s="36"/>
      <c r="PEF188" s="36"/>
      <c r="PEG188" s="36"/>
      <c r="PEH188" s="36"/>
      <c r="PEI188" s="36"/>
      <c r="PEJ188" s="36"/>
      <c r="PEK188" s="36"/>
      <c r="PEL188" s="36"/>
      <c r="PEM188" s="36"/>
      <c r="PEN188" s="36"/>
      <c r="PEO188" s="36"/>
      <c r="PEP188" s="36"/>
      <c r="PEQ188" s="36"/>
      <c r="PER188" s="36"/>
      <c r="PES188" s="36"/>
      <c r="PET188" s="36"/>
      <c r="PEU188" s="36"/>
      <c r="PEV188" s="36"/>
      <c r="PEW188" s="36"/>
      <c r="PEX188" s="36"/>
      <c r="PEY188" s="36"/>
      <c r="PEZ188" s="36"/>
      <c r="PFA188" s="36"/>
      <c r="PFB188" s="36"/>
      <c r="PFC188" s="36"/>
      <c r="PFD188" s="36"/>
      <c r="PFE188" s="36"/>
      <c r="PFF188" s="36"/>
      <c r="PFG188" s="36"/>
      <c r="PFH188" s="36"/>
      <c r="PFI188" s="36"/>
      <c r="PFJ188" s="36"/>
      <c r="PFK188" s="36"/>
      <c r="PFL188" s="36"/>
      <c r="PFM188" s="36"/>
      <c r="PFN188" s="36"/>
      <c r="PFO188" s="36"/>
      <c r="PFP188" s="36"/>
      <c r="PFQ188" s="36"/>
      <c r="PFR188" s="36"/>
      <c r="PFS188" s="36"/>
      <c r="PFT188" s="36"/>
      <c r="PFU188" s="36"/>
      <c r="PFV188" s="36"/>
      <c r="PFW188" s="36"/>
      <c r="PFX188" s="36"/>
      <c r="PFY188" s="36"/>
      <c r="PFZ188" s="36"/>
      <c r="PGA188" s="36"/>
      <c r="PGB188" s="36"/>
      <c r="PGC188" s="36"/>
      <c r="PGD188" s="36"/>
      <c r="PGE188" s="36"/>
      <c r="PGF188" s="36"/>
      <c r="PGG188" s="36"/>
      <c r="PGH188" s="36"/>
      <c r="PGI188" s="36"/>
      <c r="PGJ188" s="36"/>
      <c r="PGK188" s="36"/>
      <c r="PGL188" s="36"/>
      <c r="PGM188" s="36"/>
      <c r="PGN188" s="36"/>
      <c r="PGO188" s="36"/>
      <c r="PGP188" s="36"/>
      <c r="PGQ188" s="36"/>
      <c r="PGR188" s="36"/>
      <c r="PGS188" s="36"/>
      <c r="PGT188" s="36"/>
      <c r="PGU188" s="36"/>
      <c r="PGV188" s="36"/>
      <c r="PGW188" s="36"/>
      <c r="PGX188" s="36"/>
      <c r="PGY188" s="36"/>
      <c r="PGZ188" s="36"/>
      <c r="PHA188" s="36"/>
      <c r="PHB188" s="36"/>
      <c r="PHC188" s="36"/>
      <c r="PHD188" s="36"/>
      <c r="PHE188" s="36"/>
      <c r="PHF188" s="36"/>
      <c r="PHG188" s="36"/>
      <c r="PHH188" s="36"/>
      <c r="PHI188" s="36"/>
      <c r="PHJ188" s="36"/>
      <c r="PHK188" s="36"/>
      <c r="PHL188" s="36"/>
      <c r="PHM188" s="36"/>
      <c r="PHN188" s="36"/>
      <c r="PHO188" s="36"/>
      <c r="PHP188" s="36"/>
      <c r="PHQ188" s="36"/>
      <c r="PHR188" s="36"/>
      <c r="PHS188" s="36"/>
      <c r="PHT188" s="36"/>
      <c r="PHU188" s="36"/>
      <c r="PHV188" s="36"/>
      <c r="PHW188" s="36"/>
      <c r="PHX188" s="36"/>
      <c r="PHY188" s="36"/>
      <c r="PHZ188" s="36"/>
      <c r="PIA188" s="36"/>
      <c r="PIB188" s="36"/>
      <c r="PIC188" s="36"/>
      <c r="PID188" s="36"/>
      <c r="PIE188" s="36"/>
      <c r="PIF188" s="36"/>
      <c r="PIG188" s="36"/>
      <c r="PIH188" s="36"/>
      <c r="PII188" s="36"/>
      <c r="PIJ188" s="36"/>
      <c r="PIK188" s="36"/>
      <c r="PIL188" s="36"/>
      <c r="PIM188" s="36"/>
      <c r="PIN188" s="36"/>
      <c r="PIO188" s="36"/>
      <c r="PIP188" s="36"/>
      <c r="PIQ188" s="36"/>
      <c r="PIR188" s="36"/>
      <c r="PIS188" s="36"/>
      <c r="PIT188" s="36"/>
      <c r="PIU188" s="36"/>
      <c r="PIV188" s="36"/>
      <c r="PIW188" s="36"/>
      <c r="PIX188" s="36"/>
      <c r="PIY188" s="36"/>
      <c r="PIZ188" s="36"/>
      <c r="PJA188" s="36"/>
      <c r="PJB188" s="36"/>
      <c r="PJC188" s="36"/>
      <c r="PJD188" s="36"/>
      <c r="PJE188" s="36"/>
      <c r="PJF188" s="36"/>
      <c r="PJG188" s="36"/>
      <c r="PJH188" s="36"/>
      <c r="PJI188" s="36"/>
      <c r="PJJ188" s="36"/>
      <c r="PJK188" s="36"/>
      <c r="PJL188" s="36"/>
      <c r="PJM188" s="36"/>
      <c r="PJN188" s="36"/>
      <c r="PJO188" s="36"/>
      <c r="PJP188" s="36"/>
      <c r="PJQ188" s="36"/>
      <c r="PJR188" s="36"/>
      <c r="PJS188" s="36"/>
      <c r="PJT188" s="36"/>
      <c r="PJU188" s="36"/>
      <c r="PJV188" s="36"/>
      <c r="PJW188" s="36"/>
      <c r="PJX188" s="36"/>
      <c r="PJY188" s="36"/>
      <c r="PJZ188" s="36"/>
      <c r="PKA188" s="36"/>
      <c r="PKB188" s="36"/>
      <c r="PKC188" s="36"/>
      <c r="PKD188" s="36"/>
      <c r="PKE188" s="36"/>
      <c r="PKF188" s="36"/>
      <c r="PKG188" s="36"/>
      <c r="PKH188" s="36"/>
      <c r="PKI188" s="36"/>
      <c r="PKJ188" s="36"/>
      <c r="PKK188" s="36"/>
      <c r="PKL188" s="36"/>
      <c r="PKM188" s="36"/>
      <c r="PKN188" s="36"/>
      <c r="PKO188" s="36"/>
      <c r="PKP188" s="36"/>
      <c r="PKQ188" s="36"/>
      <c r="PKR188" s="36"/>
      <c r="PKS188" s="36"/>
      <c r="PKT188" s="36"/>
      <c r="PKU188" s="36"/>
      <c r="PKV188" s="36"/>
      <c r="PKW188" s="36"/>
      <c r="PKX188" s="36"/>
      <c r="PKY188" s="36"/>
      <c r="PKZ188" s="36"/>
      <c r="PLA188" s="36"/>
      <c r="PLB188" s="36"/>
      <c r="PLC188" s="36"/>
      <c r="PLD188" s="36"/>
      <c r="PLE188" s="36"/>
      <c r="PLF188" s="36"/>
      <c r="PLG188" s="36"/>
      <c r="PLH188" s="36"/>
      <c r="PLI188" s="36"/>
      <c r="PLJ188" s="36"/>
      <c r="PLK188" s="36"/>
      <c r="PLL188" s="36"/>
      <c r="PLM188" s="36"/>
      <c r="PLN188" s="36"/>
      <c r="PLO188" s="36"/>
      <c r="PLP188" s="36"/>
      <c r="PLQ188" s="36"/>
      <c r="PLR188" s="36"/>
      <c r="PLS188" s="36"/>
      <c r="PLT188" s="36"/>
      <c r="PLU188" s="36"/>
      <c r="PLV188" s="36"/>
      <c r="PLW188" s="36"/>
      <c r="PLX188" s="36"/>
      <c r="PLY188" s="36"/>
      <c r="PLZ188" s="36"/>
      <c r="PMA188" s="36"/>
      <c r="PMB188" s="36"/>
      <c r="PMC188" s="36"/>
      <c r="PMD188" s="36"/>
      <c r="PME188" s="36"/>
      <c r="PMF188" s="36"/>
      <c r="PMG188" s="36"/>
      <c r="PMH188" s="36"/>
      <c r="PMI188" s="36"/>
      <c r="PMJ188" s="36"/>
      <c r="PMK188" s="36"/>
      <c r="PML188" s="36"/>
      <c r="PMM188" s="36"/>
      <c r="PMN188" s="36"/>
      <c r="PMO188" s="36"/>
      <c r="PMP188" s="36"/>
      <c r="PMQ188" s="36"/>
      <c r="PMR188" s="36"/>
      <c r="PMS188" s="36"/>
      <c r="PMT188" s="36"/>
      <c r="PMU188" s="36"/>
      <c r="PMV188" s="36"/>
      <c r="PMW188" s="36"/>
      <c r="PMX188" s="36"/>
      <c r="PMY188" s="36"/>
      <c r="PMZ188" s="36"/>
      <c r="PNA188" s="36"/>
      <c r="PNB188" s="36"/>
      <c r="PNC188" s="36"/>
      <c r="PND188" s="36"/>
      <c r="PNE188" s="36"/>
      <c r="PNF188" s="36"/>
      <c r="PNG188" s="36"/>
      <c r="PNH188" s="36"/>
      <c r="PNI188" s="36"/>
      <c r="PNJ188" s="36"/>
      <c r="PNK188" s="36"/>
      <c r="PNL188" s="36"/>
      <c r="PNM188" s="36"/>
      <c r="PNN188" s="36"/>
      <c r="PNO188" s="36"/>
      <c r="PNP188" s="36"/>
      <c r="PNQ188" s="36"/>
      <c r="PNR188" s="36"/>
      <c r="PNS188" s="36"/>
      <c r="PNT188" s="36"/>
      <c r="PNU188" s="36"/>
      <c r="PNV188" s="36"/>
      <c r="PNW188" s="36"/>
      <c r="PNX188" s="36"/>
      <c r="PNY188" s="36"/>
      <c r="PNZ188" s="36"/>
      <c r="POA188" s="36"/>
      <c r="POB188" s="36"/>
      <c r="POC188" s="36"/>
      <c r="POD188" s="36"/>
      <c r="POE188" s="36"/>
      <c r="POF188" s="36"/>
      <c r="POG188" s="36"/>
      <c r="POH188" s="36"/>
      <c r="POI188" s="36"/>
      <c r="POJ188" s="36"/>
      <c r="POK188" s="36"/>
      <c r="POL188" s="36"/>
      <c r="POM188" s="36"/>
      <c r="PON188" s="36"/>
      <c r="POO188" s="36"/>
      <c r="POP188" s="36"/>
      <c r="POQ188" s="36"/>
      <c r="POR188" s="36"/>
      <c r="POS188" s="36"/>
      <c r="POT188" s="36"/>
      <c r="POU188" s="36"/>
      <c r="POV188" s="36"/>
      <c r="POW188" s="36"/>
      <c r="POX188" s="36"/>
      <c r="POY188" s="36"/>
      <c r="POZ188" s="36"/>
      <c r="PPA188" s="36"/>
      <c r="PPB188" s="36"/>
      <c r="PPC188" s="36"/>
      <c r="PPD188" s="36"/>
      <c r="PPE188" s="36"/>
      <c r="PPF188" s="36"/>
      <c r="PPG188" s="36"/>
      <c r="PPH188" s="36"/>
      <c r="PPI188" s="36"/>
      <c r="PPJ188" s="36"/>
      <c r="PPK188" s="36"/>
      <c r="PPL188" s="36"/>
      <c r="PPM188" s="36"/>
      <c r="PPN188" s="36"/>
      <c r="PPO188" s="36"/>
      <c r="PPP188" s="36"/>
      <c r="PPQ188" s="36"/>
      <c r="PPR188" s="36"/>
      <c r="PPS188" s="36"/>
      <c r="PPT188" s="36"/>
      <c r="PPU188" s="36"/>
      <c r="PPV188" s="36"/>
      <c r="PPW188" s="36"/>
      <c r="PPX188" s="36"/>
      <c r="PPY188" s="36"/>
      <c r="PPZ188" s="36"/>
      <c r="PQA188" s="36"/>
      <c r="PQB188" s="36"/>
      <c r="PQC188" s="36"/>
      <c r="PQD188" s="36"/>
      <c r="PQE188" s="36"/>
      <c r="PQF188" s="36"/>
      <c r="PQG188" s="36"/>
      <c r="PQH188" s="36"/>
      <c r="PQI188" s="36"/>
      <c r="PQJ188" s="36"/>
      <c r="PQK188" s="36"/>
      <c r="PQL188" s="36"/>
      <c r="PQM188" s="36"/>
      <c r="PQN188" s="36"/>
      <c r="PQO188" s="36"/>
      <c r="PQP188" s="36"/>
      <c r="PQQ188" s="36"/>
      <c r="PQR188" s="36"/>
      <c r="PQS188" s="36"/>
      <c r="PQT188" s="36"/>
      <c r="PQU188" s="36"/>
      <c r="PQV188" s="36"/>
      <c r="PQW188" s="36"/>
      <c r="PQX188" s="36"/>
      <c r="PQY188" s="36"/>
      <c r="PQZ188" s="36"/>
      <c r="PRA188" s="36"/>
      <c r="PRB188" s="36"/>
      <c r="PRC188" s="36"/>
      <c r="PRD188" s="36"/>
      <c r="PRE188" s="36"/>
      <c r="PRF188" s="36"/>
      <c r="PRG188" s="36"/>
      <c r="PRH188" s="36"/>
      <c r="PRI188" s="36"/>
      <c r="PRJ188" s="36"/>
      <c r="PRK188" s="36"/>
      <c r="PRL188" s="36"/>
      <c r="PRM188" s="36"/>
      <c r="PRN188" s="36"/>
      <c r="PRO188" s="36"/>
      <c r="PRP188" s="36"/>
      <c r="PRQ188" s="36"/>
      <c r="PRR188" s="36"/>
      <c r="PRS188" s="36"/>
      <c r="PRT188" s="36"/>
      <c r="PRU188" s="36"/>
      <c r="PRV188" s="36"/>
      <c r="PRW188" s="36"/>
      <c r="PRX188" s="36"/>
      <c r="PRY188" s="36"/>
      <c r="PRZ188" s="36"/>
      <c r="PSA188" s="36"/>
      <c r="PSB188" s="36"/>
      <c r="PSC188" s="36"/>
      <c r="PSD188" s="36"/>
      <c r="PSE188" s="36"/>
      <c r="PSF188" s="36"/>
      <c r="PSG188" s="36"/>
      <c r="PSH188" s="36"/>
      <c r="PSI188" s="36"/>
      <c r="PSJ188" s="36"/>
      <c r="PSK188" s="36"/>
      <c r="PSL188" s="36"/>
      <c r="PSM188" s="36"/>
      <c r="PSN188" s="36"/>
      <c r="PSO188" s="36"/>
      <c r="PSP188" s="36"/>
      <c r="PSQ188" s="36"/>
      <c r="PSR188" s="36"/>
      <c r="PSS188" s="36"/>
      <c r="PST188" s="36"/>
      <c r="PSU188" s="36"/>
      <c r="PSV188" s="36"/>
      <c r="PSW188" s="36"/>
      <c r="PSX188" s="36"/>
      <c r="PSY188" s="36"/>
      <c r="PSZ188" s="36"/>
      <c r="PTA188" s="36"/>
      <c r="PTB188" s="36"/>
      <c r="PTC188" s="36"/>
      <c r="PTD188" s="36"/>
      <c r="PTE188" s="36"/>
      <c r="PTF188" s="36"/>
      <c r="PTG188" s="36"/>
      <c r="PTH188" s="36"/>
      <c r="PTI188" s="36"/>
      <c r="PTJ188" s="36"/>
      <c r="PTK188" s="36"/>
      <c r="PTL188" s="36"/>
      <c r="PTM188" s="36"/>
      <c r="PTN188" s="36"/>
      <c r="PTO188" s="36"/>
      <c r="PTP188" s="36"/>
      <c r="PTQ188" s="36"/>
      <c r="PTR188" s="36"/>
      <c r="PTS188" s="36"/>
      <c r="PTT188" s="36"/>
      <c r="PTU188" s="36"/>
      <c r="PTV188" s="36"/>
      <c r="PTW188" s="36"/>
      <c r="PTX188" s="36"/>
      <c r="PTY188" s="36"/>
      <c r="PTZ188" s="36"/>
      <c r="PUA188" s="36"/>
      <c r="PUB188" s="36"/>
      <c r="PUC188" s="36"/>
      <c r="PUD188" s="36"/>
      <c r="PUE188" s="36"/>
      <c r="PUF188" s="36"/>
      <c r="PUG188" s="36"/>
      <c r="PUH188" s="36"/>
      <c r="PUI188" s="36"/>
      <c r="PUJ188" s="36"/>
      <c r="PUK188" s="36"/>
      <c r="PUL188" s="36"/>
      <c r="PUM188" s="36"/>
      <c r="PUN188" s="36"/>
      <c r="PUO188" s="36"/>
      <c r="PUP188" s="36"/>
      <c r="PUQ188" s="36"/>
      <c r="PUR188" s="36"/>
      <c r="PUS188" s="36"/>
      <c r="PUT188" s="36"/>
      <c r="PUU188" s="36"/>
      <c r="PUV188" s="36"/>
      <c r="PUW188" s="36"/>
      <c r="PUX188" s="36"/>
      <c r="PUY188" s="36"/>
      <c r="PUZ188" s="36"/>
      <c r="PVA188" s="36"/>
      <c r="PVB188" s="36"/>
      <c r="PVC188" s="36"/>
      <c r="PVD188" s="36"/>
      <c r="PVE188" s="36"/>
      <c r="PVF188" s="36"/>
      <c r="PVG188" s="36"/>
      <c r="PVH188" s="36"/>
      <c r="PVI188" s="36"/>
      <c r="PVJ188" s="36"/>
      <c r="PVK188" s="36"/>
      <c r="PVL188" s="36"/>
      <c r="PVM188" s="36"/>
      <c r="PVN188" s="36"/>
      <c r="PVO188" s="36"/>
      <c r="PVP188" s="36"/>
      <c r="PVQ188" s="36"/>
      <c r="PVR188" s="36"/>
      <c r="PVS188" s="36"/>
      <c r="PVT188" s="36"/>
      <c r="PVU188" s="36"/>
      <c r="PVV188" s="36"/>
      <c r="PVW188" s="36"/>
      <c r="PVX188" s="36"/>
      <c r="PVY188" s="36"/>
      <c r="PVZ188" s="36"/>
      <c r="PWA188" s="36"/>
      <c r="PWB188" s="36"/>
      <c r="PWC188" s="36"/>
      <c r="PWD188" s="36"/>
      <c r="PWE188" s="36"/>
      <c r="PWF188" s="36"/>
      <c r="PWG188" s="36"/>
      <c r="PWH188" s="36"/>
      <c r="PWI188" s="36"/>
      <c r="PWJ188" s="36"/>
      <c r="PWK188" s="36"/>
      <c r="PWL188" s="36"/>
      <c r="PWM188" s="36"/>
      <c r="PWN188" s="36"/>
      <c r="PWO188" s="36"/>
      <c r="PWP188" s="36"/>
      <c r="PWQ188" s="36"/>
      <c r="PWR188" s="36"/>
      <c r="PWS188" s="36"/>
      <c r="PWT188" s="36"/>
      <c r="PWU188" s="36"/>
      <c r="PWV188" s="36"/>
      <c r="PWW188" s="36"/>
      <c r="PWX188" s="36"/>
      <c r="PWY188" s="36"/>
      <c r="PWZ188" s="36"/>
      <c r="PXA188" s="36"/>
      <c r="PXB188" s="36"/>
      <c r="PXC188" s="36"/>
      <c r="PXD188" s="36"/>
      <c r="PXE188" s="36"/>
      <c r="PXF188" s="36"/>
      <c r="PXG188" s="36"/>
      <c r="PXH188" s="36"/>
      <c r="PXI188" s="36"/>
      <c r="PXJ188" s="36"/>
      <c r="PXK188" s="36"/>
      <c r="PXL188" s="36"/>
      <c r="PXM188" s="36"/>
      <c r="PXN188" s="36"/>
      <c r="PXO188" s="36"/>
      <c r="PXP188" s="36"/>
      <c r="PXQ188" s="36"/>
      <c r="PXR188" s="36"/>
      <c r="PXS188" s="36"/>
      <c r="PXT188" s="36"/>
      <c r="PXU188" s="36"/>
      <c r="PXV188" s="36"/>
      <c r="PXW188" s="36"/>
      <c r="PXX188" s="36"/>
      <c r="PXY188" s="36"/>
      <c r="PXZ188" s="36"/>
      <c r="PYA188" s="36"/>
      <c r="PYB188" s="36"/>
      <c r="PYC188" s="36"/>
      <c r="PYD188" s="36"/>
      <c r="PYE188" s="36"/>
      <c r="PYF188" s="36"/>
      <c r="PYG188" s="36"/>
      <c r="PYH188" s="36"/>
      <c r="PYI188" s="36"/>
      <c r="PYJ188" s="36"/>
      <c r="PYK188" s="36"/>
      <c r="PYL188" s="36"/>
      <c r="PYM188" s="36"/>
      <c r="PYN188" s="36"/>
      <c r="PYO188" s="36"/>
      <c r="PYP188" s="36"/>
      <c r="PYQ188" s="36"/>
      <c r="PYR188" s="36"/>
      <c r="PYS188" s="36"/>
      <c r="PYT188" s="36"/>
      <c r="PYU188" s="36"/>
      <c r="PYV188" s="36"/>
      <c r="PYW188" s="36"/>
      <c r="PYX188" s="36"/>
      <c r="PYY188" s="36"/>
      <c r="PYZ188" s="36"/>
      <c r="PZA188" s="36"/>
      <c r="PZB188" s="36"/>
      <c r="PZC188" s="36"/>
      <c r="PZD188" s="36"/>
      <c r="PZE188" s="36"/>
      <c r="PZF188" s="36"/>
      <c r="PZG188" s="36"/>
      <c r="PZH188" s="36"/>
      <c r="PZI188" s="36"/>
      <c r="PZJ188" s="36"/>
      <c r="PZK188" s="36"/>
      <c r="PZL188" s="36"/>
      <c r="PZM188" s="36"/>
      <c r="PZN188" s="36"/>
      <c r="PZO188" s="36"/>
      <c r="PZP188" s="36"/>
      <c r="PZQ188" s="36"/>
      <c r="PZR188" s="36"/>
      <c r="PZS188" s="36"/>
      <c r="PZT188" s="36"/>
      <c r="PZU188" s="36"/>
      <c r="PZV188" s="36"/>
      <c r="PZW188" s="36"/>
      <c r="PZX188" s="36"/>
      <c r="PZY188" s="36"/>
      <c r="PZZ188" s="36"/>
      <c r="QAA188" s="36"/>
      <c r="QAB188" s="36"/>
      <c r="QAC188" s="36"/>
      <c r="QAD188" s="36"/>
      <c r="QAE188" s="36"/>
      <c r="QAF188" s="36"/>
      <c r="QAG188" s="36"/>
      <c r="QAH188" s="36"/>
      <c r="QAI188" s="36"/>
      <c r="QAJ188" s="36"/>
      <c r="QAK188" s="36"/>
      <c r="QAL188" s="36"/>
      <c r="QAM188" s="36"/>
      <c r="QAN188" s="36"/>
      <c r="QAO188" s="36"/>
      <c r="QAP188" s="36"/>
      <c r="QAQ188" s="36"/>
      <c r="QAR188" s="36"/>
      <c r="QAS188" s="36"/>
      <c r="QAT188" s="36"/>
      <c r="QAU188" s="36"/>
      <c r="QAV188" s="36"/>
      <c r="QAW188" s="36"/>
      <c r="QAX188" s="36"/>
      <c r="QAY188" s="36"/>
      <c r="QAZ188" s="36"/>
      <c r="QBA188" s="36"/>
      <c r="QBB188" s="36"/>
      <c r="QBC188" s="36"/>
      <c r="QBD188" s="36"/>
      <c r="QBE188" s="36"/>
      <c r="QBF188" s="36"/>
      <c r="QBG188" s="36"/>
      <c r="QBH188" s="36"/>
      <c r="QBI188" s="36"/>
      <c r="QBJ188" s="36"/>
      <c r="QBK188" s="36"/>
      <c r="QBL188" s="36"/>
      <c r="QBM188" s="36"/>
      <c r="QBN188" s="36"/>
      <c r="QBO188" s="36"/>
      <c r="QBP188" s="36"/>
      <c r="QBQ188" s="36"/>
      <c r="QBR188" s="36"/>
      <c r="QBS188" s="36"/>
      <c r="QBT188" s="36"/>
      <c r="QBU188" s="36"/>
      <c r="QBV188" s="36"/>
      <c r="QBW188" s="36"/>
      <c r="QBX188" s="36"/>
      <c r="QBY188" s="36"/>
      <c r="QBZ188" s="36"/>
      <c r="QCA188" s="36"/>
      <c r="QCB188" s="36"/>
      <c r="QCC188" s="36"/>
      <c r="QCD188" s="36"/>
      <c r="QCE188" s="36"/>
      <c r="QCF188" s="36"/>
      <c r="QCG188" s="36"/>
      <c r="QCH188" s="36"/>
      <c r="QCI188" s="36"/>
      <c r="QCJ188" s="36"/>
      <c r="QCK188" s="36"/>
      <c r="QCL188" s="36"/>
      <c r="QCM188" s="36"/>
      <c r="QCN188" s="36"/>
      <c r="QCO188" s="36"/>
      <c r="QCP188" s="36"/>
      <c r="QCQ188" s="36"/>
      <c r="QCR188" s="36"/>
      <c r="QCS188" s="36"/>
      <c r="QCT188" s="36"/>
      <c r="QCU188" s="36"/>
      <c r="QCV188" s="36"/>
      <c r="QCW188" s="36"/>
      <c r="QCX188" s="36"/>
      <c r="QCY188" s="36"/>
      <c r="QCZ188" s="36"/>
      <c r="QDA188" s="36"/>
      <c r="QDB188" s="36"/>
      <c r="QDC188" s="36"/>
      <c r="QDD188" s="36"/>
      <c r="QDE188" s="36"/>
      <c r="QDF188" s="36"/>
      <c r="QDG188" s="36"/>
      <c r="QDH188" s="36"/>
      <c r="QDI188" s="36"/>
      <c r="QDJ188" s="36"/>
      <c r="QDK188" s="36"/>
      <c r="QDL188" s="36"/>
      <c r="QDM188" s="36"/>
      <c r="QDN188" s="36"/>
      <c r="QDO188" s="36"/>
      <c r="QDP188" s="36"/>
      <c r="QDQ188" s="36"/>
      <c r="QDR188" s="36"/>
      <c r="QDS188" s="36"/>
      <c r="QDT188" s="36"/>
      <c r="QDU188" s="36"/>
      <c r="QDV188" s="36"/>
      <c r="QDW188" s="36"/>
      <c r="QDX188" s="36"/>
      <c r="QDY188" s="36"/>
      <c r="QDZ188" s="36"/>
      <c r="QEA188" s="36"/>
      <c r="QEB188" s="36"/>
      <c r="QEC188" s="36"/>
      <c r="QED188" s="36"/>
      <c r="QEE188" s="36"/>
      <c r="QEF188" s="36"/>
      <c r="QEG188" s="36"/>
      <c r="QEH188" s="36"/>
      <c r="QEI188" s="36"/>
      <c r="QEJ188" s="36"/>
      <c r="QEK188" s="36"/>
      <c r="QEL188" s="36"/>
      <c r="QEM188" s="36"/>
      <c r="QEN188" s="36"/>
      <c r="QEO188" s="36"/>
      <c r="QEP188" s="36"/>
      <c r="QEQ188" s="36"/>
      <c r="QER188" s="36"/>
      <c r="QES188" s="36"/>
      <c r="QET188" s="36"/>
      <c r="QEU188" s="36"/>
      <c r="QEV188" s="36"/>
      <c r="QEW188" s="36"/>
      <c r="QEX188" s="36"/>
      <c r="QEY188" s="36"/>
      <c r="QEZ188" s="36"/>
      <c r="QFA188" s="36"/>
      <c r="QFB188" s="36"/>
      <c r="QFC188" s="36"/>
      <c r="QFD188" s="36"/>
      <c r="QFE188" s="36"/>
      <c r="QFF188" s="36"/>
      <c r="QFG188" s="36"/>
      <c r="QFH188" s="36"/>
      <c r="QFI188" s="36"/>
      <c r="QFJ188" s="36"/>
      <c r="QFK188" s="36"/>
      <c r="QFL188" s="36"/>
      <c r="QFM188" s="36"/>
      <c r="QFN188" s="36"/>
      <c r="QFO188" s="36"/>
      <c r="QFP188" s="36"/>
      <c r="QFQ188" s="36"/>
      <c r="QFR188" s="36"/>
      <c r="QFS188" s="36"/>
      <c r="QFT188" s="36"/>
      <c r="QFU188" s="36"/>
      <c r="QFV188" s="36"/>
      <c r="QFW188" s="36"/>
      <c r="QFX188" s="36"/>
      <c r="QFY188" s="36"/>
      <c r="QFZ188" s="36"/>
      <c r="QGA188" s="36"/>
      <c r="QGB188" s="36"/>
      <c r="QGC188" s="36"/>
      <c r="QGD188" s="36"/>
      <c r="QGE188" s="36"/>
      <c r="QGF188" s="36"/>
      <c r="QGG188" s="36"/>
      <c r="QGH188" s="36"/>
      <c r="QGI188" s="36"/>
      <c r="QGJ188" s="36"/>
      <c r="QGK188" s="36"/>
      <c r="QGL188" s="36"/>
      <c r="QGM188" s="36"/>
      <c r="QGN188" s="36"/>
      <c r="QGO188" s="36"/>
      <c r="QGP188" s="36"/>
      <c r="QGQ188" s="36"/>
      <c r="QGR188" s="36"/>
      <c r="QGS188" s="36"/>
      <c r="QGT188" s="36"/>
      <c r="QGU188" s="36"/>
      <c r="QGV188" s="36"/>
      <c r="QGW188" s="36"/>
      <c r="QGX188" s="36"/>
      <c r="QGY188" s="36"/>
      <c r="QGZ188" s="36"/>
      <c r="QHA188" s="36"/>
      <c r="QHB188" s="36"/>
      <c r="QHC188" s="36"/>
      <c r="QHD188" s="36"/>
      <c r="QHE188" s="36"/>
      <c r="QHF188" s="36"/>
      <c r="QHG188" s="36"/>
      <c r="QHH188" s="36"/>
      <c r="QHI188" s="36"/>
      <c r="QHJ188" s="36"/>
      <c r="QHK188" s="36"/>
      <c r="QHL188" s="36"/>
      <c r="QHM188" s="36"/>
      <c r="QHN188" s="36"/>
      <c r="QHO188" s="36"/>
      <c r="QHP188" s="36"/>
      <c r="QHQ188" s="36"/>
      <c r="QHR188" s="36"/>
      <c r="QHS188" s="36"/>
      <c r="QHT188" s="36"/>
      <c r="QHU188" s="36"/>
      <c r="QHV188" s="36"/>
      <c r="QHW188" s="36"/>
      <c r="QHX188" s="36"/>
      <c r="QHY188" s="36"/>
      <c r="QHZ188" s="36"/>
      <c r="QIA188" s="36"/>
      <c r="QIB188" s="36"/>
      <c r="QIC188" s="36"/>
      <c r="QID188" s="36"/>
      <c r="QIE188" s="36"/>
      <c r="QIF188" s="36"/>
      <c r="QIG188" s="36"/>
      <c r="QIH188" s="36"/>
      <c r="QII188" s="36"/>
      <c r="QIJ188" s="36"/>
      <c r="QIK188" s="36"/>
      <c r="QIL188" s="36"/>
      <c r="QIM188" s="36"/>
      <c r="QIN188" s="36"/>
      <c r="QIO188" s="36"/>
      <c r="QIP188" s="36"/>
      <c r="QIQ188" s="36"/>
      <c r="QIR188" s="36"/>
      <c r="QIS188" s="36"/>
      <c r="QIT188" s="36"/>
      <c r="QIU188" s="36"/>
      <c r="QIV188" s="36"/>
      <c r="QIW188" s="36"/>
      <c r="QIX188" s="36"/>
      <c r="QIY188" s="36"/>
      <c r="QIZ188" s="36"/>
      <c r="QJA188" s="36"/>
      <c r="QJB188" s="36"/>
      <c r="QJC188" s="36"/>
      <c r="QJD188" s="36"/>
      <c r="QJE188" s="36"/>
      <c r="QJF188" s="36"/>
      <c r="QJG188" s="36"/>
      <c r="QJH188" s="36"/>
      <c r="QJI188" s="36"/>
      <c r="QJJ188" s="36"/>
      <c r="QJK188" s="36"/>
      <c r="QJL188" s="36"/>
      <c r="QJM188" s="36"/>
      <c r="QJN188" s="36"/>
      <c r="QJO188" s="36"/>
      <c r="QJP188" s="36"/>
      <c r="QJQ188" s="36"/>
      <c r="QJR188" s="36"/>
      <c r="QJS188" s="36"/>
      <c r="QJT188" s="36"/>
      <c r="QJU188" s="36"/>
      <c r="QJV188" s="36"/>
      <c r="QJW188" s="36"/>
      <c r="QJX188" s="36"/>
      <c r="QJY188" s="36"/>
      <c r="QJZ188" s="36"/>
      <c r="QKA188" s="36"/>
      <c r="QKB188" s="36"/>
      <c r="QKC188" s="36"/>
      <c r="QKD188" s="36"/>
      <c r="QKE188" s="36"/>
      <c r="QKF188" s="36"/>
      <c r="QKG188" s="36"/>
      <c r="QKH188" s="36"/>
      <c r="QKI188" s="36"/>
      <c r="QKJ188" s="36"/>
      <c r="QKK188" s="36"/>
      <c r="QKL188" s="36"/>
      <c r="QKM188" s="36"/>
      <c r="QKN188" s="36"/>
      <c r="QKO188" s="36"/>
      <c r="QKP188" s="36"/>
      <c r="QKQ188" s="36"/>
      <c r="QKR188" s="36"/>
      <c r="QKS188" s="36"/>
      <c r="QKT188" s="36"/>
      <c r="QKU188" s="36"/>
      <c r="QKV188" s="36"/>
      <c r="QKW188" s="36"/>
      <c r="QKX188" s="36"/>
      <c r="QKY188" s="36"/>
      <c r="QKZ188" s="36"/>
      <c r="QLA188" s="36"/>
      <c r="QLB188" s="36"/>
      <c r="QLC188" s="36"/>
      <c r="QLD188" s="36"/>
      <c r="QLE188" s="36"/>
      <c r="QLF188" s="36"/>
      <c r="QLG188" s="36"/>
      <c r="QLH188" s="36"/>
      <c r="QLI188" s="36"/>
      <c r="QLJ188" s="36"/>
      <c r="QLK188" s="36"/>
      <c r="QLL188" s="36"/>
      <c r="QLM188" s="36"/>
      <c r="QLN188" s="36"/>
      <c r="QLO188" s="36"/>
      <c r="QLP188" s="36"/>
      <c r="QLQ188" s="36"/>
      <c r="QLR188" s="36"/>
      <c r="QLS188" s="36"/>
      <c r="QLT188" s="36"/>
      <c r="QLU188" s="36"/>
      <c r="QLV188" s="36"/>
      <c r="QLW188" s="36"/>
      <c r="QLX188" s="36"/>
      <c r="QLY188" s="36"/>
      <c r="QLZ188" s="36"/>
      <c r="QMA188" s="36"/>
      <c r="QMB188" s="36"/>
      <c r="QMC188" s="36"/>
      <c r="QMD188" s="36"/>
      <c r="QME188" s="36"/>
      <c r="QMF188" s="36"/>
      <c r="QMG188" s="36"/>
      <c r="QMH188" s="36"/>
      <c r="QMI188" s="36"/>
      <c r="QMJ188" s="36"/>
      <c r="QMK188" s="36"/>
      <c r="QML188" s="36"/>
      <c r="QMM188" s="36"/>
      <c r="QMN188" s="36"/>
      <c r="QMO188" s="36"/>
      <c r="QMP188" s="36"/>
      <c r="QMQ188" s="36"/>
      <c r="QMR188" s="36"/>
      <c r="QMS188" s="36"/>
      <c r="QMT188" s="36"/>
      <c r="QMU188" s="36"/>
      <c r="QMV188" s="36"/>
      <c r="QMW188" s="36"/>
      <c r="QMX188" s="36"/>
      <c r="QMY188" s="36"/>
      <c r="QMZ188" s="36"/>
      <c r="QNA188" s="36"/>
      <c r="QNB188" s="36"/>
      <c r="QNC188" s="36"/>
      <c r="QND188" s="36"/>
      <c r="QNE188" s="36"/>
      <c r="QNF188" s="36"/>
      <c r="QNG188" s="36"/>
      <c r="QNH188" s="36"/>
      <c r="QNI188" s="36"/>
      <c r="QNJ188" s="36"/>
      <c r="QNK188" s="36"/>
      <c r="QNL188" s="36"/>
      <c r="QNM188" s="36"/>
      <c r="QNN188" s="36"/>
      <c r="QNO188" s="36"/>
      <c r="QNP188" s="36"/>
      <c r="QNQ188" s="36"/>
      <c r="QNR188" s="36"/>
      <c r="QNS188" s="36"/>
      <c r="QNT188" s="36"/>
      <c r="QNU188" s="36"/>
      <c r="QNV188" s="36"/>
      <c r="QNW188" s="36"/>
      <c r="QNX188" s="36"/>
      <c r="QNY188" s="36"/>
      <c r="QNZ188" s="36"/>
      <c r="QOA188" s="36"/>
      <c r="QOB188" s="36"/>
      <c r="QOC188" s="36"/>
      <c r="QOD188" s="36"/>
      <c r="QOE188" s="36"/>
      <c r="QOF188" s="36"/>
      <c r="QOG188" s="36"/>
      <c r="QOH188" s="36"/>
      <c r="QOI188" s="36"/>
      <c r="QOJ188" s="36"/>
      <c r="QOK188" s="36"/>
      <c r="QOL188" s="36"/>
      <c r="QOM188" s="36"/>
      <c r="QON188" s="36"/>
      <c r="QOO188" s="36"/>
      <c r="QOP188" s="36"/>
      <c r="QOQ188" s="36"/>
      <c r="QOR188" s="36"/>
      <c r="QOS188" s="36"/>
      <c r="QOT188" s="36"/>
      <c r="QOU188" s="36"/>
      <c r="QOV188" s="36"/>
      <c r="QOW188" s="36"/>
      <c r="QOX188" s="36"/>
      <c r="QOY188" s="36"/>
      <c r="QOZ188" s="36"/>
      <c r="QPA188" s="36"/>
      <c r="QPB188" s="36"/>
      <c r="QPC188" s="36"/>
      <c r="QPD188" s="36"/>
      <c r="QPE188" s="36"/>
      <c r="QPF188" s="36"/>
      <c r="QPG188" s="36"/>
      <c r="QPH188" s="36"/>
      <c r="QPI188" s="36"/>
      <c r="QPJ188" s="36"/>
      <c r="QPK188" s="36"/>
      <c r="QPL188" s="36"/>
      <c r="QPM188" s="36"/>
      <c r="QPN188" s="36"/>
      <c r="QPO188" s="36"/>
      <c r="QPP188" s="36"/>
      <c r="QPQ188" s="36"/>
      <c r="QPR188" s="36"/>
      <c r="QPS188" s="36"/>
      <c r="QPT188" s="36"/>
      <c r="QPU188" s="36"/>
      <c r="QPV188" s="36"/>
      <c r="QPW188" s="36"/>
      <c r="QPX188" s="36"/>
      <c r="QPY188" s="36"/>
      <c r="QPZ188" s="36"/>
      <c r="QQA188" s="36"/>
      <c r="QQB188" s="36"/>
      <c r="QQC188" s="36"/>
      <c r="QQD188" s="36"/>
      <c r="QQE188" s="36"/>
      <c r="QQF188" s="36"/>
      <c r="QQG188" s="36"/>
      <c r="QQH188" s="36"/>
      <c r="QQI188" s="36"/>
      <c r="QQJ188" s="36"/>
      <c r="QQK188" s="36"/>
      <c r="QQL188" s="36"/>
      <c r="QQM188" s="36"/>
      <c r="QQN188" s="36"/>
      <c r="QQO188" s="36"/>
      <c r="QQP188" s="36"/>
      <c r="QQQ188" s="36"/>
      <c r="QQR188" s="36"/>
      <c r="QQS188" s="36"/>
      <c r="QQT188" s="36"/>
      <c r="QQU188" s="36"/>
      <c r="QQV188" s="36"/>
      <c r="QQW188" s="36"/>
      <c r="QQX188" s="36"/>
      <c r="QQY188" s="36"/>
      <c r="QQZ188" s="36"/>
      <c r="QRA188" s="36"/>
      <c r="QRB188" s="36"/>
      <c r="QRC188" s="36"/>
      <c r="QRD188" s="36"/>
      <c r="QRE188" s="36"/>
      <c r="QRF188" s="36"/>
      <c r="QRG188" s="36"/>
      <c r="QRH188" s="36"/>
      <c r="QRI188" s="36"/>
      <c r="QRJ188" s="36"/>
      <c r="QRK188" s="36"/>
      <c r="QRL188" s="36"/>
      <c r="QRM188" s="36"/>
      <c r="QRN188" s="36"/>
      <c r="QRO188" s="36"/>
      <c r="QRP188" s="36"/>
      <c r="QRQ188" s="36"/>
      <c r="QRR188" s="36"/>
      <c r="QRS188" s="36"/>
      <c r="QRT188" s="36"/>
      <c r="QRU188" s="36"/>
      <c r="QRV188" s="36"/>
      <c r="QRW188" s="36"/>
      <c r="QRX188" s="36"/>
      <c r="QRY188" s="36"/>
      <c r="QRZ188" s="36"/>
      <c r="QSA188" s="36"/>
      <c r="QSB188" s="36"/>
      <c r="QSC188" s="36"/>
      <c r="QSD188" s="36"/>
      <c r="QSE188" s="36"/>
      <c r="QSF188" s="36"/>
      <c r="QSG188" s="36"/>
      <c r="QSH188" s="36"/>
      <c r="QSI188" s="36"/>
      <c r="QSJ188" s="36"/>
      <c r="QSK188" s="36"/>
      <c r="QSL188" s="36"/>
      <c r="QSM188" s="36"/>
      <c r="QSN188" s="36"/>
      <c r="QSO188" s="36"/>
      <c r="QSP188" s="36"/>
      <c r="QSQ188" s="36"/>
      <c r="QSR188" s="36"/>
      <c r="QSS188" s="36"/>
      <c r="QST188" s="36"/>
      <c r="QSU188" s="36"/>
      <c r="QSV188" s="36"/>
      <c r="QSW188" s="36"/>
      <c r="QSX188" s="36"/>
      <c r="QSY188" s="36"/>
      <c r="QSZ188" s="36"/>
      <c r="QTA188" s="36"/>
      <c r="QTB188" s="36"/>
      <c r="QTC188" s="36"/>
      <c r="QTD188" s="36"/>
      <c r="QTE188" s="36"/>
      <c r="QTF188" s="36"/>
      <c r="QTG188" s="36"/>
      <c r="QTH188" s="36"/>
      <c r="QTI188" s="36"/>
      <c r="QTJ188" s="36"/>
      <c r="QTK188" s="36"/>
      <c r="QTL188" s="36"/>
      <c r="QTM188" s="36"/>
      <c r="QTN188" s="36"/>
      <c r="QTO188" s="36"/>
      <c r="QTP188" s="36"/>
      <c r="QTQ188" s="36"/>
      <c r="QTR188" s="36"/>
      <c r="QTS188" s="36"/>
      <c r="QTT188" s="36"/>
      <c r="QTU188" s="36"/>
      <c r="QTV188" s="36"/>
      <c r="QTW188" s="36"/>
      <c r="QTX188" s="36"/>
      <c r="QTY188" s="36"/>
      <c r="QTZ188" s="36"/>
      <c r="QUA188" s="36"/>
      <c r="QUB188" s="36"/>
      <c r="QUC188" s="36"/>
      <c r="QUD188" s="36"/>
      <c r="QUE188" s="36"/>
      <c r="QUF188" s="36"/>
      <c r="QUG188" s="36"/>
      <c r="QUH188" s="36"/>
      <c r="QUI188" s="36"/>
      <c r="QUJ188" s="36"/>
      <c r="QUK188" s="36"/>
      <c r="QUL188" s="36"/>
      <c r="QUM188" s="36"/>
      <c r="QUN188" s="36"/>
      <c r="QUO188" s="36"/>
      <c r="QUP188" s="36"/>
      <c r="QUQ188" s="36"/>
      <c r="QUR188" s="36"/>
      <c r="QUS188" s="36"/>
      <c r="QUT188" s="36"/>
      <c r="QUU188" s="36"/>
      <c r="QUV188" s="36"/>
      <c r="QUW188" s="36"/>
      <c r="QUX188" s="36"/>
      <c r="QUY188" s="36"/>
      <c r="QUZ188" s="36"/>
      <c r="QVA188" s="36"/>
      <c r="QVB188" s="36"/>
      <c r="QVC188" s="36"/>
      <c r="QVD188" s="36"/>
      <c r="QVE188" s="36"/>
      <c r="QVF188" s="36"/>
      <c r="QVG188" s="36"/>
      <c r="QVH188" s="36"/>
      <c r="QVI188" s="36"/>
      <c r="QVJ188" s="36"/>
      <c r="QVK188" s="36"/>
      <c r="QVL188" s="36"/>
      <c r="QVM188" s="36"/>
      <c r="QVN188" s="36"/>
      <c r="QVO188" s="36"/>
      <c r="QVP188" s="36"/>
      <c r="QVQ188" s="36"/>
      <c r="QVR188" s="36"/>
      <c r="QVS188" s="36"/>
      <c r="QVT188" s="36"/>
      <c r="QVU188" s="36"/>
      <c r="QVV188" s="36"/>
      <c r="QVW188" s="36"/>
      <c r="QVX188" s="36"/>
      <c r="QVY188" s="36"/>
      <c r="QVZ188" s="36"/>
      <c r="QWA188" s="36"/>
      <c r="QWB188" s="36"/>
      <c r="QWC188" s="36"/>
      <c r="QWD188" s="36"/>
      <c r="QWE188" s="36"/>
      <c r="QWF188" s="36"/>
      <c r="QWG188" s="36"/>
      <c r="QWH188" s="36"/>
      <c r="QWI188" s="36"/>
      <c r="QWJ188" s="36"/>
      <c r="QWK188" s="36"/>
      <c r="QWL188" s="36"/>
      <c r="QWM188" s="36"/>
      <c r="QWN188" s="36"/>
      <c r="QWO188" s="36"/>
      <c r="QWP188" s="36"/>
      <c r="QWQ188" s="36"/>
      <c r="QWR188" s="36"/>
      <c r="QWS188" s="36"/>
      <c r="QWT188" s="36"/>
      <c r="QWU188" s="36"/>
      <c r="QWV188" s="36"/>
      <c r="QWW188" s="36"/>
      <c r="QWX188" s="36"/>
      <c r="QWY188" s="36"/>
      <c r="QWZ188" s="36"/>
      <c r="QXA188" s="36"/>
      <c r="QXB188" s="36"/>
      <c r="QXC188" s="36"/>
      <c r="QXD188" s="36"/>
      <c r="QXE188" s="36"/>
      <c r="QXF188" s="36"/>
      <c r="QXG188" s="36"/>
      <c r="QXH188" s="36"/>
      <c r="QXI188" s="36"/>
      <c r="QXJ188" s="36"/>
      <c r="QXK188" s="36"/>
      <c r="QXL188" s="36"/>
      <c r="QXM188" s="36"/>
      <c r="QXN188" s="36"/>
      <c r="QXO188" s="36"/>
      <c r="QXP188" s="36"/>
      <c r="QXQ188" s="36"/>
      <c r="QXR188" s="36"/>
      <c r="QXS188" s="36"/>
      <c r="QXT188" s="36"/>
      <c r="QXU188" s="36"/>
      <c r="QXV188" s="36"/>
      <c r="QXW188" s="36"/>
      <c r="QXX188" s="36"/>
      <c r="QXY188" s="36"/>
      <c r="QXZ188" s="36"/>
      <c r="QYA188" s="36"/>
      <c r="QYB188" s="36"/>
      <c r="QYC188" s="36"/>
      <c r="QYD188" s="36"/>
      <c r="QYE188" s="36"/>
      <c r="QYF188" s="36"/>
      <c r="QYG188" s="36"/>
      <c r="QYH188" s="36"/>
      <c r="QYI188" s="36"/>
      <c r="QYJ188" s="36"/>
      <c r="QYK188" s="36"/>
      <c r="QYL188" s="36"/>
      <c r="QYM188" s="36"/>
      <c r="QYN188" s="36"/>
      <c r="QYO188" s="36"/>
      <c r="QYP188" s="36"/>
      <c r="QYQ188" s="36"/>
      <c r="QYR188" s="36"/>
      <c r="QYS188" s="36"/>
      <c r="QYT188" s="36"/>
      <c r="QYU188" s="36"/>
      <c r="QYV188" s="36"/>
      <c r="QYW188" s="36"/>
      <c r="QYX188" s="36"/>
      <c r="QYY188" s="36"/>
      <c r="QYZ188" s="36"/>
      <c r="QZA188" s="36"/>
      <c r="QZB188" s="36"/>
      <c r="QZC188" s="36"/>
      <c r="QZD188" s="36"/>
      <c r="QZE188" s="36"/>
      <c r="QZF188" s="36"/>
      <c r="QZG188" s="36"/>
      <c r="QZH188" s="36"/>
      <c r="QZI188" s="36"/>
      <c r="QZJ188" s="36"/>
      <c r="QZK188" s="36"/>
      <c r="QZL188" s="36"/>
      <c r="QZM188" s="36"/>
      <c r="QZN188" s="36"/>
      <c r="QZO188" s="36"/>
      <c r="QZP188" s="36"/>
      <c r="QZQ188" s="36"/>
      <c r="QZR188" s="36"/>
      <c r="QZS188" s="36"/>
      <c r="QZT188" s="36"/>
      <c r="QZU188" s="36"/>
      <c r="QZV188" s="36"/>
      <c r="QZW188" s="36"/>
      <c r="QZX188" s="36"/>
      <c r="QZY188" s="36"/>
      <c r="QZZ188" s="36"/>
      <c r="RAA188" s="36"/>
      <c r="RAB188" s="36"/>
      <c r="RAC188" s="36"/>
      <c r="RAD188" s="36"/>
      <c r="RAE188" s="36"/>
      <c r="RAF188" s="36"/>
      <c r="RAG188" s="36"/>
      <c r="RAH188" s="36"/>
      <c r="RAI188" s="36"/>
      <c r="RAJ188" s="36"/>
      <c r="RAK188" s="36"/>
      <c r="RAL188" s="36"/>
      <c r="RAM188" s="36"/>
      <c r="RAN188" s="36"/>
      <c r="RAO188" s="36"/>
      <c r="RAP188" s="36"/>
      <c r="RAQ188" s="36"/>
      <c r="RAR188" s="36"/>
      <c r="RAS188" s="36"/>
      <c r="RAT188" s="36"/>
      <c r="RAU188" s="36"/>
      <c r="RAV188" s="36"/>
      <c r="RAW188" s="36"/>
      <c r="RAX188" s="36"/>
      <c r="RAY188" s="36"/>
      <c r="RAZ188" s="36"/>
      <c r="RBA188" s="36"/>
      <c r="RBB188" s="36"/>
      <c r="RBC188" s="36"/>
      <c r="RBD188" s="36"/>
      <c r="RBE188" s="36"/>
      <c r="RBF188" s="36"/>
      <c r="RBG188" s="36"/>
      <c r="RBH188" s="36"/>
      <c r="RBI188" s="36"/>
      <c r="RBJ188" s="36"/>
      <c r="RBK188" s="36"/>
      <c r="RBL188" s="36"/>
      <c r="RBM188" s="36"/>
      <c r="RBN188" s="36"/>
      <c r="RBO188" s="36"/>
      <c r="RBP188" s="36"/>
      <c r="RBQ188" s="36"/>
      <c r="RBR188" s="36"/>
      <c r="RBS188" s="36"/>
      <c r="RBT188" s="36"/>
      <c r="RBU188" s="36"/>
      <c r="RBV188" s="36"/>
      <c r="RBW188" s="36"/>
      <c r="RBX188" s="36"/>
      <c r="RBY188" s="36"/>
      <c r="RBZ188" s="36"/>
      <c r="RCA188" s="36"/>
      <c r="RCB188" s="36"/>
      <c r="RCC188" s="36"/>
      <c r="RCD188" s="36"/>
      <c r="RCE188" s="36"/>
      <c r="RCF188" s="36"/>
      <c r="RCG188" s="36"/>
      <c r="RCH188" s="36"/>
      <c r="RCI188" s="36"/>
      <c r="RCJ188" s="36"/>
      <c r="RCK188" s="36"/>
      <c r="RCL188" s="36"/>
      <c r="RCM188" s="36"/>
      <c r="RCN188" s="36"/>
      <c r="RCO188" s="36"/>
      <c r="RCP188" s="36"/>
      <c r="RCQ188" s="36"/>
      <c r="RCR188" s="36"/>
      <c r="RCS188" s="36"/>
      <c r="RCT188" s="36"/>
      <c r="RCU188" s="36"/>
      <c r="RCV188" s="36"/>
      <c r="RCW188" s="36"/>
      <c r="RCX188" s="36"/>
      <c r="RCY188" s="36"/>
      <c r="RCZ188" s="36"/>
      <c r="RDA188" s="36"/>
      <c r="RDB188" s="36"/>
      <c r="RDC188" s="36"/>
      <c r="RDD188" s="36"/>
      <c r="RDE188" s="36"/>
      <c r="RDF188" s="36"/>
      <c r="RDG188" s="36"/>
      <c r="RDH188" s="36"/>
      <c r="RDI188" s="36"/>
      <c r="RDJ188" s="36"/>
      <c r="RDK188" s="36"/>
      <c r="RDL188" s="36"/>
      <c r="RDM188" s="36"/>
      <c r="RDN188" s="36"/>
      <c r="RDO188" s="36"/>
      <c r="RDP188" s="36"/>
      <c r="RDQ188" s="36"/>
      <c r="RDR188" s="36"/>
      <c r="RDS188" s="36"/>
      <c r="RDT188" s="36"/>
      <c r="RDU188" s="36"/>
      <c r="RDV188" s="36"/>
      <c r="RDW188" s="36"/>
      <c r="RDX188" s="36"/>
      <c r="RDY188" s="36"/>
      <c r="RDZ188" s="36"/>
      <c r="REA188" s="36"/>
      <c r="REB188" s="36"/>
      <c r="REC188" s="36"/>
      <c r="RED188" s="36"/>
      <c r="REE188" s="36"/>
      <c r="REF188" s="36"/>
      <c r="REG188" s="36"/>
      <c r="REH188" s="36"/>
      <c r="REI188" s="36"/>
      <c r="REJ188" s="36"/>
      <c r="REK188" s="36"/>
      <c r="REL188" s="36"/>
      <c r="REM188" s="36"/>
      <c r="REN188" s="36"/>
      <c r="REO188" s="36"/>
      <c r="REP188" s="36"/>
      <c r="REQ188" s="36"/>
      <c r="RER188" s="36"/>
      <c r="RES188" s="36"/>
      <c r="RET188" s="36"/>
      <c r="REU188" s="36"/>
      <c r="REV188" s="36"/>
      <c r="REW188" s="36"/>
      <c r="REX188" s="36"/>
      <c r="REY188" s="36"/>
      <c r="REZ188" s="36"/>
      <c r="RFA188" s="36"/>
      <c r="RFB188" s="36"/>
      <c r="RFC188" s="36"/>
      <c r="RFD188" s="36"/>
      <c r="RFE188" s="36"/>
      <c r="RFF188" s="36"/>
      <c r="RFG188" s="36"/>
      <c r="RFH188" s="36"/>
      <c r="RFI188" s="36"/>
      <c r="RFJ188" s="36"/>
      <c r="RFK188" s="36"/>
      <c r="RFL188" s="36"/>
      <c r="RFM188" s="36"/>
      <c r="RFN188" s="36"/>
      <c r="RFO188" s="36"/>
      <c r="RFP188" s="36"/>
      <c r="RFQ188" s="36"/>
      <c r="RFR188" s="36"/>
      <c r="RFS188" s="36"/>
      <c r="RFT188" s="36"/>
      <c r="RFU188" s="36"/>
      <c r="RFV188" s="36"/>
      <c r="RFW188" s="36"/>
      <c r="RFX188" s="36"/>
      <c r="RFY188" s="36"/>
      <c r="RFZ188" s="36"/>
      <c r="RGA188" s="36"/>
      <c r="RGB188" s="36"/>
      <c r="RGC188" s="36"/>
      <c r="RGD188" s="36"/>
      <c r="RGE188" s="36"/>
      <c r="RGF188" s="36"/>
      <c r="RGG188" s="36"/>
      <c r="RGH188" s="36"/>
      <c r="RGI188" s="36"/>
      <c r="RGJ188" s="36"/>
      <c r="RGK188" s="36"/>
      <c r="RGL188" s="36"/>
      <c r="RGM188" s="36"/>
      <c r="RGN188" s="36"/>
      <c r="RGO188" s="36"/>
      <c r="RGP188" s="36"/>
      <c r="RGQ188" s="36"/>
      <c r="RGR188" s="36"/>
      <c r="RGS188" s="36"/>
      <c r="RGT188" s="36"/>
      <c r="RGU188" s="36"/>
      <c r="RGV188" s="36"/>
      <c r="RGW188" s="36"/>
      <c r="RGX188" s="36"/>
      <c r="RGY188" s="36"/>
      <c r="RGZ188" s="36"/>
      <c r="RHA188" s="36"/>
      <c r="RHB188" s="36"/>
      <c r="RHC188" s="36"/>
      <c r="RHD188" s="36"/>
      <c r="RHE188" s="36"/>
      <c r="RHF188" s="36"/>
      <c r="RHG188" s="36"/>
      <c r="RHH188" s="36"/>
      <c r="RHI188" s="36"/>
      <c r="RHJ188" s="36"/>
      <c r="RHK188" s="36"/>
      <c r="RHL188" s="36"/>
      <c r="RHM188" s="36"/>
      <c r="RHN188" s="36"/>
      <c r="RHO188" s="36"/>
      <c r="RHP188" s="36"/>
      <c r="RHQ188" s="36"/>
      <c r="RHR188" s="36"/>
      <c r="RHS188" s="36"/>
      <c r="RHT188" s="36"/>
      <c r="RHU188" s="36"/>
      <c r="RHV188" s="36"/>
      <c r="RHW188" s="36"/>
      <c r="RHX188" s="36"/>
      <c r="RHY188" s="36"/>
      <c r="RHZ188" s="36"/>
      <c r="RIA188" s="36"/>
      <c r="RIB188" s="36"/>
      <c r="RIC188" s="36"/>
      <c r="RID188" s="36"/>
      <c r="RIE188" s="36"/>
      <c r="RIF188" s="36"/>
      <c r="RIG188" s="36"/>
      <c r="RIH188" s="36"/>
      <c r="RII188" s="36"/>
      <c r="RIJ188" s="36"/>
      <c r="RIK188" s="36"/>
      <c r="RIL188" s="36"/>
      <c r="RIM188" s="36"/>
      <c r="RIN188" s="36"/>
      <c r="RIO188" s="36"/>
      <c r="RIP188" s="36"/>
      <c r="RIQ188" s="36"/>
      <c r="RIR188" s="36"/>
      <c r="RIS188" s="36"/>
      <c r="RIT188" s="36"/>
      <c r="RIU188" s="36"/>
      <c r="RIV188" s="36"/>
      <c r="RIW188" s="36"/>
      <c r="RIX188" s="36"/>
      <c r="RIY188" s="36"/>
      <c r="RIZ188" s="36"/>
      <c r="RJA188" s="36"/>
      <c r="RJB188" s="36"/>
      <c r="RJC188" s="36"/>
      <c r="RJD188" s="36"/>
      <c r="RJE188" s="36"/>
      <c r="RJF188" s="36"/>
      <c r="RJG188" s="36"/>
      <c r="RJH188" s="36"/>
      <c r="RJI188" s="36"/>
      <c r="RJJ188" s="36"/>
      <c r="RJK188" s="36"/>
      <c r="RJL188" s="36"/>
      <c r="RJM188" s="36"/>
      <c r="RJN188" s="36"/>
      <c r="RJO188" s="36"/>
      <c r="RJP188" s="36"/>
      <c r="RJQ188" s="36"/>
      <c r="RJR188" s="36"/>
      <c r="RJS188" s="36"/>
      <c r="RJT188" s="36"/>
      <c r="RJU188" s="36"/>
      <c r="RJV188" s="36"/>
      <c r="RJW188" s="36"/>
      <c r="RJX188" s="36"/>
      <c r="RJY188" s="36"/>
      <c r="RJZ188" s="36"/>
      <c r="RKA188" s="36"/>
      <c r="RKB188" s="36"/>
      <c r="RKC188" s="36"/>
      <c r="RKD188" s="36"/>
      <c r="RKE188" s="36"/>
      <c r="RKF188" s="36"/>
      <c r="RKG188" s="36"/>
      <c r="RKH188" s="36"/>
      <c r="RKI188" s="36"/>
      <c r="RKJ188" s="36"/>
      <c r="RKK188" s="36"/>
      <c r="RKL188" s="36"/>
      <c r="RKM188" s="36"/>
      <c r="RKN188" s="36"/>
      <c r="RKO188" s="36"/>
      <c r="RKP188" s="36"/>
      <c r="RKQ188" s="36"/>
      <c r="RKR188" s="36"/>
      <c r="RKS188" s="36"/>
      <c r="RKT188" s="36"/>
      <c r="RKU188" s="36"/>
      <c r="RKV188" s="36"/>
      <c r="RKW188" s="36"/>
      <c r="RKX188" s="36"/>
      <c r="RKY188" s="36"/>
      <c r="RKZ188" s="36"/>
      <c r="RLA188" s="36"/>
      <c r="RLB188" s="36"/>
      <c r="RLC188" s="36"/>
      <c r="RLD188" s="36"/>
      <c r="RLE188" s="36"/>
      <c r="RLF188" s="36"/>
      <c r="RLG188" s="36"/>
      <c r="RLH188" s="36"/>
      <c r="RLI188" s="36"/>
      <c r="RLJ188" s="36"/>
      <c r="RLK188" s="36"/>
      <c r="RLL188" s="36"/>
      <c r="RLM188" s="36"/>
      <c r="RLN188" s="36"/>
      <c r="RLO188" s="36"/>
      <c r="RLP188" s="36"/>
      <c r="RLQ188" s="36"/>
      <c r="RLR188" s="36"/>
      <c r="RLS188" s="36"/>
      <c r="RLT188" s="36"/>
      <c r="RLU188" s="36"/>
      <c r="RLV188" s="36"/>
      <c r="RLW188" s="36"/>
      <c r="RLX188" s="36"/>
      <c r="RLY188" s="36"/>
      <c r="RLZ188" s="36"/>
      <c r="RMA188" s="36"/>
      <c r="RMB188" s="36"/>
      <c r="RMC188" s="36"/>
      <c r="RMD188" s="36"/>
      <c r="RME188" s="36"/>
      <c r="RMF188" s="36"/>
      <c r="RMG188" s="36"/>
      <c r="RMH188" s="36"/>
      <c r="RMI188" s="36"/>
      <c r="RMJ188" s="36"/>
      <c r="RMK188" s="36"/>
      <c r="RML188" s="36"/>
      <c r="RMM188" s="36"/>
      <c r="RMN188" s="36"/>
      <c r="RMO188" s="36"/>
      <c r="RMP188" s="36"/>
      <c r="RMQ188" s="36"/>
      <c r="RMR188" s="36"/>
      <c r="RMS188" s="36"/>
      <c r="RMT188" s="36"/>
      <c r="RMU188" s="36"/>
      <c r="RMV188" s="36"/>
      <c r="RMW188" s="36"/>
      <c r="RMX188" s="36"/>
      <c r="RMY188" s="36"/>
      <c r="RMZ188" s="36"/>
      <c r="RNA188" s="36"/>
      <c r="RNB188" s="36"/>
      <c r="RNC188" s="36"/>
      <c r="RND188" s="36"/>
      <c r="RNE188" s="36"/>
      <c r="RNF188" s="36"/>
      <c r="RNG188" s="36"/>
      <c r="RNH188" s="36"/>
      <c r="RNI188" s="36"/>
      <c r="RNJ188" s="36"/>
      <c r="RNK188" s="36"/>
      <c r="RNL188" s="36"/>
      <c r="RNM188" s="36"/>
      <c r="RNN188" s="36"/>
      <c r="RNO188" s="36"/>
      <c r="RNP188" s="36"/>
      <c r="RNQ188" s="36"/>
      <c r="RNR188" s="36"/>
      <c r="RNS188" s="36"/>
      <c r="RNT188" s="36"/>
      <c r="RNU188" s="36"/>
      <c r="RNV188" s="36"/>
      <c r="RNW188" s="36"/>
      <c r="RNX188" s="36"/>
      <c r="RNY188" s="36"/>
      <c r="RNZ188" s="36"/>
      <c r="ROA188" s="36"/>
      <c r="ROB188" s="36"/>
      <c r="ROC188" s="36"/>
      <c r="ROD188" s="36"/>
      <c r="ROE188" s="36"/>
      <c r="ROF188" s="36"/>
      <c r="ROG188" s="36"/>
      <c r="ROH188" s="36"/>
      <c r="ROI188" s="36"/>
      <c r="ROJ188" s="36"/>
      <c r="ROK188" s="36"/>
      <c r="ROL188" s="36"/>
      <c r="ROM188" s="36"/>
      <c r="RON188" s="36"/>
      <c r="ROO188" s="36"/>
      <c r="ROP188" s="36"/>
      <c r="ROQ188" s="36"/>
      <c r="ROR188" s="36"/>
      <c r="ROS188" s="36"/>
      <c r="ROT188" s="36"/>
      <c r="ROU188" s="36"/>
      <c r="ROV188" s="36"/>
      <c r="ROW188" s="36"/>
      <c r="ROX188" s="36"/>
      <c r="ROY188" s="36"/>
      <c r="ROZ188" s="36"/>
      <c r="RPA188" s="36"/>
      <c r="RPB188" s="36"/>
      <c r="RPC188" s="36"/>
      <c r="RPD188" s="36"/>
      <c r="RPE188" s="36"/>
      <c r="RPF188" s="36"/>
      <c r="RPG188" s="36"/>
      <c r="RPH188" s="36"/>
      <c r="RPI188" s="36"/>
      <c r="RPJ188" s="36"/>
      <c r="RPK188" s="36"/>
      <c r="RPL188" s="36"/>
      <c r="RPM188" s="36"/>
      <c r="RPN188" s="36"/>
      <c r="RPO188" s="36"/>
      <c r="RPP188" s="36"/>
      <c r="RPQ188" s="36"/>
      <c r="RPR188" s="36"/>
      <c r="RPS188" s="36"/>
      <c r="RPT188" s="36"/>
      <c r="RPU188" s="36"/>
      <c r="RPV188" s="36"/>
      <c r="RPW188" s="36"/>
      <c r="RPX188" s="36"/>
      <c r="RPY188" s="36"/>
      <c r="RPZ188" s="36"/>
      <c r="RQA188" s="36"/>
      <c r="RQB188" s="36"/>
      <c r="RQC188" s="36"/>
      <c r="RQD188" s="36"/>
      <c r="RQE188" s="36"/>
      <c r="RQF188" s="36"/>
      <c r="RQG188" s="36"/>
      <c r="RQH188" s="36"/>
      <c r="RQI188" s="36"/>
      <c r="RQJ188" s="36"/>
      <c r="RQK188" s="36"/>
      <c r="RQL188" s="36"/>
      <c r="RQM188" s="36"/>
      <c r="RQN188" s="36"/>
      <c r="RQO188" s="36"/>
      <c r="RQP188" s="36"/>
      <c r="RQQ188" s="36"/>
      <c r="RQR188" s="36"/>
      <c r="RQS188" s="36"/>
      <c r="RQT188" s="36"/>
      <c r="RQU188" s="36"/>
      <c r="RQV188" s="36"/>
      <c r="RQW188" s="36"/>
      <c r="RQX188" s="36"/>
      <c r="RQY188" s="36"/>
      <c r="RQZ188" s="36"/>
      <c r="RRA188" s="36"/>
      <c r="RRB188" s="36"/>
      <c r="RRC188" s="36"/>
      <c r="RRD188" s="36"/>
      <c r="RRE188" s="36"/>
      <c r="RRF188" s="36"/>
      <c r="RRG188" s="36"/>
      <c r="RRH188" s="36"/>
      <c r="RRI188" s="36"/>
      <c r="RRJ188" s="36"/>
      <c r="RRK188" s="36"/>
      <c r="RRL188" s="36"/>
      <c r="RRM188" s="36"/>
      <c r="RRN188" s="36"/>
      <c r="RRO188" s="36"/>
      <c r="RRP188" s="36"/>
      <c r="RRQ188" s="36"/>
      <c r="RRR188" s="36"/>
      <c r="RRS188" s="36"/>
      <c r="RRT188" s="36"/>
      <c r="RRU188" s="36"/>
      <c r="RRV188" s="36"/>
      <c r="RRW188" s="36"/>
      <c r="RRX188" s="36"/>
      <c r="RRY188" s="36"/>
      <c r="RRZ188" s="36"/>
      <c r="RSA188" s="36"/>
      <c r="RSB188" s="36"/>
      <c r="RSC188" s="36"/>
      <c r="RSD188" s="36"/>
      <c r="RSE188" s="36"/>
      <c r="RSF188" s="36"/>
      <c r="RSG188" s="36"/>
      <c r="RSH188" s="36"/>
      <c r="RSI188" s="36"/>
      <c r="RSJ188" s="36"/>
      <c r="RSK188" s="36"/>
      <c r="RSL188" s="36"/>
      <c r="RSM188" s="36"/>
      <c r="RSN188" s="36"/>
      <c r="RSO188" s="36"/>
      <c r="RSP188" s="36"/>
      <c r="RSQ188" s="36"/>
      <c r="RSR188" s="36"/>
      <c r="RSS188" s="36"/>
      <c r="RST188" s="36"/>
      <c r="RSU188" s="36"/>
      <c r="RSV188" s="36"/>
      <c r="RSW188" s="36"/>
      <c r="RSX188" s="36"/>
      <c r="RSY188" s="36"/>
      <c r="RSZ188" s="36"/>
      <c r="RTA188" s="36"/>
      <c r="RTB188" s="36"/>
      <c r="RTC188" s="36"/>
      <c r="RTD188" s="36"/>
      <c r="RTE188" s="36"/>
      <c r="RTF188" s="36"/>
      <c r="RTG188" s="36"/>
      <c r="RTH188" s="36"/>
      <c r="RTI188" s="36"/>
      <c r="RTJ188" s="36"/>
      <c r="RTK188" s="36"/>
      <c r="RTL188" s="36"/>
      <c r="RTM188" s="36"/>
      <c r="RTN188" s="36"/>
      <c r="RTO188" s="36"/>
      <c r="RTP188" s="36"/>
      <c r="RTQ188" s="36"/>
      <c r="RTR188" s="36"/>
      <c r="RTS188" s="36"/>
      <c r="RTT188" s="36"/>
      <c r="RTU188" s="36"/>
      <c r="RTV188" s="36"/>
      <c r="RTW188" s="36"/>
      <c r="RTX188" s="36"/>
      <c r="RTY188" s="36"/>
      <c r="RTZ188" s="36"/>
      <c r="RUA188" s="36"/>
      <c r="RUB188" s="36"/>
      <c r="RUC188" s="36"/>
      <c r="RUD188" s="36"/>
      <c r="RUE188" s="36"/>
      <c r="RUF188" s="36"/>
      <c r="RUG188" s="36"/>
      <c r="RUH188" s="36"/>
      <c r="RUI188" s="36"/>
      <c r="RUJ188" s="36"/>
      <c r="RUK188" s="36"/>
      <c r="RUL188" s="36"/>
      <c r="RUM188" s="36"/>
      <c r="RUN188" s="36"/>
      <c r="RUO188" s="36"/>
      <c r="RUP188" s="36"/>
      <c r="RUQ188" s="36"/>
      <c r="RUR188" s="36"/>
      <c r="RUS188" s="36"/>
      <c r="RUT188" s="36"/>
      <c r="RUU188" s="36"/>
      <c r="RUV188" s="36"/>
      <c r="RUW188" s="36"/>
      <c r="RUX188" s="36"/>
      <c r="RUY188" s="36"/>
      <c r="RUZ188" s="36"/>
      <c r="RVA188" s="36"/>
      <c r="RVB188" s="36"/>
      <c r="RVC188" s="36"/>
      <c r="RVD188" s="36"/>
      <c r="RVE188" s="36"/>
      <c r="RVF188" s="36"/>
      <c r="RVG188" s="36"/>
      <c r="RVH188" s="36"/>
      <c r="RVI188" s="36"/>
      <c r="RVJ188" s="36"/>
      <c r="RVK188" s="36"/>
      <c r="RVL188" s="36"/>
      <c r="RVM188" s="36"/>
      <c r="RVN188" s="36"/>
      <c r="RVO188" s="36"/>
      <c r="RVP188" s="36"/>
      <c r="RVQ188" s="36"/>
      <c r="RVR188" s="36"/>
      <c r="RVS188" s="36"/>
      <c r="RVT188" s="36"/>
      <c r="RVU188" s="36"/>
      <c r="RVV188" s="36"/>
      <c r="RVW188" s="36"/>
      <c r="RVX188" s="36"/>
      <c r="RVY188" s="36"/>
      <c r="RVZ188" s="36"/>
      <c r="RWA188" s="36"/>
      <c r="RWB188" s="36"/>
      <c r="RWC188" s="36"/>
      <c r="RWD188" s="36"/>
      <c r="RWE188" s="36"/>
      <c r="RWF188" s="36"/>
      <c r="RWG188" s="36"/>
      <c r="RWH188" s="36"/>
      <c r="RWI188" s="36"/>
      <c r="RWJ188" s="36"/>
      <c r="RWK188" s="36"/>
      <c r="RWL188" s="36"/>
      <c r="RWM188" s="36"/>
      <c r="RWN188" s="36"/>
      <c r="RWO188" s="36"/>
      <c r="RWP188" s="36"/>
      <c r="RWQ188" s="36"/>
      <c r="RWR188" s="36"/>
      <c r="RWS188" s="36"/>
      <c r="RWT188" s="36"/>
      <c r="RWU188" s="36"/>
      <c r="RWV188" s="36"/>
      <c r="RWW188" s="36"/>
      <c r="RWX188" s="36"/>
      <c r="RWY188" s="36"/>
      <c r="RWZ188" s="36"/>
      <c r="RXA188" s="36"/>
      <c r="RXB188" s="36"/>
      <c r="RXC188" s="36"/>
      <c r="RXD188" s="36"/>
      <c r="RXE188" s="36"/>
      <c r="RXF188" s="36"/>
      <c r="RXG188" s="36"/>
      <c r="RXH188" s="36"/>
      <c r="RXI188" s="36"/>
      <c r="RXJ188" s="36"/>
      <c r="RXK188" s="36"/>
      <c r="RXL188" s="36"/>
      <c r="RXM188" s="36"/>
      <c r="RXN188" s="36"/>
      <c r="RXO188" s="36"/>
      <c r="RXP188" s="36"/>
      <c r="RXQ188" s="36"/>
      <c r="RXR188" s="36"/>
      <c r="RXS188" s="36"/>
      <c r="RXT188" s="36"/>
      <c r="RXU188" s="36"/>
      <c r="RXV188" s="36"/>
      <c r="RXW188" s="36"/>
      <c r="RXX188" s="36"/>
      <c r="RXY188" s="36"/>
      <c r="RXZ188" s="36"/>
      <c r="RYA188" s="36"/>
      <c r="RYB188" s="36"/>
      <c r="RYC188" s="36"/>
      <c r="RYD188" s="36"/>
      <c r="RYE188" s="36"/>
      <c r="RYF188" s="36"/>
      <c r="RYG188" s="36"/>
      <c r="RYH188" s="36"/>
      <c r="RYI188" s="36"/>
      <c r="RYJ188" s="36"/>
      <c r="RYK188" s="36"/>
      <c r="RYL188" s="36"/>
      <c r="RYM188" s="36"/>
      <c r="RYN188" s="36"/>
      <c r="RYO188" s="36"/>
      <c r="RYP188" s="36"/>
      <c r="RYQ188" s="36"/>
      <c r="RYR188" s="36"/>
      <c r="RYS188" s="36"/>
      <c r="RYT188" s="36"/>
      <c r="RYU188" s="36"/>
      <c r="RYV188" s="36"/>
      <c r="RYW188" s="36"/>
      <c r="RYX188" s="36"/>
      <c r="RYY188" s="36"/>
      <c r="RYZ188" s="36"/>
      <c r="RZA188" s="36"/>
      <c r="RZB188" s="36"/>
      <c r="RZC188" s="36"/>
      <c r="RZD188" s="36"/>
      <c r="RZE188" s="36"/>
      <c r="RZF188" s="36"/>
      <c r="RZG188" s="36"/>
      <c r="RZH188" s="36"/>
      <c r="RZI188" s="36"/>
      <c r="RZJ188" s="36"/>
      <c r="RZK188" s="36"/>
      <c r="RZL188" s="36"/>
      <c r="RZM188" s="36"/>
      <c r="RZN188" s="36"/>
      <c r="RZO188" s="36"/>
      <c r="RZP188" s="36"/>
      <c r="RZQ188" s="36"/>
      <c r="RZR188" s="36"/>
      <c r="RZS188" s="36"/>
      <c r="RZT188" s="36"/>
      <c r="RZU188" s="36"/>
      <c r="RZV188" s="36"/>
      <c r="RZW188" s="36"/>
      <c r="RZX188" s="36"/>
      <c r="RZY188" s="36"/>
      <c r="RZZ188" s="36"/>
      <c r="SAA188" s="36"/>
      <c r="SAB188" s="36"/>
      <c r="SAC188" s="36"/>
      <c r="SAD188" s="36"/>
      <c r="SAE188" s="36"/>
      <c r="SAF188" s="36"/>
      <c r="SAG188" s="36"/>
      <c r="SAH188" s="36"/>
      <c r="SAI188" s="36"/>
      <c r="SAJ188" s="36"/>
      <c r="SAK188" s="36"/>
      <c r="SAL188" s="36"/>
      <c r="SAM188" s="36"/>
      <c r="SAN188" s="36"/>
      <c r="SAO188" s="36"/>
      <c r="SAP188" s="36"/>
      <c r="SAQ188" s="36"/>
      <c r="SAR188" s="36"/>
      <c r="SAS188" s="36"/>
      <c r="SAT188" s="36"/>
      <c r="SAU188" s="36"/>
      <c r="SAV188" s="36"/>
      <c r="SAW188" s="36"/>
      <c r="SAX188" s="36"/>
      <c r="SAY188" s="36"/>
      <c r="SAZ188" s="36"/>
      <c r="SBA188" s="36"/>
      <c r="SBB188" s="36"/>
      <c r="SBC188" s="36"/>
      <c r="SBD188" s="36"/>
      <c r="SBE188" s="36"/>
      <c r="SBF188" s="36"/>
      <c r="SBG188" s="36"/>
      <c r="SBH188" s="36"/>
      <c r="SBI188" s="36"/>
      <c r="SBJ188" s="36"/>
      <c r="SBK188" s="36"/>
      <c r="SBL188" s="36"/>
      <c r="SBM188" s="36"/>
      <c r="SBN188" s="36"/>
      <c r="SBO188" s="36"/>
      <c r="SBP188" s="36"/>
      <c r="SBQ188" s="36"/>
      <c r="SBR188" s="36"/>
      <c r="SBS188" s="36"/>
      <c r="SBT188" s="36"/>
      <c r="SBU188" s="36"/>
      <c r="SBV188" s="36"/>
      <c r="SBW188" s="36"/>
      <c r="SBX188" s="36"/>
      <c r="SBY188" s="36"/>
      <c r="SBZ188" s="36"/>
      <c r="SCA188" s="36"/>
      <c r="SCB188" s="36"/>
      <c r="SCC188" s="36"/>
      <c r="SCD188" s="36"/>
      <c r="SCE188" s="36"/>
      <c r="SCF188" s="36"/>
      <c r="SCG188" s="36"/>
      <c r="SCH188" s="36"/>
      <c r="SCI188" s="36"/>
      <c r="SCJ188" s="36"/>
      <c r="SCK188" s="36"/>
      <c r="SCL188" s="36"/>
      <c r="SCM188" s="36"/>
      <c r="SCN188" s="36"/>
      <c r="SCO188" s="36"/>
      <c r="SCP188" s="36"/>
      <c r="SCQ188" s="36"/>
      <c r="SCR188" s="36"/>
      <c r="SCS188" s="36"/>
      <c r="SCT188" s="36"/>
      <c r="SCU188" s="36"/>
      <c r="SCV188" s="36"/>
      <c r="SCW188" s="36"/>
      <c r="SCX188" s="36"/>
      <c r="SCY188" s="36"/>
      <c r="SCZ188" s="36"/>
      <c r="SDA188" s="36"/>
      <c r="SDB188" s="36"/>
      <c r="SDC188" s="36"/>
      <c r="SDD188" s="36"/>
      <c r="SDE188" s="36"/>
      <c r="SDF188" s="36"/>
      <c r="SDG188" s="36"/>
      <c r="SDH188" s="36"/>
      <c r="SDI188" s="36"/>
      <c r="SDJ188" s="36"/>
      <c r="SDK188" s="36"/>
      <c r="SDL188" s="36"/>
      <c r="SDM188" s="36"/>
      <c r="SDN188" s="36"/>
      <c r="SDO188" s="36"/>
      <c r="SDP188" s="36"/>
      <c r="SDQ188" s="36"/>
      <c r="SDR188" s="36"/>
      <c r="SDS188" s="36"/>
      <c r="SDT188" s="36"/>
      <c r="SDU188" s="36"/>
      <c r="SDV188" s="36"/>
      <c r="SDW188" s="36"/>
      <c r="SDX188" s="36"/>
      <c r="SDY188" s="36"/>
      <c r="SDZ188" s="36"/>
      <c r="SEA188" s="36"/>
      <c r="SEB188" s="36"/>
      <c r="SEC188" s="36"/>
      <c r="SED188" s="36"/>
      <c r="SEE188" s="36"/>
      <c r="SEF188" s="36"/>
      <c r="SEG188" s="36"/>
      <c r="SEH188" s="36"/>
      <c r="SEI188" s="36"/>
      <c r="SEJ188" s="36"/>
      <c r="SEK188" s="36"/>
      <c r="SEL188" s="36"/>
      <c r="SEM188" s="36"/>
      <c r="SEN188" s="36"/>
      <c r="SEO188" s="36"/>
      <c r="SEP188" s="36"/>
      <c r="SEQ188" s="36"/>
      <c r="SER188" s="36"/>
      <c r="SES188" s="36"/>
      <c r="SET188" s="36"/>
      <c r="SEU188" s="36"/>
      <c r="SEV188" s="36"/>
      <c r="SEW188" s="36"/>
      <c r="SEX188" s="36"/>
      <c r="SEY188" s="36"/>
      <c r="SEZ188" s="36"/>
      <c r="SFA188" s="36"/>
      <c r="SFB188" s="36"/>
      <c r="SFC188" s="36"/>
      <c r="SFD188" s="36"/>
      <c r="SFE188" s="36"/>
      <c r="SFF188" s="36"/>
      <c r="SFG188" s="36"/>
      <c r="SFH188" s="36"/>
      <c r="SFI188" s="36"/>
      <c r="SFJ188" s="36"/>
      <c r="SFK188" s="36"/>
      <c r="SFL188" s="36"/>
      <c r="SFM188" s="36"/>
      <c r="SFN188" s="36"/>
      <c r="SFO188" s="36"/>
      <c r="SFP188" s="36"/>
      <c r="SFQ188" s="36"/>
      <c r="SFR188" s="36"/>
      <c r="SFS188" s="36"/>
      <c r="SFT188" s="36"/>
      <c r="SFU188" s="36"/>
      <c r="SFV188" s="36"/>
      <c r="SFW188" s="36"/>
      <c r="SFX188" s="36"/>
      <c r="SFY188" s="36"/>
      <c r="SFZ188" s="36"/>
      <c r="SGA188" s="36"/>
      <c r="SGB188" s="36"/>
      <c r="SGC188" s="36"/>
      <c r="SGD188" s="36"/>
      <c r="SGE188" s="36"/>
      <c r="SGF188" s="36"/>
      <c r="SGG188" s="36"/>
      <c r="SGH188" s="36"/>
      <c r="SGI188" s="36"/>
      <c r="SGJ188" s="36"/>
      <c r="SGK188" s="36"/>
      <c r="SGL188" s="36"/>
      <c r="SGM188" s="36"/>
      <c r="SGN188" s="36"/>
      <c r="SGO188" s="36"/>
      <c r="SGP188" s="36"/>
      <c r="SGQ188" s="36"/>
      <c r="SGR188" s="36"/>
      <c r="SGS188" s="36"/>
      <c r="SGT188" s="36"/>
      <c r="SGU188" s="36"/>
      <c r="SGV188" s="36"/>
      <c r="SGW188" s="36"/>
      <c r="SGX188" s="36"/>
      <c r="SGY188" s="36"/>
      <c r="SGZ188" s="36"/>
      <c r="SHA188" s="36"/>
      <c r="SHB188" s="36"/>
      <c r="SHC188" s="36"/>
      <c r="SHD188" s="36"/>
      <c r="SHE188" s="36"/>
      <c r="SHF188" s="36"/>
      <c r="SHG188" s="36"/>
      <c r="SHH188" s="36"/>
      <c r="SHI188" s="36"/>
      <c r="SHJ188" s="36"/>
      <c r="SHK188" s="36"/>
      <c r="SHL188" s="36"/>
      <c r="SHM188" s="36"/>
      <c r="SHN188" s="36"/>
      <c r="SHO188" s="36"/>
      <c r="SHP188" s="36"/>
      <c r="SHQ188" s="36"/>
      <c r="SHR188" s="36"/>
      <c r="SHS188" s="36"/>
      <c r="SHT188" s="36"/>
      <c r="SHU188" s="36"/>
      <c r="SHV188" s="36"/>
      <c r="SHW188" s="36"/>
      <c r="SHX188" s="36"/>
      <c r="SHY188" s="36"/>
      <c r="SHZ188" s="36"/>
      <c r="SIA188" s="36"/>
      <c r="SIB188" s="36"/>
      <c r="SIC188" s="36"/>
      <c r="SID188" s="36"/>
      <c r="SIE188" s="36"/>
      <c r="SIF188" s="36"/>
      <c r="SIG188" s="36"/>
      <c r="SIH188" s="36"/>
      <c r="SII188" s="36"/>
      <c r="SIJ188" s="36"/>
      <c r="SIK188" s="36"/>
      <c r="SIL188" s="36"/>
      <c r="SIM188" s="36"/>
      <c r="SIN188" s="36"/>
      <c r="SIO188" s="36"/>
      <c r="SIP188" s="36"/>
      <c r="SIQ188" s="36"/>
      <c r="SIR188" s="36"/>
      <c r="SIS188" s="36"/>
      <c r="SIT188" s="36"/>
      <c r="SIU188" s="36"/>
      <c r="SIV188" s="36"/>
      <c r="SIW188" s="36"/>
      <c r="SIX188" s="36"/>
      <c r="SIY188" s="36"/>
      <c r="SIZ188" s="36"/>
      <c r="SJA188" s="36"/>
      <c r="SJB188" s="36"/>
      <c r="SJC188" s="36"/>
      <c r="SJD188" s="36"/>
      <c r="SJE188" s="36"/>
      <c r="SJF188" s="36"/>
      <c r="SJG188" s="36"/>
      <c r="SJH188" s="36"/>
      <c r="SJI188" s="36"/>
      <c r="SJJ188" s="36"/>
      <c r="SJK188" s="36"/>
      <c r="SJL188" s="36"/>
      <c r="SJM188" s="36"/>
      <c r="SJN188" s="36"/>
      <c r="SJO188" s="36"/>
      <c r="SJP188" s="36"/>
      <c r="SJQ188" s="36"/>
      <c r="SJR188" s="36"/>
      <c r="SJS188" s="36"/>
      <c r="SJT188" s="36"/>
      <c r="SJU188" s="36"/>
      <c r="SJV188" s="36"/>
      <c r="SJW188" s="36"/>
      <c r="SJX188" s="36"/>
      <c r="SJY188" s="36"/>
      <c r="SJZ188" s="36"/>
      <c r="SKA188" s="36"/>
      <c r="SKB188" s="36"/>
      <c r="SKC188" s="36"/>
      <c r="SKD188" s="36"/>
      <c r="SKE188" s="36"/>
      <c r="SKF188" s="36"/>
      <c r="SKG188" s="36"/>
      <c r="SKH188" s="36"/>
      <c r="SKI188" s="36"/>
      <c r="SKJ188" s="36"/>
      <c r="SKK188" s="36"/>
      <c r="SKL188" s="36"/>
      <c r="SKM188" s="36"/>
      <c r="SKN188" s="36"/>
      <c r="SKO188" s="36"/>
      <c r="SKP188" s="36"/>
      <c r="SKQ188" s="36"/>
      <c r="SKR188" s="36"/>
      <c r="SKS188" s="36"/>
      <c r="SKT188" s="36"/>
      <c r="SKU188" s="36"/>
      <c r="SKV188" s="36"/>
      <c r="SKW188" s="36"/>
      <c r="SKX188" s="36"/>
      <c r="SKY188" s="36"/>
      <c r="SKZ188" s="36"/>
      <c r="SLA188" s="36"/>
      <c r="SLB188" s="36"/>
      <c r="SLC188" s="36"/>
      <c r="SLD188" s="36"/>
      <c r="SLE188" s="36"/>
      <c r="SLF188" s="36"/>
      <c r="SLG188" s="36"/>
      <c r="SLH188" s="36"/>
      <c r="SLI188" s="36"/>
      <c r="SLJ188" s="36"/>
      <c r="SLK188" s="36"/>
      <c r="SLL188" s="36"/>
      <c r="SLM188" s="36"/>
      <c r="SLN188" s="36"/>
      <c r="SLO188" s="36"/>
      <c r="SLP188" s="36"/>
      <c r="SLQ188" s="36"/>
      <c r="SLR188" s="36"/>
      <c r="SLS188" s="36"/>
      <c r="SLT188" s="36"/>
      <c r="SLU188" s="36"/>
      <c r="SLV188" s="36"/>
      <c r="SLW188" s="36"/>
      <c r="SLX188" s="36"/>
      <c r="SLY188" s="36"/>
      <c r="SLZ188" s="36"/>
      <c r="SMA188" s="36"/>
      <c r="SMB188" s="36"/>
      <c r="SMC188" s="36"/>
      <c r="SMD188" s="36"/>
      <c r="SME188" s="36"/>
      <c r="SMF188" s="36"/>
      <c r="SMG188" s="36"/>
      <c r="SMH188" s="36"/>
      <c r="SMI188" s="36"/>
      <c r="SMJ188" s="36"/>
      <c r="SMK188" s="36"/>
      <c r="SML188" s="36"/>
      <c r="SMM188" s="36"/>
      <c r="SMN188" s="36"/>
      <c r="SMO188" s="36"/>
      <c r="SMP188" s="36"/>
      <c r="SMQ188" s="36"/>
      <c r="SMR188" s="36"/>
      <c r="SMS188" s="36"/>
      <c r="SMT188" s="36"/>
      <c r="SMU188" s="36"/>
      <c r="SMV188" s="36"/>
      <c r="SMW188" s="36"/>
      <c r="SMX188" s="36"/>
      <c r="SMY188" s="36"/>
      <c r="SMZ188" s="36"/>
      <c r="SNA188" s="36"/>
      <c r="SNB188" s="36"/>
      <c r="SNC188" s="36"/>
      <c r="SND188" s="36"/>
      <c r="SNE188" s="36"/>
      <c r="SNF188" s="36"/>
      <c r="SNG188" s="36"/>
      <c r="SNH188" s="36"/>
      <c r="SNI188" s="36"/>
      <c r="SNJ188" s="36"/>
      <c r="SNK188" s="36"/>
      <c r="SNL188" s="36"/>
      <c r="SNM188" s="36"/>
      <c r="SNN188" s="36"/>
      <c r="SNO188" s="36"/>
      <c r="SNP188" s="36"/>
      <c r="SNQ188" s="36"/>
      <c r="SNR188" s="36"/>
      <c r="SNS188" s="36"/>
      <c r="SNT188" s="36"/>
      <c r="SNU188" s="36"/>
      <c r="SNV188" s="36"/>
      <c r="SNW188" s="36"/>
      <c r="SNX188" s="36"/>
      <c r="SNY188" s="36"/>
      <c r="SNZ188" s="36"/>
      <c r="SOA188" s="36"/>
      <c r="SOB188" s="36"/>
      <c r="SOC188" s="36"/>
      <c r="SOD188" s="36"/>
      <c r="SOE188" s="36"/>
      <c r="SOF188" s="36"/>
      <c r="SOG188" s="36"/>
      <c r="SOH188" s="36"/>
      <c r="SOI188" s="36"/>
      <c r="SOJ188" s="36"/>
      <c r="SOK188" s="36"/>
      <c r="SOL188" s="36"/>
      <c r="SOM188" s="36"/>
      <c r="SON188" s="36"/>
      <c r="SOO188" s="36"/>
      <c r="SOP188" s="36"/>
      <c r="SOQ188" s="36"/>
      <c r="SOR188" s="36"/>
      <c r="SOS188" s="36"/>
      <c r="SOT188" s="36"/>
      <c r="SOU188" s="36"/>
      <c r="SOV188" s="36"/>
      <c r="SOW188" s="36"/>
      <c r="SOX188" s="36"/>
      <c r="SOY188" s="36"/>
      <c r="SOZ188" s="36"/>
      <c r="SPA188" s="36"/>
      <c r="SPB188" s="36"/>
      <c r="SPC188" s="36"/>
      <c r="SPD188" s="36"/>
      <c r="SPE188" s="36"/>
      <c r="SPF188" s="36"/>
      <c r="SPG188" s="36"/>
      <c r="SPH188" s="36"/>
      <c r="SPI188" s="36"/>
      <c r="SPJ188" s="36"/>
      <c r="SPK188" s="36"/>
      <c r="SPL188" s="36"/>
      <c r="SPM188" s="36"/>
      <c r="SPN188" s="36"/>
      <c r="SPO188" s="36"/>
      <c r="SPP188" s="36"/>
      <c r="SPQ188" s="36"/>
      <c r="SPR188" s="36"/>
      <c r="SPS188" s="36"/>
      <c r="SPT188" s="36"/>
      <c r="SPU188" s="36"/>
      <c r="SPV188" s="36"/>
      <c r="SPW188" s="36"/>
      <c r="SPX188" s="36"/>
      <c r="SPY188" s="36"/>
      <c r="SPZ188" s="36"/>
      <c r="SQA188" s="36"/>
      <c r="SQB188" s="36"/>
      <c r="SQC188" s="36"/>
      <c r="SQD188" s="36"/>
      <c r="SQE188" s="36"/>
      <c r="SQF188" s="36"/>
      <c r="SQG188" s="36"/>
      <c r="SQH188" s="36"/>
      <c r="SQI188" s="36"/>
      <c r="SQJ188" s="36"/>
      <c r="SQK188" s="36"/>
      <c r="SQL188" s="36"/>
      <c r="SQM188" s="36"/>
      <c r="SQN188" s="36"/>
      <c r="SQO188" s="36"/>
      <c r="SQP188" s="36"/>
      <c r="SQQ188" s="36"/>
      <c r="SQR188" s="36"/>
      <c r="SQS188" s="36"/>
      <c r="SQT188" s="36"/>
      <c r="SQU188" s="36"/>
      <c r="SQV188" s="36"/>
      <c r="SQW188" s="36"/>
      <c r="SQX188" s="36"/>
      <c r="SQY188" s="36"/>
      <c r="SQZ188" s="36"/>
      <c r="SRA188" s="36"/>
      <c r="SRB188" s="36"/>
      <c r="SRC188" s="36"/>
      <c r="SRD188" s="36"/>
      <c r="SRE188" s="36"/>
      <c r="SRF188" s="36"/>
      <c r="SRG188" s="36"/>
      <c r="SRH188" s="36"/>
      <c r="SRI188" s="36"/>
      <c r="SRJ188" s="36"/>
      <c r="SRK188" s="36"/>
      <c r="SRL188" s="36"/>
      <c r="SRM188" s="36"/>
      <c r="SRN188" s="36"/>
      <c r="SRO188" s="36"/>
      <c r="SRP188" s="36"/>
      <c r="SRQ188" s="36"/>
      <c r="SRR188" s="36"/>
      <c r="SRS188" s="36"/>
      <c r="SRT188" s="36"/>
      <c r="SRU188" s="36"/>
      <c r="SRV188" s="36"/>
      <c r="SRW188" s="36"/>
      <c r="SRX188" s="36"/>
      <c r="SRY188" s="36"/>
      <c r="SRZ188" s="36"/>
      <c r="SSA188" s="36"/>
      <c r="SSB188" s="36"/>
      <c r="SSC188" s="36"/>
      <c r="SSD188" s="36"/>
      <c r="SSE188" s="36"/>
      <c r="SSF188" s="36"/>
      <c r="SSG188" s="36"/>
      <c r="SSH188" s="36"/>
      <c r="SSI188" s="36"/>
      <c r="SSJ188" s="36"/>
      <c r="SSK188" s="36"/>
      <c r="SSL188" s="36"/>
      <c r="SSM188" s="36"/>
      <c r="SSN188" s="36"/>
      <c r="SSO188" s="36"/>
      <c r="SSP188" s="36"/>
      <c r="SSQ188" s="36"/>
      <c r="SSR188" s="36"/>
      <c r="SSS188" s="36"/>
      <c r="SST188" s="36"/>
      <c r="SSU188" s="36"/>
      <c r="SSV188" s="36"/>
      <c r="SSW188" s="36"/>
      <c r="SSX188" s="36"/>
      <c r="SSY188" s="36"/>
      <c r="SSZ188" s="36"/>
      <c r="STA188" s="36"/>
      <c r="STB188" s="36"/>
      <c r="STC188" s="36"/>
      <c r="STD188" s="36"/>
      <c r="STE188" s="36"/>
      <c r="STF188" s="36"/>
      <c r="STG188" s="36"/>
      <c r="STH188" s="36"/>
      <c r="STI188" s="36"/>
      <c r="STJ188" s="36"/>
      <c r="STK188" s="36"/>
      <c r="STL188" s="36"/>
      <c r="STM188" s="36"/>
      <c r="STN188" s="36"/>
      <c r="STO188" s="36"/>
      <c r="STP188" s="36"/>
      <c r="STQ188" s="36"/>
      <c r="STR188" s="36"/>
      <c r="STS188" s="36"/>
      <c r="STT188" s="36"/>
      <c r="STU188" s="36"/>
      <c r="STV188" s="36"/>
      <c r="STW188" s="36"/>
      <c r="STX188" s="36"/>
      <c r="STY188" s="36"/>
      <c r="STZ188" s="36"/>
      <c r="SUA188" s="36"/>
      <c r="SUB188" s="36"/>
      <c r="SUC188" s="36"/>
      <c r="SUD188" s="36"/>
      <c r="SUE188" s="36"/>
      <c r="SUF188" s="36"/>
      <c r="SUG188" s="36"/>
      <c r="SUH188" s="36"/>
      <c r="SUI188" s="36"/>
      <c r="SUJ188" s="36"/>
      <c r="SUK188" s="36"/>
      <c r="SUL188" s="36"/>
      <c r="SUM188" s="36"/>
      <c r="SUN188" s="36"/>
      <c r="SUO188" s="36"/>
      <c r="SUP188" s="36"/>
      <c r="SUQ188" s="36"/>
      <c r="SUR188" s="36"/>
      <c r="SUS188" s="36"/>
      <c r="SUT188" s="36"/>
      <c r="SUU188" s="36"/>
      <c r="SUV188" s="36"/>
      <c r="SUW188" s="36"/>
      <c r="SUX188" s="36"/>
      <c r="SUY188" s="36"/>
      <c r="SUZ188" s="36"/>
      <c r="SVA188" s="36"/>
      <c r="SVB188" s="36"/>
      <c r="SVC188" s="36"/>
      <c r="SVD188" s="36"/>
      <c r="SVE188" s="36"/>
      <c r="SVF188" s="36"/>
      <c r="SVG188" s="36"/>
      <c r="SVH188" s="36"/>
      <c r="SVI188" s="36"/>
      <c r="SVJ188" s="36"/>
      <c r="SVK188" s="36"/>
      <c r="SVL188" s="36"/>
      <c r="SVM188" s="36"/>
      <c r="SVN188" s="36"/>
      <c r="SVO188" s="36"/>
      <c r="SVP188" s="36"/>
      <c r="SVQ188" s="36"/>
      <c r="SVR188" s="36"/>
      <c r="SVS188" s="36"/>
      <c r="SVT188" s="36"/>
      <c r="SVU188" s="36"/>
      <c r="SVV188" s="36"/>
      <c r="SVW188" s="36"/>
      <c r="SVX188" s="36"/>
      <c r="SVY188" s="36"/>
      <c r="SVZ188" s="36"/>
      <c r="SWA188" s="36"/>
      <c r="SWB188" s="36"/>
      <c r="SWC188" s="36"/>
      <c r="SWD188" s="36"/>
      <c r="SWE188" s="36"/>
      <c r="SWF188" s="36"/>
      <c r="SWG188" s="36"/>
      <c r="SWH188" s="36"/>
      <c r="SWI188" s="36"/>
      <c r="SWJ188" s="36"/>
      <c r="SWK188" s="36"/>
      <c r="SWL188" s="36"/>
      <c r="SWM188" s="36"/>
      <c r="SWN188" s="36"/>
      <c r="SWO188" s="36"/>
      <c r="SWP188" s="36"/>
      <c r="SWQ188" s="36"/>
      <c r="SWR188" s="36"/>
      <c r="SWS188" s="36"/>
      <c r="SWT188" s="36"/>
      <c r="SWU188" s="36"/>
      <c r="SWV188" s="36"/>
      <c r="SWW188" s="36"/>
      <c r="SWX188" s="36"/>
      <c r="SWY188" s="36"/>
      <c r="SWZ188" s="36"/>
      <c r="SXA188" s="36"/>
      <c r="SXB188" s="36"/>
      <c r="SXC188" s="36"/>
      <c r="SXD188" s="36"/>
      <c r="SXE188" s="36"/>
      <c r="SXF188" s="36"/>
      <c r="SXG188" s="36"/>
      <c r="SXH188" s="36"/>
      <c r="SXI188" s="36"/>
      <c r="SXJ188" s="36"/>
      <c r="SXK188" s="36"/>
      <c r="SXL188" s="36"/>
      <c r="SXM188" s="36"/>
      <c r="SXN188" s="36"/>
      <c r="SXO188" s="36"/>
      <c r="SXP188" s="36"/>
      <c r="SXQ188" s="36"/>
      <c r="SXR188" s="36"/>
      <c r="SXS188" s="36"/>
      <c r="SXT188" s="36"/>
      <c r="SXU188" s="36"/>
      <c r="SXV188" s="36"/>
      <c r="SXW188" s="36"/>
      <c r="SXX188" s="36"/>
      <c r="SXY188" s="36"/>
      <c r="SXZ188" s="36"/>
      <c r="SYA188" s="36"/>
      <c r="SYB188" s="36"/>
      <c r="SYC188" s="36"/>
      <c r="SYD188" s="36"/>
      <c r="SYE188" s="36"/>
      <c r="SYF188" s="36"/>
      <c r="SYG188" s="36"/>
      <c r="SYH188" s="36"/>
      <c r="SYI188" s="36"/>
      <c r="SYJ188" s="36"/>
      <c r="SYK188" s="36"/>
      <c r="SYL188" s="36"/>
      <c r="SYM188" s="36"/>
      <c r="SYN188" s="36"/>
      <c r="SYO188" s="36"/>
      <c r="SYP188" s="36"/>
      <c r="SYQ188" s="36"/>
      <c r="SYR188" s="36"/>
      <c r="SYS188" s="36"/>
      <c r="SYT188" s="36"/>
      <c r="SYU188" s="36"/>
      <c r="SYV188" s="36"/>
      <c r="SYW188" s="36"/>
      <c r="SYX188" s="36"/>
      <c r="SYY188" s="36"/>
      <c r="SYZ188" s="36"/>
      <c r="SZA188" s="36"/>
      <c r="SZB188" s="36"/>
      <c r="SZC188" s="36"/>
      <c r="SZD188" s="36"/>
      <c r="SZE188" s="36"/>
      <c r="SZF188" s="36"/>
      <c r="SZG188" s="36"/>
      <c r="SZH188" s="36"/>
      <c r="SZI188" s="36"/>
      <c r="SZJ188" s="36"/>
      <c r="SZK188" s="36"/>
      <c r="SZL188" s="36"/>
      <c r="SZM188" s="36"/>
      <c r="SZN188" s="36"/>
      <c r="SZO188" s="36"/>
      <c r="SZP188" s="36"/>
      <c r="SZQ188" s="36"/>
      <c r="SZR188" s="36"/>
      <c r="SZS188" s="36"/>
      <c r="SZT188" s="36"/>
      <c r="SZU188" s="36"/>
      <c r="SZV188" s="36"/>
      <c r="SZW188" s="36"/>
      <c r="SZX188" s="36"/>
      <c r="SZY188" s="36"/>
      <c r="SZZ188" s="36"/>
      <c r="TAA188" s="36"/>
      <c r="TAB188" s="36"/>
      <c r="TAC188" s="36"/>
      <c r="TAD188" s="36"/>
      <c r="TAE188" s="36"/>
      <c r="TAF188" s="36"/>
      <c r="TAG188" s="36"/>
      <c r="TAH188" s="36"/>
      <c r="TAI188" s="36"/>
      <c r="TAJ188" s="36"/>
      <c r="TAK188" s="36"/>
      <c r="TAL188" s="36"/>
      <c r="TAM188" s="36"/>
      <c r="TAN188" s="36"/>
      <c r="TAO188" s="36"/>
      <c r="TAP188" s="36"/>
      <c r="TAQ188" s="36"/>
      <c r="TAR188" s="36"/>
      <c r="TAS188" s="36"/>
      <c r="TAT188" s="36"/>
      <c r="TAU188" s="36"/>
      <c r="TAV188" s="36"/>
      <c r="TAW188" s="36"/>
      <c r="TAX188" s="36"/>
      <c r="TAY188" s="36"/>
      <c r="TAZ188" s="36"/>
      <c r="TBA188" s="36"/>
      <c r="TBB188" s="36"/>
      <c r="TBC188" s="36"/>
      <c r="TBD188" s="36"/>
      <c r="TBE188" s="36"/>
      <c r="TBF188" s="36"/>
      <c r="TBG188" s="36"/>
      <c r="TBH188" s="36"/>
      <c r="TBI188" s="36"/>
      <c r="TBJ188" s="36"/>
      <c r="TBK188" s="36"/>
      <c r="TBL188" s="36"/>
      <c r="TBM188" s="36"/>
      <c r="TBN188" s="36"/>
      <c r="TBO188" s="36"/>
      <c r="TBP188" s="36"/>
      <c r="TBQ188" s="36"/>
      <c r="TBR188" s="36"/>
      <c r="TBS188" s="36"/>
      <c r="TBT188" s="36"/>
      <c r="TBU188" s="36"/>
      <c r="TBV188" s="36"/>
      <c r="TBW188" s="36"/>
      <c r="TBX188" s="36"/>
      <c r="TBY188" s="36"/>
      <c r="TBZ188" s="36"/>
      <c r="TCA188" s="36"/>
      <c r="TCB188" s="36"/>
      <c r="TCC188" s="36"/>
      <c r="TCD188" s="36"/>
      <c r="TCE188" s="36"/>
      <c r="TCF188" s="36"/>
      <c r="TCG188" s="36"/>
      <c r="TCH188" s="36"/>
      <c r="TCI188" s="36"/>
      <c r="TCJ188" s="36"/>
      <c r="TCK188" s="36"/>
      <c r="TCL188" s="36"/>
      <c r="TCM188" s="36"/>
      <c r="TCN188" s="36"/>
      <c r="TCO188" s="36"/>
      <c r="TCP188" s="36"/>
      <c r="TCQ188" s="36"/>
      <c r="TCR188" s="36"/>
      <c r="TCS188" s="36"/>
      <c r="TCT188" s="36"/>
      <c r="TCU188" s="36"/>
      <c r="TCV188" s="36"/>
      <c r="TCW188" s="36"/>
      <c r="TCX188" s="36"/>
      <c r="TCY188" s="36"/>
      <c r="TCZ188" s="36"/>
      <c r="TDA188" s="36"/>
      <c r="TDB188" s="36"/>
      <c r="TDC188" s="36"/>
      <c r="TDD188" s="36"/>
      <c r="TDE188" s="36"/>
      <c r="TDF188" s="36"/>
      <c r="TDG188" s="36"/>
      <c r="TDH188" s="36"/>
      <c r="TDI188" s="36"/>
      <c r="TDJ188" s="36"/>
      <c r="TDK188" s="36"/>
      <c r="TDL188" s="36"/>
      <c r="TDM188" s="36"/>
      <c r="TDN188" s="36"/>
      <c r="TDO188" s="36"/>
      <c r="TDP188" s="36"/>
      <c r="TDQ188" s="36"/>
      <c r="TDR188" s="36"/>
      <c r="TDS188" s="36"/>
      <c r="TDT188" s="36"/>
      <c r="TDU188" s="36"/>
      <c r="TDV188" s="36"/>
      <c r="TDW188" s="36"/>
      <c r="TDX188" s="36"/>
      <c r="TDY188" s="36"/>
      <c r="TDZ188" s="36"/>
      <c r="TEA188" s="36"/>
      <c r="TEB188" s="36"/>
      <c r="TEC188" s="36"/>
      <c r="TED188" s="36"/>
      <c r="TEE188" s="36"/>
      <c r="TEF188" s="36"/>
      <c r="TEG188" s="36"/>
      <c r="TEH188" s="36"/>
      <c r="TEI188" s="36"/>
      <c r="TEJ188" s="36"/>
      <c r="TEK188" s="36"/>
      <c r="TEL188" s="36"/>
      <c r="TEM188" s="36"/>
      <c r="TEN188" s="36"/>
      <c r="TEO188" s="36"/>
      <c r="TEP188" s="36"/>
      <c r="TEQ188" s="36"/>
      <c r="TER188" s="36"/>
      <c r="TES188" s="36"/>
      <c r="TET188" s="36"/>
      <c r="TEU188" s="36"/>
      <c r="TEV188" s="36"/>
      <c r="TEW188" s="36"/>
      <c r="TEX188" s="36"/>
      <c r="TEY188" s="36"/>
      <c r="TEZ188" s="36"/>
      <c r="TFA188" s="36"/>
      <c r="TFB188" s="36"/>
      <c r="TFC188" s="36"/>
      <c r="TFD188" s="36"/>
      <c r="TFE188" s="36"/>
      <c r="TFF188" s="36"/>
      <c r="TFG188" s="36"/>
      <c r="TFH188" s="36"/>
      <c r="TFI188" s="36"/>
      <c r="TFJ188" s="36"/>
      <c r="TFK188" s="36"/>
      <c r="TFL188" s="36"/>
      <c r="TFM188" s="36"/>
      <c r="TFN188" s="36"/>
      <c r="TFO188" s="36"/>
      <c r="TFP188" s="36"/>
      <c r="TFQ188" s="36"/>
      <c r="TFR188" s="36"/>
      <c r="TFS188" s="36"/>
      <c r="TFT188" s="36"/>
      <c r="TFU188" s="36"/>
      <c r="TFV188" s="36"/>
      <c r="TFW188" s="36"/>
      <c r="TFX188" s="36"/>
      <c r="TFY188" s="36"/>
      <c r="TFZ188" s="36"/>
      <c r="TGA188" s="36"/>
      <c r="TGB188" s="36"/>
      <c r="TGC188" s="36"/>
      <c r="TGD188" s="36"/>
      <c r="TGE188" s="36"/>
      <c r="TGF188" s="36"/>
      <c r="TGG188" s="36"/>
      <c r="TGH188" s="36"/>
      <c r="TGI188" s="36"/>
      <c r="TGJ188" s="36"/>
      <c r="TGK188" s="36"/>
      <c r="TGL188" s="36"/>
      <c r="TGM188" s="36"/>
      <c r="TGN188" s="36"/>
      <c r="TGO188" s="36"/>
      <c r="TGP188" s="36"/>
      <c r="TGQ188" s="36"/>
      <c r="TGR188" s="36"/>
      <c r="TGS188" s="36"/>
      <c r="TGT188" s="36"/>
      <c r="TGU188" s="36"/>
      <c r="TGV188" s="36"/>
      <c r="TGW188" s="36"/>
      <c r="TGX188" s="36"/>
      <c r="TGY188" s="36"/>
      <c r="TGZ188" s="36"/>
      <c r="THA188" s="36"/>
      <c r="THB188" s="36"/>
      <c r="THC188" s="36"/>
      <c r="THD188" s="36"/>
      <c r="THE188" s="36"/>
      <c r="THF188" s="36"/>
      <c r="THG188" s="36"/>
      <c r="THH188" s="36"/>
      <c r="THI188" s="36"/>
      <c r="THJ188" s="36"/>
      <c r="THK188" s="36"/>
      <c r="THL188" s="36"/>
      <c r="THM188" s="36"/>
      <c r="THN188" s="36"/>
      <c r="THO188" s="36"/>
      <c r="THP188" s="36"/>
      <c r="THQ188" s="36"/>
      <c r="THR188" s="36"/>
      <c r="THS188" s="36"/>
      <c r="THT188" s="36"/>
      <c r="THU188" s="36"/>
      <c r="THV188" s="36"/>
      <c r="THW188" s="36"/>
      <c r="THX188" s="36"/>
      <c r="THY188" s="36"/>
      <c r="THZ188" s="36"/>
      <c r="TIA188" s="36"/>
      <c r="TIB188" s="36"/>
      <c r="TIC188" s="36"/>
      <c r="TID188" s="36"/>
      <c r="TIE188" s="36"/>
      <c r="TIF188" s="36"/>
      <c r="TIG188" s="36"/>
      <c r="TIH188" s="36"/>
      <c r="TII188" s="36"/>
      <c r="TIJ188" s="36"/>
      <c r="TIK188" s="36"/>
      <c r="TIL188" s="36"/>
      <c r="TIM188" s="36"/>
      <c r="TIN188" s="36"/>
      <c r="TIO188" s="36"/>
      <c r="TIP188" s="36"/>
      <c r="TIQ188" s="36"/>
      <c r="TIR188" s="36"/>
      <c r="TIS188" s="36"/>
      <c r="TIT188" s="36"/>
      <c r="TIU188" s="36"/>
      <c r="TIV188" s="36"/>
      <c r="TIW188" s="36"/>
      <c r="TIX188" s="36"/>
      <c r="TIY188" s="36"/>
      <c r="TIZ188" s="36"/>
      <c r="TJA188" s="36"/>
      <c r="TJB188" s="36"/>
      <c r="TJC188" s="36"/>
      <c r="TJD188" s="36"/>
      <c r="TJE188" s="36"/>
      <c r="TJF188" s="36"/>
      <c r="TJG188" s="36"/>
      <c r="TJH188" s="36"/>
      <c r="TJI188" s="36"/>
      <c r="TJJ188" s="36"/>
      <c r="TJK188" s="36"/>
      <c r="TJL188" s="36"/>
      <c r="TJM188" s="36"/>
      <c r="TJN188" s="36"/>
      <c r="TJO188" s="36"/>
      <c r="TJP188" s="36"/>
      <c r="TJQ188" s="36"/>
      <c r="TJR188" s="36"/>
      <c r="TJS188" s="36"/>
      <c r="TJT188" s="36"/>
      <c r="TJU188" s="36"/>
      <c r="TJV188" s="36"/>
      <c r="TJW188" s="36"/>
      <c r="TJX188" s="36"/>
      <c r="TJY188" s="36"/>
      <c r="TJZ188" s="36"/>
      <c r="TKA188" s="36"/>
      <c r="TKB188" s="36"/>
      <c r="TKC188" s="36"/>
      <c r="TKD188" s="36"/>
      <c r="TKE188" s="36"/>
      <c r="TKF188" s="36"/>
      <c r="TKG188" s="36"/>
      <c r="TKH188" s="36"/>
      <c r="TKI188" s="36"/>
      <c r="TKJ188" s="36"/>
      <c r="TKK188" s="36"/>
      <c r="TKL188" s="36"/>
      <c r="TKM188" s="36"/>
      <c r="TKN188" s="36"/>
      <c r="TKO188" s="36"/>
      <c r="TKP188" s="36"/>
      <c r="TKQ188" s="36"/>
      <c r="TKR188" s="36"/>
      <c r="TKS188" s="36"/>
      <c r="TKT188" s="36"/>
      <c r="TKU188" s="36"/>
      <c r="TKV188" s="36"/>
      <c r="TKW188" s="36"/>
      <c r="TKX188" s="36"/>
      <c r="TKY188" s="36"/>
      <c r="TKZ188" s="36"/>
      <c r="TLA188" s="36"/>
      <c r="TLB188" s="36"/>
      <c r="TLC188" s="36"/>
      <c r="TLD188" s="36"/>
      <c r="TLE188" s="36"/>
      <c r="TLF188" s="36"/>
      <c r="TLG188" s="36"/>
      <c r="TLH188" s="36"/>
      <c r="TLI188" s="36"/>
      <c r="TLJ188" s="36"/>
      <c r="TLK188" s="36"/>
      <c r="TLL188" s="36"/>
      <c r="TLM188" s="36"/>
      <c r="TLN188" s="36"/>
      <c r="TLO188" s="36"/>
      <c r="TLP188" s="36"/>
      <c r="TLQ188" s="36"/>
      <c r="TLR188" s="36"/>
      <c r="TLS188" s="36"/>
      <c r="TLT188" s="36"/>
      <c r="TLU188" s="36"/>
      <c r="TLV188" s="36"/>
      <c r="TLW188" s="36"/>
      <c r="TLX188" s="36"/>
      <c r="TLY188" s="36"/>
      <c r="TLZ188" s="36"/>
      <c r="TMA188" s="36"/>
      <c r="TMB188" s="36"/>
      <c r="TMC188" s="36"/>
      <c r="TMD188" s="36"/>
      <c r="TME188" s="36"/>
      <c r="TMF188" s="36"/>
      <c r="TMG188" s="36"/>
      <c r="TMH188" s="36"/>
      <c r="TMI188" s="36"/>
      <c r="TMJ188" s="36"/>
      <c r="TMK188" s="36"/>
      <c r="TML188" s="36"/>
      <c r="TMM188" s="36"/>
      <c r="TMN188" s="36"/>
      <c r="TMO188" s="36"/>
      <c r="TMP188" s="36"/>
      <c r="TMQ188" s="36"/>
      <c r="TMR188" s="36"/>
      <c r="TMS188" s="36"/>
      <c r="TMT188" s="36"/>
      <c r="TMU188" s="36"/>
      <c r="TMV188" s="36"/>
      <c r="TMW188" s="36"/>
      <c r="TMX188" s="36"/>
      <c r="TMY188" s="36"/>
      <c r="TMZ188" s="36"/>
      <c r="TNA188" s="36"/>
      <c r="TNB188" s="36"/>
      <c r="TNC188" s="36"/>
      <c r="TND188" s="36"/>
      <c r="TNE188" s="36"/>
      <c r="TNF188" s="36"/>
      <c r="TNG188" s="36"/>
      <c r="TNH188" s="36"/>
      <c r="TNI188" s="36"/>
      <c r="TNJ188" s="36"/>
      <c r="TNK188" s="36"/>
      <c r="TNL188" s="36"/>
      <c r="TNM188" s="36"/>
      <c r="TNN188" s="36"/>
      <c r="TNO188" s="36"/>
      <c r="TNP188" s="36"/>
      <c r="TNQ188" s="36"/>
      <c r="TNR188" s="36"/>
      <c r="TNS188" s="36"/>
      <c r="TNT188" s="36"/>
      <c r="TNU188" s="36"/>
      <c r="TNV188" s="36"/>
      <c r="TNW188" s="36"/>
      <c r="TNX188" s="36"/>
      <c r="TNY188" s="36"/>
      <c r="TNZ188" s="36"/>
      <c r="TOA188" s="36"/>
      <c r="TOB188" s="36"/>
      <c r="TOC188" s="36"/>
      <c r="TOD188" s="36"/>
      <c r="TOE188" s="36"/>
      <c r="TOF188" s="36"/>
      <c r="TOG188" s="36"/>
      <c r="TOH188" s="36"/>
      <c r="TOI188" s="36"/>
      <c r="TOJ188" s="36"/>
      <c r="TOK188" s="36"/>
      <c r="TOL188" s="36"/>
      <c r="TOM188" s="36"/>
      <c r="TON188" s="36"/>
      <c r="TOO188" s="36"/>
      <c r="TOP188" s="36"/>
      <c r="TOQ188" s="36"/>
      <c r="TOR188" s="36"/>
      <c r="TOS188" s="36"/>
      <c r="TOT188" s="36"/>
      <c r="TOU188" s="36"/>
      <c r="TOV188" s="36"/>
      <c r="TOW188" s="36"/>
      <c r="TOX188" s="36"/>
      <c r="TOY188" s="36"/>
      <c r="TOZ188" s="36"/>
      <c r="TPA188" s="36"/>
      <c r="TPB188" s="36"/>
      <c r="TPC188" s="36"/>
      <c r="TPD188" s="36"/>
      <c r="TPE188" s="36"/>
      <c r="TPF188" s="36"/>
      <c r="TPG188" s="36"/>
      <c r="TPH188" s="36"/>
      <c r="TPI188" s="36"/>
      <c r="TPJ188" s="36"/>
      <c r="TPK188" s="36"/>
      <c r="TPL188" s="36"/>
      <c r="TPM188" s="36"/>
      <c r="TPN188" s="36"/>
      <c r="TPO188" s="36"/>
      <c r="TPP188" s="36"/>
      <c r="TPQ188" s="36"/>
      <c r="TPR188" s="36"/>
      <c r="TPS188" s="36"/>
      <c r="TPT188" s="36"/>
      <c r="TPU188" s="36"/>
      <c r="TPV188" s="36"/>
      <c r="TPW188" s="36"/>
      <c r="TPX188" s="36"/>
      <c r="TPY188" s="36"/>
      <c r="TPZ188" s="36"/>
      <c r="TQA188" s="36"/>
      <c r="TQB188" s="36"/>
      <c r="TQC188" s="36"/>
      <c r="TQD188" s="36"/>
      <c r="TQE188" s="36"/>
      <c r="TQF188" s="36"/>
      <c r="TQG188" s="36"/>
      <c r="TQH188" s="36"/>
      <c r="TQI188" s="36"/>
      <c r="TQJ188" s="36"/>
      <c r="TQK188" s="36"/>
      <c r="TQL188" s="36"/>
      <c r="TQM188" s="36"/>
      <c r="TQN188" s="36"/>
      <c r="TQO188" s="36"/>
      <c r="TQP188" s="36"/>
      <c r="TQQ188" s="36"/>
      <c r="TQR188" s="36"/>
      <c r="TQS188" s="36"/>
      <c r="TQT188" s="36"/>
      <c r="TQU188" s="36"/>
      <c r="TQV188" s="36"/>
      <c r="TQW188" s="36"/>
      <c r="TQX188" s="36"/>
      <c r="TQY188" s="36"/>
      <c r="TQZ188" s="36"/>
      <c r="TRA188" s="36"/>
      <c r="TRB188" s="36"/>
      <c r="TRC188" s="36"/>
      <c r="TRD188" s="36"/>
      <c r="TRE188" s="36"/>
      <c r="TRF188" s="36"/>
      <c r="TRG188" s="36"/>
      <c r="TRH188" s="36"/>
      <c r="TRI188" s="36"/>
      <c r="TRJ188" s="36"/>
      <c r="TRK188" s="36"/>
      <c r="TRL188" s="36"/>
      <c r="TRM188" s="36"/>
      <c r="TRN188" s="36"/>
      <c r="TRO188" s="36"/>
      <c r="TRP188" s="36"/>
      <c r="TRQ188" s="36"/>
      <c r="TRR188" s="36"/>
      <c r="TRS188" s="36"/>
      <c r="TRT188" s="36"/>
      <c r="TRU188" s="36"/>
      <c r="TRV188" s="36"/>
      <c r="TRW188" s="36"/>
      <c r="TRX188" s="36"/>
      <c r="TRY188" s="36"/>
      <c r="TRZ188" s="36"/>
      <c r="TSA188" s="36"/>
      <c r="TSB188" s="36"/>
      <c r="TSC188" s="36"/>
      <c r="TSD188" s="36"/>
      <c r="TSE188" s="36"/>
      <c r="TSF188" s="36"/>
      <c r="TSG188" s="36"/>
      <c r="TSH188" s="36"/>
      <c r="TSI188" s="36"/>
      <c r="TSJ188" s="36"/>
      <c r="TSK188" s="36"/>
      <c r="TSL188" s="36"/>
      <c r="TSM188" s="36"/>
      <c r="TSN188" s="36"/>
      <c r="TSO188" s="36"/>
      <c r="TSP188" s="36"/>
      <c r="TSQ188" s="36"/>
      <c r="TSR188" s="36"/>
      <c r="TSS188" s="36"/>
      <c r="TST188" s="36"/>
      <c r="TSU188" s="36"/>
      <c r="TSV188" s="36"/>
      <c r="TSW188" s="36"/>
      <c r="TSX188" s="36"/>
      <c r="TSY188" s="36"/>
      <c r="TSZ188" s="36"/>
      <c r="TTA188" s="36"/>
      <c r="TTB188" s="36"/>
      <c r="TTC188" s="36"/>
      <c r="TTD188" s="36"/>
      <c r="TTE188" s="36"/>
      <c r="TTF188" s="36"/>
      <c r="TTG188" s="36"/>
      <c r="TTH188" s="36"/>
      <c r="TTI188" s="36"/>
      <c r="TTJ188" s="36"/>
      <c r="TTK188" s="36"/>
      <c r="TTL188" s="36"/>
      <c r="TTM188" s="36"/>
      <c r="TTN188" s="36"/>
      <c r="TTO188" s="36"/>
      <c r="TTP188" s="36"/>
      <c r="TTQ188" s="36"/>
      <c r="TTR188" s="36"/>
      <c r="TTS188" s="36"/>
      <c r="TTT188" s="36"/>
      <c r="TTU188" s="36"/>
      <c r="TTV188" s="36"/>
      <c r="TTW188" s="36"/>
      <c r="TTX188" s="36"/>
      <c r="TTY188" s="36"/>
      <c r="TTZ188" s="36"/>
      <c r="TUA188" s="36"/>
      <c r="TUB188" s="36"/>
      <c r="TUC188" s="36"/>
      <c r="TUD188" s="36"/>
      <c r="TUE188" s="36"/>
      <c r="TUF188" s="36"/>
      <c r="TUG188" s="36"/>
      <c r="TUH188" s="36"/>
      <c r="TUI188" s="36"/>
      <c r="TUJ188" s="36"/>
      <c r="TUK188" s="36"/>
      <c r="TUL188" s="36"/>
      <c r="TUM188" s="36"/>
      <c r="TUN188" s="36"/>
      <c r="TUO188" s="36"/>
      <c r="TUP188" s="36"/>
      <c r="TUQ188" s="36"/>
      <c r="TUR188" s="36"/>
      <c r="TUS188" s="36"/>
      <c r="TUT188" s="36"/>
      <c r="TUU188" s="36"/>
      <c r="TUV188" s="36"/>
      <c r="TUW188" s="36"/>
      <c r="TUX188" s="36"/>
      <c r="TUY188" s="36"/>
      <c r="TUZ188" s="36"/>
      <c r="TVA188" s="36"/>
      <c r="TVB188" s="36"/>
      <c r="TVC188" s="36"/>
      <c r="TVD188" s="36"/>
      <c r="TVE188" s="36"/>
      <c r="TVF188" s="36"/>
      <c r="TVG188" s="36"/>
      <c r="TVH188" s="36"/>
      <c r="TVI188" s="36"/>
      <c r="TVJ188" s="36"/>
      <c r="TVK188" s="36"/>
      <c r="TVL188" s="36"/>
      <c r="TVM188" s="36"/>
      <c r="TVN188" s="36"/>
      <c r="TVO188" s="36"/>
      <c r="TVP188" s="36"/>
      <c r="TVQ188" s="36"/>
      <c r="TVR188" s="36"/>
      <c r="TVS188" s="36"/>
      <c r="TVT188" s="36"/>
      <c r="TVU188" s="36"/>
      <c r="TVV188" s="36"/>
      <c r="TVW188" s="36"/>
      <c r="TVX188" s="36"/>
      <c r="TVY188" s="36"/>
      <c r="TVZ188" s="36"/>
      <c r="TWA188" s="36"/>
      <c r="TWB188" s="36"/>
      <c r="TWC188" s="36"/>
      <c r="TWD188" s="36"/>
      <c r="TWE188" s="36"/>
      <c r="TWF188" s="36"/>
      <c r="TWG188" s="36"/>
      <c r="TWH188" s="36"/>
      <c r="TWI188" s="36"/>
      <c r="TWJ188" s="36"/>
      <c r="TWK188" s="36"/>
      <c r="TWL188" s="36"/>
      <c r="TWM188" s="36"/>
      <c r="TWN188" s="36"/>
      <c r="TWO188" s="36"/>
      <c r="TWP188" s="36"/>
      <c r="TWQ188" s="36"/>
      <c r="TWR188" s="36"/>
      <c r="TWS188" s="36"/>
      <c r="TWT188" s="36"/>
      <c r="TWU188" s="36"/>
      <c r="TWV188" s="36"/>
      <c r="TWW188" s="36"/>
      <c r="TWX188" s="36"/>
      <c r="TWY188" s="36"/>
      <c r="TWZ188" s="36"/>
      <c r="TXA188" s="36"/>
      <c r="TXB188" s="36"/>
      <c r="TXC188" s="36"/>
      <c r="TXD188" s="36"/>
      <c r="TXE188" s="36"/>
      <c r="TXF188" s="36"/>
      <c r="TXG188" s="36"/>
      <c r="TXH188" s="36"/>
      <c r="TXI188" s="36"/>
      <c r="TXJ188" s="36"/>
      <c r="TXK188" s="36"/>
      <c r="TXL188" s="36"/>
      <c r="TXM188" s="36"/>
      <c r="TXN188" s="36"/>
      <c r="TXO188" s="36"/>
      <c r="TXP188" s="36"/>
      <c r="TXQ188" s="36"/>
      <c r="TXR188" s="36"/>
      <c r="TXS188" s="36"/>
      <c r="TXT188" s="36"/>
      <c r="TXU188" s="36"/>
      <c r="TXV188" s="36"/>
      <c r="TXW188" s="36"/>
      <c r="TXX188" s="36"/>
      <c r="TXY188" s="36"/>
      <c r="TXZ188" s="36"/>
      <c r="TYA188" s="36"/>
      <c r="TYB188" s="36"/>
      <c r="TYC188" s="36"/>
      <c r="TYD188" s="36"/>
      <c r="TYE188" s="36"/>
      <c r="TYF188" s="36"/>
      <c r="TYG188" s="36"/>
      <c r="TYH188" s="36"/>
      <c r="TYI188" s="36"/>
      <c r="TYJ188" s="36"/>
      <c r="TYK188" s="36"/>
      <c r="TYL188" s="36"/>
      <c r="TYM188" s="36"/>
      <c r="TYN188" s="36"/>
      <c r="TYO188" s="36"/>
      <c r="TYP188" s="36"/>
      <c r="TYQ188" s="36"/>
      <c r="TYR188" s="36"/>
      <c r="TYS188" s="36"/>
      <c r="TYT188" s="36"/>
      <c r="TYU188" s="36"/>
      <c r="TYV188" s="36"/>
      <c r="TYW188" s="36"/>
      <c r="TYX188" s="36"/>
      <c r="TYY188" s="36"/>
      <c r="TYZ188" s="36"/>
      <c r="TZA188" s="36"/>
      <c r="TZB188" s="36"/>
      <c r="TZC188" s="36"/>
      <c r="TZD188" s="36"/>
      <c r="TZE188" s="36"/>
      <c r="TZF188" s="36"/>
      <c r="TZG188" s="36"/>
      <c r="TZH188" s="36"/>
      <c r="TZI188" s="36"/>
      <c r="TZJ188" s="36"/>
      <c r="TZK188" s="36"/>
      <c r="TZL188" s="36"/>
      <c r="TZM188" s="36"/>
      <c r="TZN188" s="36"/>
      <c r="TZO188" s="36"/>
      <c r="TZP188" s="36"/>
      <c r="TZQ188" s="36"/>
      <c r="TZR188" s="36"/>
      <c r="TZS188" s="36"/>
      <c r="TZT188" s="36"/>
      <c r="TZU188" s="36"/>
      <c r="TZV188" s="36"/>
      <c r="TZW188" s="36"/>
      <c r="TZX188" s="36"/>
      <c r="TZY188" s="36"/>
      <c r="TZZ188" s="36"/>
      <c r="UAA188" s="36"/>
      <c r="UAB188" s="36"/>
      <c r="UAC188" s="36"/>
      <c r="UAD188" s="36"/>
      <c r="UAE188" s="36"/>
      <c r="UAF188" s="36"/>
      <c r="UAG188" s="36"/>
      <c r="UAH188" s="36"/>
      <c r="UAI188" s="36"/>
      <c r="UAJ188" s="36"/>
      <c r="UAK188" s="36"/>
      <c r="UAL188" s="36"/>
      <c r="UAM188" s="36"/>
      <c r="UAN188" s="36"/>
      <c r="UAO188" s="36"/>
      <c r="UAP188" s="36"/>
      <c r="UAQ188" s="36"/>
      <c r="UAR188" s="36"/>
      <c r="UAS188" s="36"/>
      <c r="UAT188" s="36"/>
      <c r="UAU188" s="36"/>
      <c r="UAV188" s="36"/>
      <c r="UAW188" s="36"/>
      <c r="UAX188" s="36"/>
      <c r="UAY188" s="36"/>
      <c r="UAZ188" s="36"/>
      <c r="UBA188" s="36"/>
      <c r="UBB188" s="36"/>
      <c r="UBC188" s="36"/>
      <c r="UBD188" s="36"/>
      <c r="UBE188" s="36"/>
      <c r="UBF188" s="36"/>
      <c r="UBG188" s="36"/>
      <c r="UBH188" s="36"/>
      <c r="UBI188" s="36"/>
      <c r="UBJ188" s="36"/>
      <c r="UBK188" s="36"/>
      <c r="UBL188" s="36"/>
      <c r="UBM188" s="36"/>
      <c r="UBN188" s="36"/>
      <c r="UBO188" s="36"/>
      <c r="UBP188" s="36"/>
      <c r="UBQ188" s="36"/>
      <c r="UBR188" s="36"/>
      <c r="UBS188" s="36"/>
      <c r="UBT188" s="36"/>
      <c r="UBU188" s="36"/>
      <c r="UBV188" s="36"/>
      <c r="UBW188" s="36"/>
      <c r="UBX188" s="36"/>
      <c r="UBY188" s="36"/>
      <c r="UBZ188" s="36"/>
      <c r="UCA188" s="36"/>
      <c r="UCB188" s="36"/>
      <c r="UCC188" s="36"/>
      <c r="UCD188" s="36"/>
      <c r="UCE188" s="36"/>
      <c r="UCF188" s="36"/>
      <c r="UCG188" s="36"/>
      <c r="UCH188" s="36"/>
      <c r="UCI188" s="36"/>
      <c r="UCJ188" s="36"/>
      <c r="UCK188" s="36"/>
      <c r="UCL188" s="36"/>
      <c r="UCM188" s="36"/>
      <c r="UCN188" s="36"/>
      <c r="UCO188" s="36"/>
      <c r="UCP188" s="36"/>
      <c r="UCQ188" s="36"/>
      <c r="UCR188" s="36"/>
      <c r="UCS188" s="36"/>
      <c r="UCT188" s="36"/>
      <c r="UCU188" s="36"/>
      <c r="UCV188" s="36"/>
      <c r="UCW188" s="36"/>
      <c r="UCX188" s="36"/>
      <c r="UCY188" s="36"/>
      <c r="UCZ188" s="36"/>
      <c r="UDA188" s="36"/>
      <c r="UDB188" s="36"/>
      <c r="UDC188" s="36"/>
      <c r="UDD188" s="36"/>
      <c r="UDE188" s="36"/>
      <c r="UDF188" s="36"/>
      <c r="UDG188" s="36"/>
      <c r="UDH188" s="36"/>
      <c r="UDI188" s="36"/>
      <c r="UDJ188" s="36"/>
      <c r="UDK188" s="36"/>
      <c r="UDL188" s="36"/>
      <c r="UDM188" s="36"/>
      <c r="UDN188" s="36"/>
      <c r="UDO188" s="36"/>
      <c r="UDP188" s="36"/>
      <c r="UDQ188" s="36"/>
      <c r="UDR188" s="36"/>
      <c r="UDS188" s="36"/>
      <c r="UDT188" s="36"/>
      <c r="UDU188" s="36"/>
      <c r="UDV188" s="36"/>
      <c r="UDW188" s="36"/>
      <c r="UDX188" s="36"/>
      <c r="UDY188" s="36"/>
      <c r="UDZ188" s="36"/>
      <c r="UEA188" s="36"/>
      <c r="UEB188" s="36"/>
      <c r="UEC188" s="36"/>
      <c r="UED188" s="36"/>
      <c r="UEE188" s="36"/>
      <c r="UEF188" s="36"/>
      <c r="UEG188" s="36"/>
      <c r="UEH188" s="36"/>
      <c r="UEI188" s="36"/>
      <c r="UEJ188" s="36"/>
      <c r="UEK188" s="36"/>
      <c r="UEL188" s="36"/>
      <c r="UEM188" s="36"/>
      <c r="UEN188" s="36"/>
      <c r="UEO188" s="36"/>
      <c r="UEP188" s="36"/>
      <c r="UEQ188" s="36"/>
      <c r="UER188" s="36"/>
      <c r="UES188" s="36"/>
      <c r="UET188" s="36"/>
      <c r="UEU188" s="36"/>
      <c r="UEV188" s="36"/>
      <c r="UEW188" s="36"/>
      <c r="UEX188" s="36"/>
      <c r="UEY188" s="36"/>
      <c r="UEZ188" s="36"/>
      <c r="UFA188" s="36"/>
      <c r="UFB188" s="36"/>
      <c r="UFC188" s="36"/>
      <c r="UFD188" s="36"/>
      <c r="UFE188" s="36"/>
      <c r="UFF188" s="36"/>
      <c r="UFG188" s="36"/>
      <c r="UFH188" s="36"/>
      <c r="UFI188" s="36"/>
      <c r="UFJ188" s="36"/>
      <c r="UFK188" s="36"/>
      <c r="UFL188" s="36"/>
      <c r="UFM188" s="36"/>
      <c r="UFN188" s="36"/>
      <c r="UFO188" s="36"/>
      <c r="UFP188" s="36"/>
      <c r="UFQ188" s="36"/>
      <c r="UFR188" s="36"/>
      <c r="UFS188" s="36"/>
      <c r="UFT188" s="36"/>
      <c r="UFU188" s="36"/>
      <c r="UFV188" s="36"/>
      <c r="UFW188" s="36"/>
      <c r="UFX188" s="36"/>
      <c r="UFY188" s="36"/>
      <c r="UFZ188" s="36"/>
      <c r="UGA188" s="36"/>
      <c r="UGB188" s="36"/>
      <c r="UGC188" s="36"/>
      <c r="UGD188" s="36"/>
      <c r="UGE188" s="36"/>
      <c r="UGF188" s="36"/>
      <c r="UGG188" s="36"/>
      <c r="UGH188" s="36"/>
      <c r="UGI188" s="36"/>
      <c r="UGJ188" s="36"/>
      <c r="UGK188" s="36"/>
      <c r="UGL188" s="36"/>
      <c r="UGM188" s="36"/>
      <c r="UGN188" s="36"/>
      <c r="UGO188" s="36"/>
      <c r="UGP188" s="36"/>
      <c r="UGQ188" s="36"/>
      <c r="UGR188" s="36"/>
      <c r="UGS188" s="36"/>
      <c r="UGT188" s="36"/>
      <c r="UGU188" s="36"/>
      <c r="UGV188" s="36"/>
      <c r="UGW188" s="36"/>
      <c r="UGX188" s="36"/>
      <c r="UGY188" s="36"/>
      <c r="UGZ188" s="36"/>
      <c r="UHA188" s="36"/>
      <c r="UHB188" s="36"/>
      <c r="UHC188" s="36"/>
      <c r="UHD188" s="36"/>
      <c r="UHE188" s="36"/>
      <c r="UHF188" s="36"/>
      <c r="UHG188" s="36"/>
      <c r="UHH188" s="36"/>
      <c r="UHI188" s="36"/>
      <c r="UHJ188" s="36"/>
      <c r="UHK188" s="36"/>
      <c r="UHL188" s="36"/>
      <c r="UHM188" s="36"/>
      <c r="UHN188" s="36"/>
      <c r="UHO188" s="36"/>
      <c r="UHP188" s="36"/>
      <c r="UHQ188" s="36"/>
      <c r="UHR188" s="36"/>
      <c r="UHS188" s="36"/>
      <c r="UHT188" s="36"/>
      <c r="UHU188" s="36"/>
      <c r="UHV188" s="36"/>
      <c r="UHW188" s="36"/>
      <c r="UHX188" s="36"/>
      <c r="UHY188" s="36"/>
      <c r="UHZ188" s="36"/>
      <c r="UIA188" s="36"/>
      <c r="UIB188" s="36"/>
      <c r="UIC188" s="36"/>
      <c r="UID188" s="36"/>
      <c r="UIE188" s="36"/>
      <c r="UIF188" s="36"/>
      <c r="UIG188" s="36"/>
      <c r="UIH188" s="36"/>
      <c r="UII188" s="36"/>
      <c r="UIJ188" s="36"/>
      <c r="UIK188" s="36"/>
      <c r="UIL188" s="36"/>
      <c r="UIM188" s="36"/>
      <c r="UIN188" s="36"/>
      <c r="UIO188" s="36"/>
      <c r="UIP188" s="36"/>
      <c r="UIQ188" s="36"/>
      <c r="UIR188" s="36"/>
      <c r="UIS188" s="36"/>
      <c r="UIT188" s="36"/>
      <c r="UIU188" s="36"/>
      <c r="UIV188" s="36"/>
      <c r="UIW188" s="36"/>
      <c r="UIX188" s="36"/>
      <c r="UIY188" s="36"/>
      <c r="UIZ188" s="36"/>
      <c r="UJA188" s="36"/>
      <c r="UJB188" s="36"/>
      <c r="UJC188" s="36"/>
      <c r="UJD188" s="36"/>
      <c r="UJE188" s="36"/>
      <c r="UJF188" s="36"/>
      <c r="UJG188" s="36"/>
      <c r="UJH188" s="36"/>
      <c r="UJI188" s="36"/>
      <c r="UJJ188" s="36"/>
      <c r="UJK188" s="36"/>
      <c r="UJL188" s="36"/>
      <c r="UJM188" s="36"/>
      <c r="UJN188" s="36"/>
      <c r="UJO188" s="36"/>
      <c r="UJP188" s="36"/>
      <c r="UJQ188" s="36"/>
      <c r="UJR188" s="36"/>
      <c r="UJS188" s="36"/>
      <c r="UJT188" s="36"/>
      <c r="UJU188" s="36"/>
      <c r="UJV188" s="36"/>
      <c r="UJW188" s="36"/>
      <c r="UJX188" s="36"/>
      <c r="UJY188" s="36"/>
      <c r="UJZ188" s="36"/>
      <c r="UKA188" s="36"/>
      <c r="UKB188" s="36"/>
      <c r="UKC188" s="36"/>
      <c r="UKD188" s="36"/>
      <c r="UKE188" s="36"/>
      <c r="UKF188" s="36"/>
      <c r="UKG188" s="36"/>
      <c r="UKH188" s="36"/>
      <c r="UKI188" s="36"/>
      <c r="UKJ188" s="36"/>
      <c r="UKK188" s="36"/>
      <c r="UKL188" s="36"/>
      <c r="UKM188" s="36"/>
      <c r="UKN188" s="36"/>
      <c r="UKO188" s="36"/>
      <c r="UKP188" s="36"/>
      <c r="UKQ188" s="36"/>
      <c r="UKR188" s="36"/>
      <c r="UKS188" s="36"/>
      <c r="UKT188" s="36"/>
      <c r="UKU188" s="36"/>
      <c r="UKV188" s="36"/>
      <c r="UKW188" s="36"/>
      <c r="UKX188" s="36"/>
      <c r="UKY188" s="36"/>
      <c r="UKZ188" s="36"/>
      <c r="ULA188" s="36"/>
      <c r="ULB188" s="36"/>
      <c r="ULC188" s="36"/>
      <c r="ULD188" s="36"/>
      <c r="ULE188" s="36"/>
      <c r="ULF188" s="36"/>
      <c r="ULG188" s="36"/>
      <c r="ULH188" s="36"/>
      <c r="ULI188" s="36"/>
      <c r="ULJ188" s="36"/>
      <c r="ULK188" s="36"/>
      <c r="ULL188" s="36"/>
      <c r="ULM188" s="36"/>
      <c r="ULN188" s="36"/>
      <c r="ULO188" s="36"/>
      <c r="ULP188" s="36"/>
      <c r="ULQ188" s="36"/>
      <c r="ULR188" s="36"/>
      <c r="ULS188" s="36"/>
      <c r="ULT188" s="36"/>
      <c r="ULU188" s="36"/>
      <c r="ULV188" s="36"/>
      <c r="ULW188" s="36"/>
      <c r="ULX188" s="36"/>
      <c r="ULY188" s="36"/>
      <c r="ULZ188" s="36"/>
      <c r="UMA188" s="36"/>
      <c r="UMB188" s="36"/>
      <c r="UMC188" s="36"/>
      <c r="UMD188" s="36"/>
      <c r="UME188" s="36"/>
      <c r="UMF188" s="36"/>
      <c r="UMG188" s="36"/>
      <c r="UMH188" s="36"/>
      <c r="UMI188" s="36"/>
      <c r="UMJ188" s="36"/>
      <c r="UMK188" s="36"/>
      <c r="UML188" s="36"/>
      <c r="UMM188" s="36"/>
      <c r="UMN188" s="36"/>
      <c r="UMO188" s="36"/>
      <c r="UMP188" s="36"/>
      <c r="UMQ188" s="36"/>
      <c r="UMR188" s="36"/>
      <c r="UMS188" s="36"/>
      <c r="UMT188" s="36"/>
      <c r="UMU188" s="36"/>
      <c r="UMV188" s="36"/>
      <c r="UMW188" s="36"/>
      <c r="UMX188" s="36"/>
      <c r="UMY188" s="36"/>
      <c r="UMZ188" s="36"/>
      <c r="UNA188" s="36"/>
      <c r="UNB188" s="36"/>
      <c r="UNC188" s="36"/>
      <c r="UND188" s="36"/>
      <c r="UNE188" s="36"/>
      <c r="UNF188" s="36"/>
      <c r="UNG188" s="36"/>
      <c r="UNH188" s="36"/>
      <c r="UNI188" s="36"/>
      <c r="UNJ188" s="36"/>
      <c r="UNK188" s="36"/>
      <c r="UNL188" s="36"/>
      <c r="UNM188" s="36"/>
      <c r="UNN188" s="36"/>
      <c r="UNO188" s="36"/>
      <c r="UNP188" s="36"/>
      <c r="UNQ188" s="36"/>
      <c r="UNR188" s="36"/>
      <c r="UNS188" s="36"/>
      <c r="UNT188" s="36"/>
      <c r="UNU188" s="36"/>
      <c r="UNV188" s="36"/>
      <c r="UNW188" s="36"/>
      <c r="UNX188" s="36"/>
      <c r="UNY188" s="36"/>
      <c r="UNZ188" s="36"/>
      <c r="UOA188" s="36"/>
      <c r="UOB188" s="36"/>
      <c r="UOC188" s="36"/>
      <c r="UOD188" s="36"/>
      <c r="UOE188" s="36"/>
      <c r="UOF188" s="36"/>
      <c r="UOG188" s="36"/>
      <c r="UOH188" s="36"/>
      <c r="UOI188" s="36"/>
      <c r="UOJ188" s="36"/>
      <c r="UOK188" s="36"/>
      <c r="UOL188" s="36"/>
      <c r="UOM188" s="36"/>
      <c r="UON188" s="36"/>
      <c r="UOO188" s="36"/>
      <c r="UOP188" s="36"/>
      <c r="UOQ188" s="36"/>
      <c r="UOR188" s="36"/>
      <c r="UOS188" s="36"/>
      <c r="UOT188" s="36"/>
      <c r="UOU188" s="36"/>
      <c r="UOV188" s="36"/>
      <c r="UOW188" s="36"/>
      <c r="UOX188" s="36"/>
      <c r="UOY188" s="36"/>
      <c r="UOZ188" s="36"/>
      <c r="UPA188" s="36"/>
      <c r="UPB188" s="36"/>
      <c r="UPC188" s="36"/>
      <c r="UPD188" s="36"/>
      <c r="UPE188" s="36"/>
      <c r="UPF188" s="36"/>
      <c r="UPG188" s="36"/>
      <c r="UPH188" s="36"/>
      <c r="UPI188" s="36"/>
      <c r="UPJ188" s="36"/>
      <c r="UPK188" s="36"/>
      <c r="UPL188" s="36"/>
      <c r="UPM188" s="36"/>
      <c r="UPN188" s="36"/>
      <c r="UPO188" s="36"/>
      <c r="UPP188" s="36"/>
      <c r="UPQ188" s="36"/>
      <c r="UPR188" s="36"/>
      <c r="UPS188" s="36"/>
      <c r="UPT188" s="36"/>
      <c r="UPU188" s="36"/>
      <c r="UPV188" s="36"/>
      <c r="UPW188" s="36"/>
      <c r="UPX188" s="36"/>
      <c r="UPY188" s="36"/>
      <c r="UPZ188" s="36"/>
      <c r="UQA188" s="36"/>
      <c r="UQB188" s="36"/>
      <c r="UQC188" s="36"/>
      <c r="UQD188" s="36"/>
      <c r="UQE188" s="36"/>
      <c r="UQF188" s="36"/>
      <c r="UQG188" s="36"/>
      <c r="UQH188" s="36"/>
      <c r="UQI188" s="36"/>
      <c r="UQJ188" s="36"/>
      <c r="UQK188" s="36"/>
      <c r="UQL188" s="36"/>
      <c r="UQM188" s="36"/>
      <c r="UQN188" s="36"/>
      <c r="UQO188" s="36"/>
      <c r="UQP188" s="36"/>
      <c r="UQQ188" s="36"/>
      <c r="UQR188" s="36"/>
      <c r="UQS188" s="36"/>
      <c r="UQT188" s="36"/>
      <c r="UQU188" s="36"/>
      <c r="UQV188" s="36"/>
      <c r="UQW188" s="36"/>
      <c r="UQX188" s="36"/>
      <c r="UQY188" s="36"/>
      <c r="UQZ188" s="36"/>
      <c r="URA188" s="36"/>
      <c r="URB188" s="36"/>
      <c r="URC188" s="36"/>
      <c r="URD188" s="36"/>
      <c r="URE188" s="36"/>
      <c r="URF188" s="36"/>
      <c r="URG188" s="36"/>
      <c r="URH188" s="36"/>
      <c r="URI188" s="36"/>
      <c r="URJ188" s="36"/>
      <c r="URK188" s="36"/>
      <c r="URL188" s="36"/>
      <c r="URM188" s="36"/>
      <c r="URN188" s="36"/>
      <c r="URO188" s="36"/>
      <c r="URP188" s="36"/>
      <c r="URQ188" s="36"/>
      <c r="URR188" s="36"/>
      <c r="URS188" s="36"/>
      <c r="URT188" s="36"/>
      <c r="URU188" s="36"/>
      <c r="URV188" s="36"/>
      <c r="URW188" s="36"/>
      <c r="URX188" s="36"/>
      <c r="URY188" s="36"/>
      <c r="URZ188" s="36"/>
      <c r="USA188" s="36"/>
      <c r="USB188" s="36"/>
      <c r="USC188" s="36"/>
      <c r="USD188" s="36"/>
      <c r="USE188" s="36"/>
      <c r="USF188" s="36"/>
      <c r="USG188" s="36"/>
      <c r="USH188" s="36"/>
      <c r="USI188" s="36"/>
      <c r="USJ188" s="36"/>
      <c r="USK188" s="36"/>
      <c r="USL188" s="36"/>
      <c r="USM188" s="36"/>
      <c r="USN188" s="36"/>
      <c r="USO188" s="36"/>
      <c r="USP188" s="36"/>
      <c r="USQ188" s="36"/>
      <c r="USR188" s="36"/>
      <c r="USS188" s="36"/>
      <c r="UST188" s="36"/>
      <c r="USU188" s="36"/>
      <c r="USV188" s="36"/>
      <c r="USW188" s="36"/>
      <c r="USX188" s="36"/>
      <c r="USY188" s="36"/>
      <c r="USZ188" s="36"/>
      <c r="UTA188" s="36"/>
      <c r="UTB188" s="36"/>
      <c r="UTC188" s="36"/>
      <c r="UTD188" s="36"/>
      <c r="UTE188" s="36"/>
      <c r="UTF188" s="36"/>
      <c r="UTG188" s="36"/>
      <c r="UTH188" s="36"/>
      <c r="UTI188" s="36"/>
      <c r="UTJ188" s="36"/>
      <c r="UTK188" s="36"/>
      <c r="UTL188" s="36"/>
      <c r="UTM188" s="36"/>
      <c r="UTN188" s="36"/>
      <c r="UTO188" s="36"/>
      <c r="UTP188" s="36"/>
      <c r="UTQ188" s="36"/>
      <c r="UTR188" s="36"/>
      <c r="UTS188" s="36"/>
      <c r="UTT188" s="36"/>
      <c r="UTU188" s="36"/>
      <c r="UTV188" s="36"/>
      <c r="UTW188" s="36"/>
      <c r="UTX188" s="36"/>
      <c r="UTY188" s="36"/>
      <c r="UTZ188" s="36"/>
      <c r="UUA188" s="36"/>
      <c r="UUB188" s="36"/>
      <c r="UUC188" s="36"/>
      <c r="UUD188" s="36"/>
      <c r="UUE188" s="36"/>
      <c r="UUF188" s="36"/>
      <c r="UUG188" s="36"/>
      <c r="UUH188" s="36"/>
      <c r="UUI188" s="36"/>
      <c r="UUJ188" s="36"/>
      <c r="UUK188" s="36"/>
      <c r="UUL188" s="36"/>
      <c r="UUM188" s="36"/>
      <c r="UUN188" s="36"/>
      <c r="UUO188" s="36"/>
      <c r="UUP188" s="36"/>
      <c r="UUQ188" s="36"/>
      <c r="UUR188" s="36"/>
      <c r="UUS188" s="36"/>
      <c r="UUT188" s="36"/>
      <c r="UUU188" s="36"/>
      <c r="UUV188" s="36"/>
      <c r="UUW188" s="36"/>
      <c r="UUX188" s="36"/>
      <c r="UUY188" s="36"/>
      <c r="UUZ188" s="36"/>
      <c r="UVA188" s="36"/>
      <c r="UVB188" s="36"/>
      <c r="UVC188" s="36"/>
      <c r="UVD188" s="36"/>
      <c r="UVE188" s="36"/>
      <c r="UVF188" s="36"/>
      <c r="UVG188" s="36"/>
      <c r="UVH188" s="36"/>
      <c r="UVI188" s="36"/>
      <c r="UVJ188" s="36"/>
      <c r="UVK188" s="36"/>
      <c r="UVL188" s="36"/>
      <c r="UVM188" s="36"/>
      <c r="UVN188" s="36"/>
      <c r="UVO188" s="36"/>
      <c r="UVP188" s="36"/>
      <c r="UVQ188" s="36"/>
      <c r="UVR188" s="36"/>
      <c r="UVS188" s="36"/>
      <c r="UVT188" s="36"/>
      <c r="UVU188" s="36"/>
      <c r="UVV188" s="36"/>
      <c r="UVW188" s="36"/>
      <c r="UVX188" s="36"/>
      <c r="UVY188" s="36"/>
      <c r="UVZ188" s="36"/>
      <c r="UWA188" s="36"/>
      <c r="UWB188" s="36"/>
      <c r="UWC188" s="36"/>
      <c r="UWD188" s="36"/>
      <c r="UWE188" s="36"/>
      <c r="UWF188" s="36"/>
      <c r="UWG188" s="36"/>
      <c r="UWH188" s="36"/>
      <c r="UWI188" s="36"/>
      <c r="UWJ188" s="36"/>
      <c r="UWK188" s="36"/>
      <c r="UWL188" s="36"/>
      <c r="UWM188" s="36"/>
      <c r="UWN188" s="36"/>
      <c r="UWO188" s="36"/>
      <c r="UWP188" s="36"/>
      <c r="UWQ188" s="36"/>
      <c r="UWR188" s="36"/>
      <c r="UWS188" s="36"/>
      <c r="UWT188" s="36"/>
      <c r="UWU188" s="36"/>
      <c r="UWV188" s="36"/>
      <c r="UWW188" s="36"/>
      <c r="UWX188" s="36"/>
      <c r="UWY188" s="36"/>
      <c r="UWZ188" s="36"/>
      <c r="UXA188" s="36"/>
      <c r="UXB188" s="36"/>
      <c r="UXC188" s="36"/>
      <c r="UXD188" s="36"/>
      <c r="UXE188" s="36"/>
      <c r="UXF188" s="36"/>
      <c r="UXG188" s="36"/>
      <c r="UXH188" s="36"/>
      <c r="UXI188" s="36"/>
      <c r="UXJ188" s="36"/>
      <c r="UXK188" s="36"/>
      <c r="UXL188" s="36"/>
      <c r="UXM188" s="36"/>
      <c r="UXN188" s="36"/>
      <c r="UXO188" s="36"/>
      <c r="UXP188" s="36"/>
      <c r="UXQ188" s="36"/>
      <c r="UXR188" s="36"/>
      <c r="UXS188" s="36"/>
      <c r="UXT188" s="36"/>
      <c r="UXU188" s="36"/>
      <c r="UXV188" s="36"/>
      <c r="UXW188" s="36"/>
      <c r="UXX188" s="36"/>
      <c r="UXY188" s="36"/>
      <c r="UXZ188" s="36"/>
      <c r="UYA188" s="36"/>
      <c r="UYB188" s="36"/>
      <c r="UYC188" s="36"/>
      <c r="UYD188" s="36"/>
      <c r="UYE188" s="36"/>
      <c r="UYF188" s="36"/>
      <c r="UYG188" s="36"/>
      <c r="UYH188" s="36"/>
      <c r="UYI188" s="36"/>
      <c r="UYJ188" s="36"/>
      <c r="UYK188" s="36"/>
      <c r="UYL188" s="36"/>
      <c r="UYM188" s="36"/>
      <c r="UYN188" s="36"/>
      <c r="UYO188" s="36"/>
      <c r="UYP188" s="36"/>
      <c r="UYQ188" s="36"/>
      <c r="UYR188" s="36"/>
      <c r="UYS188" s="36"/>
      <c r="UYT188" s="36"/>
      <c r="UYU188" s="36"/>
      <c r="UYV188" s="36"/>
      <c r="UYW188" s="36"/>
      <c r="UYX188" s="36"/>
      <c r="UYY188" s="36"/>
      <c r="UYZ188" s="36"/>
      <c r="UZA188" s="36"/>
      <c r="UZB188" s="36"/>
      <c r="UZC188" s="36"/>
      <c r="UZD188" s="36"/>
      <c r="UZE188" s="36"/>
      <c r="UZF188" s="36"/>
      <c r="UZG188" s="36"/>
      <c r="UZH188" s="36"/>
      <c r="UZI188" s="36"/>
      <c r="UZJ188" s="36"/>
      <c r="UZK188" s="36"/>
      <c r="UZL188" s="36"/>
      <c r="UZM188" s="36"/>
      <c r="UZN188" s="36"/>
      <c r="UZO188" s="36"/>
      <c r="UZP188" s="36"/>
      <c r="UZQ188" s="36"/>
      <c r="UZR188" s="36"/>
      <c r="UZS188" s="36"/>
      <c r="UZT188" s="36"/>
      <c r="UZU188" s="36"/>
      <c r="UZV188" s="36"/>
      <c r="UZW188" s="36"/>
      <c r="UZX188" s="36"/>
      <c r="UZY188" s="36"/>
      <c r="UZZ188" s="36"/>
      <c r="VAA188" s="36"/>
      <c r="VAB188" s="36"/>
      <c r="VAC188" s="36"/>
      <c r="VAD188" s="36"/>
      <c r="VAE188" s="36"/>
      <c r="VAF188" s="36"/>
      <c r="VAG188" s="36"/>
      <c r="VAH188" s="36"/>
      <c r="VAI188" s="36"/>
      <c r="VAJ188" s="36"/>
      <c r="VAK188" s="36"/>
      <c r="VAL188" s="36"/>
      <c r="VAM188" s="36"/>
      <c r="VAN188" s="36"/>
      <c r="VAO188" s="36"/>
      <c r="VAP188" s="36"/>
      <c r="VAQ188" s="36"/>
      <c r="VAR188" s="36"/>
      <c r="VAS188" s="36"/>
      <c r="VAT188" s="36"/>
      <c r="VAU188" s="36"/>
      <c r="VAV188" s="36"/>
      <c r="VAW188" s="36"/>
      <c r="VAX188" s="36"/>
      <c r="VAY188" s="36"/>
      <c r="VAZ188" s="36"/>
      <c r="VBA188" s="36"/>
      <c r="VBB188" s="36"/>
      <c r="VBC188" s="36"/>
      <c r="VBD188" s="36"/>
      <c r="VBE188" s="36"/>
      <c r="VBF188" s="36"/>
      <c r="VBG188" s="36"/>
      <c r="VBH188" s="36"/>
      <c r="VBI188" s="36"/>
      <c r="VBJ188" s="36"/>
      <c r="VBK188" s="36"/>
      <c r="VBL188" s="36"/>
      <c r="VBM188" s="36"/>
      <c r="VBN188" s="36"/>
      <c r="VBO188" s="36"/>
      <c r="VBP188" s="36"/>
      <c r="VBQ188" s="36"/>
      <c r="VBR188" s="36"/>
      <c r="VBS188" s="36"/>
      <c r="VBT188" s="36"/>
      <c r="VBU188" s="36"/>
      <c r="VBV188" s="36"/>
      <c r="VBW188" s="36"/>
      <c r="VBX188" s="36"/>
      <c r="VBY188" s="36"/>
      <c r="VBZ188" s="36"/>
      <c r="VCA188" s="36"/>
      <c r="VCB188" s="36"/>
      <c r="VCC188" s="36"/>
      <c r="VCD188" s="36"/>
      <c r="VCE188" s="36"/>
      <c r="VCF188" s="36"/>
      <c r="VCG188" s="36"/>
      <c r="VCH188" s="36"/>
      <c r="VCI188" s="36"/>
      <c r="VCJ188" s="36"/>
      <c r="VCK188" s="36"/>
      <c r="VCL188" s="36"/>
      <c r="VCM188" s="36"/>
      <c r="VCN188" s="36"/>
      <c r="VCO188" s="36"/>
      <c r="VCP188" s="36"/>
      <c r="VCQ188" s="36"/>
      <c r="VCR188" s="36"/>
      <c r="VCS188" s="36"/>
      <c r="VCT188" s="36"/>
      <c r="VCU188" s="36"/>
      <c r="VCV188" s="36"/>
      <c r="VCW188" s="36"/>
      <c r="VCX188" s="36"/>
      <c r="VCY188" s="36"/>
      <c r="VCZ188" s="36"/>
      <c r="VDA188" s="36"/>
      <c r="VDB188" s="36"/>
      <c r="VDC188" s="36"/>
      <c r="VDD188" s="36"/>
      <c r="VDE188" s="36"/>
      <c r="VDF188" s="36"/>
      <c r="VDG188" s="36"/>
      <c r="VDH188" s="36"/>
      <c r="VDI188" s="36"/>
      <c r="VDJ188" s="36"/>
      <c r="VDK188" s="36"/>
      <c r="VDL188" s="36"/>
      <c r="VDM188" s="36"/>
      <c r="VDN188" s="36"/>
      <c r="VDO188" s="36"/>
      <c r="VDP188" s="36"/>
      <c r="VDQ188" s="36"/>
      <c r="VDR188" s="36"/>
      <c r="VDS188" s="36"/>
      <c r="VDT188" s="36"/>
      <c r="VDU188" s="36"/>
      <c r="VDV188" s="36"/>
      <c r="VDW188" s="36"/>
      <c r="VDX188" s="36"/>
      <c r="VDY188" s="36"/>
      <c r="VDZ188" s="36"/>
      <c r="VEA188" s="36"/>
      <c r="VEB188" s="36"/>
      <c r="VEC188" s="36"/>
      <c r="VED188" s="36"/>
      <c r="VEE188" s="36"/>
      <c r="VEF188" s="36"/>
      <c r="VEG188" s="36"/>
      <c r="VEH188" s="36"/>
      <c r="VEI188" s="36"/>
      <c r="VEJ188" s="36"/>
      <c r="VEK188" s="36"/>
      <c r="VEL188" s="36"/>
      <c r="VEM188" s="36"/>
      <c r="VEN188" s="36"/>
      <c r="VEO188" s="36"/>
      <c r="VEP188" s="36"/>
      <c r="VEQ188" s="36"/>
      <c r="VER188" s="36"/>
      <c r="VES188" s="36"/>
      <c r="VET188" s="36"/>
      <c r="VEU188" s="36"/>
      <c r="VEV188" s="36"/>
      <c r="VEW188" s="36"/>
      <c r="VEX188" s="36"/>
      <c r="VEY188" s="36"/>
      <c r="VEZ188" s="36"/>
      <c r="VFA188" s="36"/>
      <c r="VFB188" s="36"/>
      <c r="VFC188" s="36"/>
      <c r="VFD188" s="36"/>
      <c r="VFE188" s="36"/>
      <c r="VFF188" s="36"/>
      <c r="VFG188" s="36"/>
      <c r="VFH188" s="36"/>
      <c r="VFI188" s="36"/>
      <c r="VFJ188" s="36"/>
      <c r="VFK188" s="36"/>
      <c r="VFL188" s="36"/>
      <c r="VFM188" s="36"/>
      <c r="VFN188" s="36"/>
      <c r="VFO188" s="36"/>
      <c r="VFP188" s="36"/>
      <c r="VFQ188" s="36"/>
      <c r="VFR188" s="36"/>
      <c r="VFS188" s="36"/>
      <c r="VFT188" s="36"/>
      <c r="VFU188" s="36"/>
      <c r="VFV188" s="36"/>
      <c r="VFW188" s="36"/>
      <c r="VFX188" s="36"/>
      <c r="VFY188" s="36"/>
      <c r="VFZ188" s="36"/>
      <c r="VGA188" s="36"/>
      <c r="VGB188" s="36"/>
      <c r="VGC188" s="36"/>
      <c r="VGD188" s="36"/>
      <c r="VGE188" s="36"/>
      <c r="VGF188" s="36"/>
      <c r="VGG188" s="36"/>
      <c r="VGH188" s="36"/>
      <c r="VGI188" s="36"/>
      <c r="VGJ188" s="36"/>
      <c r="VGK188" s="36"/>
      <c r="VGL188" s="36"/>
      <c r="VGM188" s="36"/>
      <c r="VGN188" s="36"/>
      <c r="VGO188" s="36"/>
      <c r="VGP188" s="36"/>
      <c r="VGQ188" s="36"/>
      <c r="VGR188" s="36"/>
      <c r="VGS188" s="36"/>
      <c r="VGT188" s="36"/>
      <c r="VGU188" s="36"/>
      <c r="VGV188" s="36"/>
      <c r="VGW188" s="36"/>
      <c r="VGX188" s="36"/>
      <c r="VGY188" s="36"/>
      <c r="VGZ188" s="36"/>
      <c r="VHA188" s="36"/>
      <c r="VHB188" s="36"/>
      <c r="VHC188" s="36"/>
      <c r="VHD188" s="36"/>
      <c r="VHE188" s="36"/>
      <c r="VHF188" s="36"/>
      <c r="VHG188" s="36"/>
      <c r="VHH188" s="36"/>
      <c r="VHI188" s="36"/>
      <c r="VHJ188" s="36"/>
      <c r="VHK188" s="36"/>
      <c r="VHL188" s="36"/>
      <c r="VHM188" s="36"/>
      <c r="VHN188" s="36"/>
      <c r="VHO188" s="36"/>
      <c r="VHP188" s="36"/>
      <c r="VHQ188" s="36"/>
      <c r="VHR188" s="36"/>
      <c r="VHS188" s="36"/>
      <c r="VHT188" s="36"/>
      <c r="VHU188" s="36"/>
      <c r="VHV188" s="36"/>
      <c r="VHW188" s="36"/>
      <c r="VHX188" s="36"/>
      <c r="VHY188" s="36"/>
      <c r="VHZ188" s="36"/>
      <c r="VIA188" s="36"/>
      <c r="VIB188" s="36"/>
      <c r="VIC188" s="36"/>
      <c r="VID188" s="36"/>
      <c r="VIE188" s="36"/>
      <c r="VIF188" s="36"/>
      <c r="VIG188" s="36"/>
      <c r="VIH188" s="36"/>
      <c r="VII188" s="36"/>
      <c r="VIJ188" s="36"/>
      <c r="VIK188" s="36"/>
      <c r="VIL188" s="36"/>
      <c r="VIM188" s="36"/>
      <c r="VIN188" s="36"/>
      <c r="VIO188" s="36"/>
      <c r="VIP188" s="36"/>
      <c r="VIQ188" s="36"/>
      <c r="VIR188" s="36"/>
      <c r="VIS188" s="36"/>
      <c r="VIT188" s="36"/>
      <c r="VIU188" s="36"/>
      <c r="VIV188" s="36"/>
      <c r="VIW188" s="36"/>
      <c r="VIX188" s="36"/>
      <c r="VIY188" s="36"/>
      <c r="VIZ188" s="36"/>
      <c r="VJA188" s="36"/>
      <c r="VJB188" s="36"/>
      <c r="VJC188" s="36"/>
      <c r="VJD188" s="36"/>
      <c r="VJE188" s="36"/>
      <c r="VJF188" s="36"/>
      <c r="VJG188" s="36"/>
      <c r="VJH188" s="36"/>
      <c r="VJI188" s="36"/>
      <c r="VJJ188" s="36"/>
      <c r="VJK188" s="36"/>
      <c r="VJL188" s="36"/>
      <c r="VJM188" s="36"/>
      <c r="VJN188" s="36"/>
      <c r="VJO188" s="36"/>
      <c r="VJP188" s="36"/>
      <c r="VJQ188" s="36"/>
      <c r="VJR188" s="36"/>
      <c r="VJS188" s="36"/>
      <c r="VJT188" s="36"/>
      <c r="VJU188" s="36"/>
      <c r="VJV188" s="36"/>
      <c r="VJW188" s="36"/>
      <c r="VJX188" s="36"/>
      <c r="VJY188" s="36"/>
      <c r="VJZ188" s="36"/>
      <c r="VKA188" s="36"/>
      <c r="VKB188" s="36"/>
      <c r="VKC188" s="36"/>
      <c r="VKD188" s="36"/>
      <c r="VKE188" s="36"/>
      <c r="VKF188" s="36"/>
      <c r="VKG188" s="36"/>
      <c r="VKH188" s="36"/>
      <c r="VKI188" s="36"/>
      <c r="VKJ188" s="36"/>
      <c r="VKK188" s="36"/>
      <c r="VKL188" s="36"/>
      <c r="VKM188" s="36"/>
      <c r="VKN188" s="36"/>
      <c r="VKO188" s="36"/>
      <c r="VKP188" s="36"/>
      <c r="VKQ188" s="36"/>
      <c r="VKR188" s="36"/>
      <c r="VKS188" s="36"/>
      <c r="VKT188" s="36"/>
      <c r="VKU188" s="36"/>
      <c r="VKV188" s="36"/>
      <c r="VKW188" s="36"/>
      <c r="VKX188" s="36"/>
      <c r="VKY188" s="36"/>
      <c r="VKZ188" s="36"/>
      <c r="VLA188" s="36"/>
      <c r="VLB188" s="36"/>
      <c r="VLC188" s="36"/>
      <c r="VLD188" s="36"/>
      <c r="VLE188" s="36"/>
      <c r="VLF188" s="36"/>
      <c r="VLG188" s="36"/>
      <c r="VLH188" s="36"/>
      <c r="VLI188" s="36"/>
      <c r="VLJ188" s="36"/>
      <c r="VLK188" s="36"/>
      <c r="VLL188" s="36"/>
      <c r="VLM188" s="36"/>
      <c r="VLN188" s="36"/>
      <c r="VLO188" s="36"/>
      <c r="VLP188" s="36"/>
      <c r="VLQ188" s="36"/>
      <c r="VLR188" s="36"/>
      <c r="VLS188" s="36"/>
      <c r="VLT188" s="36"/>
      <c r="VLU188" s="36"/>
      <c r="VLV188" s="36"/>
      <c r="VLW188" s="36"/>
      <c r="VLX188" s="36"/>
      <c r="VLY188" s="36"/>
      <c r="VLZ188" s="36"/>
      <c r="VMA188" s="36"/>
      <c r="VMB188" s="36"/>
      <c r="VMC188" s="36"/>
      <c r="VMD188" s="36"/>
      <c r="VME188" s="36"/>
      <c r="VMF188" s="36"/>
      <c r="VMG188" s="36"/>
      <c r="VMH188" s="36"/>
      <c r="VMI188" s="36"/>
      <c r="VMJ188" s="36"/>
      <c r="VMK188" s="36"/>
      <c r="VML188" s="36"/>
      <c r="VMM188" s="36"/>
      <c r="VMN188" s="36"/>
      <c r="VMO188" s="36"/>
      <c r="VMP188" s="36"/>
      <c r="VMQ188" s="36"/>
      <c r="VMR188" s="36"/>
      <c r="VMS188" s="36"/>
      <c r="VMT188" s="36"/>
      <c r="VMU188" s="36"/>
      <c r="VMV188" s="36"/>
      <c r="VMW188" s="36"/>
      <c r="VMX188" s="36"/>
      <c r="VMY188" s="36"/>
      <c r="VMZ188" s="36"/>
      <c r="VNA188" s="36"/>
      <c r="VNB188" s="36"/>
      <c r="VNC188" s="36"/>
      <c r="VND188" s="36"/>
      <c r="VNE188" s="36"/>
      <c r="VNF188" s="36"/>
      <c r="VNG188" s="36"/>
      <c r="VNH188" s="36"/>
      <c r="VNI188" s="36"/>
      <c r="VNJ188" s="36"/>
      <c r="VNK188" s="36"/>
      <c r="VNL188" s="36"/>
      <c r="VNM188" s="36"/>
      <c r="VNN188" s="36"/>
      <c r="VNO188" s="36"/>
      <c r="VNP188" s="36"/>
      <c r="VNQ188" s="36"/>
      <c r="VNR188" s="36"/>
      <c r="VNS188" s="36"/>
      <c r="VNT188" s="36"/>
      <c r="VNU188" s="36"/>
      <c r="VNV188" s="36"/>
      <c r="VNW188" s="36"/>
      <c r="VNX188" s="36"/>
      <c r="VNY188" s="36"/>
      <c r="VNZ188" s="36"/>
      <c r="VOA188" s="36"/>
      <c r="VOB188" s="36"/>
      <c r="VOC188" s="36"/>
      <c r="VOD188" s="36"/>
      <c r="VOE188" s="36"/>
      <c r="VOF188" s="36"/>
      <c r="VOG188" s="36"/>
      <c r="VOH188" s="36"/>
      <c r="VOI188" s="36"/>
      <c r="VOJ188" s="36"/>
      <c r="VOK188" s="36"/>
      <c r="VOL188" s="36"/>
      <c r="VOM188" s="36"/>
      <c r="VON188" s="36"/>
      <c r="VOO188" s="36"/>
      <c r="VOP188" s="36"/>
      <c r="VOQ188" s="36"/>
      <c r="VOR188" s="36"/>
      <c r="VOS188" s="36"/>
      <c r="VOT188" s="36"/>
      <c r="VOU188" s="36"/>
      <c r="VOV188" s="36"/>
      <c r="VOW188" s="36"/>
      <c r="VOX188" s="36"/>
      <c r="VOY188" s="36"/>
      <c r="VOZ188" s="36"/>
      <c r="VPA188" s="36"/>
      <c r="VPB188" s="36"/>
      <c r="VPC188" s="36"/>
      <c r="VPD188" s="36"/>
      <c r="VPE188" s="36"/>
      <c r="VPF188" s="36"/>
      <c r="VPG188" s="36"/>
      <c r="VPH188" s="36"/>
      <c r="VPI188" s="36"/>
      <c r="VPJ188" s="36"/>
      <c r="VPK188" s="36"/>
      <c r="VPL188" s="36"/>
      <c r="VPM188" s="36"/>
      <c r="VPN188" s="36"/>
      <c r="VPO188" s="36"/>
      <c r="VPP188" s="36"/>
      <c r="VPQ188" s="36"/>
      <c r="VPR188" s="36"/>
      <c r="VPS188" s="36"/>
      <c r="VPT188" s="36"/>
      <c r="VPU188" s="36"/>
      <c r="VPV188" s="36"/>
      <c r="VPW188" s="36"/>
      <c r="VPX188" s="36"/>
      <c r="VPY188" s="36"/>
      <c r="VPZ188" s="36"/>
      <c r="VQA188" s="36"/>
      <c r="VQB188" s="36"/>
      <c r="VQC188" s="36"/>
      <c r="VQD188" s="36"/>
      <c r="VQE188" s="36"/>
      <c r="VQF188" s="36"/>
      <c r="VQG188" s="36"/>
      <c r="VQH188" s="36"/>
      <c r="VQI188" s="36"/>
      <c r="VQJ188" s="36"/>
      <c r="VQK188" s="36"/>
      <c r="VQL188" s="36"/>
      <c r="VQM188" s="36"/>
      <c r="VQN188" s="36"/>
      <c r="VQO188" s="36"/>
      <c r="VQP188" s="36"/>
      <c r="VQQ188" s="36"/>
      <c r="VQR188" s="36"/>
      <c r="VQS188" s="36"/>
      <c r="VQT188" s="36"/>
      <c r="VQU188" s="36"/>
      <c r="VQV188" s="36"/>
      <c r="VQW188" s="36"/>
      <c r="VQX188" s="36"/>
      <c r="VQY188" s="36"/>
      <c r="VQZ188" s="36"/>
      <c r="VRA188" s="36"/>
      <c r="VRB188" s="36"/>
      <c r="VRC188" s="36"/>
      <c r="VRD188" s="36"/>
      <c r="VRE188" s="36"/>
      <c r="VRF188" s="36"/>
      <c r="VRG188" s="36"/>
      <c r="VRH188" s="36"/>
      <c r="VRI188" s="36"/>
      <c r="VRJ188" s="36"/>
      <c r="VRK188" s="36"/>
      <c r="VRL188" s="36"/>
      <c r="VRM188" s="36"/>
      <c r="VRN188" s="36"/>
      <c r="VRO188" s="36"/>
      <c r="VRP188" s="36"/>
      <c r="VRQ188" s="36"/>
      <c r="VRR188" s="36"/>
      <c r="VRS188" s="36"/>
      <c r="VRT188" s="36"/>
      <c r="VRU188" s="36"/>
      <c r="VRV188" s="36"/>
      <c r="VRW188" s="36"/>
      <c r="VRX188" s="36"/>
      <c r="VRY188" s="36"/>
      <c r="VRZ188" s="36"/>
      <c r="VSA188" s="36"/>
      <c r="VSB188" s="36"/>
      <c r="VSC188" s="36"/>
      <c r="VSD188" s="36"/>
      <c r="VSE188" s="36"/>
      <c r="VSF188" s="36"/>
      <c r="VSG188" s="36"/>
      <c r="VSH188" s="36"/>
      <c r="VSI188" s="36"/>
      <c r="VSJ188" s="36"/>
      <c r="VSK188" s="36"/>
      <c r="VSL188" s="36"/>
      <c r="VSM188" s="36"/>
      <c r="VSN188" s="36"/>
      <c r="VSO188" s="36"/>
      <c r="VSP188" s="36"/>
      <c r="VSQ188" s="36"/>
      <c r="VSR188" s="36"/>
      <c r="VSS188" s="36"/>
      <c r="VST188" s="36"/>
      <c r="VSU188" s="36"/>
      <c r="VSV188" s="36"/>
      <c r="VSW188" s="36"/>
      <c r="VSX188" s="36"/>
      <c r="VSY188" s="36"/>
      <c r="VSZ188" s="36"/>
      <c r="VTA188" s="36"/>
      <c r="VTB188" s="36"/>
      <c r="VTC188" s="36"/>
      <c r="VTD188" s="36"/>
      <c r="VTE188" s="36"/>
      <c r="VTF188" s="36"/>
      <c r="VTG188" s="36"/>
      <c r="VTH188" s="36"/>
      <c r="VTI188" s="36"/>
      <c r="VTJ188" s="36"/>
      <c r="VTK188" s="36"/>
      <c r="VTL188" s="36"/>
      <c r="VTM188" s="36"/>
      <c r="VTN188" s="36"/>
      <c r="VTO188" s="36"/>
      <c r="VTP188" s="36"/>
      <c r="VTQ188" s="36"/>
      <c r="VTR188" s="36"/>
      <c r="VTS188" s="36"/>
      <c r="VTT188" s="36"/>
      <c r="VTU188" s="36"/>
      <c r="VTV188" s="36"/>
      <c r="VTW188" s="36"/>
      <c r="VTX188" s="36"/>
      <c r="VTY188" s="36"/>
      <c r="VTZ188" s="36"/>
      <c r="VUA188" s="36"/>
      <c r="VUB188" s="36"/>
      <c r="VUC188" s="36"/>
      <c r="VUD188" s="36"/>
      <c r="VUE188" s="36"/>
      <c r="VUF188" s="36"/>
      <c r="VUG188" s="36"/>
      <c r="VUH188" s="36"/>
      <c r="VUI188" s="36"/>
      <c r="VUJ188" s="36"/>
      <c r="VUK188" s="36"/>
      <c r="VUL188" s="36"/>
      <c r="VUM188" s="36"/>
      <c r="VUN188" s="36"/>
      <c r="VUO188" s="36"/>
      <c r="VUP188" s="36"/>
      <c r="VUQ188" s="36"/>
      <c r="VUR188" s="36"/>
      <c r="VUS188" s="36"/>
      <c r="VUT188" s="36"/>
      <c r="VUU188" s="36"/>
      <c r="VUV188" s="36"/>
      <c r="VUW188" s="36"/>
      <c r="VUX188" s="36"/>
      <c r="VUY188" s="36"/>
      <c r="VUZ188" s="36"/>
      <c r="VVA188" s="36"/>
      <c r="VVB188" s="36"/>
      <c r="VVC188" s="36"/>
      <c r="VVD188" s="36"/>
      <c r="VVE188" s="36"/>
      <c r="VVF188" s="36"/>
      <c r="VVG188" s="36"/>
      <c r="VVH188" s="36"/>
      <c r="VVI188" s="36"/>
      <c r="VVJ188" s="36"/>
      <c r="VVK188" s="36"/>
      <c r="VVL188" s="36"/>
      <c r="VVM188" s="36"/>
      <c r="VVN188" s="36"/>
      <c r="VVO188" s="36"/>
      <c r="VVP188" s="36"/>
      <c r="VVQ188" s="36"/>
      <c r="VVR188" s="36"/>
      <c r="VVS188" s="36"/>
      <c r="VVT188" s="36"/>
      <c r="VVU188" s="36"/>
      <c r="VVV188" s="36"/>
      <c r="VVW188" s="36"/>
      <c r="VVX188" s="36"/>
      <c r="VVY188" s="36"/>
      <c r="VVZ188" s="36"/>
      <c r="VWA188" s="36"/>
      <c r="VWB188" s="36"/>
      <c r="VWC188" s="36"/>
      <c r="VWD188" s="36"/>
      <c r="VWE188" s="36"/>
      <c r="VWF188" s="36"/>
      <c r="VWG188" s="36"/>
      <c r="VWH188" s="36"/>
      <c r="VWI188" s="36"/>
      <c r="VWJ188" s="36"/>
      <c r="VWK188" s="36"/>
      <c r="VWL188" s="36"/>
      <c r="VWM188" s="36"/>
      <c r="VWN188" s="36"/>
      <c r="VWO188" s="36"/>
      <c r="VWP188" s="36"/>
      <c r="VWQ188" s="36"/>
      <c r="VWR188" s="36"/>
      <c r="VWS188" s="36"/>
      <c r="VWT188" s="36"/>
      <c r="VWU188" s="36"/>
      <c r="VWV188" s="36"/>
      <c r="VWW188" s="36"/>
      <c r="VWX188" s="36"/>
      <c r="VWY188" s="36"/>
      <c r="VWZ188" s="36"/>
      <c r="VXA188" s="36"/>
      <c r="VXB188" s="36"/>
      <c r="VXC188" s="36"/>
      <c r="VXD188" s="36"/>
      <c r="VXE188" s="36"/>
      <c r="VXF188" s="36"/>
      <c r="VXG188" s="36"/>
      <c r="VXH188" s="36"/>
      <c r="VXI188" s="36"/>
      <c r="VXJ188" s="36"/>
      <c r="VXK188" s="36"/>
      <c r="VXL188" s="36"/>
      <c r="VXM188" s="36"/>
      <c r="VXN188" s="36"/>
      <c r="VXO188" s="36"/>
      <c r="VXP188" s="36"/>
      <c r="VXQ188" s="36"/>
      <c r="VXR188" s="36"/>
      <c r="VXS188" s="36"/>
      <c r="VXT188" s="36"/>
      <c r="VXU188" s="36"/>
      <c r="VXV188" s="36"/>
      <c r="VXW188" s="36"/>
      <c r="VXX188" s="36"/>
      <c r="VXY188" s="36"/>
      <c r="VXZ188" s="36"/>
      <c r="VYA188" s="36"/>
      <c r="VYB188" s="36"/>
      <c r="VYC188" s="36"/>
      <c r="VYD188" s="36"/>
      <c r="VYE188" s="36"/>
      <c r="VYF188" s="36"/>
      <c r="VYG188" s="36"/>
      <c r="VYH188" s="36"/>
      <c r="VYI188" s="36"/>
      <c r="VYJ188" s="36"/>
      <c r="VYK188" s="36"/>
      <c r="VYL188" s="36"/>
      <c r="VYM188" s="36"/>
      <c r="VYN188" s="36"/>
      <c r="VYO188" s="36"/>
      <c r="VYP188" s="36"/>
      <c r="VYQ188" s="36"/>
      <c r="VYR188" s="36"/>
      <c r="VYS188" s="36"/>
      <c r="VYT188" s="36"/>
      <c r="VYU188" s="36"/>
      <c r="VYV188" s="36"/>
      <c r="VYW188" s="36"/>
      <c r="VYX188" s="36"/>
      <c r="VYY188" s="36"/>
      <c r="VYZ188" s="36"/>
      <c r="VZA188" s="36"/>
      <c r="VZB188" s="36"/>
      <c r="VZC188" s="36"/>
      <c r="VZD188" s="36"/>
      <c r="VZE188" s="36"/>
      <c r="VZF188" s="36"/>
      <c r="VZG188" s="36"/>
      <c r="VZH188" s="36"/>
      <c r="VZI188" s="36"/>
      <c r="VZJ188" s="36"/>
      <c r="VZK188" s="36"/>
      <c r="VZL188" s="36"/>
      <c r="VZM188" s="36"/>
      <c r="VZN188" s="36"/>
      <c r="VZO188" s="36"/>
      <c r="VZP188" s="36"/>
      <c r="VZQ188" s="36"/>
      <c r="VZR188" s="36"/>
      <c r="VZS188" s="36"/>
      <c r="VZT188" s="36"/>
      <c r="VZU188" s="36"/>
      <c r="VZV188" s="36"/>
      <c r="VZW188" s="36"/>
      <c r="VZX188" s="36"/>
      <c r="VZY188" s="36"/>
      <c r="VZZ188" s="36"/>
      <c r="WAA188" s="36"/>
      <c r="WAB188" s="36"/>
      <c r="WAC188" s="36"/>
      <c r="WAD188" s="36"/>
      <c r="WAE188" s="36"/>
      <c r="WAF188" s="36"/>
      <c r="WAG188" s="36"/>
      <c r="WAH188" s="36"/>
      <c r="WAI188" s="36"/>
      <c r="WAJ188" s="36"/>
      <c r="WAK188" s="36"/>
      <c r="WAL188" s="36"/>
      <c r="WAM188" s="36"/>
      <c r="WAN188" s="36"/>
      <c r="WAO188" s="36"/>
      <c r="WAP188" s="36"/>
      <c r="WAQ188" s="36"/>
      <c r="WAR188" s="36"/>
      <c r="WAS188" s="36"/>
      <c r="WAT188" s="36"/>
      <c r="WAU188" s="36"/>
      <c r="WAV188" s="36"/>
      <c r="WAW188" s="36"/>
      <c r="WAX188" s="36"/>
      <c r="WAY188" s="36"/>
      <c r="WAZ188" s="36"/>
      <c r="WBA188" s="36"/>
      <c r="WBB188" s="36"/>
      <c r="WBC188" s="36"/>
      <c r="WBD188" s="36"/>
      <c r="WBE188" s="36"/>
      <c r="WBF188" s="36"/>
      <c r="WBG188" s="36"/>
      <c r="WBH188" s="36"/>
      <c r="WBI188" s="36"/>
      <c r="WBJ188" s="36"/>
      <c r="WBK188" s="36"/>
      <c r="WBL188" s="36"/>
      <c r="WBM188" s="36"/>
      <c r="WBN188" s="36"/>
      <c r="WBO188" s="36"/>
      <c r="WBP188" s="36"/>
      <c r="WBQ188" s="36"/>
      <c r="WBR188" s="36"/>
      <c r="WBS188" s="36"/>
      <c r="WBT188" s="36"/>
      <c r="WBU188" s="36"/>
      <c r="WBV188" s="36"/>
      <c r="WBW188" s="36"/>
      <c r="WBX188" s="36"/>
      <c r="WBY188" s="36"/>
      <c r="WBZ188" s="36"/>
      <c r="WCA188" s="36"/>
      <c r="WCB188" s="36"/>
      <c r="WCC188" s="36"/>
      <c r="WCD188" s="36"/>
      <c r="WCE188" s="36"/>
      <c r="WCF188" s="36"/>
      <c r="WCG188" s="36"/>
      <c r="WCH188" s="36"/>
      <c r="WCI188" s="36"/>
      <c r="WCJ188" s="36"/>
      <c r="WCK188" s="36"/>
      <c r="WCL188" s="36"/>
      <c r="WCM188" s="36"/>
      <c r="WCN188" s="36"/>
      <c r="WCO188" s="36"/>
      <c r="WCP188" s="36"/>
      <c r="WCQ188" s="36"/>
      <c r="WCR188" s="36"/>
      <c r="WCS188" s="36"/>
      <c r="WCT188" s="36"/>
      <c r="WCU188" s="36"/>
      <c r="WCV188" s="36"/>
      <c r="WCW188" s="36"/>
      <c r="WCX188" s="36"/>
      <c r="WCY188" s="36"/>
      <c r="WCZ188" s="36"/>
      <c r="WDA188" s="36"/>
      <c r="WDB188" s="36"/>
      <c r="WDC188" s="36"/>
      <c r="WDD188" s="36"/>
      <c r="WDE188" s="36"/>
      <c r="WDF188" s="36"/>
      <c r="WDG188" s="36"/>
      <c r="WDH188" s="36"/>
      <c r="WDI188" s="36"/>
      <c r="WDJ188" s="36"/>
      <c r="WDK188" s="36"/>
      <c r="WDL188" s="36"/>
      <c r="WDM188" s="36"/>
      <c r="WDN188" s="36"/>
      <c r="WDO188" s="36"/>
      <c r="WDP188" s="36"/>
      <c r="WDQ188" s="36"/>
      <c r="WDR188" s="36"/>
      <c r="WDS188" s="36"/>
      <c r="WDT188" s="36"/>
      <c r="WDU188" s="36"/>
      <c r="WDV188" s="36"/>
      <c r="WDW188" s="36"/>
      <c r="WDX188" s="36"/>
      <c r="WDY188" s="36"/>
      <c r="WDZ188" s="36"/>
      <c r="WEA188" s="36"/>
      <c r="WEB188" s="36"/>
      <c r="WEC188" s="36"/>
      <c r="WED188" s="36"/>
      <c r="WEE188" s="36"/>
      <c r="WEF188" s="36"/>
      <c r="WEG188" s="36"/>
      <c r="WEH188" s="36"/>
      <c r="WEI188" s="36"/>
      <c r="WEJ188" s="36"/>
      <c r="WEK188" s="36"/>
      <c r="WEL188" s="36"/>
      <c r="WEM188" s="36"/>
      <c r="WEN188" s="36"/>
      <c r="WEO188" s="36"/>
      <c r="WEP188" s="36"/>
      <c r="WEQ188" s="36"/>
      <c r="WER188" s="36"/>
      <c r="WES188" s="36"/>
      <c r="WET188" s="36"/>
      <c r="WEU188" s="36"/>
      <c r="WEV188" s="36"/>
      <c r="WEW188" s="36"/>
      <c r="WEX188" s="36"/>
      <c r="WEY188" s="36"/>
      <c r="WEZ188" s="36"/>
      <c r="WFA188" s="36"/>
      <c r="WFB188" s="36"/>
      <c r="WFC188" s="36"/>
      <c r="WFD188" s="36"/>
      <c r="WFE188" s="36"/>
      <c r="WFF188" s="36"/>
      <c r="WFG188" s="36"/>
      <c r="WFH188" s="36"/>
      <c r="WFI188" s="36"/>
      <c r="WFJ188" s="36"/>
      <c r="WFK188" s="36"/>
      <c r="WFL188" s="36"/>
      <c r="WFM188" s="36"/>
      <c r="WFN188" s="36"/>
      <c r="WFO188" s="36"/>
      <c r="WFP188" s="36"/>
      <c r="WFQ188" s="36"/>
      <c r="WFR188" s="36"/>
      <c r="WFS188" s="36"/>
      <c r="WFT188" s="36"/>
      <c r="WFU188" s="36"/>
      <c r="WFV188" s="36"/>
      <c r="WFW188" s="36"/>
      <c r="WFX188" s="36"/>
      <c r="WFY188" s="36"/>
      <c r="WFZ188" s="36"/>
      <c r="WGA188" s="36"/>
      <c r="WGB188" s="36"/>
      <c r="WGC188" s="36"/>
      <c r="WGD188" s="36"/>
      <c r="WGE188" s="36"/>
      <c r="WGF188" s="36"/>
      <c r="WGG188" s="36"/>
      <c r="WGH188" s="36"/>
      <c r="WGI188" s="36"/>
      <c r="WGJ188" s="36"/>
      <c r="WGK188" s="36"/>
      <c r="WGL188" s="36"/>
      <c r="WGM188" s="36"/>
      <c r="WGN188" s="36"/>
      <c r="WGO188" s="36"/>
      <c r="WGP188" s="36"/>
      <c r="WGQ188" s="36"/>
      <c r="WGR188" s="36"/>
      <c r="WGS188" s="36"/>
      <c r="WGT188" s="36"/>
      <c r="WGU188" s="36"/>
      <c r="WGV188" s="36"/>
      <c r="WGW188" s="36"/>
      <c r="WGX188" s="36"/>
      <c r="WGY188" s="36"/>
      <c r="WGZ188" s="36"/>
      <c r="WHA188" s="36"/>
      <c r="WHB188" s="36"/>
      <c r="WHC188" s="36"/>
      <c r="WHD188" s="36"/>
      <c r="WHE188" s="36"/>
      <c r="WHF188" s="36"/>
      <c r="WHG188" s="36"/>
      <c r="WHH188" s="36"/>
      <c r="WHI188" s="36"/>
      <c r="WHJ188" s="36"/>
      <c r="WHK188" s="36"/>
      <c r="WHL188" s="36"/>
      <c r="WHM188" s="36"/>
      <c r="WHN188" s="36"/>
      <c r="WHO188" s="36"/>
      <c r="WHP188" s="36"/>
      <c r="WHQ188" s="36"/>
      <c r="WHR188" s="36"/>
      <c r="WHS188" s="36"/>
      <c r="WHT188" s="36"/>
      <c r="WHU188" s="36"/>
      <c r="WHV188" s="36"/>
      <c r="WHW188" s="36"/>
      <c r="WHX188" s="36"/>
      <c r="WHY188" s="36"/>
      <c r="WHZ188" s="36"/>
      <c r="WIA188" s="36"/>
      <c r="WIB188" s="36"/>
      <c r="WIC188" s="36"/>
      <c r="WID188" s="36"/>
      <c r="WIE188" s="36"/>
      <c r="WIF188" s="36"/>
      <c r="WIG188" s="36"/>
      <c r="WIH188" s="36"/>
      <c r="WII188" s="36"/>
      <c r="WIJ188" s="36"/>
      <c r="WIK188" s="36"/>
      <c r="WIL188" s="36"/>
      <c r="WIM188" s="36"/>
      <c r="WIN188" s="36"/>
      <c r="WIO188" s="36"/>
      <c r="WIP188" s="36"/>
      <c r="WIQ188" s="36"/>
      <c r="WIR188" s="36"/>
      <c r="WIS188" s="36"/>
      <c r="WIT188" s="36"/>
      <c r="WIU188" s="36"/>
      <c r="WIV188" s="36"/>
      <c r="WIW188" s="36"/>
      <c r="WIX188" s="36"/>
      <c r="WIY188" s="36"/>
      <c r="WIZ188" s="36"/>
      <c r="WJA188" s="36"/>
      <c r="WJB188" s="36"/>
      <c r="WJC188" s="36"/>
      <c r="WJD188" s="36"/>
      <c r="WJE188" s="36"/>
      <c r="WJF188" s="36"/>
      <c r="WJG188" s="36"/>
      <c r="WJH188" s="36"/>
      <c r="WJI188" s="36"/>
      <c r="WJJ188" s="36"/>
      <c r="WJK188" s="36"/>
      <c r="WJL188" s="36"/>
      <c r="WJM188" s="36"/>
      <c r="WJN188" s="36"/>
      <c r="WJO188" s="36"/>
      <c r="WJP188" s="36"/>
      <c r="WJQ188" s="36"/>
      <c r="WJR188" s="36"/>
      <c r="WJS188" s="36"/>
      <c r="WJT188" s="36"/>
      <c r="WJU188" s="36"/>
      <c r="WJV188" s="36"/>
      <c r="WJW188" s="36"/>
      <c r="WJX188" s="36"/>
      <c r="WJY188" s="36"/>
      <c r="WJZ188" s="36"/>
      <c r="WKA188" s="36"/>
      <c r="WKB188" s="36"/>
      <c r="WKC188" s="36"/>
      <c r="WKD188" s="36"/>
      <c r="WKE188" s="36"/>
      <c r="WKF188" s="36"/>
      <c r="WKG188" s="36"/>
      <c r="WKH188" s="36"/>
      <c r="WKI188" s="36"/>
      <c r="WKJ188" s="36"/>
      <c r="WKK188" s="36"/>
      <c r="WKL188" s="36"/>
      <c r="WKM188" s="36"/>
      <c r="WKN188" s="36"/>
      <c r="WKO188" s="36"/>
      <c r="WKP188" s="36"/>
      <c r="WKQ188" s="36"/>
      <c r="WKR188" s="36"/>
      <c r="WKS188" s="36"/>
      <c r="WKT188" s="36"/>
      <c r="WKU188" s="36"/>
      <c r="WKV188" s="36"/>
      <c r="WKW188" s="36"/>
      <c r="WKX188" s="36"/>
      <c r="WKY188" s="36"/>
      <c r="WKZ188" s="36"/>
      <c r="WLA188" s="36"/>
      <c r="WLB188" s="36"/>
      <c r="WLC188" s="36"/>
      <c r="WLD188" s="36"/>
      <c r="WLE188" s="36"/>
      <c r="WLF188" s="36"/>
      <c r="WLG188" s="36"/>
      <c r="WLH188" s="36"/>
      <c r="WLI188" s="36"/>
      <c r="WLJ188" s="36"/>
      <c r="WLK188" s="36"/>
      <c r="WLL188" s="36"/>
      <c r="WLM188" s="36"/>
      <c r="WLN188" s="36"/>
      <c r="WLO188" s="36"/>
      <c r="WLP188" s="36"/>
      <c r="WLQ188" s="36"/>
      <c r="WLR188" s="36"/>
      <c r="WLS188" s="36"/>
      <c r="WLT188" s="36"/>
      <c r="WLU188" s="36"/>
      <c r="WLV188" s="36"/>
      <c r="WLW188" s="36"/>
      <c r="WLX188" s="36"/>
      <c r="WLY188" s="36"/>
      <c r="WLZ188" s="36"/>
      <c r="WMA188" s="36"/>
      <c r="WMB188" s="36"/>
      <c r="WMC188" s="36"/>
      <c r="WMD188" s="36"/>
      <c r="WME188" s="36"/>
      <c r="WMF188" s="36"/>
      <c r="WMG188" s="36"/>
      <c r="WMH188" s="36"/>
      <c r="WMI188" s="36"/>
      <c r="WMJ188" s="36"/>
      <c r="WMK188" s="36"/>
      <c r="WML188" s="36"/>
      <c r="WMM188" s="36"/>
      <c r="WMN188" s="36"/>
      <c r="WMO188" s="36"/>
      <c r="WMP188" s="36"/>
      <c r="WMQ188" s="36"/>
      <c r="WMR188" s="36"/>
      <c r="WMS188" s="36"/>
      <c r="WMT188" s="36"/>
      <c r="WMU188" s="36"/>
      <c r="WMV188" s="36"/>
      <c r="WMW188" s="36"/>
      <c r="WMX188" s="36"/>
      <c r="WMY188" s="36"/>
      <c r="WMZ188" s="36"/>
      <c r="WNA188" s="36"/>
      <c r="WNB188" s="36"/>
      <c r="WNC188" s="36"/>
      <c r="WND188" s="36"/>
      <c r="WNE188" s="36"/>
      <c r="WNF188" s="36"/>
      <c r="WNG188" s="36"/>
      <c r="WNH188" s="36"/>
      <c r="WNI188" s="36"/>
      <c r="WNJ188" s="36"/>
      <c r="WNK188" s="36"/>
      <c r="WNL188" s="36"/>
      <c r="WNM188" s="36"/>
      <c r="WNN188" s="36"/>
      <c r="WNO188" s="36"/>
      <c r="WNP188" s="36"/>
      <c r="WNQ188" s="36"/>
      <c r="WNR188" s="36"/>
      <c r="WNS188" s="36"/>
      <c r="WNT188" s="36"/>
      <c r="WNU188" s="36"/>
      <c r="WNV188" s="36"/>
      <c r="WNW188" s="36"/>
      <c r="WNX188" s="36"/>
      <c r="WNY188" s="36"/>
      <c r="WNZ188" s="36"/>
      <c r="WOA188" s="36"/>
      <c r="WOB188" s="36"/>
      <c r="WOC188" s="36"/>
      <c r="WOD188" s="36"/>
      <c r="WOE188" s="36"/>
      <c r="WOF188" s="36"/>
      <c r="WOG188" s="36"/>
      <c r="WOH188" s="36"/>
      <c r="WOI188" s="36"/>
      <c r="WOJ188" s="36"/>
      <c r="WOK188" s="36"/>
      <c r="WOL188" s="36"/>
      <c r="WOM188" s="36"/>
      <c r="WON188" s="36"/>
      <c r="WOO188" s="36"/>
      <c r="WOP188" s="36"/>
      <c r="WOQ188" s="36"/>
      <c r="WOR188" s="36"/>
      <c r="WOS188" s="36"/>
      <c r="WOT188" s="36"/>
      <c r="WOU188" s="36"/>
      <c r="WOV188" s="36"/>
      <c r="WOW188" s="36"/>
      <c r="WOX188" s="36"/>
      <c r="WOY188" s="36"/>
      <c r="WOZ188" s="36"/>
      <c r="WPA188" s="36"/>
      <c r="WPB188" s="36"/>
      <c r="WPC188" s="36"/>
      <c r="WPD188" s="36"/>
      <c r="WPE188" s="36"/>
      <c r="WPF188" s="36"/>
      <c r="WPG188" s="36"/>
      <c r="WPH188" s="36"/>
      <c r="WPI188" s="36"/>
      <c r="WPJ188" s="36"/>
      <c r="WPK188" s="36"/>
      <c r="WPL188" s="36"/>
      <c r="WPM188" s="36"/>
      <c r="WPN188" s="36"/>
      <c r="WPO188" s="36"/>
      <c r="WPP188" s="36"/>
      <c r="WPQ188" s="36"/>
      <c r="WPR188" s="36"/>
      <c r="WPS188" s="36"/>
      <c r="WPT188" s="36"/>
      <c r="WPU188" s="36"/>
      <c r="WPV188" s="36"/>
      <c r="WPW188" s="36"/>
      <c r="WPX188" s="36"/>
      <c r="WPY188" s="36"/>
      <c r="WPZ188" s="36"/>
      <c r="WQA188" s="36"/>
      <c r="WQB188" s="36"/>
      <c r="WQC188" s="36"/>
      <c r="WQD188" s="36"/>
      <c r="WQE188" s="36"/>
      <c r="WQF188" s="36"/>
      <c r="WQG188" s="36"/>
      <c r="WQH188" s="36"/>
      <c r="WQI188" s="36"/>
      <c r="WQJ188" s="36"/>
      <c r="WQK188" s="36"/>
      <c r="WQL188" s="36"/>
      <c r="WQM188" s="36"/>
      <c r="WQN188" s="36"/>
      <c r="WQO188" s="36"/>
      <c r="WQP188" s="36"/>
      <c r="WQQ188" s="36"/>
      <c r="WQR188" s="36"/>
      <c r="WQS188" s="36"/>
      <c r="WQT188" s="36"/>
      <c r="WQU188" s="36"/>
      <c r="WQV188" s="36"/>
      <c r="WQW188" s="36"/>
      <c r="WQX188" s="36"/>
      <c r="WQY188" s="36"/>
      <c r="WQZ188" s="36"/>
      <c r="WRA188" s="36"/>
      <c r="WRB188" s="36"/>
      <c r="WRC188" s="36"/>
      <c r="WRD188" s="36"/>
      <c r="WRE188" s="36"/>
      <c r="WRF188" s="36"/>
      <c r="WRG188" s="36"/>
      <c r="WRH188" s="36"/>
      <c r="WRI188" s="36"/>
      <c r="WRJ188" s="36"/>
      <c r="WRK188" s="36"/>
      <c r="WRL188" s="36"/>
      <c r="WRM188" s="36"/>
      <c r="WRN188" s="36"/>
      <c r="WRO188" s="36"/>
      <c r="WRP188" s="36"/>
      <c r="WRQ188" s="36"/>
      <c r="WRR188" s="36"/>
      <c r="WRS188" s="36"/>
      <c r="WRT188" s="36"/>
      <c r="WRU188" s="36"/>
      <c r="WRV188" s="36"/>
      <c r="WRW188" s="36"/>
      <c r="WRX188" s="36"/>
      <c r="WRY188" s="36"/>
      <c r="WRZ188" s="36"/>
      <c r="WSA188" s="36"/>
      <c r="WSB188" s="36"/>
      <c r="WSC188" s="36"/>
      <c r="WSD188" s="36"/>
      <c r="WSE188" s="36"/>
      <c r="WSF188" s="36"/>
      <c r="WSG188" s="36"/>
      <c r="WSH188" s="36"/>
      <c r="WSI188" s="36"/>
      <c r="WSJ188" s="36"/>
      <c r="WSK188" s="36"/>
      <c r="WSL188" s="36"/>
      <c r="WSM188" s="36"/>
      <c r="WSN188" s="36"/>
      <c r="WSO188" s="36"/>
      <c r="WSP188" s="36"/>
      <c r="WSQ188" s="36"/>
      <c r="WSR188" s="36"/>
      <c r="WSS188" s="36"/>
      <c r="WST188" s="36"/>
      <c r="WSU188" s="36"/>
      <c r="WSV188" s="36"/>
      <c r="WSW188" s="36"/>
      <c r="WSX188" s="36"/>
      <c r="WSY188" s="36"/>
      <c r="WSZ188" s="36"/>
      <c r="WTA188" s="36"/>
      <c r="WTB188" s="36"/>
      <c r="WTC188" s="36"/>
      <c r="WTD188" s="36"/>
      <c r="WTE188" s="36"/>
      <c r="WTF188" s="36"/>
      <c r="WTG188" s="36"/>
      <c r="WTH188" s="36"/>
      <c r="WTI188" s="36"/>
      <c r="WTJ188" s="36"/>
      <c r="WTK188" s="36"/>
      <c r="WTL188" s="36"/>
      <c r="WTM188" s="36"/>
      <c r="WTN188" s="36"/>
      <c r="WTO188" s="36"/>
      <c r="WTP188" s="36"/>
      <c r="WTQ188" s="36"/>
      <c r="WTR188" s="36"/>
      <c r="WTS188" s="36"/>
      <c r="WTT188" s="36"/>
      <c r="WTU188" s="36"/>
      <c r="WTV188" s="36"/>
      <c r="WTW188" s="36"/>
      <c r="WTX188" s="36"/>
      <c r="WTY188" s="36"/>
      <c r="WTZ188" s="36"/>
      <c r="WUA188" s="36"/>
      <c r="WUB188" s="36"/>
      <c r="WUC188" s="36"/>
      <c r="WUD188" s="36"/>
      <c r="WUE188" s="36"/>
      <c r="WUF188" s="36"/>
      <c r="WUG188" s="36"/>
      <c r="WUH188" s="36"/>
      <c r="WUI188" s="36"/>
      <c r="WUJ188" s="36"/>
      <c r="WUK188" s="36"/>
      <c r="WUL188" s="36"/>
      <c r="WUM188" s="36"/>
      <c r="WUN188" s="36"/>
      <c r="WUO188" s="36"/>
      <c r="WUP188" s="36"/>
      <c r="WUQ188" s="36"/>
      <c r="WUR188" s="36"/>
      <c r="WUS188" s="36"/>
      <c r="WUT188" s="36"/>
      <c r="WUU188" s="36"/>
      <c r="WUV188" s="36"/>
      <c r="WUW188" s="36"/>
      <c r="WUX188" s="36"/>
      <c r="WUY188" s="36"/>
      <c r="WUZ188" s="36"/>
      <c r="WVA188" s="36"/>
      <c r="WVB188" s="36"/>
      <c r="WVC188" s="36"/>
      <c r="WVD188" s="36"/>
      <c r="WVE188" s="36"/>
      <c r="WVF188" s="36"/>
      <c r="WVG188" s="36"/>
      <c r="WVH188" s="36"/>
      <c r="WVI188" s="36"/>
      <c r="WVJ188" s="36"/>
      <c r="WVK188" s="36"/>
      <c r="WVL188" s="36"/>
      <c r="WVM188" s="36"/>
      <c r="WVN188" s="36"/>
      <c r="WVO188" s="36"/>
      <c r="WVP188" s="36"/>
      <c r="WVQ188" s="36"/>
      <c r="WVR188" s="36"/>
      <c r="WVS188" s="36"/>
      <c r="WVT188" s="36"/>
      <c r="WVU188" s="36"/>
      <c r="WVV188" s="36"/>
      <c r="WVW188" s="36"/>
      <c r="WVX188" s="36"/>
      <c r="WVY188" s="36"/>
      <c r="WVZ188" s="36"/>
      <c r="WWA188" s="36"/>
      <c r="WWB188" s="36"/>
      <c r="WWC188" s="36"/>
      <c r="WWD188" s="36"/>
      <c r="WWE188" s="36"/>
      <c r="WWF188" s="36"/>
      <c r="WWG188" s="36"/>
      <c r="WWH188" s="36"/>
      <c r="WWI188" s="36"/>
      <c r="WWJ188" s="36"/>
      <c r="WWK188" s="36"/>
      <c r="WWL188" s="36"/>
      <c r="WWM188" s="36"/>
      <c r="WWN188" s="36"/>
      <c r="WWO188" s="36"/>
      <c r="WWP188" s="36"/>
      <c r="WWQ188" s="36"/>
      <c r="WWR188" s="36"/>
      <c r="WWS188" s="36"/>
      <c r="WWT188" s="36"/>
      <c r="WWU188" s="36"/>
      <c r="WWV188" s="36"/>
      <c r="WWW188" s="36"/>
      <c r="WWX188" s="36"/>
      <c r="WWY188" s="36"/>
      <c r="WWZ188" s="36"/>
      <c r="WXA188" s="36"/>
      <c r="WXB188" s="36"/>
      <c r="WXC188" s="36"/>
      <c r="WXD188" s="36"/>
      <c r="WXE188" s="36"/>
      <c r="WXF188" s="36"/>
      <c r="WXG188" s="36"/>
      <c r="WXH188" s="36"/>
      <c r="WXI188" s="36"/>
      <c r="WXJ188" s="36"/>
      <c r="WXK188" s="36"/>
      <c r="WXL188" s="36"/>
      <c r="WXM188" s="36"/>
      <c r="WXN188" s="36"/>
      <c r="WXO188" s="36"/>
      <c r="WXP188" s="36"/>
      <c r="WXQ188" s="36"/>
      <c r="WXR188" s="36"/>
      <c r="WXS188" s="36"/>
      <c r="WXT188" s="36"/>
      <c r="WXU188" s="36"/>
      <c r="WXV188" s="36"/>
      <c r="WXW188" s="36"/>
      <c r="WXX188" s="36"/>
      <c r="WXY188" s="36"/>
      <c r="WXZ188" s="36"/>
      <c r="WYA188" s="36"/>
      <c r="WYB188" s="36"/>
      <c r="WYC188" s="36"/>
      <c r="WYD188" s="36"/>
      <c r="WYE188" s="36"/>
      <c r="WYF188" s="36"/>
      <c r="WYG188" s="36"/>
      <c r="WYH188" s="36"/>
      <c r="WYI188" s="36"/>
      <c r="WYJ188" s="36"/>
      <c r="WYK188" s="36"/>
      <c r="WYL188" s="36"/>
      <c r="WYM188" s="36"/>
      <c r="WYN188" s="36"/>
      <c r="WYO188" s="36"/>
      <c r="WYP188" s="36"/>
      <c r="WYQ188" s="36"/>
      <c r="WYR188" s="36"/>
      <c r="WYS188" s="36"/>
      <c r="WYT188" s="36"/>
      <c r="WYU188" s="36"/>
      <c r="WYV188" s="36"/>
      <c r="WYW188" s="36"/>
      <c r="WYX188" s="36"/>
      <c r="WYY188" s="36"/>
      <c r="WYZ188" s="36"/>
      <c r="WZA188" s="36"/>
      <c r="WZB188" s="36"/>
      <c r="WZC188" s="36"/>
      <c r="WZD188" s="36"/>
      <c r="WZE188" s="36"/>
      <c r="WZF188" s="36"/>
      <c r="WZG188" s="36"/>
      <c r="WZH188" s="36"/>
      <c r="WZI188" s="36"/>
      <c r="WZJ188" s="36"/>
      <c r="WZK188" s="36"/>
      <c r="WZL188" s="36"/>
      <c r="WZM188" s="36"/>
      <c r="WZN188" s="36"/>
      <c r="WZO188" s="36"/>
      <c r="WZP188" s="36"/>
      <c r="WZQ188" s="36"/>
      <c r="WZR188" s="36"/>
      <c r="WZS188" s="36"/>
      <c r="WZT188" s="36"/>
      <c r="WZU188" s="36"/>
      <c r="WZV188" s="36"/>
      <c r="WZW188" s="36"/>
      <c r="WZX188" s="36"/>
      <c r="WZY188" s="36"/>
      <c r="WZZ188" s="36"/>
      <c r="XAA188" s="36"/>
      <c r="XAB188" s="36"/>
      <c r="XAC188" s="36"/>
      <c r="XAD188" s="36"/>
      <c r="XAE188" s="36"/>
      <c r="XAF188" s="36"/>
      <c r="XAG188" s="36"/>
      <c r="XAH188" s="36"/>
      <c r="XAI188" s="36"/>
      <c r="XAJ188" s="36"/>
      <c r="XAK188" s="36"/>
      <c r="XAL188" s="36"/>
      <c r="XAM188" s="36"/>
      <c r="XAN188" s="36"/>
      <c r="XAO188" s="36"/>
      <c r="XAP188" s="36"/>
      <c r="XAQ188" s="36"/>
      <c r="XAR188" s="36"/>
      <c r="XAS188" s="36"/>
      <c r="XAT188" s="36"/>
      <c r="XAU188" s="36"/>
      <c r="XAV188" s="36"/>
      <c r="XAW188" s="36"/>
      <c r="XAX188" s="36"/>
      <c r="XAY188" s="36"/>
      <c r="XAZ188" s="36"/>
      <c r="XBA188" s="36"/>
      <c r="XBB188" s="36"/>
      <c r="XBC188" s="36"/>
      <c r="XBD188" s="36"/>
      <c r="XBE188" s="36"/>
      <c r="XBF188" s="36"/>
      <c r="XBG188" s="36"/>
      <c r="XBH188" s="36"/>
      <c r="XBI188" s="36"/>
      <c r="XBJ188" s="36"/>
      <c r="XBK188" s="36"/>
      <c r="XBL188" s="36"/>
      <c r="XBM188" s="36"/>
      <c r="XBN188" s="36"/>
      <c r="XBO188" s="36"/>
      <c r="XBP188" s="36"/>
      <c r="XBQ188" s="36"/>
      <c r="XBR188" s="36"/>
      <c r="XBS188" s="36"/>
      <c r="XBT188" s="36"/>
      <c r="XBU188" s="36"/>
      <c r="XBV188" s="36"/>
      <c r="XBW188" s="36"/>
      <c r="XBX188" s="36"/>
      <c r="XBY188" s="36"/>
      <c r="XBZ188" s="36"/>
      <c r="XCA188" s="36"/>
      <c r="XCB188" s="36"/>
      <c r="XCC188" s="36"/>
      <c r="XCD188" s="36"/>
      <c r="XCE188" s="36"/>
      <c r="XCF188" s="36"/>
      <c r="XCG188" s="36"/>
      <c r="XCH188" s="36"/>
      <c r="XCI188" s="36"/>
      <c r="XCJ188" s="36"/>
      <c r="XCK188" s="36"/>
      <c r="XCL188" s="36"/>
      <c r="XCM188" s="36"/>
      <c r="XCN188" s="36"/>
      <c r="XCO188" s="36"/>
      <c r="XCP188" s="36"/>
      <c r="XCQ188" s="36"/>
      <c r="XCR188" s="36"/>
      <c r="XCS188" s="36"/>
      <c r="XCT188" s="36"/>
      <c r="XCU188" s="36"/>
      <c r="XCV188" s="36"/>
      <c r="XCW188" s="36"/>
      <c r="XCX188" s="36"/>
      <c r="XCY188" s="36"/>
      <c r="XCZ188" s="36"/>
      <c r="XDA188" s="36"/>
      <c r="XDB188" s="36"/>
      <c r="XDC188" s="36"/>
      <c r="XDD188" s="36"/>
      <c r="XDE188" s="36"/>
      <c r="XDF188" s="36"/>
      <c r="XDG188" s="36"/>
      <c r="XDH188" s="36"/>
      <c r="XDI188" s="36"/>
      <c r="XDJ188" s="36"/>
      <c r="XDK188" s="36"/>
      <c r="XDL188" s="36"/>
      <c r="XDM188" s="36"/>
      <c r="XDN188" s="36"/>
      <c r="XDO188" s="36"/>
      <c r="XDP188" s="36"/>
      <c r="XDQ188" s="36"/>
      <c r="XDR188" s="36"/>
      <c r="XDS188" s="36"/>
      <c r="XDT188" s="36"/>
      <c r="XDU188" s="36"/>
      <c r="XDV188" s="36"/>
      <c r="XDW188" s="36"/>
      <c r="XDX188" s="36"/>
      <c r="XDY188" s="36"/>
      <c r="XDZ188" s="36"/>
      <c r="XEA188" s="36"/>
      <c r="XEB188" s="36"/>
      <c r="XEC188" s="36"/>
      <c r="XED188" s="36"/>
      <c r="XEE188" s="36"/>
      <c r="XEF188" s="36"/>
      <c r="XEG188" s="36"/>
      <c r="XEH188" s="36"/>
      <c r="XEI188" s="36"/>
      <c r="XEJ188" s="36"/>
      <c r="XEK188" s="36"/>
      <c r="XEL188" s="36"/>
      <c r="XEM188" s="36"/>
      <c r="XEN188" s="36"/>
      <c r="XEO188" s="36"/>
      <c r="XEP188" s="36"/>
      <c r="XEQ188" s="36"/>
      <c r="XER188" s="36"/>
      <c r="XES188" s="36"/>
      <c r="XET188" s="36"/>
      <c r="XEU188" s="36"/>
      <c r="XEV188" s="36"/>
      <c r="XEW188" s="36"/>
      <c r="XEX188" s="36"/>
      <c r="XEY188" s="36"/>
      <c r="XEZ188" s="36"/>
      <c r="XFA188" s="36"/>
      <c r="XFB188" s="36"/>
      <c r="XFC188" s="36"/>
    </row>
    <row r="189" spans="1:16383" s="97" customFormat="1" ht="15" hidden="1" thickTop="1">
      <c r="A189" s="409"/>
      <c r="B189" s="412" t="s">
        <v>1294</v>
      </c>
      <c r="C189" s="2086" t="s">
        <v>275</v>
      </c>
      <c r="D189" s="832" t="s">
        <v>1294</v>
      </c>
      <c r="E189" s="1370" t="s">
        <v>224</v>
      </c>
      <c r="F189" s="1945" t="str">
        <f>IFERROR(G189/G$248,"")</f>
        <v/>
      </c>
      <c r="G189" s="1946">
        <f>SUMIFS(F$92:F$101,PlanRotationPaturageS0,$B189)+SUMIFS(F$78:F$87,PlanRotationS0,$B189)</f>
        <v>0</v>
      </c>
      <c r="H189" s="837" t="str">
        <f>IFERROR(I189/I$248,"")</f>
        <v/>
      </c>
      <c r="I189" s="845">
        <f>SUMIFS(H$92:H$101,PlanRotationPaturageS1,$B189)+SUMIFS(H$78:H$87,PlanRotationS1,$B189)</f>
        <v>0</v>
      </c>
      <c r="J189" s="839" t="str">
        <f>IFERROR(K189/K$248,"")</f>
        <v/>
      </c>
      <c r="K189" s="845">
        <f>SUMIFS(J$92:J$101,PlanRotationPaturageS2,$B189)+SUMIFS(J$78:J$87,PlanRotationS2,$B189)</f>
        <v>0</v>
      </c>
      <c r="L189" s="842" t="str">
        <f>IFERROR(M189/M$248,"")</f>
        <v/>
      </c>
      <c r="M189" s="845">
        <f>SUMIFS(L$92:L$101,PlanRotationPaturageS3,$B189)+SUMIFS(L$78:L$87,PlanRotationS3,$B189)</f>
        <v>0</v>
      </c>
      <c r="N189" s="842" t="str">
        <f>IFERROR(O189/O$248,"")</f>
        <v/>
      </c>
      <c r="O189" s="845">
        <f>SUMIFS(N$92:N$101,PlanRotationPaturageS4,$B189)+SUMIFS(N$78:N$87,PlanRotationS4,$B189)</f>
        <v>0</v>
      </c>
      <c r="P189" s="842" t="str">
        <f>IFERROR(Q189/Q$248,"")</f>
        <v/>
      </c>
      <c r="Q189" s="845">
        <f>SUMIFS(P$92:P$101,PlanRotationPaturageS5,$B189)+SUMIFS(P$78:P$87,PlanRotationS5,$B189)</f>
        <v>0</v>
      </c>
      <c r="R189" s="17"/>
    </row>
    <row r="190" spans="1:16383" s="97" customFormat="1" hidden="1">
      <c r="A190" s="409"/>
      <c r="B190" s="412" t="s">
        <v>1294</v>
      </c>
      <c r="D190" s="765" t="s">
        <v>281</v>
      </c>
      <c r="E190" s="1371" t="s">
        <v>254</v>
      </c>
      <c r="F190" s="1953"/>
      <c r="G190" s="1946">
        <f ca="1">OFFSET(RéfChamps!$CB$55,0,IF(ProdS0="Biologique",0,3))</f>
        <v>880.31477409825879</v>
      </c>
      <c r="H190" s="469"/>
      <c r="I190" s="834">
        <f ca="1">OFFSET(RéfChamps!$CB$55,0,IF(ProdS1="Biologique",0,3))</f>
        <v>860.82167708333338</v>
      </c>
      <c r="J190" s="996"/>
      <c r="K190" s="834">
        <f ca="1">OFFSET(RéfChamps!$CB$55,0,IF(ProdS2="Biologique",0,3))</f>
        <v>880.31477409825879</v>
      </c>
      <c r="L190" s="999"/>
      <c r="M190" s="834">
        <f ca="1">OFFSET(RéfChamps!$CB$55,0,IF(ProdS3="Biologique",0,3))</f>
        <v>880.31477409825879</v>
      </c>
      <c r="N190" s="999"/>
      <c r="O190" s="834">
        <f ca="1">OFFSET(RéfChamps!$CB$55,0,IF(ProdS4="Biologique",0,3))</f>
        <v>880.31477409825879</v>
      </c>
      <c r="P190" s="999"/>
      <c r="Q190" s="834">
        <f ca="1">OFFSET(RéfChamps!$CB$55,0,IF(ProdS5="Biologique",0,3))</f>
        <v>880.31477409825879</v>
      </c>
      <c r="R190" s="17"/>
      <c r="S190" s="14"/>
    </row>
    <row r="191" spans="1:16383" s="97" customFormat="1" hidden="1">
      <c r="A191" s="409"/>
      <c r="B191" s="412" t="s">
        <v>1294</v>
      </c>
      <c r="D191" s="765" t="s">
        <v>252</v>
      </c>
      <c r="E191" s="1371" t="s">
        <v>937</v>
      </c>
      <c r="F191" s="1945"/>
      <c r="G191" s="1946">
        <f ca="1">OFFSET(RéfChamps!$BZ$5,0,IF(ProdS0="Biologique",0,3))</f>
        <v>2.5</v>
      </c>
      <c r="H191" s="469"/>
      <c r="I191" s="1468">
        <f ca="1">OFFSET(RéfChamps!$BZ$5,0,IF(ProdS1="Biologique",0,3))</f>
        <v>2.5</v>
      </c>
      <c r="J191" s="996"/>
      <c r="K191" s="1072">
        <f ca="1">OFFSET(RéfChamps!$BZ$5,0,IF(ProdS2="Biologique",0,3))</f>
        <v>2.5</v>
      </c>
      <c r="L191" s="1073"/>
      <c r="M191" s="1072">
        <f ca="1">OFFSET(RéfChamps!$BZ$5,0,IF(ProdS3="Biologique",0,3))</f>
        <v>2.5</v>
      </c>
      <c r="N191" s="1073"/>
      <c r="O191" s="1072">
        <f ca="1">OFFSET(RéfChamps!$BZ$5,0,IF(ProdS4="Biologique",0,3))</f>
        <v>2.5</v>
      </c>
      <c r="P191" s="1073"/>
      <c r="Q191" s="1072">
        <f ca="1">OFFSET(RéfChamps!$BZ$5,0,IF(ProdS5="Biologique",0,3))</f>
        <v>2.5</v>
      </c>
      <c r="R191" s="17"/>
    </row>
    <row r="192" spans="1:16383" s="97" customFormat="1" hidden="1">
      <c r="A192" s="409"/>
      <c r="B192" s="412" t="s">
        <v>1294</v>
      </c>
      <c r="D192" s="765" t="s">
        <v>253</v>
      </c>
      <c r="E192" s="1371" t="s">
        <v>225</v>
      </c>
      <c r="F192" s="1945"/>
      <c r="G192" s="1946">
        <f ca="1">OFFSET(RéfChamps!$CA$5,0,IF(PrixS0="Biologique",0,3))</f>
        <v>190</v>
      </c>
      <c r="H192" s="469"/>
      <c r="I192" s="835">
        <f ca="1">OFFSET(RéfChamps!$CA$5,0,IF(PrixS1="Biologique",0,3))</f>
        <v>190</v>
      </c>
      <c r="J192" s="996"/>
      <c r="K192" s="835">
        <f ca="1">OFFSET(RéfChamps!$CA$5,0,IF(PrixS2="Biologique",0,3))</f>
        <v>190</v>
      </c>
      <c r="L192" s="1000"/>
      <c r="M192" s="835">
        <f ca="1">OFFSET(RéfChamps!$CA$5,0,IF(PrixS3="Biologique",0,3))</f>
        <v>190</v>
      </c>
      <c r="N192" s="1000"/>
      <c r="O192" s="835">
        <f ca="1">OFFSET(RéfChamps!$CA$5,0,IF(PrixS4="Biologique",0,3))</f>
        <v>600</v>
      </c>
      <c r="P192" s="1000"/>
      <c r="Q192" s="835">
        <f ca="1">OFFSET(RéfChamps!$CA$5,0,IF(PrixS5="Biologique",0,3))</f>
        <v>600</v>
      </c>
      <c r="R192" s="17"/>
    </row>
    <row r="193" spans="1:16383" s="97" customFormat="1" hidden="1">
      <c r="A193" s="409"/>
      <c r="B193" s="412" t="s">
        <v>1294</v>
      </c>
      <c r="D193" s="765" t="s">
        <v>282</v>
      </c>
      <c r="E193" s="1371" t="s">
        <v>254</v>
      </c>
      <c r="F193" s="1945"/>
      <c r="G193" s="1946">
        <f ca="1">SUMPRODUCT(OFFSET(RéfChamps!$BZ$5:$BZ$9,0,IF(ProdS0="Biologique",0,3)),OFFSET(RéfChamps!$CA$5:$CA$9,0,IF(PrixS0="Biologique",0,3)))</f>
        <v>623.41999999999996</v>
      </c>
      <c r="H193" s="469"/>
      <c r="I193" s="835">
        <f ca="1">SUMPRODUCT(OFFSET(RéfChamps!$BZ$5:$BZ$9,0,IF(ProdS1="Biologique",0,3)),OFFSET(RéfChamps!$CA$5:$CA$9,0,IF(PrixS1="Biologique",0,3)))</f>
        <v>623.41999999999996</v>
      </c>
      <c r="J193" s="997"/>
      <c r="K193" s="835">
        <f ca="1">SUMPRODUCT(OFFSET(RéfChamps!$BZ$5:$BZ$9,0,IF(ProdS2="Biologique",0,3)),OFFSET(RéfChamps!$CA$5:$CA$9,0,IF(PrixS2="Biologique",0,3)))</f>
        <v>623.41999999999996</v>
      </c>
      <c r="L193" s="1000"/>
      <c r="M193" s="835">
        <f ca="1">SUMPRODUCT(OFFSET(RéfChamps!$BZ$5:$BZ$9,0,IF(ProdS3="Biologique",0,3)),OFFSET(RéfChamps!$CA$5:$CA$9,0,IF(PrixS3="Biologique",0,3)))</f>
        <v>623.41999999999996</v>
      </c>
      <c r="N193" s="1000"/>
      <c r="O193" s="835">
        <f ca="1">SUMPRODUCT(OFFSET(RéfChamps!$BZ$5:$BZ$9,0,IF(ProdS4="Biologique",0,3)),OFFSET(RéfChamps!$CA$5:$CA$9,0,IF(PrixS4="Biologique",0,3)))</f>
        <v>1658.67</v>
      </c>
      <c r="P193" s="1000"/>
      <c r="Q193" s="835">
        <f ca="1">SUMPRODUCT(OFFSET(RéfChamps!$BZ$5:$BZ$9,0,IF(ProdS5="Biologique",0,3)),OFFSET(RéfChamps!$CA$5:$CA$9,0,IF(PrixS5="Biologique",0,3)))</f>
        <v>1658.67</v>
      </c>
      <c r="R193" s="17"/>
    </row>
    <row r="194" spans="1:16383" s="346" customFormat="1" ht="15" hidden="1" thickBot="1">
      <c r="A194" s="413"/>
      <c r="B194" s="412" t="s">
        <v>1294</v>
      </c>
      <c r="D194" s="765" t="s">
        <v>1457</v>
      </c>
      <c r="E194" s="1371" t="s">
        <v>254</v>
      </c>
      <c r="F194" s="1945"/>
      <c r="G194" s="1951">
        <f ca="1">IFERROR(G193-G190,"Erreur")</f>
        <v>-256.89477409825884</v>
      </c>
      <c r="H194" s="469"/>
      <c r="I194" s="846">
        <f ca="1">IFERROR(I193-I190,"Erreur")</f>
        <v>-237.40167708333342</v>
      </c>
      <c r="J194" s="998"/>
      <c r="K194" s="846">
        <f ca="1">IFERROR(K193-K190,"Erreur")</f>
        <v>-256.89477409825884</v>
      </c>
      <c r="L194" s="1001"/>
      <c r="M194" s="846">
        <f ca="1">IFERROR(M193-M190,"Erreur")</f>
        <v>-256.89477409825884</v>
      </c>
      <c r="N194" s="1001"/>
      <c r="O194" s="846">
        <f ca="1">IFERROR(O193-O190,"Erreur")</f>
        <v>778.35522590174128</v>
      </c>
      <c r="P194" s="1001"/>
      <c r="Q194" s="846">
        <f ca="1">IFERROR(Q193-Q190,"Erreur")</f>
        <v>778.35522590174128</v>
      </c>
      <c r="R194" s="1698"/>
    </row>
    <row r="195" spans="1:16383" s="28" customFormat="1" ht="15" hidden="1" thickTop="1">
      <c r="A195" s="411"/>
      <c r="B195" s="412" t="s">
        <v>1294</v>
      </c>
      <c r="C195" s="36"/>
      <c r="D195" s="2085" t="str">
        <f>"Détails pour l'"&amp;LOWER(D189)</f>
        <v>Détails pour l'épeautre de printemps</v>
      </c>
      <c r="E195" s="1371"/>
      <c r="F195" s="1952"/>
      <c r="G195" s="1946"/>
      <c r="H195" s="994"/>
      <c r="I195" s="1612"/>
      <c r="J195" s="1002"/>
      <c r="K195" s="1612"/>
      <c r="L195" s="1002"/>
      <c r="M195" s="1612"/>
      <c r="N195" s="1002"/>
      <c r="O195" s="1612"/>
      <c r="P195" s="1002"/>
      <c r="Q195" s="1612"/>
      <c r="R195" s="1701"/>
      <c r="S195" s="36"/>
      <c r="T195" s="36"/>
      <c r="U195" s="36"/>
      <c r="V195" s="36"/>
      <c r="W195" s="36"/>
      <c r="X195" s="36"/>
      <c r="Y195" s="36"/>
      <c r="Z195" s="36"/>
      <c r="AA195" s="36"/>
      <c r="AB195" s="36"/>
      <c r="AC195" s="36"/>
      <c r="AD195" s="36"/>
      <c r="AE195" s="36"/>
      <c r="AF195" s="36"/>
      <c r="AG195" s="36"/>
      <c r="AH195" s="36"/>
      <c r="AI195" s="36"/>
      <c r="AJ195" s="36"/>
      <c r="AK195" s="36"/>
      <c r="AL195" s="36"/>
      <c r="AM195" s="36"/>
      <c r="AN195" s="36"/>
      <c r="AO195" s="36"/>
      <c r="AP195" s="36"/>
      <c r="AQ195" s="36"/>
      <c r="AR195" s="36"/>
      <c r="AS195" s="36"/>
      <c r="AT195" s="36"/>
      <c r="AU195" s="36"/>
      <c r="AV195" s="36"/>
      <c r="AW195" s="36"/>
      <c r="AX195" s="36"/>
      <c r="AY195" s="36"/>
      <c r="AZ195" s="36"/>
      <c r="BA195" s="36"/>
      <c r="BB195" s="36"/>
      <c r="BC195" s="36"/>
      <c r="BD195" s="36"/>
      <c r="BE195" s="36"/>
      <c r="BF195" s="36"/>
      <c r="BG195" s="36"/>
      <c r="BH195" s="36"/>
      <c r="BI195" s="36"/>
      <c r="BJ195" s="36"/>
      <c r="BK195" s="36"/>
      <c r="BL195" s="36"/>
      <c r="BM195" s="36"/>
      <c r="BN195" s="36"/>
      <c r="BO195" s="36"/>
      <c r="BP195" s="36"/>
      <c r="BQ195" s="36"/>
      <c r="BR195" s="36"/>
      <c r="BS195" s="36"/>
      <c r="BT195" s="36"/>
      <c r="BU195" s="36"/>
      <c r="BV195" s="36"/>
      <c r="BW195" s="36"/>
      <c r="BX195" s="36"/>
      <c r="BY195" s="36"/>
      <c r="BZ195" s="36"/>
      <c r="CA195" s="36"/>
      <c r="CB195" s="36"/>
      <c r="CC195" s="36"/>
      <c r="CD195" s="36"/>
      <c r="CE195" s="36"/>
      <c r="CF195" s="36"/>
      <c r="CG195" s="36"/>
      <c r="CH195" s="36"/>
      <c r="CI195" s="36"/>
      <c r="CJ195" s="36"/>
      <c r="CK195" s="36"/>
      <c r="CL195" s="36"/>
      <c r="CM195" s="36"/>
      <c r="CN195" s="36"/>
      <c r="CO195" s="36"/>
      <c r="CP195" s="36"/>
      <c r="CQ195" s="36"/>
      <c r="CR195" s="36"/>
      <c r="CS195" s="36"/>
      <c r="CT195" s="36"/>
      <c r="CU195" s="36"/>
      <c r="CV195" s="36"/>
      <c r="CW195" s="36"/>
      <c r="CX195" s="36"/>
      <c r="CY195" s="36"/>
      <c r="CZ195" s="36"/>
      <c r="DA195" s="36"/>
      <c r="DB195" s="36"/>
      <c r="DC195" s="36"/>
      <c r="DD195" s="36"/>
      <c r="DE195" s="36"/>
      <c r="DF195" s="36"/>
      <c r="DG195" s="36"/>
      <c r="DH195" s="36"/>
      <c r="DI195" s="36"/>
      <c r="DJ195" s="36"/>
      <c r="DK195" s="36"/>
      <c r="DL195" s="36"/>
      <c r="DM195" s="36"/>
      <c r="DN195" s="36"/>
      <c r="DO195" s="36"/>
      <c r="DP195" s="36"/>
      <c r="DQ195" s="36"/>
      <c r="DR195" s="36"/>
      <c r="DS195" s="36"/>
      <c r="DT195" s="36"/>
      <c r="DU195" s="36"/>
      <c r="DV195" s="36"/>
      <c r="DW195" s="36"/>
      <c r="DX195" s="36"/>
      <c r="DY195" s="36"/>
      <c r="DZ195" s="36"/>
      <c r="EA195" s="36"/>
      <c r="EB195" s="36"/>
      <c r="EC195" s="36"/>
      <c r="ED195" s="36"/>
      <c r="EE195" s="36"/>
      <c r="EF195" s="36"/>
      <c r="EG195" s="36"/>
      <c r="EH195" s="36"/>
      <c r="EI195" s="36"/>
      <c r="EJ195" s="36"/>
      <c r="EK195" s="36"/>
      <c r="EL195" s="36"/>
      <c r="EM195" s="36"/>
      <c r="EN195" s="36"/>
      <c r="EO195" s="36"/>
      <c r="EP195" s="36"/>
      <c r="EQ195" s="36"/>
      <c r="ER195" s="36"/>
      <c r="ES195" s="36"/>
      <c r="ET195" s="36"/>
      <c r="EU195" s="36"/>
      <c r="EV195" s="36"/>
      <c r="EW195" s="36"/>
      <c r="EX195" s="36"/>
      <c r="EY195" s="36"/>
      <c r="EZ195" s="36"/>
      <c r="FA195" s="36"/>
      <c r="FB195" s="36"/>
      <c r="FC195" s="36"/>
      <c r="FD195" s="36"/>
      <c r="FE195" s="36"/>
      <c r="FF195" s="36"/>
      <c r="FG195" s="36"/>
      <c r="FH195" s="36"/>
      <c r="FI195" s="36"/>
      <c r="FJ195" s="36"/>
      <c r="FK195" s="36"/>
      <c r="FL195" s="36"/>
      <c r="FM195" s="36"/>
      <c r="FN195" s="36"/>
      <c r="FO195" s="36"/>
      <c r="FP195" s="36"/>
      <c r="FQ195" s="36"/>
      <c r="FR195" s="36"/>
      <c r="FS195" s="36"/>
      <c r="FT195" s="36"/>
      <c r="FU195" s="36"/>
      <c r="FV195" s="36"/>
      <c r="FW195" s="36"/>
      <c r="FX195" s="36"/>
      <c r="FY195" s="36"/>
      <c r="FZ195" s="36"/>
      <c r="GA195" s="36"/>
      <c r="GB195" s="36"/>
      <c r="GC195" s="36"/>
      <c r="GD195" s="36"/>
      <c r="GE195" s="36"/>
      <c r="GF195" s="36"/>
      <c r="GG195" s="36"/>
      <c r="GH195" s="36"/>
      <c r="GI195" s="36"/>
      <c r="GJ195" s="36"/>
      <c r="GK195" s="36"/>
      <c r="GL195" s="36"/>
      <c r="GM195" s="36"/>
      <c r="GN195" s="36"/>
      <c r="GO195" s="36"/>
      <c r="GP195" s="36"/>
      <c r="GQ195" s="36"/>
      <c r="GR195" s="36"/>
      <c r="GS195" s="36"/>
      <c r="GT195" s="36"/>
      <c r="GU195" s="36"/>
      <c r="GV195" s="36"/>
      <c r="GW195" s="36"/>
      <c r="GX195" s="36"/>
      <c r="GY195" s="36"/>
      <c r="GZ195" s="36"/>
      <c r="HA195" s="36"/>
      <c r="HB195" s="36"/>
      <c r="HC195" s="36"/>
      <c r="HD195" s="36"/>
      <c r="HE195" s="36"/>
      <c r="HF195" s="36"/>
      <c r="HG195" s="36"/>
      <c r="HH195" s="36"/>
      <c r="HI195" s="36"/>
      <c r="HJ195" s="36"/>
      <c r="HK195" s="36"/>
      <c r="HL195" s="36"/>
      <c r="HM195" s="36"/>
      <c r="HN195" s="36"/>
      <c r="HO195" s="36"/>
      <c r="HP195" s="36"/>
      <c r="HQ195" s="36"/>
      <c r="HR195" s="36"/>
      <c r="HS195" s="36"/>
      <c r="HT195" s="36"/>
      <c r="HU195" s="36"/>
      <c r="HV195" s="36"/>
      <c r="HW195" s="36"/>
      <c r="HX195" s="36"/>
      <c r="HY195" s="36"/>
      <c r="HZ195" s="36"/>
      <c r="IA195" s="36"/>
      <c r="IB195" s="36"/>
      <c r="IC195" s="36"/>
      <c r="ID195" s="36"/>
      <c r="IE195" s="36"/>
      <c r="IF195" s="36"/>
      <c r="IG195" s="36"/>
      <c r="IH195" s="36"/>
      <c r="II195" s="36"/>
      <c r="IJ195" s="36"/>
      <c r="IK195" s="36"/>
      <c r="IL195" s="36"/>
      <c r="IM195" s="36"/>
      <c r="IN195" s="36"/>
      <c r="IO195" s="36"/>
      <c r="IP195" s="36"/>
      <c r="IQ195" s="36"/>
      <c r="IR195" s="36"/>
      <c r="IS195" s="36"/>
      <c r="IT195" s="36"/>
      <c r="IU195" s="36"/>
      <c r="IV195" s="36"/>
      <c r="IW195" s="36"/>
      <c r="IX195" s="36"/>
      <c r="IY195" s="36"/>
      <c r="IZ195" s="36"/>
      <c r="JA195" s="36"/>
      <c r="JB195" s="36"/>
      <c r="JC195" s="36"/>
      <c r="JD195" s="36"/>
      <c r="JE195" s="36"/>
      <c r="JF195" s="36"/>
      <c r="JG195" s="36"/>
      <c r="JH195" s="36"/>
      <c r="JI195" s="36"/>
      <c r="JJ195" s="36"/>
      <c r="JK195" s="36"/>
      <c r="JL195" s="36"/>
      <c r="JM195" s="36"/>
      <c r="JN195" s="36"/>
      <c r="JO195" s="36"/>
      <c r="JP195" s="36"/>
      <c r="JQ195" s="36"/>
      <c r="JR195" s="36"/>
      <c r="JS195" s="36"/>
      <c r="JT195" s="36"/>
      <c r="JU195" s="36"/>
      <c r="JV195" s="36"/>
      <c r="JW195" s="36"/>
      <c r="JX195" s="36"/>
      <c r="JY195" s="36"/>
      <c r="JZ195" s="36"/>
      <c r="KA195" s="36"/>
      <c r="KB195" s="36"/>
      <c r="KC195" s="36"/>
      <c r="KD195" s="36"/>
      <c r="KE195" s="36"/>
      <c r="KF195" s="36"/>
      <c r="KG195" s="36"/>
      <c r="KH195" s="36"/>
      <c r="KI195" s="36"/>
      <c r="KJ195" s="36"/>
      <c r="KK195" s="36"/>
      <c r="KL195" s="36"/>
      <c r="KM195" s="36"/>
      <c r="KN195" s="36"/>
      <c r="KO195" s="36"/>
      <c r="KP195" s="36"/>
      <c r="KQ195" s="36"/>
      <c r="KR195" s="36"/>
      <c r="KS195" s="36"/>
      <c r="KT195" s="36"/>
      <c r="KU195" s="36"/>
      <c r="KV195" s="36"/>
      <c r="KW195" s="36"/>
      <c r="KX195" s="36"/>
      <c r="KY195" s="36"/>
      <c r="KZ195" s="36"/>
      <c r="LA195" s="36"/>
      <c r="LB195" s="36"/>
      <c r="LC195" s="36"/>
      <c r="LD195" s="36"/>
      <c r="LE195" s="36"/>
      <c r="LF195" s="36"/>
      <c r="LG195" s="36"/>
      <c r="LH195" s="36"/>
      <c r="LI195" s="36"/>
      <c r="LJ195" s="36"/>
      <c r="LK195" s="36"/>
      <c r="LL195" s="36"/>
      <c r="LM195" s="36"/>
      <c r="LN195" s="36"/>
      <c r="LO195" s="36"/>
      <c r="LP195" s="36"/>
      <c r="LQ195" s="36"/>
      <c r="LR195" s="36"/>
      <c r="LS195" s="36"/>
      <c r="LT195" s="36"/>
      <c r="LU195" s="36"/>
      <c r="LV195" s="36"/>
      <c r="LW195" s="36"/>
      <c r="LX195" s="36"/>
      <c r="LY195" s="36"/>
      <c r="LZ195" s="36"/>
      <c r="MA195" s="36"/>
      <c r="MB195" s="36"/>
      <c r="MC195" s="36"/>
      <c r="MD195" s="36"/>
      <c r="ME195" s="36"/>
      <c r="MF195" s="36"/>
      <c r="MG195" s="36"/>
      <c r="MH195" s="36"/>
      <c r="MI195" s="36"/>
      <c r="MJ195" s="36"/>
      <c r="MK195" s="36"/>
      <c r="ML195" s="36"/>
      <c r="MM195" s="36"/>
      <c r="MN195" s="36"/>
      <c r="MO195" s="36"/>
      <c r="MP195" s="36"/>
      <c r="MQ195" s="36"/>
      <c r="MR195" s="36"/>
      <c r="MS195" s="36"/>
      <c r="MT195" s="36"/>
      <c r="MU195" s="36"/>
      <c r="MV195" s="36"/>
      <c r="MW195" s="36"/>
      <c r="MX195" s="36"/>
      <c r="MY195" s="36"/>
      <c r="MZ195" s="36"/>
      <c r="NA195" s="36"/>
      <c r="NB195" s="36"/>
      <c r="NC195" s="36"/>
      <c r="ND195" s="36"/>
      <c r="NE195" s="36"/>
      <c r="NF195" s="36"/>
      <c r="NG195" s="36"/>
      <c r="NH195" s="36"/>
      <c r="NI195" s="36"/>
      <c r="NJ195" s="36"/>
      <c r="NK195" s="36"/>
      <c r="NL195" s="36"/>
      <c r="NM195" s="36"/>
      <c r="NN195" s="36"/>
      <c r="NO195" s="36"/>
      <c r="NP195" s="36"/>
      <c r="NQ195" s="36"/>
      <c r="NR195" s="36"/>
      <c r="NS195" s="36"/>
      <c r="NT195" s="36"/>
      <c r="NU195" s="36"/>
      <c r="NV195" s="36"/>
      <c r="NW195" s="36"/>
      <c r="NX195" s="36"/>
      <c r="NY195" s="36"/>
      <c r="NZ195" s="36"/>
      <c r="OA195" s="36"/>
      <c r="OB195" s="36"/>
      <c r="OC195" s="36"/>
      <c r="OD195" s="36"/>
      <c r="OE195" s="36"/>
      <c r="OF195" s="36"/>
      <c r="OG195" s="36"/>
      <c r="OH195" s="36"/>
      <c r="OI195" s="36"/>
      <c r="OJ195" s="36"/>
      <c r="OK195" s="36"/>
      <c r="OL195" s="36"/>
      <c r="OM195" s="36"/>
      <c r="ON195" s="36"/>
      <c r="OO195" s="36"/>
      <c r="OP195" s="36"/>
      <c r="OQ195" s="36"/>
      <c r="OR195" s="36"/>
      <c r="OS195" s="36"/>
      <c r="OT195" s="36"/>
      <c r="OU195" s="36"/>
      <c r="OV195" s="36"/>
      <c r="OW195" s="36"/>
      <c r="OX195" s="36"/>
      <c r="OY195" s="36"/>
      <c r="OZ195" s="36"/>
      <c r="PA195" s="36"/>
      <c r="PB195" s="36"/>
      <c r="PC195" s="36"/>
      <c r="PD195" s="36"/>
      <c r="PE195" s="36"/>
      <c r="PF195" s="36"/>
      <c r="PG195" s="36"/>
      <c r="PH195" s="36"/>
      <c r="PI195" s="36"/>
      <c r="PJ195" s="36"/>
      <c r="PK195" s="36"/>
      <c r="PL195" s="36"/>
      <c r="PM195" s="36"/>
      <c r="PN195" s="36"/>
      <c r="PO195" s="36"/>
      <c r="PP195" s="36"/>
      <c r="PQ195" s="36"/>
      <c r="PR195" s="36"/>
      <c r="PS195" s="36"/>
      <c r="PT195" s="36"/>
      <c r="PU195" s="36"/>
      <c r="PV195" s="36"/>
      <c r="PW195" s="36"/>
      <c r="PX195" s="36"/>
      <c r="PY195" s="36"/>
      <c r="PZ195" s="36"/>
      <c r="QA195" s="36"/>
      <c r="QB195" s="36"/>
      <c r="QC195" s="36"/>
      <c r="QD195" s="36"/>
      <c r="QE195" s="36"/>
      <c r="QF195" s="36"/>
      <c r="QG195" s="36"/>
      <c r="QH195" s="36"/>
      <c r="QI195" s="36"/>
      <c r="QJ195" s="36"/>
      <c r="QK195" s="36"/>
      <c r="QL195" s="36"/>
      <c r="QM195" s="36"/>
      <c r="QN195" s="36"/>
      <c r="QO195" s="36"/>
      <c r="QP195" s="36"/>
      <c r="QQ195" s="36"/>
      <c r="QR195" s="36"/>
      <c r="QS195" s="36"/>
      <c r="QT195" s="36"/>
      <c r="QU195" s="36"/>
      <c r="QV195" s="36"/>
      <c r="QW195" s="36"/>
      <c r="QX195" s="36"/>
      <c r="QY195" s="36"/>
      <c r="QZ195" s="36"/>
      <c r="RA195" s="36"/>
      <c r="RB195" s="36"/>
      <c r="RC195" s="36"/>
      <c r="RD195" s="36"/>
      <c r="RE195" s="36"/>
      <c r="RF195" s="36"/>
      <c r="RG195" s="36"/>
      <c r="RH195" s="36"/>
      <c r="RI195" s="36"/>
      <c r="RJ195" s="36"/>
      <c r="RK195" s="36"/>
      <c r="RL195" s="36"/>
      <c r="RM195" s="36"/>
      <c r="RN195" s="36"/>
      <c r="RO195" s="36"/>
      <c r="RP195" s="36"/>
      <c r="RQ195" s="36"/>
      <c r="RR195" s="36"/>
      <c r="RS195" s="36"/>
      <c r="RT195" s="36"/>
      <c r="RU195" s="36"/>
      <c r="RV195" s="36"/>
      <c r="RW195" s="36"/>
      <c r="RX195" s="36"/>
      <c r="RY195" s="36"/>
      <c r="RZ195" s="36"/>
      <c r="SA195" s="36"/>
      <c r="SB195" s="36"/>
      <c r="SC195" s="36"/>
      <c r="SD195" s="36"/>
      <c r="SE195" s="36"/>
      <c r="SF195" s="36"/>
      <c r="SG195" s="36"/>
      <c r="SH195" s="36"/>
      <c r="SI195" s="36"/>
      <c r="SJ195" s="36"/>
      <c r="SK195" s="36"/>
      <c r="SL195" s="36"/>
      <c r="SM195" s="36"/>
      <c r="SN195" s="36"/>
      <c r="SO195" s="36"/>
      <c r="SP195" s="36"/>
      <c r="SQ195" s="36"/>
      <c r="SR195" s="36"/>
      <c r="SS195" s="36"/>
      <c r="ST195" s="36"/>
      <c r="SU195" s="36"/>
      <c r="SV195" s="36"/>
      <c r="SW195" s="36"/>
      <c r="SX195" s="36"/>
      <c r="SY195" s="36"/>
      <c r="SZ195" s="36"/>
      <c r="TA195" s="36"/>
      <c r="TB195" s="36"/>
      <c r="TC195" s="36"/>
      <c r="TD195" s="36"/>
      <c r="TE195" s="36"/>
      <c r="TF195" s="36"/>
      <c r="TG195" s="36"/>
      <c r="TH195" s="36"/>
      <c r="TI195" s="36"/>
      <c r="TJ195" s="36"/>
      <c r="TK195" s="36"/>
      <c r="TL195" s="36"/>
      <c r="TM195" s="36"/>
      <c r="TN195" s="36"/>
      <c r="TO195" s="36"/>
      <c r="TP195" s="36"/>
      <c r="TQ195" s="36"/>
      <c r="TR195" s="36"/>
      <c r="TS195" s="36"/>
      <c r="TT195" s="36"/>
      <c r="TU195" s="36"/>
      <c r="TV195" s="36"/>
      <c r="TW195" s="36"/>
      <c r="TX195" s="36"/>
      <c r="TY195" s="36"/>
      <c r="TZ195" s="36"/>
      <c r="UA195" s="36"/>
      <c r="UB195" s="36"/>
      <c r="UC195" s="36"/>
      <c r="UD195" s="36"/>
      <c r="UE195" s="36"/>
      <c r="UF195" s="36"/>
      <c r="UG195" s="36"/>
      <c r="UH195" s="36"/>
      <c r="UI195" s="36"/>
      <c r="UJ195" s="36"/>
      <c r="UK195" s="36"/>
      <c r="UL195" s="36"/>
      <c r="UM195" s="36"/>
      <c r="UN195" s="36"/>
      <c r="UO195" s="36"/>
      <c r="UP195" s="36"/>
      <c r="UQ195" s="36"/>
      <c r="UR195" s="36"/>
      <c r="US195" s="36"/>
      <c r="UT195" s="36"/>
      <c r="UU195" s="36"/>
      <c r="UV195" s="36"/>
      <c r="UW195" s="36"/>
      <c r="UX195" s="36"/>
      <c r="UY195" s="36"/>
      <c r="UZ195" s="36"/>
      <c r="VA195" s="36"/>
      <c r="VB195" s="36"/>
      <c r="VC195" s="36"/>
      <c r="VD195" s="36"/>
      <c r="VE195" s="36"/>
      <c r="VF195" s="36"/>
      <c r="VG195" s="36"/>
      <c r="VH195" s="36"/>
      <c r="VI195" s="36"/>
      <c r="VJ195" s="36"/>
      <c r="VK195" s="36"/>
      <c r="VL195" s="36"/>
      <c r="VM195" s="36"/>
      <c r="VN195" s="36"/>
      <c r="VO195" s="36"/>
      <c r="VP195" s="36"/>
      <c r="VQ195" s="36"/>
      <c r="VR195" s="36"/>
      <c r="VS195" s="36"/>
      <c r="VT195" s="36"/>
      <c r="VU195" s="36"/>
      <c r="VV195" s="36"/>
      <c r="VW195" s="36"/>
      <c r="VX195" s="36"/>
      <c r="VY195" s="36"/>
      <c r="VZ195" s="36"/>
      <c r="WA195" s="36"/>
      <c r="WB195" s="36"/>
      <c r="WC195" s="36"/>
      <c r="WD195" s="36"/>
      <c r="WE195" s="36"/>
      <c r="WF195" s="36"/>
      <c r="WG195" s="36"/>
      <c r="WH195" s="36"/>
      <c r="WI195" s="36"/>
      <c r="WJ195" s="36"/>
      <c r="WK195" s="36"/>
      <c r="WL195" s="36"/>
      <c r="WM195" s="36"/>
      <c r="WN195" s="36"/>
      <c r="WO195" s="36"/>
      <c r="WP195" s="36"/>
      <c r="WQ195" s="36"/>
      <c r="WR195" s="36"/>
      <c r="WS195" s="36"/>
      <c r="WT195" s="36"/>
      <c r="WU195" s="36"/>
      <c r="WV195" s="36"/>
      <c r="WW195" s="36"/>
      <c r="WX195" s="36"/>
      <c r="WY195" s="36"/>
      <c r="WZ195" s="36"/>
      <c r="XA195" s="36"/>
      <c r="XB195" s="36"/>
      <c r="XC195" s="36"/>
      <c r="XD195" s="36"/>
      <c r="XE195" s="36"/>
      <c r="XF195" s="36"/>
      <c r="XG195" s="36"/>
      <c r="XH195" s="36"/>
      <c r="XI195" s="36"/>
      <c r="XJ195" s="36"/>
      <c r="XK195" s="36"/>
      <c r="XL195" s="36"/>
      <c r="XM195" s="36"/>
      <c r="XN195" s="36"/>
      <c r="XO195" s="36"/>
      <c r="XP195" s="36"/>
      <c r="XQ195" s="36"/>
      <c r="XR195" s="36"/>
      <c r="XS195" s="36"/>
      <c r="XT195" s="36"/>
      <c r="XU195" s="36"/>
      <c r="XV195" s="36"/>
      <c r="XW195" s="36"/>
      <c r="XX195" s="36"/>
      <c r="XY195" s="36"/>
      <c r="XZ195" s="36"/>
      <c r="YA195" s="36"/>
      <c r="YB195" s="36"/>
      <c r="YC195" s="36"/>
      <c r="YD195" s="36"/>
      <c r="YE195" s="36"/>
      <c r="YF195" s="36"/>
      <c r="YG195" s="36"/>
      <c r="YH195" s="36"/>
      <c r="YI195" s="36"/>
      <c r="YJ195" s="36"/>
      <c r="YK195" s="36"/>
      <c r="YL195" s="36"/>
      <c r="YM195" s="36"/>
      <c r="YN195" s="36"/>
      <c r="YO195" s="36"/>
      <c r="YP195" s="36"/>
      <c r="YQ195" s="36"/>
      <c r="YR195" s="36"/>
      <c r="YS195" s="36"/>
      <c r="YT195" s="36"/>
      <c r="YU195" s="36"/>
      <c r="YV195" s="36"/>
      <c r="YW195" s="36"/>
      <c r="YX195" s="36"/>
      <c r="YY195" s="36"/>
      <c r="YZ195" s="36"/>
      <c r="ZA195" s="36"/>
      <c r="ZB195" s="36"/>
      <c r="ZC195" s="36"/>
      <c r="ZD195" s="36"/>
      <c r="ZE195" s="36"/>
      <c r="ZF195" s="36"/>
      <c r="ZG195" s="36"/>
      <c r="ZH195" s="36"/>
      <c r="ZI195" s="36"/>
      <c r="ZJ195" s="36"/>
      <c r="ZK195" s="36"/>
      <c r="ZL195" s="36"/>
      <c r="ZM195" s="36"/>
      <c r="ZN195" s="36"/>
      <c r="ZO195" s="36"/>
      <c r="ZP195" s="36"/>
      <c r="ZQ195" s="36"/>
      <c r="ZR195" s="36"/>
      <c r="ZS195" s="36"/>
      <c r="ZT195" s="36"/>
      <c r="ZU195" s="36"/>
      <c r="ZV195" s="36"/>
      <c r="ZW195" s="36"/>
      <c r="ZX195" s="36"/>
      <c r="ZY195" s="36"/>
      <c r="ZZ195" s="36"/>
      <c r="AAA195" s="36"/>
      <c r="AAB195" s="36"/>
      <c r="AAC195" s="36"/>
      <c r="AAD195" s="36"/>
      <c r="AAE195" s="36"/>
      <c r="AAF195" s="36"/>
      <c r="AAG195" s="36"/>
      <c r="AAH195" s="36"/>
      <c r="AAI195" s="36"/>
      <c r="AAJ195" s="36"/>
      <c r="AAK195" s="36"/>
      <c r="AAL195" s="36"/>
      <c r="AAM195" s="36"/>
      <c r="AAN195" s="36"/>
      <c r="AAO195" s="36"/>
      <c r="AAP195" s="36"/>
      <c r="AAQ195" s="36"/>
      <c r="AAR195" s="36"/>
      <c r="AAS195" s="36"/>
      <c r="AAT195" s="36"/>
      <c r="AAU195" s="36"/>
      <c r="AAV195" s="36"/>
      <c r="AAW195" s="36"/>
      <c r="AAX195" s="36"/>
      <c r="AAY195" s="36"/>
      <c r="AAZ195" s="36"/>
      <c r="ABA195" s="36"/>
      <c r="ABB195" s="36"/>
      <c r="ABC195" s="36"/>
      <c r="ABD195" s="36"/>
      <c r="ABE195" s="36"/>
      <c r="ABF195" s="36"/>
      <c r="ABG195" s="36"/>
      <c r="ABH195" s="36"/>
      <c r="ABI195" s="36"/>
      <c r="ABJ195" s="36"/>
      <c r="ABK195" s="36"/>
      <c r="ABL195" s="36"/>
      <c r="ABM195" s="36"/>
      <c r="ABN195" s="36"/>
      <c r="ABO195" s="36"/>
      <c r="ABP195" s="36"/>
      <c r="ABQ195" s="36"/>
      <c r="ABR195" s="36"/>
      <c r="ABS195" s="36"/>
      <c r="ABT195" s="36"/>
      <c r="ABU195" s="36"/>
      <c r="ABV195" s="36"/>
      <c r="ABW195" s="36"/>
      <c r="ABX195" s="36"/>
      <c r="ABY195" s="36"/>
      <c r="ABZ195" s="36"/>
      <c r="ACA195" s="36"/>
      <c r="ACB195" s="36"/>
      <c r="ACC195" s="36"/>
      <c r="ACD195" s="36"/>
      <c r="ACE195" s="36"/>
      <c r="ACF195" s="36"/>
      <c r="ACG195" s="36"/>
      <c r="ACH195" s="36"/>
      <c r="ACI195" s="36"/>
      <c r="ACJ195" s="36"/>
      <c r="ACK195" s="36"/>
      <c r="ACL195" s="36"/>
      <c r="ACM195" s="36"/>
      <c r="ACN195" s="36"/>
      <c r="ACO195" s="36"/>
      <c r="ACP195" s="36"/>
      <c r="ACQ195" s="36"/>
      <c r="ACR195" s="36"/>
      <c r="ACS195" s="36"/>
      <c r="ACT195" s="36"/>
      <c r="ACU195" s="36"/>
      <c r="ACV195" s="36"/>
      <c r="ACW195" s="36"/>
      <c r="ACX195" s="36"/>
      <c r="ACY195" s="36"/>
      <c r="ACZ195" s="36"/>
      <c r="ADA195" s="36"/>
      <c r="ADB195" s="36"/>
      <c r="ADC195" s="36"/>
      <c r="ADD195" s="36"/>
      <c r="ADE195" s="36"/>
      <c r="ADF195" s="36"/>
      <c r="ADG195" s="36"/>
      <c r="ADH195" s="36"/>
      <c r="ADI195" s="36"/>
      <c r="ADJ195" s="36"/>
      <c r="ADK195" s="36"/>
      <c r="ADL195" s="36"/>
      <c r="ADM195" s="36"/>
      <c r="ADN195" s="36"/>
      <c r="ADO195" s="36"/>
      <c r="ADP195" s="36"/>
      <c r="ADQ195" s="36"/>
      <c r="ADR195" s="36"/>
      <c r="ADS195" s="36"/>
      <c r="ADT195" s="36"/>
      <c r="ADU195" s="36"/>
      <c r="ADV195" s="36"/>
      <c r="ADW195" s="36"/>
      <c r="ADX195" s="36"/>
      <c r="ADY195" s="36"/>
      <c r="ADZ195" s="36"/>
      <c r="AEA195" s="36"/>
      <c r="AEB195" s="36"/>
      <c r="AEC195" s="36"/>
      <c r="AED195" s="36"/>
      <c r="AEE195" s="36"/>
      <c r="AEF195" s="36"/>
      <c r="AEG195" s="36"/>
      <c r="AEH195" s="36"/>
      <c r="AEI195" s="36"/>
      <c r="AEJ195" s="36"/>
      <c r="AEK195" s="36"/>
      <c r="AEL195" s="36"/>
      <c r="AEM195" s="36"/>
      <c r="AEN195" s="36"/>
      <c r="AEO195" s="36"/>
      <c r="AEP195" s="36"/>
      <c r="AEQ195" s="36"/>
      <c r="AER195" s="36"/>
      <c r="AES195" s="36"/>
      <c r="AET195" s="36"/>
      <c r="AEU195" s="36"/>
      <c r="AEV195" s="36"/>
      <c r="AEW195" s="36"/>
      <c r="AEX195" s="36"/>
      <c r="AEY195" s="36"/>
      <c r="AEZ195" s="36"/>
      <c r="AFA195" s="36"/>
      <c r="AFB195" s="36"/>
      <c r="AFC195" s="36"/>
      <c r="AFD195" s="36"/>
      <c r="AFE195" s="36"/>
      <c r="AFF195" s="36"/>
      <c r="AFG195" s="36"/>
      <c r="AFH195" s="36"/>
      <c r="AFI195" s="36"/>
      <c r="AFJ195" s="36"/>
      <c r="AFK195" s="36"/>
      <c r="AFL195" s="36"/>
      <c r="AFM195" s="36"/>
      <c r="AFN195" s="36"/>
      <c r="AFO195" s="36"/>
      <c r="AFP195" s="36"/>
      <c r="AFQ195" s="36"/>
      <c r="AFR195" s="36"/>
      <c r="AFS195" s="36"/>
      <c r="AFT195" s="36"/>
      <c r="AFU195" s="36"/>
      <c r="AFV195" s="36"/>
      <c r="AFW195" s="36"/>
      <c r="AFX195" s="36"/>
      <c r="AFY195" s="36"/>
      <c r="AFZ195" s="36"/>
      <c r="AGA195" s="36"/>
      <c r="AGB195" s="36"/>
      <c r="AGC195" s="36"/>
      <c r="AGD195" s="36"/>
      <c r="AGE195" s="36"/>
      <c r="AGF195" s="36"/>
      <c r="AGG195" s="36"/>
      <c r="AGH195" s="36"/>
      <c r="AGI195" s="36"/>
      <c r="AGJ195" s="36"/>
      <c r="AGK195" s="36"/>
      <c r="AGL195" s="36"/>
      <c r="AGM195" s="36"/>
      <c r="AGN195" s="36"/>
      <c r="AGO195" s="36"/>
      <c r="AGP195" s="36"/>
      <c r="AGQ195" s="36"/>
      <c r="AGR195" s="36"/>
      <c r="AGS195" s="36"/>
      <c r="AGT195" s="36"/>
      <c r="AGU195" s="36"/>
      <c r="AGV195" s="36"/>
      <c r="AGW195" s="36"/>
      <c r="AGX195" s="36"/>
      <c r="AGY195" s="36"/>
      <c r="AGZ195" s="36"/>
      <c r="AHA195" s="36"/>
      <c r="AHB195" s="36"/>
      <c r="AHC195" s="36"/>
      <c r="AHD195" s="36"/>
      <c r="AHE195" s="36"/>
      <c r="AHF195" s="36"/>
      <c r="AHG195" s="36"/>
      <c r="AHH195" s="36"/>
      <c r="AHI195" s="36"/>
      <c r="AHJ195" s="36"/>
      <c r="AHK195" s="36"/>
      <c r="AHL195" s="36"/>
      <c r="AHM195" s="36"/>
      <c r="AHN195" s="36"/>
      <c r="AHO195" s="36"/>
      <c r="AHP195" s="36"/>
      <c r="AHQ195" s="36"/>
      <c r="AHR195" s="36"/>
      <c r="AHS195" s="36"/>
      <c r="AHT195" s="36"/>
      <c r="AHU195" s="36"/>
      <c r="AHV195" s="36"/>
      <c r="AHW195" s="36"/>
      <c r="AHX195" s="36"/>
      <c r="AHY195" s="36"/>
      <c r="AHZ195" s="36"/>
      <c r="AIA195" s="36"/>
      <c r="AIB195" s="36"/>
      <c r="AIC195" s="36"/>
      <c r="AID195" s="36"/>
      <c r="AIE195" s="36"/>
      <c r="AIF195" s="36"/>
      <c r="AIG195" s="36"/>
      <c r="AIH195" s="36"/>
      <c r="AII195" s="36"/>
      <c r="AIJ195" s="36"/>
      <c r="AIK195" s="36"/>
      <c r="AIL195" s="36"/>
      <c r="AIM195" s="36"/>
      <c r="AIN195" s="36"/>
      <c r="AIO195" s="36"/>
      <c r="AIP195" s="36"/>
      <c r="AIQ195" s="36"/>
      <c r="AIR195" s="36"/>
      <c r="AIS195" s="36"/>
      <c r="AIT195" s="36"/>
      <c r="AIU195" s="36"/>
      <c r="AIV195" s="36"/>
      <c r="AIW195" s="36"/>
      <c r="AIX195" s="36"/>
      <c r="AIY195" s="36"/>
      <c r="AIZ195" s="36"/>
      <c r="AJA195" s="36"/>
      <c r="AJB195" s="36"/>
      <c r="AJC195" s="36"/>
      <c r="AJD195" s="36"/>
      <c r="AJE195" s="36"/>
      <c r="AJF195" s="36"/>
      <c r="AJG195" s="36"/>
      <c r="AJH195" s="36"/>
      <c r="AJI195" s="36"/>
      <c r="AJJ195" s="36"/>
      <c r="AJK195" s="36"/>
      <c r="AJL195" s="36"/>
      <c r="AJM195" s="36"/>
      <c r="AJN195" s="36"/>
      <c r="AJO195" s="36"/>
      <c r="AJP195" s="36"/>
      <c r="AJQ195" s="36"/>
      <c r="AJR195" s="36"/>
      <c r="AJS195" s="36"/>
      <c r="AJT195" s="36"/>
      <c r="AJU195" s="36"/>
      <c r="AJV195" s="36"/>
      <c r="AJW195" s="36"/>
      <c r="AJX195" s="36"/>
      <c r="AJY195" s="36"/>
      <c r="AJZ195" s="36"/>
      <c r="AKA195" s="36"/>
      <c r="AKB195" s="36"/>
      <c r="AKC195" s="36"/>
      <c r="AKD195" s="36"/>
      <c r="AKE195" s="36"/>
      <c r="AKF195" s="36"/>
      <c r="AKG195" s="36"/>
      <c r="AKH195" s="36"/>
      <c r="AKI195" s="36"/>
      <c r="AKJ195" s="36"/>
      <c r="AKK195" s="36"/>
      <c r="AKL195" s="36"/>
      <c r="AKM195" s="36"/>
      <c r="AKN195" s="36"/>
      <c r="AKO195" s="36"/>
      <c r="AKP195" s="36"/>
      <c r="AKQ195" s="36"/>
      <c r="AKR195" s="36"/>
      <c r="AKS195" s="36"/>
      <c r="AKT195" s="36"/>
      <c r="AKU195" s="36"/>
      <c r="AKV195" s="36"/>
      <c r="AKW195" s="36"/>
      <c r="AKX195" s="36"/>
      <c r="AKY195" s="36"/>
      <c r="AKZ195" s="36"/>
      <c r="ALA195" s="36"/>
      <c r="ALB195" s="36"/>
      <c r="ALC195" s="36"/>
      <c r="ALD195" s="36"/>
      <c r="ALE195" s="36"/>
      <c r="ALF195" s="36"/>
      <c r="ALG195" s="36"/>
      <c r="ALH195" s="36"/>
      <c r="ALI195" s="36"/>
      <c r="ALJ195" s="36"/>
      <c r="ALK195" s="36"/>
      <c r="ALL195" s="36"/>
      <c r="ALM195" s="36"/>
      <c r="ALN195" s="36"/>
      <c r="ALO195" s="36"/>
      <c r="ALP195" s="36"/>
      <c r="ALQ195" s="36"/>
      <c r="ALR195" s="36"/>
      <c r="ALS195" s="36"/>
      <c r="ALT195" s="36"/>
      <c r="ALU195" s="36"/>
      <c r="ALV195" s="36"/>
      <c r="ALW195" s="36"/>
      <c r="ALX195" s="36"/>
      <c r="ALY195" s="36"/>
      <c r="ALZ195" s="36"/>
      <c r="AMA195" s="36"/>
      <c r="AMB195" s="36"/>
      <c r="AMC195" s="36"/>
      <c r="AMD195" s="36"/>
      <c r="AME195" s="36"/>
      <c r="AMF195" s="36"/>
      <c r="AMG195" s="36"/>
      <c r="AMH195" s="36"/>
      <c r="AMI195" s="36"/>
      <c r="AMJ195" s="36"/>
      <c r="AMK195" s="36"/>
      <c r="AML195" s="36"/>
      <c r="AMM195" s="36"/>
      <c r="AMN195" s="36"/>
      <c r="AMO195" s="36"/>
      <c r="AMP195" s="36"/>
      <c r="AMQ195" s="36"/>
      <c r="AMR195" s="36"/>
      <c r="AMS195" s="36"/>
      <c r="AMT195" s="36"/>
      <c r="AMU195" s="36"/>
      <c r="AMV195" s="36"/>
      <c r="AMW195" s="36"/>
      <c r="AMX195" s="36"/>
      <c r="AMY195" s="36"/>
      <c r="AMZ195" s="36"/>
      <c r="ANA195" s="36"/>
      <c r="ANB195" s="36"/>
      <c r="ANC195" s="36"/>
      <c r="AND195" s="36"/>
      <c r="ANE195" s="36"/>
      <c r="ANF195" s="36"/>
      <c r="ANG195" s="36"/>
      <c r="ANH195" s="36"/>
      <c r="ANI195" s="36"/>
      <c r="ANJ195" s="36"/>
      <c r="ANK195" s="36"/>
      <c r="ANL195" s="36"/>
      <c r="ANM195" s="36"/>
      <c r="ANN195" s="36"/>
      <c r="ANO195" s="36"/>
      <c r="ANP195" s="36"/>
      <c r="ANQ195" s="36"/>
      <c r="ANR195" s="36"/>
      <c r="ANS195" s="36"/>
      <c r="ANT195" s="36"/>
      <c r="ANU195" s="36"/>
      <c r="ANV195" s="36"/>
      <c r="ANW195" s="36"/>
      <c r="ANX195" s="36"/>
      <c r="ANY195" s="36"/>
      <c r="ANZ195" s="36"/>
      <c r="AOA195" s="36"/>
      <c r="AOB195" s="36"/>
      <c r="AOC195" s="36"/>
      <c r="AOD195" s="36"/>
      <c r="AOE195" s="36"/>
      <c r="AOF195" s="36"/>
      <c r="AOG195" s="36"/>
      <c r="AOH195" s="36"/>
      <c r="AOI195" s="36"/>
      <c r="AOJ195" s="36"/>
      <c r="AOK195" s="36"/>
      <c r="AOL195" s="36"/>
      <c r="AOM195" s="36"/>
      <c r="AON195" s="36"/>
      <c r="AOO195" s="36"/>
      <c r="AOP195" s="36"/>
      <c r="AOQ195" s="36"/>
      <c r="AOR195" s="36"/>
      <c r="AOS195" s="36"/>
      <c r="AOT195" s="36"/>
      <c r="AOU195" s="36"/>
      <c r="AOV195" s="36"/>
      <c r="AOW195" s="36"/>
      <c r="AOX195" s="36"/>
      <c r="AOY195" s="36"/>
      <c r="AOZ195" s="36"/>
      <c r="APA195" s="36"/>
      <c r="APB195" s="36"/>
      <c r="APC195" s="36"/>
      <c r="APD195" s="36"/>
      <c r="APE195" s="36"/>
      <c r="APF195" s="36"/>
      <c r="APG195" s="36"/>
      <c r="APH195" s="36"/>
      <c r="API195" s="36"/>
      <c r="APJ195" s="36"/>
      <c r="APK195" s="36"/>
      <c r="APL195" s="36"/>
      <c r="APM195" s="36"/>
      <c r="APN195" s="36"/>
      <c r="APO195" s="36"/>
      <c r="APP195" s="36"/>
      <c r="APQ195" s="36"/>
      <c r="APR195" s="36"/>
      <c r="APS195" s="36"/>
      <c r="APT195" s="36"/>
      <c r="APU195" s="36"/>
      <c r="APV195" s="36"/>
      <c r="APW195" s="36"/>
      <c r="APX195" s="36"/>
      <c r="APY195" s="36"/>
      <c r="APZ195" s="36"/>
      <c r="AQA195" s="36"/>
      <c r="AQB195" s="36"/>
      <c r="AQC195" s="36"/>
      <c r="AQD195" s="36"/>
      <c r="AQE195" s="36"/>
      <c r="AQF195" s="36"/>
      <c r="AQG195" s="36"/>
      <c r="AQH195" s="36"/>
      <c r="AQI195" s="36"/>
      <c r="AQJ195" s="36"/>
      <c r="AQK195" s="36"/>
      <c r="AQL195" s="36"/>
      <c r="AQM195" s="36"/>
      <c r="AQN195" s="36"/>
      <c r="AQO195" s="36"/>
      <c r="AQP195" s="36"/>
      <c r="AQQ195" s="36"/>
      <c r="AQR195" s="36"/>
      <c r="AQS195" s="36"/>
      <c r="AQT195" s="36"/>
      <c r="AQU195" s="36"/>
      <c r="AQV195" s="36"/>
      <c r="AQW195" s="36"/>
      <c r="AQX195" s="36"/>
      <c r="AQY195" s="36"/>
      <c r="AQZ195" s="36"/>
      <c r="ARA195" s="36"/>
      <c r="ARB195" s="36"/>
      <c r="ARC195" s="36"/>
      <c r="ARD195" s="36"/>
      <c r="ARE195" s="36"/>
      <c r="ARF195" s="36"/>
      <c r="ARG195" s="36"/>
      <c r="ARH195" s="36"/>
      <c r="ARI195" s="36"/>
      <c r="ARJ195" s="36"/>
      <c r="ARK195" s="36"/>
      <c r="ARL195" s="36"/>
      <c r="ARM195" s="36"/>
      <c r="ARN195" s="36"/>
      <c r="ARO195" s="36"/>
      <c r="ARP195" s="36"/>
      <c r="ARQ195" s="36"/>
      <c r="ARR195" s="36"/>
      <c r="ARS195" s="36"/>
      <c r="ART195" s="36"/>
      <c r="ARU195" s="36"/>
      <c r="ARV195" s="36"/>
      <c r="ARW195" s="36"/>
      <c r="ARX195" s="36"/>
      <c r="ARY195" s="36"/>
      <c r="ARZ195" s="36"/>
      <c r="ASA195" s="36"/>
      <c r="ASB195" s="36"/>
      <c r="ASC195" s="36"/>
      <c r="ASD195" s="36"/>
      <c r="ASE195" s="36"/>
      <c r="ASF195" s="36"/>
      <c r="ASG195" s="36"/>
      <c r="ASH195" s="36"/>
      <c r="ASI195" s="36"/>
      <c r="ASJ195" s="36"/>
      <c r="ASK195" s="36"/>
      <c r="ASL195" s="36"/>
      <c r="ASM195" s="36"/>
      <c r="ASN195" s="36"/>
      <c r="ASO195" s="36"/>
      <c r="ASP195" s="36"/>
      <c r="ASQ195" s="36"/>
      <c r="ASR195" s="36"/>
      <c r="ASS195" s="36"/>
      <c r="AST195" s="36"/>
      <c r="ASU195" s="36"/>
      <c r="ASV195" s="36"/>
      <c r="ASW195" s="36"/>
      <c r="ASX195" s="36"/>
      <c r="ASY195" s="36"/>
      <c r="ASZ195" s="36"/>
      <c r="ATA195" s="36"/>
      <c r="ATB195" s="36"/>
      <c r="ATC195" s="36"/>
      <c r="ATD195" s="36"/>
      <c r="ATE195" s="36"/>
      <c r="ATF195" s="36"/>
      <c r="ATG195" s="36"/>
      <c r="ATH195" s="36"/>
      <c r="ATI195" s="36"/>
      <c r="ATJ195" s="36"/>
      <c r="ATK195" s="36"/>
      <c r="ATL195" s="36"/>
      <c r="ATM195" s="36"/>
      <c r="ATN195" s="36"/>
      <c r="ATO195" s="36"/>
      <c r="ATP195" s="36"/>
      <c r="ATQ195" s="36"/>
      <c r="ATR195" s="36"/>
      <c r="ATS195" s="36"/>
      <c r="ATT195" s="36"/>
      <c r="ATU195" s="36"/>
      <c r="ATV195" s="36"/>
      <c r="ATW195" s="36"/>
      <c r="ATX195" s="36"/>
      <c r="ATY195" s="36"/>
      <c r="ATZ195" s="36"/>
      <c r="AUA195" s="36"/>
      <c r="AUB195" s="36"/>
      <c r="AUC195" s="36"/>
      <c r="AUD195" s="36"/>
      <c r="AUE195" s="36"/>
      <c r="AUF195" s="36"/>
      <c r="AUG195" s="36"/>
      <c r="AUH195" s="36"/>
      <c r="AUI195" s="36"/>
      <c r="AUJ195" s="36"/>
      <c r="AUK195" s="36"/>
      <c r="AUL195" s="36"/>
      <c r="AUM195" s="36"/>
      <c r="AUN195" s="36"/>
      <c r="AUO195" s="36"/>
      <c r="AUP195" s="36"/>
      <c r="AUQ195" s="36"/>
      <c r="AUR195" s="36"/>
      <c r="AUS195" s="36"/>
      <c r="AUT195" s="36"/>
      <c r="AUU195" s="36"/>
      <c r="AUV195" s="36"/>
      <c r="AUW195" s="36"/>
      <c r="AUX195" s="36"/>
      <c r="AUY195" s="36"/>
      <c r="AUZ195" s="36"/>
      <c r="AVA195" s="36"/>
      <c r="AVB195" s="36"/>
      <c r="AVC195" s="36"/>
      <c r="AVD195" s="36"/>
      <c r="AVE195" s="36"/>
      <c r="AVF195" s="36"/>
      <c r="AVG195" s="36"/>
      <c r="AVH195" s="36"/>
      <c r="AVI195" s="36"/>
      <c r="AVJ195" s="36"/>
      <c r="AVK195" s="36"/>
      <c r="AVL195" s="36"/>
      <c r="AVM195" s="36"/>
      <c r="AVN195" s="36"/>
      <c r="AVO195" s="36"/>
      <c r="AVP195" s="36"/>
      <c r="AVQ195" s="36"/>
      <c r="AVR195" s="36"/>
      <c r="AVS195" s="36"/>
      <c r="AVT195" s="36"/>
      <c r="AVU195" s="36"/>
      <c r="AVV195" s="36"/>
      <c r="AVW195" s="36"/>
      <c r="AVX195" s="36"/>
      <c r="AVY195" s="36"/>
      <c r="AVZ195" s="36"/>
      <c r="AWA195" s="36"/>
      <c r="AWB195" s="36"/>
      <c r="AWC195" s="36"/>
      <c r="AWD195" s="36"/>
      <c r="AWE195" s="36"/>
      <c r="AWF195" s="36"/>
      <c r="AWG195" s="36"/>
      <c r="AWH195" s="36"/>
      <c r="AWI195" s="36"/>
      <c r="AWJ195" s="36"/>
      <c r="AWK195" s="36"/>
      <c r="AWL195" s="36"/>
      <c r="AWM195" s="36"/>
      <c r="AWN195" s="36"/>
      <c r="AWO195" s="36"/>
      <c r="AWP195" s="36"/>
      <c r="AWQ195" s="36"/>
      <c r="AWR195" s="36"/>
      <c r="AWS195" s="36"/>
      <c r="AWT195" s="36"/>
      <c r="AWU195" s="36"/>
      <c r="AWV195" s="36"/>
      <c r="AWW195" s="36"/>
      <c r="AWX195" s="36"/>
      <c r="AWY195" s="36"/>
      <c r="AWZ195" s="36"/>
      <c r="AXA195" s="36"/>
      <c r="AXB195" s="36"/>
      <c r="AXC195" s="36"/>
      <c r="AXD195" s="36"/>
      <c r="AXE195" s="36"/>
      <c r="AXF195" s="36"/>
      <c r="AXG195" s="36"/>
      <c r="AXH195" s="36"/>
      <c r="AXI195" s="36"/>
      <c r="AXJ195" s="36"/>
      <c r="AXK195" s="36"/>
      <c r="AXL195" s="36"/>
      <c r="AXM195" s="36"/>
      <c r="AXN195" s="36"/>
      <c r="AXO195" s="36"/>
      <c r="AXP195" s="36"/>
      <c r="AXQ195" s="36"/>
      <c r="AXR195" s="36"/>
      <c r="AXS195" s="36"/>
      <c r="AXT195" s="36"/>
      <c r="AXU195" s="36"/>
      <c r="AXV195" s="36"/>
      <c r="AXW195" s="36"/>
      <c r="AXX195" s="36"/>
      <c r="AXY195" s="36"/>
      <c r="AXZ195" s="36"/>
      <c r="AYA195" s="36"/>
      <c r="AYB195" s="36"/>
      <c r="AYC195" s="36"/>
      <c r="AYD195" s="36"/>
      <c r="AYE195" s="36"/>
      <c r="AYF195" s="36"/>
      <c r="AYG195" s="36"/>
      <c r="AYH195" s="36"/>
      <c r="AYI195" s="36"/>
      <c r="AYJ195" s="36"/>
      <c r="AYK195" s="36"/>
      <c r="AYL195" s="36"/>
      <c r="AYM195" s="36"/>
      <c r="AYN195" s="36"/>
      <c r="AYO195" s="36"/>
      <c r="AYP195" s="36"/>
      <c r="AYQ195" s="36"/>
      <c r="AYR195" s="36"/>
      <c r="AYS195" s="36"/>
      <c r="AYT195" s="36"/>
      <c r="AYU195" s="36"/>
      <c r="AYV195" s="36"/>
      <c r="AYW195" s="36"/>
      <c r="AYX195" s="36"/>
      <c r="AYY195" s="36"/>
      <c r="AYZ195" s="36"/>
      <c r="AZA195" s="36"/>
      <c r="AZB195" s="36"/>
      <c r="AZC195" s="36"/>
      <c r="AZD195" s="36"/>
      <c r="AZE195" s="36"/>
      <c r="AZF195" s="36"/>
      <c r="AZG195" s="36"/>
      <c r="AZH195" s="36"/>
      <c r="AZI195" s="36"/>
      <c r="AZJ195" s="36"/>
      <c r="AZK195" s="36"/>
      <c r="AZL195" s="36"/>
      <c r="AZM195" s="36"/>
      <c r="AZN195" s="36"/>
      <c r="AZO195" s="36"/>
      <c r="AZP195" s="36"/>
      <c r="AZQ195" s="36"/>
      <c r="AZR195" s="36"/>
      <c r="AZS195" s="36"/>
      <c r="AZT195" s="36"/>
      <c r="AZU195" s="36"/>
      <c r="AZV195" s="36"/>
      <c r="AZW195" s="36"/>
      <c r="AZX195" s="36"/>
      <c r="AZY195" s="36"/>
      <c r="AZZ195" s="36"/>
      <c r="BAA195" s="36"/>
      <c r="BAB195" s="36"/>
      <c r="BAC195" s="36"/>
      <c r="BAD195" s="36"/>
      <c r="BAE195" s="36"/>
      <c r="BAF195" s="36"/>
      <c r="BAG195" s="36"/>
      <c r="BAH195" s="36"/>
      <c r="BAI195" s="36"/>
      <c r="BAJ195" s="36"/>
      <c r="BAK195" s="36"/>
      <c r="BAL195" s="36"/>
      <c r="BAM195" s="36"/>
      <c r="BAN195" s="36"/>
      <c r="BAO195" s="36"/>
      <c r="BAP195" s="36"/>
      <c r="BAQ195" s="36"/>
      <c r="BAR195" s="36"/>
      <c r="BAS195" s="36"/>
      <c r="BAT195" s="36"/>
      <c r="BAU195" s="36"/>
      <c r="BAV195" s="36"/>
      <c r="BAW195" s="36"/>
      <c r="BAX195" s="36"/>
      <c r="BAY195" s="36"/>
      <c r="BAZ195" s="36"/>
      <c r="BBA195" s="36"/>
      <c r="BBB195" s="36"/>
      <c r="BBC195" s="36"/>
      <c r="BBD195" s="36"/>
      <c r="BBE195" s="36"/>
      <c r="BBF195" s="36"/>
      <c r="BBG195" s="36"/>
      <c r="BBH195" s="36"/>
      <c r="BBI195" s="36"/>
      <c r="BBJ195" s="36"/>
      <c r="BBK195" s="36"/>
      <c r="BBL195" s="36"/>
      <c r="BBM195" s="36"/>
      <c r="BBN195" s="36"/>
      <c r="BBO195" s="36"/>
      <c r="BBP195" s="36"/>
      <c r="BBQ195" s="36"/>
      <c r="BBR195" s="36"/>
      <c r="BBS195" s="36"/>
      <c r="BBT195" s="36"/>
      <c r="BBU195" s="36"/>
      <c r="BBV195" s="36"/>
      <c r="BBW195" s="36"/>
      <c r="BBX195" s="36"/>
      <c r="BBY195" s="36"/>
      <c r="BBZ195" s="36"/>
      <c r="BCA195" s="36"/>
      <c r="BCB195" s="36"/>
      <c r="BCC195" s="36"/>
      <c r="BCD195" s="36"/>
      <c r="BCE195" s="36"/>
      <c r="BCF195" s="36"/>
      <c r="BCG195" s="36"/>
      <c r="BCH195" s="36"/>
      <c r="BCI195" s="36"/>
      <c r="BCJ195" s="36"/>
      <c r="BCK195" s="36"/>
      <c r="BCL195" s="36"/>
      <c r="BCM195" s="36"/>
      <c r="BCN195" s="36"/>
      <c r="BCO195" s="36"/>
      <c r="BCP195" s="36"/>
      <c r="BCQ195" s="36"/>
      <c r="BCR195" s="36"/>
      <c r="BCS195" s="36"/>
      <c r="BCT195" s="36"/>
      <c r="BCU195" s="36"/>
      <c r="BCV195" s="36"/>
      <c r="BCW195" s="36"/>
      <c r="BCX195" s="36"/>
      <c r="BCY195" s="36"/>
      <c r="BCZ195" s="36"/>
      <c r="BDA195" s="36"/>
      <c r="BDB195" s="36"/>
      <c r="BDC195" s="36"/>
      <c r="BDD195" s="36"/>
      <c r="BDE195" s="36"/>
      <c r="BDF195" s="36"/>
      <c r="BDG195" s="36"/>
      <c r="BDH195" s="36"/>
      <c r="BDI195" s="36"/>
      <c r="BDJ195" s="36"/>
      <c r="BDK195" s="36"/>
      <c r="BDL195" s="36"/>
      <c r="BDM195" s="36"/>
      <c r="BDN195" s="36"/>
      <c r="BDO195" s="36"/>
      <c r="BDP195" s="36"/>
      <c r="BDQ195" s="36"/>
      <c r="BDR195" s="36"/>
      <c r="BDS195" s="36"/>
      <c r="BDT195" s="36"/>
      <c r="BDU195" s="36"/>
      <c r="BDV195" s="36"/>
      <c r="BDW195" s="36"/>
      <c r="BDX195" s="36"/>
      <c r="BDY195" s="36"/>
      <c r="BDZ195" s="36"/>
      <c r="BEA195" s="36"/>
      <c r="BEB195" s="36"/>
      <c r="BEC195" s="36"/>
      <c r="BED195" s="36"/>
      <c r="BEE195" s="36"/>
      <c r="BEF195" s="36"/>
      <c r="BEG195" s="36"/>
      <c r="BEH195" s="36"/>
      <c r="BEI195" s="36"/>
      <c r="BEJ195" s="36"/>
      <c r="BEK195" s="36"/>
      <c r="BEL195" s="36"/>
      <c r="BEM195" s="36"/>
      <c r="BEN195" s="36"/>
      <c r="BEO195" s="36"/>
      <c r="BEP195" s="36"/>
      <c r="BEQ195" s="36"/>
      <c r="BER195" s="36"/>
      <c r="BES195" s="36"/>
      <c r="BET195" s="36"/>
      <c r="BEU195" s="36"/>
      <c r="BEV195" s="36"/>
      <c r="BEW195" s="36"/>
      <c r="BEX195" s="36"/>
      <c r="BEY195" s="36"/>
      <c r="BEZ195" s="36"/>
      <c r="BFA195" s="36"/>
      <c r="BFB195" s="36"/>
      <c r="BFC195" s="36"/>
      <c r="BFD195" s="36"/>
      <c r="BFE195" s="36"/>
      <c r="BFF195" s="36"/>
      <c r="BFG195" s="36"/>
      <c r="BFH195" s="36"/>
      <c r="BFI195" s="36"/>
      <c r="BFJ195" s="36"/>
      <c r="BFK195" s="36"/>
      <c r="BFL195" s="36"/>
      <c r="BFM195" s="36"/>
      <c r="BFN195" s="36"/>
      <c r="BFO195" s="36"/>
      <c r="BFP195" s="36"/>
      <c r="BFQ195" s="36"/>
      <c r="BFR195" s="36"/>
      <c r="BFS195" s="36"/>
      <c r="BFT195" s="36"/>
      <c r="BFU195" s="36"/>
      <c r="BFV195" s="36"/>
      <c r="BFW195" s="36"/>
      <c r="BFX195" s="36"/>
      <c r="BFY195" s="36"/>
      <c r="BFZ195" s="36"/>
      <c r="BGA195" s="36"/>
      <c r="BGB195" s="36"/>
      <c r="BGC195" s="36"/>
      <c r="BGD195" s="36"/>
      <c r="BGE195" s="36"/>
      <c r="BGF195" s="36"/>
      <c r="BGG195" s="36"/>
      <c r="BGH195" s="36"/>
      <c r="BGI195" s="36"/>
      <c r="BGJ195" s="36"/>
      <c r="BGK195" s="36"/>
      <c r="BGL195" s="36"/>
      <c r="BGM195" s="36"/>
      <c r="BGN195" s="36"/>
      <c r="BGO195" s="36"/>
      <c r="BGP195" s="36"/>
      <c r="BGQ195" s="36"/>
      <c r="BGR195" s="36"/>
      <c r="BGS195" s="36"/>
      <c r="BGT195" s="36"/>
      <c r="BGU195" s="36"/>
      <c r="BGV195" s="36"/>
      <c r="BGW195" s="36"/>
      <c r="BGX195" s="36"/>
      <c r="BGY195" s="36"/>
      <c r="BGZ195" s="36"/>
      <c r="BHA195" s="36"/>
      <c r="BHB195" s="36"/>
      <c r="BHC195" s="36"/>
      <c r="BHD195" s="36"/>
      <c r="BHE195" s="36"/>
      <c r="BHF195" s="36"/>
      <c r="BHG195" s="36"/>
      <c r="BHH195" s="36"/>
      <c r="BHI195" s="36"/>
      <c r="BHJ195" s="36"/>
      <c r="BHK195" s="36"/>
      <c r="BHL195" s="36"/>
      <c r="BHM195" s="36"/>
      <c r="BHN195" s="36"/>
      <c r="BHO195" s="36"/>
      <c r="BHP195" s="36"/>
      <c r="BHQ195" s="36"/>
      <c r="BHR195" s="36"/>
      <c r="BHS195" s="36"/>
      <c r="BHT195" s="36"/>
      <c r="BHU195" s="36"/>
      <c r="BHV195" s="36"/>
      <c r="BHW195" s="36"/>
      <c r="BHX195" s="36"/>
      <c r="BHY195" s="36"/>
      <c r="BHZ195" s="36"/>
      <c r="BIA195" s="36"/>
      <c r="BIB195" s="36"/>
      <c r="BIC195" s="36"/>
      <c r="BID195" s="36"/>
      <c r="BIE195" s="36"/>
      <c r="BIF195" s="36"/>
      <c r="BIG195" s="36"/>
      <c r="BIH195" s="36"/>
      <c r="BII195" s="36"/>
      <c r="BIJ195" s="36"/>
      <c r="BIK195" s="36"/>
      <c r="BIL195" s="36"/>
      <c r="BIM195" s="36"/>
      <c r="BIN195" s="36"/>
      <c r="BIO195" s="36"/>
      <c r="BIP195" s="36"/>
      <c r="BIQ195" s="36"/>
      <c r="BIR195" s="36"/>
      <c r="BIS195" s="36"/>
      <c r="BIT195" s="36"/>
      <c r="BIU195" s="36"/>
      <c r="BIV195" s="36"/>
      <c r="BIW195" s="36"/>
      <c r="BIX195" s="36"/>
      <c r="BIY195" s="36"/>
      <c r="BIZ195" s="36"/>
      <c r="BJA195" s="36"/>
      <c r="BJB195" s="36"/>
      <c r="BJC195" s="36"/>
      <c r="BJD195" s="36"/>
      <c r="BJE195" s="36"/>
      <c r="BJF195" s="36"/>
      <c r="BJG195" s="36"/>
      <c r="BJH195" s="36"/>
      <c r="BJI195" s="36"/>
      <c r="BJJ195" s="36"/>
      <c r="BJK195" s="36"/>
      <c r="BJL195" s="36"/>
      <c r="BJM195" s="36"/>
      <c r="BJN195" s="36"/>
      <c r="BJO195" s="36"/>
      <c r="BJP195" s="36"/>
      <c r="BJQ195" s="36"/>
      <c r="BJR195" s="36"/>
      <c r="BJS195" s="36"/>
      <c r="BJT195" s="36"/>
      <c r="BJU195" s="36"/>
      <c r="BJV195" s="36"/>
      <c r="BJW195" s="36"/>
      <c r="BJX195" s="36"/>
      <c r="BJY195" s="36"/>
      <c r="BJZ195" s="36"/>
      <c r="BKA195" s="36"/>
      <c r="BKB195" s="36"/>
      <c r="BKC195" s="36"/>
      <c r="BKD195" s="36"/>
      <c r="BKE195" s="36"/>
      <c r="BKF195" s="36"/>
      <c r="BKG195" s="36"/>
      <c r="BKH195" s="36"/>
      <c r="BKI195" s="36"/>
      <c r="BKJ195" s="36"/>
      <c r="BKK195" s="36"/>
      <c r="BKL195" s="36"/>
      <c r="BKM195" s="36"/>
      <c r="BKN195" s="36"/>
      <c r="BKO195" s="36"/>
      <c r="BKP195" s="36"/>
      <c r="BKQ195" s="36"/>
      <c r="BKR195" s="36"/>
      <c r="BKS195" s="36"/>
      <c r="BKT195" s="36"/>
      <c r="BKU195" s="36"/>
      <c r="BKV195" s="36"/>
      <c r="BKW195" s="36"/>
      <c r="BKX195" s="36"/>
      <c r="BKY195" s="36"/>
      <c r="BKZ195" s="36"/>
      <c r="BLA195" s="36"/>
      <c r="BLB195" s="36"/>
      <c r="BLC195" s="36"/>
      <c r="BLD195" s="36"/>
      <c r="BLE195" s="36"/>
      <c r="BLF195" s="36"/>
      <c r="BLG195" s="36"/>
      <c r="BLH195" s="36"/>
      <c r="BLI195" s="36"/>
      <c r="BLJ195" s="36"/>
      <c r="BLK195" s="36"/>
      <c r="BLL195" s="36"/>
      <c r="BLM195" s="36"/>
      <c r="BLN195" s="36"/>
      <c r="BLO195" s="36"/>
      <c r="BLP195" s="36"/>
      <c r="BLQ195" s="36"/>
      <c r="BLR195" s="36"/>
      <c r="BLS195" s="36"/>
      <c r="BLT195" s="36"/>
      <c r="BLU195" s="36"/>
      <c r="BLV195" s="36"/>
      <c r="BLW195" s="36"/>
      <c r="BLX195" s="36"/>
      <c r="BLY195" s="36"/>
      <c r="BLZ195" s="36"/>
      <c r="BMA195" s="36"/>
      <c r="BMB195" s="36"/>
      <c r="BMC195" s="36"/>
      <c r="BMD195" s="36"/>
      <c r="BME195" s="36"/>
      <c r="BMF195" s="36"/>
      <c r="BMG195" s="36"/>
      <c r="BMH195" s="36"/>
      <c r="BMI195" s="36"/>
      <c r="BMJ195" s="36"/>
      <c r="BMK195" s="36"/>
      <c r="BML195" s="36"/>
      <c r="BMM195" s="36"/>
      <c r="BMN195" s="36"/>
      <c r="BMO195" s="36"/>
      <c r="BMP195" s="36"/>
      <c r="BMQ195" s="36"/>
      <c r="BMR195" s="36"/>
      <c r="BMS195" s="36"/>
      <c r="BMT195" s="36"/>
      <c r="BMU195" s="36"/>
      <c r="BMV195" s="36"/>
      <c r="BMW195" s="36"/>
      <c r="BMX195" s="36"/>
      <c r="BMY195" s="36"/>
      <c r="BMZ195" s="36"/>
      <c r="BNA195" s="36"/>
      <c r="BNB195" s="36"/>
      <c r="BNC195" s="36"/>
      <c r="BND195" s="36"/>
      <c r="BNE195" s="36"/>
      <c r="BNF195" s="36"/>
      <c r="BNG195" s="36"/>
      <c r="BNH195" s="36"/>
      <c r="BNI195" s="36"/>
      <c r="BNJ195" s="36"/>
      <c r="BNK195" s="36"/>
      <c r="BNL195" s="36"/>
      <c r="BNM195" s="36"/>
      <c r="BNN195" s="36"/>
      <c r="BNO195" s="36"/>
      <c r="BNP195" s="36"/>
      <c r="BNQ195" s="36"/>
      <c r="BNR195" s="36"/>
      <c r="BNS195" s="36"/>
      <c r="BNT195" s="36"/>
      <c r="BNU195" s="36"/>
      <c r="BNV195" s="36"/>
      <c r="BNW195" s="36"/>
      <c r="BNX195" s="36"/>
      <c r="BNY195" s="36"/>
      <c r="BNZ195" s="36"/>
      <c r="BOA195" s="36"/>
      <c r="BOB195" s="36"/>
      <c r="BOC195" s="36"/>
      <c r="BOD195" s="36"/>
      <c r="BOE195" s="36"/>
      <c r="BOF195" s="36"/>
      <c r="BOG195" s="36"/>
      <c r="BOH195" s="36"/>
      <c r="BOI195" s="36"/>
      <c r="BOJ195" s="36"/>
      <c r="BOK195" s="36"/>
      <c r="BOL195" s="36"/>
      <c r="BOM195" s="36"/>
      <c r="BON195" s="36"/>
      <c r="BOO195" s="36"/>
      <c r="BOP195" s="36"/>
      <c r="BOQ195" s="36"/>
      <c r="BOR195" s="36"/>
      <c r="BOS195" s="36"/>
      <c r="BOT195" s="36"/>
      <c r="BOU195" s="36"/>
      <c r="BOV195" s="36"/>
      <c r="BOW195" s="36"/>
      <c r="BOX195" s="36"/>
      <c r="BOY195" s="36"/>
      <c r="BOZ195" s="36"/>
      <c r="BPA195" s="36"/>
      <c r="BPB195" s="36"/>
      <c r="BPC195" s="36"/>
      <c r="BPD195" s="36"/>
      <c r="BPE195" s="36"/>
      <c r="BPF195" s="36"/>
      <c r="BPG195" s="36"/>
      <c r="BPH195" s="36"/>
      <c r="BPI195" s="36"/>
      <c r="BPJ195" s="36"/>
      <c r="BPK195" s="36"/>
      <c r="BPL195" s="36"/>
      <c r="BPM195" s="36"/>
      <c r="BPN195" s="36"/>
      <c r="BPO195" s="36"/>
      <c r="BPP195" s="36"/>
      <c r="BPQ195" s="36"/>
      <c r="BPR195" s="36"/>
      <c r="BPS195" s="36"/>
      <c r="BPT195" s="36"/>
      <c r="BPU195" s="36"/>
      <c r="BPV195" s="36"/>
      <c r="BPW195" s="36"/>
      <c r="BPX195" s="36"/>
      <c r="BPY195" s="36"/>
      <c r="BPZ195" s="36"/>
      <c r="BQA195" s="36"/>
      <c r="BQB195" s="36"/>
      <c r="BQC195" s="36"/>
      <c r="BQD195" s="36"/>
      <c r="BQE195" s="36"/>
      <c r="BQF195" s="36"/>
      <c r="BQG195" s="36"/>
      <c r="BQH195" s="36"/>
      <c r="BQI195" s="36"/>
      <c r="BQJ195" s="36"/>
      <c r="BQK195" s="36"/>
      <c r="BQL195" s="36"/>
      <c r="BQM195" s="36"/>
      <c r="BQN195" s="36"/>
      <c r="BQO195" s="36"/>
      <c r="BQP195" s="36"/>
      <c r="BQQ195" s="36"/>
      <c r="BQR195" s="36"/>
      <c r="BQS195" s="36"/>
      <c r="BQT195" s="36"/>
      <c r="BQU195" s="36"/>
      <c r="BQV195" s="36"/>
      <c r="BQW195" s="36"/>
      <c r="BQX195" s="36"/>
      <c r="BQY195" s="36"/>
      <c r="BQZ195" s="36"/>
      <c r="BRA195" s="36"/>
      <c r="BRB195" s="36"/>
      <c r="BRC195" s="36"/>
      <c r="BRD195" s="36"/>
      <c r="BRE195" s="36"/>
      <c r="BRF195" s="36"/>
      <c r="BRG195" s="36"/>
      <c r="BRH195" s="36"/>
      <c r="BRI195" s="36"/>
      <c r="BRJ195" s="36"/>
      <c r="BRK195" s="36"/>
      <c r="BRL195" s="36"/>
      <c r="BRM195" s="36"/>
      <c r="BRN195" s="36"/>
      <c r="BRO195" s="36"/>
      <c r="BRP195" s="36"/>
      <c r="BRQ195" s="36"/>
      <c r="BRR195" s="36"/>
      <c r="BRS195" s="36"/>
      <c r="BRT195" s="36"/>
      <c r="BRU195" s="36"/>
      <c r="BRV195" s="36"/>
      <c r="BRW195" s="36"/>
      <c r="BRX195" s="36"/>
      <c r="BRY195" s="36"/>
      <c r="BRZ195" s="36"/>
      <c r="BSA195" s="36"/>
      <c r="BSB195" s="36"/>
      <c r="BSC195" s="36"/>
      <c r="BSD195" s="36"/>
      <c r="BSE195" s="36"/>
      <c r="BSF195" s="36"/>
      <c r="BSG195" s="36"/>
      <c r="BSH195" s="36"/>
      <c r="BSI195" s="36"/>
      <c r="BSJ195" s="36"/>
      <c r="BSK195" s="36"/>
      <c r="BSL195" s="36"/>
      <c r="BSM195" s="36"/>
      <c r="BSN195" s="36"/>
      <c r="BSO195" s="36"/>
      <c r="BSP195" s="36"/>
      <c r="BSQ195" s="36"/>
      <c r="BSR195" s="36"/>
      <c r="BSS195" s="36"/>
      <c r="BST195" s="36"/>
      <c r="BSU195" s="36"/>
      <c r="BSV195" s="36"/>
      <c r="BSW195" s="36"/>
      <c r="BSX195" s="36"/>
      <c r="BSY195" s="36"/>
      <c r="BSZ195" s="36"/>
      <c r="BTA195" s="36"/>
      <c r="BTB195" s="36"/>
      <c r="BTC195" s="36"/>
      <c r="BTD195" s="36"/>
      <c r="BTE195" s="36"/>
      <c r="BTF195" s="36"/>
      <c r="BTG195" s="36"/>
      <c r="BTH195" s="36"/>
      <c r="BTI195" s="36"/>
      <c r="BTJ195" s="36"/>
      <c r="BTK195" s="36"/>
      <c r="BTL195" s="36"/>
      <c r="BTM195" s="36"/>
      <c r="BTN195" s="36"/>
      <c r="BTO195" s="36"/>
      <c r="BTP195" s="36"/>
      <c r="BTQ195" s="36"/>
      <c r="BTR195" s="36"/>
      <c r="BTS195" s="36"/>
      <c r="BTT195" s="36"/>
      <c r="BTU195" s="36"/>
      <c r="BTV195" s="36"/>
      <c r="BTW195" s="36"/>
      <c r="BTX195" s="36"/>
      <c r="BTY195" s="36"/>
      <c r="BTZ195" s="36"/>
      <c r="BUA195" s="36"/>
      <c r="BUB195" s="36"/>
      <c r="BUC195" s="36"/>
      <c r="BUD195" s="36"/>
      <c r="BUE195" s="36"/>
      <c r="BUF195" s="36"/>
      <c r="BUG195" s="36"/>
      <c r="BUH195" s="36"/>
      <c r="BUI195" s="36"/>
      <c r="BUJ195" s="36"/>
      <c r="BUK195" s="36"/>
      <c r="BUL195" s="36"/>
      <c r="BUM195" s="36"/>
      <c r="BUN195" s="36"/>
      <c r="BUO195" s="36"/>
      <c r="BUP195" s="36"/>
      <c r="BUQ195" s="36"/>
      <c r="BUR195" s="36"/>
      <c r="BUS195" s="36"/>
      <c r="BUT195" s="36"/>
      <c r="BUU195" s="36"/>
      <c r="BUV195" s="36"/>
      <c r="BUW195" s="36"/>
      <c r="BUX195" s="36"/>
      <c r="BUY195" s="36"/>
      <c r="BUZ195" s="36"/>
      <c r="BVA195" s="36"/>
      <c r="BVB195" s="36"/>
      <c r="BVC195" s="36"/>
      <c r="BVD195" s="36"/>
      <c r="BVE195" s="36"/>
      <c r="BVF195" s="36"/>
      <c r="BVG195" s="36"/>
      <c r="BVH195" s="36"/>
      <c r="BVI195" s="36"/>
      <c r="BVJ195" s="36"/>
      <c r="BVK195" s="36"/>
      <c r="BVL195" s="36"/>
      <c r="BVM195" s="36"/>
      <c r="BVN195" s="36"/>
      <c r="BVO195" s="36"/>
      <c r="BVP195" s="36"/>
      <c r="BVQ195" s="36"/>
      <c r="BVR195" s="36"/>
      <c r="BVS195" s="36"/>
      <c r="BVT195" s="36"/>
      <c r="BVU195" s="36"/>
      <c r="BVV195" s="36"/>
      <c r="BVW195" s="36"/>
      <c r="BVX195" s="36"/>
      <c r="BVY195" s="36"/>
      <c r="BVZ195" s="36"/>
      <c r="BWA195" s="36"/>
      <c r="BWB195" s="36"/>
      <c r="BWC195" s="36"/>
      <c r="BWD195" s="36"/>
      <c r="BWE195" s="36"/>
      <c r="BWF195" s="36"/>
      <c r="BWG195" s="36"/>
      <c r="BWH195" s="36"/>
      <c r="BWI195" s="36"/>
      <c r="BWJ195" s="36"/>
      <c r="BWK195" s="36"/>
      <c r="BWL195" s="36"/>
      <c r="BWM195" s="36"/>
      <c r="BWN195" s="36"/>
      <c r="BWO195" s="36"/>
      <c r="BWP195" s="36"/>
      <c r="BWQ195" s="36"/>
      <c r="BWR195" s="36"/>
      <c r="BWS195" s="36"/>
      <c r="BWT195" s="36"/>
      <c r="BWU195" s="36"/>
      <c r="BWV195" s="36"/>
      <c r="BWW195" s="36"/>
      <c r="BWX195" s="36"/>
      <c r="BWY195" s="36"/>
      <c r="BWZ195" s="36"/>
      <c r="BXA195" s="36"/>
      <c r="BXB195" s="36"/>
      <c r="BXC195" s="36"/>
      <c r="BXD195" s="36"/>
      <c r="BXE195" s="36"/>
      <c r="BXF195" s="36"/>
      <c r="BXG195" s="36"/>
      <c r="BXH195" s="36"/>
      <c r="BXI195" s="36"/>
      <c r="BXJ195" s="36"/>
      <c r="BXK195" s="36"/>
      <c r="BXL195" s="36"/>
      <c r="BXM195" s="36"/>
      <c r="BXN195" s="36"/>
      <c r="BXO195" s="36"/>
      <c r="BXP195" s="36"/>
      <c r="BXQ195" s="36"/>
      <c r="BXR195" s="36"/>
      <c r="BXS195" s="36"/>
      <c r="BXT195" s="36"/>
      <c r="BXU195" s="36"/>
      <c r="BXV195" s="36"/>
      <c r="BXW195" s="36"/>
      <c r="BXX195" s="36"/>
      <c r="BXY195" s="36"/>
      <c r="BXZ195" s="36"/>
      <c r="BYA195" s="36"/>
      <c r="BYB195" s="36"/>
      <c r="BYC195" s="36"/>
      <c r="BYD195" s="36"/>
      <c r="BYE195" s="36"/>
      <c r="BYF195" s="36"/>
      <c r="BYG195" s="36"/>
      <c r="BYH195" s="36"/>
      <c r="BYI195" s="36"/>
      <c r="BYJ195" s="36"/>
      <c r="BYK195" s="36"/>
      <c r="BYL195" s="36"/>
      <c r="BYM195" s="36"/>
      <c r="BYN195" s="36"/>
      <c r="BYO195" s="36"/>
      <c r="BYP195" s="36"/>
      <c r="BYQ195" s="36"/>
      <c r="BYR195" s="36"/>
      <c r="BYS195" s="36"/>
      <c r="BYT195" s="36"/>
      <c r="BYU195" s="36"/>
      <c r="BYV195" s="36"/>
      <c r="BYW195" s="36"/>
      <c r="BYX195" s="36"/>
      <c r="BYY195" s="36"/>
      <c r="BYZ195" s="36"/>
      <c r="BZA195" s="36"/>
      <c r="BZB195" s="36"/>
      <c r="BZC195" s="36"/>
      <c r="BZD195" s="36"/>
      <c r="BZE195" s="36"/>
      <c r="BZF195" s="36"/>
      <c r="BZG195" s="36"/>
      <c r="BZH195" s="36"/>
      <c r="BZI195" s="36"/>
      <c r="BZJ195" s="36"/>
      <c r="BZK195" s="36"/>
      <c r="BZL195" s="36"/>
      <c r="BZM195" s="36"/>
      <c r="BZN195" s="36"/>
      <c r="BZO195" s="36"/>
      <c r="BZP195" s="36"/>
      <c r="BZQ195" s="36"/>
      <c r="BZR195" s="36"/>
      <c r="BZS195" s="36"/>
      <c r="BZT195" s="36"/>
      <c r="BZU195" s="36"/>
      <c r="BZV195" s="36"/>
      <c r="BZW195" s="36"/>
      <c r="BZX195" s="36"/>
      <c r="BZY195" s="36"/>
      <c r="BZZ195" s="36"/>
      <c r="CAA195" s="36"/>
      <c r="CAB195" s="36"/>
      <c r="CAC195" s="36"/>
      <c r="CAD195" s="36"/>
      <c r="CAE195" s="36"/>
      <c r="CAF195" s="36"/>
      <c r="CAG195" s="36"/>
      <c r="CAH195" s="36"/>
      <c r="CAI195" s="36"/>
      <c r="CAJ195" s="36"/>
      <c r="CAK195" s="36"/>
      <c r="CAL195" s="36"/>
      <c r="CAM195" s="36"/>
      <c r="CAN195" s="36"/>
      <c r="CAO195" s="36"/>
      <c r="CAP195" s="36"/>
      <c r="CAQ195" s="36"/>
      <c r="CAR195" s="36"/>
      <c r="CAS195" s="36"/>
      <c r="CAT195" s="36"/>
      <c r="CAU195" s="36"/>
      <c r="CAV195" s="36"/>
      <c r="CAW195" s="36"/>
      <c r="CAX195" s="36"/>
      <c r="CAY195" s="36"/>
      <c r="CAZ195" s="36"/>
      <c r="CBA195" s="36"/>
      <c r="CBB195" s="36"/>
      <c r="CBC195" s="36"/>
      <c r="CBD195" s="36"/>
      <c r="CBE195" s="36"/>
      <c r="CBF195" s="36"/>
      <c r="CBG195" s="36"/>
      <c r="CBH195" s="36"/>
      <c r="CBI195" s="36"/>
      <c r="CBJ195" s="36"/>
      <c r="CBK195" s="36"/>
      <c r="CBL195" s="36"/>
      <c r="CBM195" s="36"/>
      <c r="CBN195" s="36"/>
      <c r="CBO195" s="36"/>
      <c r="CBP195" s="36"/>
      <c r="CBQ195" s="36"/>
      <c r="CBR195" s="36"/>
      <c r="CBS195" s="36"/>
      <c r="CBT195" s="36"/>
      <c r="CBU195" s="36"/>
      <c r="CBV195" s="36"/>
      <c r="CBW195" s="36"/>
      <c r="CBX195" s="36"/>
      <c r="CBY195" s="36"/>
      <c r="CBZ195" s="36"/>
      <c r="CCA195" s="36"/>
      <c r="CCB195" s="36"/>
      <c r="CCC195" s="36"/>
      <c r="CCD195" s="36"/>
      <c r="CCE195" s="36"/>
      <c r="CCF195" s="36"/>
      <c r="CCG195" s="36"/>
      <c r="CCH195" s="36"/>
      <c r="CCI195" s="36"/>
      <c r="CCJ195" s="36"/>
      <c r="CCK195" s="36"/>
      <c r="CCL195" s="36"/>
      <c r="CCM195" s="36"/>
      <c r="CCN195" s="36"/>
      <c r="CCO195" s="36"/>
      <c r="CCP195" s="36"/>
      <c r="CCQ195" s="36"/>
      <c r="CCR195" s="36"/>
      <c r="CCS195" s="36"/>
      <c r="CCT195" s="36"/>
      <c r="CCU195" s="36"/>
      <c r="CCV195" s="36"/>
      <c r="CCW195" s="36"/>
      <c r="CCX195" s="36"/>
      <c r="CCY195" s="36"/>
      <c r="CCZ195" s="36"/>
      <c r="CDA195" s="36"/>
      <c r="CDB195" s="36"/>
      <c r="CDC195" s="36"/>
      <c r="CDD195" s="36"/>
      <c r="CDE195" s="36"/>
      <c r="CDF195" s="36"/>
      <c r="CDG195" s="36"/>
      <c r="CDH195" s="36"/>
      <c r="CDI195" s="36"/>
      <c r="CDJ195" s="36"/>
      <c r="CDK195" s="36"/>
      <c r="CDL195" s="36"/>
      <c r="CDM195" s="36"/>
      <c r="CDN195" s="36"/>
      <c r="CDO195" s="36"/>
      <c r="CDP195" s="36"/>
      <c r="CDQ195" s="36"/>
      <c r="CDR195" s="36"/>
      <c r="CDS195" s="36"/>
      <c r="CDT195" s="36"/>
      <c r="CDU195" s="36"/>
      <c r="CDV195" s="36"/>
      <c r="CDW195" s="36"/>
      <c r="CDX195" s="36"/>
      <c r="CDY195" s="36"/>
      <c r="CDZ195" s="36"/>
      <c r="CEA195" s="36"/>
      <c r="CEB195" s="36"/>
      <c r="CEC195" s="36"/>
      <c r="CED195" s="36"/>
      <c r="CEE195" s="36"/>
      <c r="CEF195" s="36"/>
      <c r="CEG195" s="36"/>
      <c r="CEH195" s="36"/>
      <c r="CEI195" s="36"/>
      <c r="CEJ195" s="36"/>
      <c r="CEK195" s="36"/>
      <c r="CEL195" s="36"/>
      <c r="CEM195" s="36"/>
      <c r="CEN195" s="36"/>
      <c r="CEO195" s="36"/>
      <c r="CEP195" s="36"/>
      <c r="CEQ195" s="36"/>
      <c r="CER195" s="36"/>
      <c r="CES195" s="36"/>
      <c r="CET195" s="36"/>
      <c r="CEU195" s="36"/>
      <c r="CEV195" s="36"/>
      <c r="CEW195" s="36"/>
      <c r="CEX195" s="36"/>
      <c r="CEY195" s="36"/>
      <c r="CEZ195" s="36"/>
      <c r="CFA195" s="36"/>
      <c r="CFB195" s="36"/>
      <c r="CFC195" s="36"/>
      <c r="CFD195" s="36"/>
      <c r="CFE195" s="36"/>
      <c r="CFF195" s="36"/>
      <c r="CFG195" s="36"/>
      <c r="CFH195" s="36"/>
      <c r="CFI195" s="36"/>
      <c r="CFJ195" s="36"/>
      <c r="CFK195" s="36"/>
      <c r="CFL195" s="36"/>
      <c r="CFM195" s="36"/>
      <c r="CFN195" s="36"/>
      <c r="CFO195" s="36"/>
      <c r="CFP195" s="36"/>
      <c r="CFQ195" s="36"/>
      <c r="CFR195" s="36"/>
      <c r="CFS195" s="36"/>
      <c r="CFT195" s="36"/>
      <c r="CFU195" s="36"/>
      <c r="CFV195" s="36"/>
      <c r="CFW195" s="36"/>
      <c r="CFX195" s="36"/>
      <c r="CFY195" s="36"/>
      <c r="CFZ195" s="36"/>
      <c r="CGA195" s="36"/>
      <c r="CGB195" s="36"/>
      <c r="CGC195" s="36"/>
      <c r="CGD195" s="36"/>
      <c r="CGE195" s="36"/>
      <c r="CGF195" s="36"/>
      <c r="CGG195" s="36"/>
      <c r="CGH195" s="36"/>
      <c r="CGI195" s="36"/>
      <c r="CGJ195" s="36"/>
      <c r="CGK195" s="36"/>
      <c r="CGL195" s="36"/>
      <c r="CGM195" s="36"/>
      <c r="CGN195" s="36"/>
      <c r="CGO195" s="36"/>
      <c r="CGP195" s="36"/>
      <c r="CGQ195" s="36"/>
      <c r="CGR195" s="36"/>
      <c r="CGS195" s="36"/>
      <c r="CGT195" s="36"/>
      <c r="CGU195" s="36"/>
      <c r="CGV195" s="36"/>
      <c r="CGW195" s="36"/>
      <c r="CGX195" s="36"/>
      <c r="CGY195" s="36"/>
      <c r="CGZ195" s="36"/>
      <c r="CHA195" s="36"/>
      <c r="CHB195" s="36"/>
      <c r="CHC195" s="36"/>
      <c r="CHD195" s="36"/>
      <c r="CHE195" s="36"/>
      <c r="CHF195" s="36"/>
      <c r="CHG195" s="36"/>
      <c r="CHH195" s="36"/>
      <c r="CHI195" s="36"/>
      <c r="CHJ195" s="36"/>
      <c r="CHK195" s="36"/>
      <c r="CHL195" s="36"/>
      <c r="CHM195" s="36"/>
      <c r="CHN195" s="36"/>
      <c r="CHO195" s="36"/>
      <c r="CHP195" s="36"/>
      <c r="CHQ195" s="36"/>
      <c r="CHR195" s="36"/>
      <c r="CHS195" s="36"/>
      <c r="CHT195" s="36"/>
      <c r="CHU195" s="36"/>
      <c r="CHV195" s="36"/>
      <c r="CHW195" s="36"/>
      <c r="CHX195" s="36"/>
      <c r="CHY195" s="36"/>
      <c r="CHZ195" s="36"/>
      <c r="CIA195" s="36"/>
      <c r="CIB195" s="36"/>
      <c r="CIC195" s="36"/>
      <c r="CID195" s="36"/>
      <c r="CIE195" s="36"/>
      <c r="CIF195" s="36"/>
      <c r="CIG195" s="36"/>
      <c r="CIH195" s="36"/>
      <c r="CII195" s="36"/>
      <c r="CIJ195" s="36"/>
      <c r="CIK195" s="36"/>
      <c r="CIL195" s="36"/>
      <c r="CIM195" s="36"/>
      <c r="CIN195" s="36"/>
      <c r="CIO195" s="36"/>
      <c r="CIP195" s="36"/>
      <c r="CIQ195" s="36"/>
      <c r="CIR195" s="36"/>
      <c r="CIS195" s="36"/>
      <c r="CIT195" s="36"/>
      <c r="CIU195" s="36"/>
      <c r="CIV195" s="36"/>
      <c r="CIW195" s="36"/>
      <c r="CIX195" s="36"/>
      <c r="CIY195" s="36"/>
      <c r="CIZ195" s="36"/>
      <c r="CJA195" s="36"/>
      <c r="CJB195" s="36"/>
      <c r="CJC195" s="36"/>
      <c r="CJD195" s="36"/>
      <c r="CJE195" s="36"/>
      <c r="CJF195" s="36"/>
      <c r="CJG195" s="36"/>
      <c r="CJH195" s="36"/>
      <c r="CJI195" s="36"/>
      <c r="CJJ195" s="36"/>
      <c r="CJK195" s="36"/>
      <c r="CJL195" s="36"/>
      <c r="CJM195" s="36"/>
      <c r="CJN195" s="36"/>
      <c r="CJO195" s="36"/>
      <c r="CJP195" s="36"/>
      <c r="CJQ195" s="36"/>
      <c r="CJR195" s="36"/>
      <c r="CJS195" s="36"/>
      <c r="CJT195" s="36"/>
      <c r="CJU195" s="36"/>
      <c r="CJV195" s="36"/>
      <c r="CJW195" s="36"/>
      <c r="CJX195" s="36"/>
      <c r="CJY195" s="36"/>
      <c r="CJZ195" s="36"/>
      <c r="CKA195" s="36"/>
      <c r="CKB195" s="36"/>
      <c r="CKC195" s="36"/>
      <c r="CKD195" s="36"/>
      <c r="CKE195" s="36"/>
      <c r="CKF195" s="36"/>
      <c r="CKG195" s="36"/>
      <c r="CKH195" s="36"/>
      <c r="CKI195" s="36"/>
      <c r="CKJ195" s="36"/>
      <c r="CKK195" s="36"/>
      <c r="CKL195" s="36"/>
      <c r="CKM195" s="36"/>
      <c r="CKN195" s="36"/>
      <c r="CKO195" s="36"/>
      <c r="CKP195" s="36"/>
      <c r="CKQ195" s="36"/>
      <c r="CKR195" s="36"/>
      <c r="CKS195" s="36"/>
      <c r="CKT195" s="36"/>
      <c r="CKU195" s="36"/>
      <c r="CKV195" s="36"/>
      <c r="CKW195" s="36"/>
      <c r="CKX195" s="36"/>
      <c r="CKY195" s="36"/>
      <c r="CKZ195" s="36"/>
      <c r="CLA195" s="36"/>
      <c r="CLB195" s="36"/>
      <c r="CLC195" s="36"/>
      <c r="CLD195" s="36"/>
      <c r="CLE195" s="36"/>
      <c r="CLF195" s="36"/>
      <c r="CLG195" s="36"/>
      <c r="CLH195" s="36"/>
      <c r="CLI195" s="36"/>
      <c r="CLJ195" s="36"/>
      <c r="CLK195" s="36"/>
      <c r="CLL195" s="36"/>
      <c r="CLM195" s="36"/>
      <c r="CLN195" s="36"/>
      <c r="CLO195" s="36"/>
      <c r="CLP195" s="36"/>
      <c r="CLQ195" s="36"/>
      <c r="CLR195" s="36"/>
      <c r="CLS195" s="36"/>
      <c r="CLT195" s="36"/>
      <c r="CLU195" s="36"/>
      <c r="CLV195" s="36"/>
      <c r="CLW195" s="36"/>
      <c r="CLX195" s="36"/>
      <c r="CLY195" s="36"/>
      <c r="CLZ195" s="36"/>
      <c r="CMA195" s="36"/>
      <c r="CMB195" s="36"/>
      <c r="CMC195" s="36"/>
      <c r="CMD195" s="36"/>
      <c r="CME195" s="36"/>
      <c r="CMF195" s="36"/>
      <c r="CMG195" s="36"/>
      <c r="CMH195" s="36"/>
      <c r="CMI195" s="36"/>
      <c r="CMJ195" s="36"/>
      <c r="CMK195" s="36"/>
      <c r="CML195" s="36"/>
      <c r="CMM195" s="36"/>
      <c r="CMN195" s="36"/>
      <c r="CMO195" s="36"/>
      <c r="CMP195" s="36"/>
      <c r="CMQ195" s="36"/>
      <c r="CMR195" s="36"/>
      <c r="CMS195" s="36"/>
      <c r="CMT195" s="36"/>
      <c r="CMU195" s="36"/>
      <c r="CMV195" s="36"/>
      <c r="CMW195" s="36"/>
      <c r="CMX195" s="36"/>
      <c r="CMY195" s="36"/>
      <c r="CMZ195" s="36"/>
      <c r="CNA195" s="36"/>
      <c r="CNB195" s="36"/>
      <c r="CNC195" s="36"/>
      <c r="CND195" s="36"/>
      <c r="CNE195" s="36"/>
      <c r="CNF195" s="36"/>
      <c r="CNG195" s="36"/>
      <c r="CNH195" s="36"/>
      <c r="CNI195" s="36"/>
      <c r="CNJ195" s="36"/>
      <c r="CNK195" s="36"/>
      <c r="CNL195" s="36"/>
      <c r="CNM195" s="36"/>
      <c r="CNN195" s="36"/>
      <c r="CNO195" s="36"/>
      <c r="CNP195" s="36"/>
      <c r="CNQ195" s="36"/>
      <c r="CNR195" s="36"/>
      <c r="CNS195" s="36"/>
      <c r="CNT195" s="36"/>
      <c r="CNU195" s="36"/>
      <c r="CNV195" s="36"/>
      <c r="CNW195" s="36"/>
      <c r="CNX195" s="36"/>
      <c r="CNY195" s="36"/>
      <c r="CNZ195" s="36"/>
      <c r="COA195" s="36"/>
      <c r="COB195" s="36"/>
      <c r="COC195" s="36"/>
      <c r="COD195" s="36"/>
      <c r="COE195" s="36"/>
      <c r="COF195" s="36"/>
      <c r="COG195" s="36"/>
      <c r="COH195" s="36"/>
      <c r="COI195" s="36"/>
      <c r="COJ195" s="36"/>
      <c r="COK195" s="36"/>
      <c r="COL195" s="36"/>
      <c r="COM195" s="36"/>
      <c r="CON195" s="36"/>
      <c r="COO195" s="36"/>
      <c r="COP195" s="36"/>
      <c r="COQ195" s="36"/>
      <c r="COR195" s="36"/>
      <c r="COS195" s="36"/>
      <c r="COT195" s="36"/>
      <c r="COU195" s="36"/>
      <c r="COV195" s="36"/>
      <c r="COW195" s="36"/>
      <c r="COX195" s="36"/>
      <c r="COY195" s="36"/>
      <c r="COZ195" s="36"/>
      <c r="CPA195" s="36"/>
      <c r="CPB195" s="36"/>
      <c r="CPC195" s="36"/>
      <c r="CPD195" s="36"/>
      <c r="CPE195" s="36"/>
      <c r="CPF195" s="36"/>
      <c r="CPG195" s="36"/>
      <c r="CPH195" s="36"/>
      <c r="CPI195" s="36"/>
      <c r="CPJ195" s="36"/>
      <c r="CPK195" s="36"/>
      <c r="CPL195" s="36"/>
      <c r="CPM195" s="36"/>
      <c r="CPN195" s="36"/>
      <c r="CPO195" s="36"/>
      <c r="CPP195" s="36"/>
      <c r="CPQ195" s="36"/>
      <c r="CPR195" s="36"/>
      <c r="CPS195" s="36"/>
      <c r="CPT195" s="36"/>
      <c r="CPU195" s="36"/>
      <c r="CPV195" s="36"/>
      <c r="CPW195" s="36"/>
      <c r="CPX195" s="36"/>
      <c r="CPY195" s="36"/>
      <c r="CPZ195" s="36"/>
      <c r="CQA195" s="36"/>
      <c r="CQB195" s="36"/>
      <c r="CQC195" s="36"/>
      <c r="CQD195" s="36"/>
      <c r="CQE195" s="36"/>
      <c r="CQF195" s="36"/>
      <c r="CQG195" s="36"/>
      <c r="CQH195" s="36"/>
      <c r="CQI195" s="36"/>
      <c r="CQJ195" s="36"/>
      <c r="CQK195" s="36"/>
      <c r="CQL195" s="36"/>
      <c r="CQM195" s="36"/>
      <c r="CQN195" s="36"/>
      <c r="CQO195" s="36"/>
      <c r="CQP195" s="36"/>
      <c r="CQQ195" s="36"/>
      <c r="CQR195" s="36"/>
      <c r="CQS195" s="36"/>
      <c r="CQT195" s="36"/>
      <c r="CQU195" s="36"/>
      <c r="CQV195" s="36"/>
      <c r="CQW195" s="36"/>
      <c r="CQX195" s="36"/>
      <c r="CQY195" s="36"/>
      <c r="CQZ195" s="36"/>
      <c r="CRA195" s="36"/>
      <c r="CRB195" s="36"/>
      <c r="CRC195" s="36"/>
      <c r="CRD195" s="36"/>
      <c r="CRE195" s="36"/>
      <c r="CRF195" s="36"/>
      <c r="CRG195" s="36"/>
      <c r="CRH195" s="36"/>
      <c r="CRI195" s="36"/>
      <c r="CRJ195" s="36"/>
      <c r="CRK195" s="36"/>
      <c r="CRL195" s="36"/>
      <c r="CRM195" s="36"/>
      <c r="CRN195" s="36"/>
      <c r="CRO195" s="36"/>
      <c r="CRP195" s="36"/>
      <c r="CRQ195" s="36"/>
      <c r="CRR195" s="36"/>
      <c r="CRS195" s="36"/>
      <c r="CRT195" s="36"/>
      <c r="CRU195" s="36"/>
      <c r="CRV195" s="36"/>
      <c r="CRW195" s="36"/>
      <c r="CRX195" s="36"/>
      <c r="CRY195" s="36"/>
      <c r="CRZ195" s="36"/>
      <c r="CSA195" s="36"/>
      <c r="CSB195" s="36"/>
      <c r="CSC195" s="36"/>
      <c r="CSD195" s="36"/>
      <c r="CSE195" s="36"/>
      <c r="CSF195" s="36"/>
      <c r="CSG195" s="36"/>
      <c r="CSH195" s="36"/>
      <c r="CSI195" s="36"/>
      <c r="CSJ195" s="36"/>
      <c r="CSK195" s="36"/>
      <c r="CSL195" s="36"/>
      <c r="CSM195" s="36"/>
      <c r="CSN195" s="36"/>
      <c r="CSO195" s="36"/>
      <c r="CSP195" s="36"/>
      <c r="CSQ195" s="36"/>
      <c r="CSR195" s="36"/>
      <c r="CSS195" s="36"/>
      <c r="CST195" s="36"/>
      <c r="CSU195" s="36"/>
      <c r="CSV195" s="36"/>
      <c r="CSW195" s="36"/>
      <c r="CSX195" s="36"/>
      <c r="CSY195" s="36"/>
      <c r="CSZ195" s="36"/>
      <c r="CTA195" s="36"/>
      <c r="CTB195" s="36"/>
      <c r="CTC195" s="36"/>
      <c r="CTD195" s="36"/>
      <c r="CTE195" s="36"/>
      <c r="CTF195" s="36"/>
      <c r="CTG195" s="36"/>
      <c r="CTH195" s="36"/>
      <c r="CTI195" s="36"/>
      <c r="CTJ195" s="36"/>
      <c r="CTK195" s="36"/>
      <c r="CTL195" s="36"/>
      <c r="CTM195" s="36"/>
      <c r="CTN195" s="36"/>
      <c r="CTO195" s="36"/>
      <c r="CTP195" s="36"/>
      <c r="CTQ195" s="36"/>
      <c r="CTR195" s="36"/>
      <c r="CTS195" s="36"/>
      <c r="CTT195" s="36"/>
      <c r="CTU195" s="36"/>
      <c r="CTV195" s="36"/>
      <c r="CTW195" s="36"/>
      <c r="CTX195" s="36"/>
      <c r="CTY195" s="36"/>
      <c r="CTZ195" s="36"/>
      <c r="CUA195" s="36"/>
      <c r="CUB195" s="36"/>
      <c r="CUC195" s="36"/>
      <c r="CUD195" s="36"/>
      <c r="CUE195" s="36"/>
      <c r="CUF195" s="36"/>
      <c r="CUG195" s="36"/>
      <c r="CUH195" s="36"/>
      <c r="CUI195" s="36"/>
      <c r="CUJ195" s="36"/>
      <c r="CUK195" s="36"/>
      <c r="CUL195" s="36"/>
      <c r="CUM195" s="36"/>
      <c r="CUN195" s="36"/>
      <c r="CUO195" s="36"/>
      <c r="CUP195" s="36"/>
      <c r="CUQ195" s="36"/>
      <c r="CUR195" s="36"/>
      <c r="CUS195" s="36"/>
      <c r="CUT195" s="36"/>
      <c r="CUU195" s="36"/>
      <c r="CUV195" s="36"/>
      <c r="CUW195" s="36"/>
      <c r="CUX195" s="36"/>
      <c r="CUY195" s="36"/>
      <c r="CUZ195" s="36"/>
      <c r="CVA195" s="36"/>
      <c r="CVB195" s="36"/>
      <c r="CVC195" s="36"/>
      <c r="CVD195" s="36"/>
      <c r="CVE195" s="36"/>
      <c r="CVF195" s="36"/>
      <c r="CVG195" s="36"/>
      <c r="CVH195" s="36"/>
      <c r="CVI195" s="36"/>
      <c r="CVJ195" s="36"/>
      <c r="CVK195" s="36"/>
      <c r="CVL195" s="36"/>
      <c r="CVM195" s="36"/>
      <c r="CVN195" s="36"/>
      <c r="CVO195" s="36"/>
      <c r="CVP195" s="36"/>
      <c r="CVQ195" s="36"/>
      <c r="CVR195" s="36"/>
      <c r="CVS195" s="36"/>
      <c r="CVT195" s="36"/>
      <c r="CVU195" s="36"/>
      <c r="CVV195" s="36"/>
      <c r="CVW195" s="36"/>
      <c r="CVX195" s="36"/>
      <c r="CVY195" s="36"/>
      <c r="CVZ195" s="36"/>
      <c r="CWA195" s="36"/>
      <c r="CWB195" s="36"/>
      <c r="CWC195" s="36"/>
      <c r="CWD195" s="36"/>
      <c r="CWE195" s="36"/>
      <c r="CWF195" s="36"/>
      <c r="CWG195" s="36"/>
      <c r="CWH195" s="36"/>
      <c r="CWI195" s="36"/>
      <c r="CWJ195" s="36"/>
      <c r="CWK195" s="36"/>
      <c r="CWL195" s="36"/>
      <c r="CWM195" s="36"/>
      <c r="CWN195" s="36"/>
      <c r="CWO195" s="36"/>
      <c r="CWP195" s="36"/>
      <c r="CWQ195" s="36"/>
      <c r="CWR195" s="36"/>
      <c r="CWS195" s="36"/>
      <c r="CWT195" s="36"/>
      <c r="CWU195" s="36"/>
      <c r="CWV195" s="36"/>
      <c r="CWW195" s="36"/>
      <c r="CWX195" s="36"/>
      <c r="CWY195" s="36"/>
      <c r="CWZ195" s="36"/>
      <c r="CXA195" s="36"/>
      <c r="CXB195" s="36"/>
      <c r="CXC195" s="36"/>
      <c r="CXD195" s="36"/>
      <c r="CXE195" s="36"/>
      <c r="CXF195" s="36"/>
      <c r="CXG195" s="36"/>
      <c r="CXH195" s="36"/>
      <c r="CXI195" s="36"/>
      <c r="CXJ195" s="36"/>
      <c r="CXK195" s="36"/>
      <c r="CXL195" s="36"/>
      <c r="CXM195" s="36"/>
      <c r="CXN195" s="36"/>
      <c r="CXO195" s="36"/>
      <c r="CXP195" s="36"/>
      <c r="CXQ195" s="36"/>
      <c r="CXR195" s="36"/>
      <c r="CXS195" s="36"/>
      <c r="CXT195" s="36"/>
      <c r="CXU195" s="36"/>
      <c r="CXV195" s="36"/>
      <c r="CXW195" s="36"/>
      <c r="CXX195" s="36"/>
      <c r="CXY195" s="36"/>
      <c r="CXZ195" s="36"/>
      <c r="CYA195" s="36"/>
      <c r="CYB195" s="36"/>
      <c r="CYC195" s="36"/>
      <c r="CYD195" s="36"/>
      <c r="CYE195" s="36"/>
      <c r="CYF195" s="36"/>
      <c r="CYG195" s="36"/>
      <c r="CYH195" s="36"/>
      <c r="CYI195" s="36"/>
      <c r="CYJ195" s="36"/>
      <c r="CYK195" s="36"/>
      <c r="CYL195" s="36"/>
      <c r="CYM195" s="36"/>
      <c r="CYN195" s="36"/>
      <c r="CYO195" s="36"/>
      <c r="CYP195" s="36"/>
      <c r="CYQ195" s="36"/>
      <c r="CYR195" s="36"/>
      <c r="CYS195" s="36"/>
      <c r="CYT195" s="36"/>
      <c r="CYU195" s="36"/>
      <c r="CYV195" s="36"/>
      <c r="CYW195" s="36"/>
      <c r="CYX195" s="36"/>
      <c r="CYY195" s="36"/>
      <c r="CYZ195" s="36"/>
      <c r="CZA195" s="36"/>
      <c r="CZB195" s="36"/>
      <c r="CZC195" s="36"/>
      <c r="CZD195" s="36"/>
      <c r="CZE195" s="36"/>
      <c r="CZF195" s="36"/>
      <c r="CZG195" s="36"/>
      <c r="CZH195" s="36"/>
      <c r="CZI195" s="36"/>
      <c r="CZJ195" s="36"/>
      <c r="CZK195" s="36"/>
      <c r="CZL195" s="36"/>
      <c r="CZM195" s="36"/>
      <c r="CZN195" s="36"/>
      <c r="CZO195" s="36"/>
      <c r="CZP195" s="36"/>
      <c r="CZQ195" s="36"/>
      <c r="CZR195" s="36"/>
      <c r="CZS195" s="36"/>
      <c r="CZT195" s="36"/>
      <c r="CZU195" s="36"/>
      <c r="CZV195" s="36"/>
      <c r="CZW195" s="36"/>
      <c r="CZX195" s="36"/>
      <c r="CZY195" s="36"/>
      <c r="CZZ195" s="36"/>
      <c r="DAA195" s="36"/>
      <c r="DAB195" s="36"/>
      <c r="DAC195" s="36"/>
      <c r="DAD195" s="36"/>
      <c r="DAE195" s="36"/>
      <c r="DAF195" s="36"/>
      <c r="DAG195" s="36"/>
      <c r="DAH195" s="36"/>
      <c r="DAI195" s="36"/>
      <c r="DAJ195" s="36"/>
      <c r="DAK195" s="36"/>
      <c r="DAL195" s="36"/>
      <c r="DAM195" s="36"/>
      <c r="DAN195" s="36"/>
      <c r="DAO195" s="36"/>
      <c r="DAP195" s="36"/>
      <c r="DAQ195" s="36"/>
      <c r="DAR195" s="36"/>
      <c r="DAS195" s="36"/>
      <c r="DAT195" s="36"/>
      <c r="DAU195" s="36"/>
      <c r="DAV195" s="36"/>
      <c r="DAW195" s="36"/>
      <c r="DAX195" s="36"/>
      <c r="DAY195" s="36"/>
      <c r="DAZ195" s="36"/>
      <c r="DBA195" s="36"/>
      <c r="DBB195" s="36"/>
      <c r="DBC195" s="36"/>
      <c r="DBD195" s="36"/>
      <c r="DBE195" s="36"/>
      <c r="DBF195" s="36"/>
      <c r="DBG195" s="36"/>
      <c r="DBH195" s="36"/>
      <c r="DBI195" s="36"/>
      <c r="DBJ195" s="36"/>
      <c r="DBK195" s="36"/>
      <c r="DBL195" s="36"/>
      <c r="DBM195" s="36"/>
      <c r="DBN195" s="36"/>
      <c r="DBO195" s="36"/>
      <c r="DBP195" s="36"/>
      <c r="DBQ195" s="36"/>
      <c r="DBR195" s="36"/>
      <c r="DBS195" s="36"/>
      <c r="DBT195" s="36"/>
      <c r="DBU195" s="36"/>
      <c r="DBV195" s="36"/>
      <c r="DBW195" s="36"/>
      <c r="DBX195" s="36"/>
      <c r="DBY195" s="36"/>
      <c r="DBZ195" s="36"/>
      <c r="DCA195" s="36"/>
      <c r="DCB195" s="36"/>
      <c r="DCC195" s="36"/>
      <c r="DCD195" s="36"/>
      <c r="DCE195" s="36"/>
      <c r="DCF195" s="36"/>
      <c r="DCG195" s="36"/>
      <c r="DCH195" s="36"/>
      <c r="DCI195" s="36"/>
      <c r="DCJ195" s="36"/>
      <c r="DCK195" s="36"/>
      <c r="DCL195" s="36"/>
      <c r="DCM195" s="36"/>
      <c r="DCN195" s="36"/>
      <c r="DCO195" s="36"/>
      <c r="DCP195" s="36"/>
      <c r="DCQ195" s="36"/>
      <c r="DCR195" s="36"/>
      <c r="DCS195" s="36"/>
      <c r="DCT195" s="36"/>
      <c r="DCU195" s="36"/>
      <c r="DCV195" s="36"/>
      <c r="DCW195" s="36"/>
      <c r="DCX195" s="36"/>
      <c r="DCY195" s="36"/>
      <c r="DCZ195" s="36"/>
      <c r="DDA195" s="36"/>
      <c r="DDB195" s="36"/>
      <c r="DDC195" s="36"/>
      <c r="DDD195" s="36"/>
      <c r="DDE195" s="36"/>
      <c r="DDF195" s="36"/>
      <c r="DDG195" s="36"/>
      <c r="DDH195" s="36"/>
      <c r="DDI195" s="36"/>
      <c r="DDJ195" s="36"/>
      <c r="DDK195" s="36"/>
      <c r="DDL195" s="36"/>
      <c r="DDM195" s="36"/>
      <c r="DDN195" s="36"/>
      <c r="DDO195" s="36"/>
      <c r="DDP195" s="36"/>
      <c r="DDQ195" s="36"/>
      <c r="DDR195" s="36"/>
      <c r="DDS195" s="36"/>
      <c r="DDT195" s="36"/>
      <c r="DDU195" s="36"/>
      <c r="DDV195" s="36"/>
      <c r="DDW195" s="36"/>
      <c r="DDX195" s="36"/>
      <c r="DDY195" s="36"/>
      <c r="DDZ195" s="36"/>
      <c r="DEA195" s="36"/>
      <c r="DEB195" s="36"/>
      <c r="DEC195" s="36"/>
      <c r="DED195" s="36"/>
      <c r="DEE195" s="36"/>
      <c r="DEF195" s="36"/>
      <c r="DEG195" s="36"/>
      <c r="DEH195" s="36"/>
      <c r="DEI195" s="36"/>
      <c r="DEJ195" s="36"/>
      <c r="DEK195" s="36"/>
      <c r="DEL195" s="36"/>
      <c r="DEM195" s="36"/>
      <c r="DEN195" s="36"/>
      <c r="DEO195" s="36"/>
      <c r="DEP195" s="36"/>
      <c r="DEQ195" s="36"/>
      <c r="DER195" s="36"/>
      <c r="DES195" s="36"/>
      <c r="DET195" s="36"/>
      <c r="DEU195" s="36"/>
      <c r="DEV195" s="36"/>
      <c r="DEW195" s="36"/>
      <c r="DEX195" s="36"/>
      <c r="DEY195" s="36"/>
      <c r="DEZ195" s="36"/>
      <c r="DFA195" s="36"/>
      <c r="DFB195" s="36"/>
      <c r="DFC195" s="36"/>
      <c r="DFD195" s="36"/>
      <c r="DFE195" s="36"/>
      <c r="DFF195" s="36"/>
      <c r="DFG195" s="36"/>
      <c r="DFH195" s="36"/>
      <c r="DFI195" s="36"/>
      <c r="DFJ195" s="36"/>
      <c r="DFK195" s="36"/>
      <c r="DFL195" s="36"/>
      <c r="DFM195" s="36"/>
      <c r="DFN195" s="36"/>
      <c r="DFO195" s="36"/>
      <c r="DFP195" s="36"/>
      <c r="DFQ195" s="36"/>
      <c r="DFR195" s="36"/>
      <c r="DFS195" s="36"/>
      <c r="DFT195" s="36"/>
      <c r="DFU195" s="36"/>
      <c r="DFV195" s="36"/>
      <c r="DFW195" s="36"/>
      <c r="DFX195" s="36"/>
      <c r="DFY195" s="36"/>
      <c r="DFZ195" s="36"/>
      <c r="DGA195" s="36"/>
      <c r="DGB195" s="36"/>
      <c r="DGC195" s="36"/>
      <c r="DGD195" s="36"/>
      <c r="DGE195" s="36"/>
      <c r="DGF195" s="36"/>
      <c r="DGG195" s="36"/>
      <c r="DGH195" s="36"/>
      <c r="DGI195" s="36"/>
      <c r="DGJ195" s="36"/>
      <c r="DGK195" s="36"/>
      <c r="DGL195" s="36"/>
      <c r="DGM195" s="36"/>
      <c r="DGN195" s="36"/>
      <c r="DGO195" s="36"/>
      <c r="DGP195" s="36"/>
      <c r="DGQ195" s="36"/>
      <c r="DGR195" s="36"/>
      <c r="DGS195" s="36"/>
      <c r="DGT195" s="36"/>
      <c r="DGU195" s="36"/>
      <c r="DGV195" s="36"/>
      <c r="DGW195" s="36"/>
      <c r="DGX195" s="36"/>
      <c r="DGY195" s="36"/>
      <c r="DGZ195" s="36"/>
      <c r="DHA195" s="36"/>
      <c r="DHB195" s="36"/>
      <c r="DHC195" s="36"/>
      <c r="DHD195" s="36"/>
      <c r="DHE195" s="36"/>
      <c r="DHF195" s="36"/>
      <c r="DHG195" s="36"/>
      <c r="DHH195" s="36"/>
      <c r="DHI195" s="36"/>
      <c r="DHJ195" s="36"/>
      <c r="DHK195" s="36"/>
      <c r="DHL195" s="36"/>
      <c r="DHM195" s="36"/>
      <c r="DHN195" s="36"/>
      <c r="DHO195" s="36"/>
      <c r="DHP195" s="36"/>
      <c r="DHQ195" s="36"/>
      <c r="DHR195" s="36"/>
      <c r="DHS195" s="36"/>
      <c r="DHT195" s="36"/>
      <c r="DHU195" s="36"/>
      <c r="DHV195" s="36"/>
      <c r="DHW195" s="36"/>
      <c r="DHX195" s="36"/>
      <c r="DHY195" s="36"/>
      <c r="DHZ195" s="36"/>
      <c r="DIA195" s="36"/>
      <c r="DIB195" s="36"/>
      <c r="DIC195" s="36"/>
      <c r="DID195" s="36"/>
      <c r="DIE195" s="36"/>
      <c r="DIF195" s="36"/>
      <c r="DIG195" s="36"/>
      <c r="DIH195" s="36"/>
      <c r="DII195" s="36"/>
      <c r="DIJ195" s="36"/>
      <c r="DIK195" s="36"/>
      <c r="DIL195" s="36"/>
      <c r="DIM195" s="36"/>
      <c r="DIN195" s="36"/>
      <c r="DIO195" s="36"/>
      <c r="DIP195" s="36"/>
      <c r="DIQ195" s="36"/>
      <c r="DIR195" s="36"/>
      <c r="DIS195" s="36"/>
      <c r="DIT195" s="36"/>
      <c r="DIU195" s="36"/>
      <c r="DIV195" s="36"/>
      <c r="DIW195" s="36"/>
      <c r="DIX195" s="36"/>
      <c r="DIY195" s="36"/>
      <c r="DIZ195" s="36"/>
      <c r="DJA195" s="36"/>
      <c r="DJB195" s="36"/>
      <c r="DJC195" s="36"/>
      <c r="DJD195" s="36"/>
      <c r="DJE195" s="36"/>
      <c r="DJF195" s="36"/>
      <c r="DJG195" s="36"/>
      <c r="DJH195" s="36"/>
      <c r="DJI195" s="36"/>
      <c r="DJJ195" s="36"/>
      <c r="DJK195" s="36"/>
      <c r="DJL195" s="36"/>
      <c r="DJM195" s="36"/>
      <c r="DJN195" s="36"/>
      <c r="DJO195" s="36"/>
      <c r="DJP195" s="36"/>
      <c r="DJQ195" s="36"/>
      <c r="DJR195" s="36"/>
      <c r="DJS195" s="36"/>
      <c r="DJT195" s="36"/>
      <c r="DJU195" s="36"/>
      <c r="DJV195" s="36"/>
      <c r="DJW195" s="36"/>
      <c r="DJX195" s="36"/>
      <c r="DJY195" s="36"/>
      <c r="DJZ195" s="36"/>
      <c r="DKA195" s="36"/>
      <c r="DKB195" s="36"/>
      <c r="DKC195" s="36"/>
      <c r="DKD195" s="36"/>
      <c r="DKE195" s="36"/>
      <c r="DKF195" s="36"/>
      <c r="DKG195" s="36"/>
      <c r="DKH195" s="36"/>
      <c r="DKI195" s="36"/>
      <c r="DKJ195" s="36"/>
      <c r="DKK195" s="36"/>
      <c r="DKL195" s="36"/>
      <c r="DKM195" s="36"/>
      <c r="DKN195" s="36"/>
      <c r="DKO195" s="36"/>
      <c r="DKP195" s="36"/>
      <c r="DKQ195" s="36"/>
      <c r="DKR195" s="36"/>
      <c r="DKS195" s="36"/>
      <c r="DKT195" s="36"/>
      <c r="DKU195" s="36"/>
      <c r="DKV195" s="36"/>
      <c r="DKW195" s="36"/>
      <c r="DKX195" s="36"/>
      <c r="DKY195" s="36"/>
      <c r="DKZ195" s="36"/>
      <c r="DLA195" s="36"/>
      <c r="DLB195" s="36"/>
      <c r="DLC195" s="36"/>
      <c r="DLD195" s="36"/>
      <c r="DLE195" s="36"/>
      <c r="DLF195" s="36"/>
      <c r="DLG195" s="36"/>
      <c r="DLH195" s="36"/>
      <c r="DLI195" s="36"/>
      <c r="DLJ195" s="36"/>
      <c r="DLK195" s="36"/>
      <c r="DLL195" s="36"/>
      <c r="DLM195" s="36"/>
      <c r="DLN195" s="36"/>
      <c r="DLO195" s="36"/>
      <c r="DLP195" s="36"/>
      <c r="DLQ195" s="36"/>
      <c r="DLR195" s="36"/>
      <c r="DLS195" s="36"/>
      <c r="DLT195" s="36"/>
      <c r="DLU195" s="36"/>
      <c r="DLV195" s="36"/>
      <c r="DLW195" s="36"/>
      <c r="DLX195" s="36"/>
      <c r="DLY195" s="36"/>
      <c r="DLZ195" s="36"/>
      <c r="DMA195" s="36"/>
      <c r="DMB195" s="36"/>
      <c r="DMC195" s="36"/>
      <c r="DMD195" s="36"/>
      <c r="DME195" s="36"/>
      <c r="DMF195" s="36"/>
      <c r="DMG195" s="36"/>
      <c r="DMH195" s="36"/>
      <c r="DMI195" s="36"/>
      <c r="DMJ195" s="36"/>
      <c r="DMK195" s="36"/>
      <c r="DML195" s="36"/>
      <c r="DMM195" s="36"/>
      <c r="DMN195" s="36"/>
      <c r="DMO195" s="36"/>
      <c r="DMP195" s="36"/>
      <c r="DMQ195" s="36"/>
      <c r="DMR195" s="36"/>
      <c r="DMS195" s="36"/>
      <c r="DMT195" s="36"/>
      <c r="DMU195" s="36"/>
      <c r="DMV195" s="36"/>
      <c r="DMW195" s="36"/>
      <c r="DMX195" s="36"/>
      <c r="DMY195" s="36"/>
      <c r="DMZ195" s="36"/>
      <c r="DNA195" s="36"/>
      <c r="DNB195" s="36"/>
      <c r="DNC195" s="36"/>
      <c r="DND195" s="36"/>
      <c r="DNE195" s="36"/>
      <c r="DNF195" s="36"/>
      <c r="DNG195" s="36"/>
      <c r="DNH195" s="36"/>
      <c r="DNI195" s="36"/>
      <c r="DNJ195" s="36"/>
      <c r="DNK195" s="36"/>
      <c r="DNL195" s="36"/>
      <c r="DNM195" s="36"/>
      <c r="DNN195" s="36"/>
      <c r="DNO195" s="36"/>
      <c r="DNP195" s="36"/>
      <c r="DNQ195" s="36"/>
      <c r="DNR195" s="36"/>
      <c r="DNS195" s="36"/>
      <c r="DNT195" s="36"/>
      <c r="DNU195" s="36"/>
      <c r="DNV195" s="36"/>
      <c r="DNW195" s="36"/>
      <c r="DNX195" s="36"/>
      <c r="DNY195" s="36"/>
      <c r="DNZ195" s="36"/>
      <c r="DOA195" s="36"/>
      <c r="DOB195" s="36"/>
      <c r="DOC195" s="36"/>
      <c r="DOD195" s="36"/>
      <c r="DOE195" s="36"/>
      <c r="DOF195" s="36"/>
      <c r="DOG195" s="36"/>
      <c r="DOH195" s="36"/>
      <c r="DOI195" s="36"/>
      <c r="DOJ195" s="36"/>
      <c r="DOK195" s="36"/>
      <c r="DOL195" s="36"/>
      <c r="DOM195" s="36"/>
      <c r="DON195" s="36"/>
      <c r="DOO195" s="36"/>
      <c r="DOP195" s="36"/>
      <c r="DOQ195" s="36"/>
      <c r="DOR195" s="36"/>
      <c r="DOS195" s="36"/>
      <c r="DOT195" s="36"/>
      <c r="DOU195" s="36"/>
      <c r="DOV195" s="36"/>
      <c r="DOW195" s="36"/>
      <c r="DOX195" s="36"/>
      <c r="DOY195" s="36"/>
      <c r="DOZ195" s="36"/>
      <c r="DPA195" s="36"/>
      <c r="DPB195" s="36"/>
      <c r="DPC195" s="36"/>
      <c r="DPD195" s="36"/>
      <c r="DPE195" s="36"/>
      <c r="DPF195" s="36"/>
      <c r="DPG195" s="36"/>
      <c r="DPH195" s="36"/>
      <c r="DPI195" s="36"/>
      <c r="DPJ195" s="36"/>
      <c r="DPK195" s="36"/>
      <c r="DPL195" s="36"/>
      <c r="DPM195" s="36"/>
      <c r="DPN195" s="36"/>
      <c r="DPO195" s="36"/>
      <c r="DPP195" s="36"/>
      <c r="DPQ195" s="36"/>
      <c r="DPR195" s="36"/>
      <c r="DPS195" s="36"/>
      <c r="DPT195" s="36"/>
      <c r="DPU195" s="36"/>
      <c r="DPV195" s="36"/>
      <c r="DPW195" s="36"/>
      <c r="DPX195" s="36"/>
      <c r="DPY195" s="36"/>
      <c r="DPZ195" s="36"/>
      <c r="DQA195" s="36"/>
      <c r="DQB195" s="36"/>
      <c r="DQC195" s="36"/>
      <c r="DQD195" s="36"/>
      <c r="DQE195" s="36"/>
      <c r="DQF195" s="36"/>
      <c r="DQG195" s="36"/>
      <c r="DQH195" s="36"/>
      <c r="DQI195" s="36"/>
      <c r="DQJ195" s="36"/>
      <c r="DQK195" s="36"/>
      <c r="DQL195" s="36"/>
      <c r="DQM195" s="36"/>
      <c r="DQN195" s="36"/>
      <c r="DQO195" s="36"/>
      <c r="DQP195" s="36"/>
      <c r="DQQ195" s="36"/>
      <c r="DQR195" s="36"/>
      <c r="DQS195" s="36"/>
      <c r="DQT195" s="36"/>
      <c r="DQU195" s="36"/>
      <c r="DQV195" s="36"/>
      <c r="DQW195" s="36"/>
      <c r="DQX195" s="36"/>
      <c r="DQY195" s="36"/>
      <c r="DQZ195" s="36"/>
      <c r="DRA195" s="36"/>
      <c r="DRB195" s="36"/>
      <c r="DRC195" s="36"/>
      <c r="DRD195" s="36"/>
      <c r="DRE195" s="36"/>
      <c r="DRF195" s="36"/>
      <c r="DRG195" s="36"/>
      <c r="DRH195" s="36"/>
      <c r="DRI195" s="36"/>
      <c r="DRJ195" s="36"/>
      <c r="DRK195" s="36"/>
      <c r="DRL195" s="36"/>
      <c r="DRM195" s="36"/>
      <c r="DRN195" s="36"/>
      <c r="DRO195" s="36"/>
      <c r="DRP195" s="36"/>
      <c r="DRQ195" s="36"/>
      <c r="DRR195" s="36"/>
      <c r="DRS195" s="36"/>
      <c r="DRT195" s="36"/>
      <c r="DRU195" s="36"/>
      <c r="DRV195" s="36"/>
      <c r="DRW195" s="36"/>
      <c r="DRX195" s="36"/>
      <c r="DRY195" s="36"/>
      <c r="DRZ195" s="36"/>
      <c r="DSA195" s="36"/>
      <c r="DSB195" s="36"/>
      <c r="DSC195" s="36"/>
      <c r="DSD195" s="36"/>
      <c r="DSE195" s="36"/>
      <c r="DSF195" s="36"/>
      <c r="DSG195" s="36"/>
      <c r="DSH195" s="36"/>
      <c r="DSI195" s="36"/>
      <c r="DSJ195" s="36"/>
      <c r="DSK195" s="36"/>
      <c r="DSL195" s="36"/>
      <c r="DSM195" s="36"/>
      <c r="DSN195" s="36"/>
      <c r="DSO195" s="36"/>
      <c r="DSP195" s="36"/>
      <c r="DSQ195" s="36"/>
      <c r="DSR195" s="36"/>
      <c r="DSS195" s="36"/>
      <c r="DST195" s="36"/>
      <c r="DSU195" s="36"/>
      <c r="DSV195" s="36"/>
      <c r="DSW195" s="36"/>
      <c r="DSX195" s="36"/>
      <c r="DSY195" s="36"/>
      <c r="DSZ195" s="36"/>
      <c r="DTA195" s="36"/>
      <c r="DTB195" s="36"/>
      <c r="DTC195" s="36"/>
      <c r="DTD195" s="36"/>
      <c r="DTE195" s="36"/>
      <c r="DTF195" s="36"/>
      <c r="DTG195" s="36"/>
      <c r="DTH195" s="36"/>
      <c r="DTI195" s="36"/>
      <c r="DTJ195" s="36"/>
      <c r="DTK195" s="36"/>
      <c r="DTL195" s="36"/>
      <c r="DTM195" s="36"/>
      <c r="DTN195" s="36"/>
      <c r="DTO195" s="36"/>
      <c r="DTP195" s="36"/>
      <c r="DTQ195" s="36"/>
      <c r="DTR195" s="36"/>
      <c r="DTS195" s="36"/>
      <c r="DTT195" s="36"/>
      <c r="DTU195" s="36"/>
      <c r="DTV195" s="36"/>
      <c r="DTW195" s="36"/>
      <c r="DTX195" s="36"/>
      <c r="DTY195" s="36"/>
      <c r="DTZ195" s="36"/>
      <c r="DUA195" s="36"/>
      <c r="DUB195" s="36"/>
      <c r="DUC195" s="36"/>
      <c r="DUD195" s="36"/>
      <c r="DUE195" s="36"/>
      <c r="DUF195" s="36"/>
      <c r="DUG195" s="36"/>
      <c r="DUH195" s="36"/>
      <c r="DUI195" s="36"/>
      <c r="DUJ195" s="36"/>
      <c r="DUK195" s="36"/>
      <c r="DUL195" s="36"/>
      <c r="DUM195" s="36"/>
      <c r="DUN195" s="36"/>
      <c r="DUO195" s="36"/>
      <c r="DUP195" s="36"/>
      <c r="DUQ195" s="36"/>
      <c r="DUR195" s="36"/>
      <c r="DUS195" s="36"/>
      <c r="DUT195" s="36"/>
      <c r="DUU195" s="36"/>
      <c r="DUV195" s="36"/>
      <c r="DUW195" s="36"/>
      <c r="DUX195" s="36"/>
      <c r="DUY195" s="36"/>
      <c r="DUZ195" s="36"/>
      <c r="DVA195" s="36"/>
      <c r="DVB195" s="36"/>
      <c r="DVC195" s="36"/>
      <c r="DVD195" s="36"/>
      <c r="DVE195" s="36"/>
      <c r="DVF195" s="36"/>
      <c r="DVG195" s="36"/>
      <c r="DVH195" s="36"/>
      <c r="DVI195" s="36"/>
      <c r="DVJ195" s="36"/>
      <c r="DVK195" s="36"/>
      <c r="DVL195" s="36"/>
      <c r="DVM195" s="36"/>
      <c r="DVN195" s="36"/>
      <c r="DVO195" s="36"/>
      <c r="DVP195" s="36"/>
      <c r="DVQ195" s="36"/>
      <c r="DVR195" s="36"/>
      <c r="DVS195" s="36"/>
      <c r="DVT195" s="36"/>
      <c r="DVU195" s="36"/>
      <c r="DVV195" s="36"/>
      <c r="DVW195" s="36"/>
      <c r="DVX195" s="36"/>
      <c r="DVY195" s="36"/>
      <c r="DVZ195" s="36"/>
      <c r="DWA195" s="36"/>
      <c r="DWB195" s="36"/>
      <c r="DWC195" s="36"/>
      <c r="DWD195" s="36"/>
      <c r="DWE195" s="36"/>
      <c r="DWF195" s="36"/>
      <c r="DWG195" s="36"/>
      <c r="DWH195" s="36"/>
      <c r="DWI195" s="36"/>
      <c r="DWJ195" s="36"/>
      <c r="DWK195" s="36"/>
      <c r="DWL195" s="36"/>
      <c r="DWM195" s="36"/>
      <c r="DWN195" s="36"/>
      <c r="DWO195" s="36"/>
      <c r="DWP195" s="36"/>
      <c r="DWQ195" s="36"/>
      <c r="DWR195" s="36"/>
      <c r="DWS195" s="36"/>
      <c r="DWT195" s="36"/>
      <c r="DWU195" s="36"/>
      <c r="DWV195" s="36"/>
      <c r="DWW195" s="36"/>
      <c r="DWX195" s="36"/>
      <c r="DWY195" s="36"/>
      <c r="DWZ195" s="36"/>
      <c r="DXA195" s="36"/>
      <c r="DXB195" s="36"/>
      <c r="DXC195" s="36"/>
      <c r="DXD195" s="36"/>
      <c r="DXE195" s="36"/>
      <c r="DXF195" s="36"/>
      <c r="DXG195" s="36"/>
      <c r="DXH195" s="36"/>
      <c r="DXI195" s="36"/>
      <c r="DXJ195" s="36"/>
      <c r="DXK195" s="36"/>
      <c r="DXL195" s="36"/>
      <c r="DXM195" s="36"/>
      <c r="DXN195" s="36"/>
      <c r="DXO195" s="36"/>
      <c r="DXP195" s="36"/>
      <c r="DXQ195" s="36"/>
      <c r="DXR195" s="36"/>
      <c r="DXS195" s="36"/>
      <c r="DXT195" s="36"/>
      <c r="DXU195" s="36"/>
      <c r="DXV195" s="36"/>
      <c r="DXW195" s="36"/>
      <c r="DXX195" s="36"/>
      <c r="DXY195" s="36"/>
      <c r="DXZ195" s="36"/>
      <c r="DYA195" s="36"/>
      <c r="DYB195" s="36"/>
      <c r="DYC195" s="36"/>
      <c r="DYD195" s="36"/>
      <c r="DYE195" s="36"/>
      <c r="DYF195" s="36"/>
      <c r="DYG195" s="36"/>
      <c r="DYH195" s="36"/>
      <c r="DYI195" s="36"/>
      <c r="DYJ195" s="36"/>
      <c r="DYK195" s="36"/>
      <c r="DYL195" s="36"/>
      <c r="DYM195" s="36"/>
      <c r="DYN195" s="36"/>
      <c r="DYO195" s="36"/>
      <c r="DYP195" s="36"/>
      <c r="DYQ195" s="36"/>
      <c r="DYR195" s="36"/>
      <c r="DYS195" s="36"/>
      <c r="DYT195" s="36"/>
      <c r="DYU195" s="36"/>
      <c r="DYV195" s="36"/>
      <c r="DYW195" s="36"/>
      <c r="DYX195" s="36"/>
      <c r="DYY195" s="36"/>
      <c r="DYZ195" s="36"/>
      <c r="DZA195" s="36"/>
      <c r="DZB195" s="36"/>
      <c r="DZC195" s="36"/>
      <c r="DZD195" s="36"/>
      <c r="DZE195" s="36"/>
      <c r="DZF195" s="36"/>
      <c r="DZG195" s="36"/>
      <c r="DZH195" s="36"/>
      <c r="DZI195" s="36"/>
      <c r="DZJ195" s="36"/>
      <c r="DZK195" s="36"/>
      <c r="DZL195" s="36"/>
      <c r="DZM195" s="36"/>
      <c r="DZN195" s="36"/>
      <c r="DZO195" s="36"/>
      <c r="DZP195" s="36"/>
      <c r="DZQ195" s="36"/>
      <c r="DZR195" s="36"/>
      <c r="DZS195" s="36"/>
      <c r="DZT195" s="36"/>
      <c r="DZU195" s="36"/>
      <c r="DZV195" s="36"/>
      <c r="DZW195" s="36"/>
      <c r="DZX195" s="36"/>
      <c r="DZY195" s="36"/>
      <c r="DZZ195" s="36"/>
      <c r="EAA195" s="36"/>
      <c r="EAB195" s="36"/>
      <c r="EAC195" s="36"/>
      <c r="EAD195" s="36"/>
      <c r="EAE195" s="36"/>
      <c r="EAF195" s="36"/>
      <c r="EAG195" s="36"/>
      <c r="EAH195" s="36"/>
      <c r="EAI195" s="36"/>
      <c r="EAJ195" s="36"/>
      <c r="EAK195" s="36"/>
      <c r="EAL195" s="36"/>
      <c r="EAM195" s="36"/>
      <c r="EAN195" s="36"/>
      <c r="EAO195" s="36"/>
      <c r="EAP195" s="36"/>
      <c r="EAQ195" s="36"/>
      <c r="EAR195" s="36"/>
      <c r="EAS195" s="36"/>
      <c r="EAT195" s="36"/>
      <c r="EAU195" s="36"/>
      <c r="EAV195" s="36"/>
      <c r="EAW195" s="36"/>
      <c r="EAX195" s="36"/>
      <c r="EAY195" s="36"/>
      <c r="EAZ195" s="36"/>
      <c r="EBA195" s="36"/>
      <c r="EBB195" s="36"/>
      <c r="EBC195" s="36"/>
      <c r="EBD195" s="36"/>
      <c r="EBE195" s="36"/>
      <c r="EBF195" s="36"/>
      <c r="EBG195" s="36"/>
      <c r="EBH195" s="36"/>
      <c r="EBI195" s="36"/>
      <c r="EBJ195" s="36"/>
      <c r="EBK195" s="36"/>
      <c r="EBL195" s="36"/>
      <c r="EBM195" s="36"/>
      <c r="EBN195" s="36"/>
      <c r="EBO195" s="36"/>
      <c r="EBP195" s="36"/>
      <c r="EBQ195" s="36"/>
      <c r="EBR195" s="36"/>
      <c r="EBS195" s="36"/>
      <c r="EBT195" s="36"/>
      <c r="EBU195" s="36"/>
      <c r="EBV195" s="36"/>
      <c r="EBW195" s="36"/>
      <c r="EBX195" s="36"/>
      <c r="EBY195" s="36"/>
      <c r="EBZ195" s="36"/>
      <c r="ECA195" s="36"/>
      <c r="ECB195" s="36"/>
      <c r="ECC195" s="36"/>
      <c r="ECD195" s="36"/>
      <c r="ECE195" s="36"/>
      <c r="ECF195" s="36"/>
      <c r="ECG195" s="36"/>
      <c r="ECH195" s="36"/>
      <c r="ECI195" s="36"/>
      <c r="ECJ195" s="36"/>
      <c r="ECK195" s="36"/>
      <c r="ECL195" s="36"/>
      <c r="ECM195" s="36"/>
      <c r="ECN195" s="36"/>
      <c r="ECO195" s="36"/>
      <c r="ECP195" s="36"/>
      <c r="ECQ195" s="36"/>
      <c r="ECR195" s="36"/>
      <c r="ECS195" s="36"/>
      <c r="ECT195" s="36"/>
      <c r="ECU195" s="36"/>
      <c r="ECV195" s="36"/>
      <c r="ECW195" s="36"/>
      <c r="ECX195" s="36"/>
      <c r="ECY195" s="36"/>
      <c r="ECZ195" s="36"/>
      <c r="EDA195" s="36"/>
      <c r="EDB195" s="36"/>
      <c r="EDC195" s="36"/>
      <c r="EDD195" s="36"/>
      <c r="EDE195" s="36"/>
      <c r="EDF195" s="36"/>
      <c r="EDG195" s="36"/>
      <c r="EDH195" s="36"/>
      <c r="EDI195" s="36"/>
      <c r="EDJ195" s="36"/>
      <c r="EDK195" s="36"/>
      <c r="EDL195" s="36"/>
      <c r="EDM195" s="36"/>
      <c r="EDN195" s="36"/>
      <c r="EDO195" s="36"/>
      <c r="EDP195" s="36"/>
      <c r="EDQ195" s="36"/>
      <c r="EDR195" s="36"/>
      <c r="EDS195" s="36"/>
      <c r="EDT195" s="36"/>
      <c r="EDU195" s="36"/>
      <c r="EDV195" s="36"/>
      <c r="EDW195" s="36"/>
      <c r="EDX195" s="36"/>
      <c r="EDY195" s="36"/>
      <c r="EDZ195" s="36"/>
      <c r="EEA195" s="36"/>
      <c r="EEB195" s="36"/>
      <c r="EEC195" s="36"/>
      <c r="EED195" s="36"/>
      <c r="EEE195" s="36"/>
      <c r="EEF195" s="36"/>
      <c r="EEG195" s="36"/>
      <c r="EEH195" s="36"/>
      <c r="EEI195" s="36"/>
      <c r="EEJ195" s="36"/>
      <c r="EEK195" s="36"/>
      <c r="EEL195" s="36"/>
      <c r="EEM195" s="36"/>
      <c r="EEN195" s="36"/>
      <c r="EEO195" s="36"/>
      <c r="EEP195" s="36"/>
      <c r="EEQ195" s="36"/>
      <c r="EER195" s="36"/>
      <c r="EES195" s="36"/>
      <c r="EET195" s="36"/>
      <c r="EEU195" s="36"/>
      <c r="EEV195" s="36"/>
      <c r="EEW195" s="36"/>
      <c r="EEX195" s="36"/>
      <c r="EEY195" s="36"/>
      <c r="EEZ195" s="36"/>
      <c r="EFA195" s="36"/>
      <c r="EFB195" s="36"/>
      <c r="EFC195" s="36"/>
      <c r="EFD195" s="36"/>
      <c r="EFE195" s="36"/>
      <c r="EFF195" s="36"/>
      <c r="EFG195" s="36"/>
      <c r="EFH195" s="36"/>
      <c r="EFI195" s="36"/>
      <c r="EFJ195" s="36"/>
      <c r="EFK195" s="36"/>
      <c r="EFL195" s="36"/>
      <c r="EFM195" s="36"/>
      <c r="EFN195" s="36"/>
      <c r="EFO195" s="36"/>
      <c r="EFP195" s="36"/>
      <c r="EFQ195" s="36"/>
      <c r="EFR195" s="36"/>
      <c r="EFS195" s="36"/>
      <c r="EFT195" s="36"/>
      <c r="EFU195" s="36"/>
      <c r="EFV195" s="36"/>
      <c r="EFW195" s="36"/>
      <c r="EFX195" s="36"/>
      <c r="EFY195" s="36"/>
      <c r="EFZ195" s="36"/>
      <c r="EGA195" s="36"/>
      <c r="EGB195" s="36"/>
      <c r="EGC195" s="36"/>
      <c r="EGD195" s="36"/>
      <c r="EGE195" s="36"/>
      <c r="EGF195" s="36"/>
      <c r="EGG195" s="36"/>
      <c r="EGH195" s="36"/>
      <c r="EGI195" s="36"/>
      <c r="EGJ195" s="36"/>
      <c r="EGK195" s="36"/>
      <c r="EGL195" s="36"/>
      <c r="EGM195" s="36"/>
      <c r="EGN195" s="36"/>
      <c r="EGO195" s="36"/>
      <c r="EGP195" s="36"/>
      <c r="EGQ195" s="36"/>
      <c r="EGR195" s="36"/>
      <c r="EGS195" s="36"/>
      <c r="EGT195" s="36"/>
      <c r="EGU195" s="36"/>
      <c r="EGV195" s="36"/>
      <c r="EGW195" s="36"/>
      <c r="EGX195" s="36"/>
      <c r="EGY195" s="36"/>
      <c r="EGZ195" s="36"/>
      <c r="EHA195" s="36"/>
      <c r="EHB195" s="36"/>
      <c r="EHC195" s="36"/>
      <c r="EHD195" s="36"/>
      <c r="EHE195" s="36"/>
      <c r="EHF195" s="36"/>
      <c r="EHG195" s="36"/>
      <c r="EHH195" s="36"/>
      <c r="EHI195" s="36"/>
      <c r="EHJ195" s="36"/>
      <c r="EHK195" s="36"/>
      <c r="EHL195" s="36"/>
      <c r="EHM195" s="36"/>
      <c r="EHN195" s="36"/>
      <c r="EHO195" s="36"/>
      <c r="EHP195" s="36"/>
      <c r="EHQ195" s="36"/>
      <c r="EHR195" s="36"/>
      <c r="EHS195" s="36"/>
      <c r="EHT195" s="36"/>
      <c r="EHU195" s="36"/>
      <c r="EHV195" s="36"/>
      <c r="EHW195" s="36"/>
      <c r="EHX195" s="36"/>
      <c r="EHY195" s="36"/>
      <c r="EHZ195" s="36"/>
      <c r="EIA195" s="36"/>
      <c r="EIB195" s="36"/>
      <c r="EIC195" s="36"/>
      <c r="EID195" s="36"/>
      <c r="EIE195" s="36"/>
      <c r="EIF195" s="36"/>
      <c r="EIG195" s="36"/>
      <c r="EIH195" s="36"/>
      <c r="EII195" s="36"/>
      <c r="EIJ195" s="36"/>
      <c r="EIK195" s="36"/>
      <c r="EIL195" s="36"/>
      <c r="EIM195" s="36"/>
      <c r="EIN195" s="36"/>
      <c r="EIO195" s="36"/>
      <c r="EIP195" s="36"/>
      <c r="EIQ195" s="36"/>
      <c r="EIR195" s="36"/>
      <c r="EIS195" s="36"/>
      <c r="EIT195" s="36"/>
      <c r="EIU195" s="36"/>
      <c r="EIV195" s="36"/>
      <c r="EIW195" s="36"/>
      <c r="EIX195" s="36"/>
      <c r="EIY195" s="36"/>
      <c r="EIZ195" s="36"/>
      <c r="EJA195" s="36"/>
      <c r="EJB195" s="36"/>
      <c r="EJC195" s="36"/>
      <c r="EJD195" s="36"/>
      <c r="EJE195" s="36"/>
      <c r="EJF195" s="36"/>
      <c r="EJG195" s="36"/>
      <c r="EJH195" s="36"/>
      <c r="EJI195" s="36"/>
      <c r="EJJ195" s="36"/>
      <c r="EJK195" s="36"/>
      <c r="EJL195" s="36"/>
      <c r="EJM195" s="36"/>
      <c r="EJN195" s="36"/>
      <c r="EJO195" s="36"/>
      <c r="EJP195" s="36"/>
      <c r="EJQ195" s="36"/>
      <c r="EJR195" s="36"/>
      <c r="EJS195" s="36"/>
      <c r="EJT195" s="36"/>
      <c r="EJU195" s="36"/>
      <c r="EJV195" s="36"/>
      <c r="EJW195" s="36"/>
      <c r="EJX195" s="36"/>
      <c r="EJY195" s="36"/>
      <c r="EJZ195" s="36"/>
      <c r="EKA195" s="36"/>
      <c r="EKB195" s="36"/>
      <c r="EKC195" s="36"/>
      <c r="EKD195" s="36"/>
      <c r="EKE195" s="36"/>
      <c r="EKF195" s="36"/>
      <c r="EKG195" s="36"/>
      <c r="EKH195" s="36"/>
      <c r="EKI195" s="36"/>
      <c r="EKJ195" s="36"/>
      <c r="EKK195" s="36"/>
      <c r="EKL195" s="36"/>
      <c r="EKM195" s="36"/>
      <c r="EKN195" s="36"/>
      <c r="EKO195" s="36"/>
      <c r="EKP195" s="36"/>
      <c r="EKQ195" s="36"/>
      <c r="EKR195" s="36"/>
      <c r="EKS195" s="36"/>
      <c r="EKT195" s="36"/>
      <c r="EKU195" s="36"/>
      <c r="EKV195" s="36"/>
      <c r="EKW195" s="36"/>
      <c r="EKX195" s="36"/>
      <c r="EKY195" s="36"/>
      <c r="EKZ195" s="36"/>
      <c r="ELA195" s="36"/>
      <c r="ELB195" s="36"/>
      <c r="ELC195" s="36"/>
      <c r="ELD195" s="36"/>
      <c r="ELE195" s="36"/>
      <c r="ELF195" s="36"/>
      <c r="ELG195" s="36"/>
      <c r="ELH195" s="36"/>
      <c r="ELI195" s="36"/>
      <c r="ELJ195" s="36"/>
      <c r="ELK195" s="36"/>
      <c r="ELL195" s="36"/>
      <c r="ELM195" s="36"/>
      <c r="ELN195" s="36"/>
      <c r="ELO195" s="36"/>
      <c r="ELP195" s="36"/>
      <c r="ELQ195" s="36"/>
      <c r="ELR195" s="36"/>
      <c r="ELS195" s="36"/>
      <c r="ELT195" s="36"/>
      <c r="ELU195" s="36"/>
      <c r="ELV195" s="36"/>
      <c r="ELW195" s="36"/>
      <c r="ELX195" s="36"/>
      <c r="ELY195" s="36"/>
      <c r="ELZ195" s="36"/>
      <c r="EMA195" s="36"/>
      <c r="EMB195" s="36"/>
      <c r="EMC195" s="36"/>
      <c r="EMD195" s="36"/>
      <c r="EME195" s="36"/>
      <c r="EMF195" s="36"/>
      <c r="EMG195" s="36"/>
      <c r="EMH195" s="36"/>
      <c r="EMI195" s="36"/>
      <c r="EMJ195" s="36"/>
      <c r="EMK195" s="36"/>
      <c r="EML195" s="36"/>
      <c r="EMM195" s="36"/>
      <c r="EMN195" s="36"/>
      <c r="EMO195" s="36"/>
      <c r="EMP195" s="36"/>
      <c r="EMQ195" s="36"/>
      <c r="EMR195" s="36"/>
      <c r="EMS195" s="36"/>
      <c r="EMT195" s="36"/>
      <c r="EMU195" s="36"/>
      <c r="EMV195" s="36"/>
      <c r="EMW195" s="36"/>
      <c r="EMX195" s="36"/>
      <c r="EMY195" s="36"/>
      <c r="EMZ195" s="36"/>
      <c r="ENA195" s="36"/>
      <c r="ENB195" s="36"/>
      <c r="ENC195" s="36"/>
      <c r="END195" s="36"/>
      <c r="ENE195" s="36"/>
      <c r="ENF195" s="36"/>
      <c r="ENG195" s="36"/>
      <c r="ENH195" s="36"/>
      <c r="ENI195" s="36"/>
      <c r="ENJ195" s="36"/>
      <c r="ENK195" s="36"/>
      <c r="ENL195" s="36"/>
      <c r="ENM195" s="36"/>
      <c r="ENN195" s="36"/>
      <c r="ENO195" s="36"/>
      <c r="ENP195" s="36"/>
      <c r="ENQ195" s="36"/>
      <c r="ENR195" s="36"/>
      <c r="ENS195" s="36"/>
      <c r="ENT195" s="36"/>
      <c r="ENU195" s="36"/>
      <c r="ENV195" s="36"/>
      <c r="ENW195" s="36"/>
      <c r="ENX195" s="36"/>
      <c r="ENY195" s="36"/>
      <c r="ENZ195" s="36"/>
      <c r="EOA195" s="36"/>
      <c r="EOB195" s="36"/>
      <c r="EOC195" s="36"/>
      <c r="EOD195" s="36"/>
      <c r="EOE195" s="36"/>
      <c r="EOF195" s="36"/>
      <c r="EOG195" s="36"/>
      <c r="EOH195" s="36"/>
      <c r="EOI195" s="36"/>
      <c r="EOJ195" s="36"/>
      <c r="EOK195" s="36"/>
      <c r="EOL195" s="36"/>
      <c r="EOM195" s="36"/>
      <c r="EON195" s="36"/>
      <c r="EOO195" s="36"/>
      <c r="EOP195" s="36"/>
      <c r="EOQ195" s="36"/>
      <c r="EOR195" s="36"/>
      <c r="EOS195" s="36"/>
      <c r="EOT195" s="36"/>
      <c r="EOU195" s="36"/>
      <c r="EOV195" s="36"/>
      <c r="EOW195" s="36"/>
      <c r="EOX195" s="36"/>
      <c r="EOY195" s="36"/>
      <c r="EOZ195" s="36"/>
      <c r="EPA195" s="36"/>
      <c r="EPB195" s="36"/>
      <c r="EPC195" s="36"/>
      <c r="EPD195" s="36"/>
      <c r="EPE195" s="36"/>
      <c r="EPF195" s="36"/>
      <c r="EPG195" s="36"/>
      <c r="EPH195" s="36"/>
      <c r="EPI195" s="36"/>
      <c r="EPJ195" s="36"/>
      <c r="EPK195" s="36"/>
      <c r="EPL195" s="36"/>
      <c r="EPM195" s="36"/>
      <c r="EPN195" s="36"/>
      <c r="EPO195" s="36"/>
      <c r="EPP195" s="36"/>
      <c r="EPQ195" s="36"/>
      <c r="EPR195" s="36"/>
      <c r="EPS195" s="36"/>
      <c r="EPT195" s="36"/>
      <c r="EPU195" s="36"/>
      <c r="EPV195" s="36"/>
      <c r="EPW195" s="36"/>
      <c r="EPX195" s="36"/>
      <c r="EPY195" s="36"/>
      <c r="EPZ195" s="36"/>
      <c r="EQA195" s="36"/>
      <c r="EQB195" s="36"/>
      <c r="EQC195" s="36"/>
      <c r="EQD195" s="36"/>
      <c r="EQE195" s="36"/>
      <c r="EQF195" s="36"/>
      <c r="EQG195" s="36"/>
      <c r="EQH195" s="36"/>
      <c r="EQI195" s="36"/>
      <c r="EQJ195" s="36"/>
      <c r="EQK195" s="36"/>
      <c r="EQL195" s="36"/>
      <c r="EQM195" s="36"/>
      <c r="EQN195" s="36"/>
      <c r="EQO195" s="36"/>
      <c r="EQP195" s="36"/>
      <c r="EQQ195" s="36"/>
      <c r="EQR195" s="36"/>
      <c r="EQS195" s="36"/>
      <c r="EQT195" s="36"/>
      <c r="EQU195" s="36"/>
      <c r="EQV195" s="36"/>
      <c r="EQW195" s="36"/>
      <c r="EQX195" s="36"/>
      <c r="EQY195" s="36"/>
      <c r="EQZ195" s="36"/>
      <c r="ERA195" s="36"/>
      <c r="ERB195" s="36"/>
      <c r="ERC195" s="36"/>
      <c r="ERD195" s="36"/>
      <c r="ERE195" s="36"/>
      <c r="ERF195" s="36"/>
      <c r="ERG195" s="36"/>
      <c r="ERH195" s="36"/>
      <c r="ERI195" s="36"/>
      <c r="ERJ195" s="36"/>
      <c r="ERK195" s="36"/>
      <c r="ERL195" s="36"/>
      <c r="ERM195" s="36"/>
      <c r="ERN195" s="36"/>
      <c r="ERO195" s="36"/>
      <c r="ERP195" s="36"/>
      <c r="ERQ195" s="36"/>
      <c r="ERR195" s="36"/>
      <c r="ERS195" s="36"/>
      <c r="ERT195" s="36"/>
      <c r="ERU195" s="36"/>
      <c r="ERV195" s="36"/>
      <c r="ERW195" s="36"/>
      <c r="ERX195" s="36"/>
      <c r="ERY195" s="36"/>
      <c r="ERZ195" s="36"/>
      <c r="ESA195" s="36"/>
      <c r="ESB195" s="36"/>
      <c r="ESC195" s="36"/>
      <c r="ESD195" s="36"/>
      <c r="ESE195" s="36"/>
      <c r="ESF195" s="36"/>
      <c r="ESG195" s="36"/>
      <c r="ESH195" s="36"/>
      <c r="ESI195" s="36"/>
      <c r="ESJ195" s="36"/>
      <c r="ESK195" s="36"/>
      <c r="ESL195" s="36"/>
      <c r="ESM195" s="36"/>
      <c r="ESN195" s="36"/>
      <c r="ESO195" s="36"/>
      <c r="ESP195" s="36"/>
      <c r="ESQ195" s="36"/>
      <c r="ESR195" s="36"/>
      <c r="ESS195" s="36"/>
      <c r="EST195" s="36"/>
      <c r="ESU195" s="36"/>
      <c r="ESV195" s="36"/>
      <c r="ESW195" s="36"/>
      <c r="ESX195" s="36"/>
      <c r="ESY195" s="36"/>
      <c r="ESZ195" s="36"/>
      <c r="ETA195" s="36"/>
      <c r="ETB195" s="36"/>
      <c r="ETC195" s="36"/>
      <c r="ETD195" s="36"/>
      <c r="ETE195" s="36"/>
      <c r="ETF195" s="36"/>
      <c r="ETG195" s="36"/>
      <c r="ETH195" s="36"/>
      <c r="ETI195" s="36"/>
      <c r="ETJ195" s="36"/>
      <c r="ETK195" s="36"/>
      <c r="ETL195" s="36"/>
      <c r="ETM195" s="36"/>
      <c r="ETN195" s="36"/>
      <c r="ETO195" s="36"/>
      <c r="ETP195" s="36"/>
      <c r="ETQ195" s="36"/>
      <c r="ETR195" s="36"/>
      <c r="ETS195" s="36"/>
      <c r="ETT195" s="36"/>
      <c r="ETU195" s="36"/>
      <c r="ETV195" s="36"/>
      <c r="ETW195" s="36"/>
      <c r="ETX195" s="36"/>
      <c r="ETY195" s="36"/>
      <c r="ETZ195" s="36"/>
      <c r="EUA195" s="36"/>
      <c r="EUB195" s="36"/>
      <c r="EUC195" s="36"/>
      <c r="EUD195" s="36"/>
      <c r="EUE195" s="36"/>
      <c r="EUF195" s="36"/>
      <c r="EUG195" s="36"/>
      <c r="EUH195" s="36"/>
      <c r="EUI195" s="36"/>
      <c r="EUJ195" s="36"/>
      <c r="EUK195" s="36"/>
      <c r="EUL195" s="36"/>
      <c r="EUM195" s="36"/>
      <c r="EUN195" s="36"/>
      <c r="EUO195" s="36"/>
      <c r="EUP195" s="36"/>
      <c r="EUQ195" s="36"/>
      <c r="EUR195" s="36"/>
      <c r="EUS195" s="36"/>
      <c r="EUT195" s="36"/>
      <c r="EUU195" s="36"/>
      <c r="EUV195" s="36"/>
      <c r="EUW195" s="36"/>
      <c r="EUX195" s="36"/>
      <c r="EUY195" s="36"/>
      <c r="EUZ195" s="36"/>
      <c r="EVA195" s="36"/>
      <c r="EVB195" s="36"/>
      <c r="EVC195" s="36"/>
      <c r="EVD195" s="36"/>
      <c r="EVE195" s="36"/>
      <c r="EVF195" s="36"/>
      <c r="EVG195" s="36"/>
      <c r="EVH195" s="36"/>
      <c r="EVI195" s="36"/>
      <c r="EVJ195" s="36"/>
      <c r="EVK195" s="36"/>
      <c r="EVL195" s="36"/>
      <c r="EVM195" s="36"/>
      <c r="EVN195" s="36"/>
      <c r="EVO195" s="36"/>
      <c r="EVP195" s="36"/>
      <c r="EVQ195" s="36"/>
      <c r="EVR195" s="36"/>
      <c r="EVS195" s="36"/>
      <c r="EVT195" s="36"/>
      <c r="EVU195" s="36"/>
      <c r="EVV195" s="36"/>
      <c r="EVW195" s="36"/>
      <c r="EVX195" s="36"/>
      <c r="EVY195" s="36"/>
      <c r="EVZ195" s="36"/>
      <c r="EWA195" s="36"/>
      <c r="EWB195" s="36"/>
      <c r="EWC195" s="36"/>
      <c r="EWD195" s="36"/>
      <c r="EWE195" s="36"/>
      <c r="EWF195" s="36"/>
      <c r="EWG195" s="36"/>
      <c r="EWH195" s="36"/>
      <c r="EWI195" s="36"/>
      <c r="EWJ195" s="36"/>
      <c r="EWK195" s="36"/>
      <c r="EWL195" s="36"/>
      <c r="EWM195" s="36"/>
      <c r="EWN195" s="36"/>
      <c r="EWO195" s="36"/>
      <c r="EWP195" s="36"/>
      <c r="EWQ195" s="36"/>
      <c r="EWR195" s="36"/>
      <c r="EWS195" s="36"/>
      <c r="EWT195" s="36"/>
      <c r="EWU195" s="36"/>
      <c r="EWV195" s="36"/>
      <c r="EWW195" s="36"/>
      <c r="EWX195" s="36"/>
      <c r="EWY195" s="36"/>
      <c r="EWZ195" s="36"/>
      <c r="EXA195" s="36"/>
      <c r="EXB195" s="36"/>
      <c r="EXC195" s="36"/>
      <c r="EXD195" s="36"/>
      <c r="EXE195" s="36"/>
      <c r="EXF195" s="36"/>
      <c r="EXG195" s="36"/>
      <c r="EXH195" s="36"/>
      <c r="EXI195" s="36"/>
      <c r="EXJ195" s="36"/>
      <c r="EXK195" s="36"/>
      <c r="EXL195" s="36"/>
      <c r="EXM195" s="36"/>
      <c r="EXN195" s="36"/>
      <c r="EXO195" s="36"/>
      <c r="EXP195" s="36"/>
      <c r="EXQ195" s="36"/>
      <c r="EXR195" s="36"/>
      <c r="EXS195" s="36"/>
      <c r="EXT195" s="36"/>
      <c r="EXU195" s="36"/>
      <c r="EXV195" s="36"/>
      <c r="EXW195" s="36"/>
      <c r="EXX195" s="36"/>
      <c r="EXY195" s="36"/>
      <c r="EXZ195" s="36"/>
      <c r="EYA195" s="36"/>
      <c r="EYB195" s="36"/>
      <c r="EYC195" s="36"/>
      <c r="EYD195" s="36"/>
      <c r="EYE195" s="36"/>
      <c r="EYF195" s="36"/>
      <c r="EYG195" s="36"/>
      <c r="EYH195" s="36"/>
      <c r="EYI195" s="36"/>
      <c r="EYJ195" s="36"/>
      <c r="EYK195" s="36"/>
      <c r="EYL195" s="36"/>
      <c r="EYM195" s="36"/>
      <c r="EYN195" s="36"/>
      <c r="EYO195" s="36"/>
      <c r="EYP195" s="36"/>
      <c r="EYQ195" s="36"/>
      <c r="EYR195" s="36"/>
      <c r="EYS195" s="36"/>
      <c r="EYT195" s="36"/>
      <c r="EYU195" s="36"/>
      <c r="EYV195" s="36"/>
      <c r="EYW195" s="36"/>
      <c r="EYX195" s="36"/>
      <c r="EYY195" s="36"/>
      <c r="EYZ195" s="36"/>
      <c r="EZA195" s="36"/>
      <c r="EZB195" s="36"/>
      <c r="EZC195" s="36"/>
      <c r="EZD195" s="36"/>
      <c r="EZE195" s="36"/>
      <c r="EZF195" s="36"/>
      <c r="EZG195" s="36"/>
      <c r="EZH195" s="36"/>
      <c r="EZI195" s="36"/>
      <c r="EZJ195" s="36"/>
      <c r="EZK195" s="36"/>
      <c r="EZL195" s="36"/>
      <c r="EZM195" s="36"/>
      <c r="EZN195" s="36"/>
      <c r="EZO195" s="36"/>
      <c r="EZP195" s="36"/>
      <c r="EZQ195" s="36"/>
      <c r="EZR195" s="36"/>
      <c r="EZS195" s="36"/>
      <c r="EZT195" s="36"/>
      <c r="EZU195" s="36"/>
      <c r="EZV195" s="36"/>
      <c r="EZW195" s="36"/>
      <c r="EZX195" s="36"/>
      <c r="EZY195" s="36"/>
      <c r="EZZ195" s="36"/>
      <c r="FAA195" s="36"/>
      <c r="FAB195" s="36"/>
      <c r="FAC195" s="36"/>
      <c r="FAD195" s="36"/>
      <c r="FAE195" s="36"/>
      <c r="FAF195" s="36"/>
      <c r="FAG195" s="36"/>
      <c r="FAH195" s="36"/>
      <c r="FAI195" s="36"/>
      <c r="FAJ195" s="36"/>
      <c r="FAK195" s="36"/>
      <c r="FAL195" s="36"/>
      <c r="FAM195" s="36"/>
      <c r="FAN195" s="36"/>
      <c r="FAO195" s="36"/>
      <c r="FAP195" s="36"/>
      <c r="FAQ195" s="36"/>
      <c r="FAR195" s="36"/>
      <c r="FAS195" s="36"/>
      <c r="FAT195" s="36"/>
      <c r="FAU195" s="36"/>
      <c r="FAV195" s="36"/>
      <c r="FAW195" s="36"/>
      <c r="FAX195" s="36"/>
      <c r="FAY195" s="36"/>
      <c r="FAZ195" s="36"/>
      <c r="FBA195" s="36"/>
      <c r="FBB195" s="36"/>
      <c r="FBC195" s="36"/>
      <c r="FBD195" s="36"/>
      <c r="FBE195" s="36"/>
      <c r="FBF195" s="36"/>
      <c r="FBG195" s="36"/>
      <c r="FBH195" s="36"/>
      <c r="FBI195" s="36"/>
      <c r="FBJ195" s="36"/>
      <c r="FBK195" s="36"/>
      <c r="FBL195" s="36"/>
      <c r="FBM195" s="36"/>
      <c r="FBN195" s="36"/>
      <c r="FBO195" s="36"/>
      <c r="FBP195" s="36"/>
      <c r="FBQ195" s="36"/>
      <c r="FBR195" s="36"/>
      <c r="FBS195" s="36"/>
      <c r="FBT195" s="36"/>
      <c r="FBU195" s="36"/>
      <c r="FBV195" s="36"/>
      <c r="FBW195" s="36"/>
      <c r="FBX195" s="36"/>
      <c r="FBY195" s="36"/>
      <c r="FBZ195" s="36"/>
      <c r="FCA195" s="36"/>
      <c r="FCB195" s="36"/>
      <c r="FCC195" s="36"/>
      <c r="FCD195" s="36"/>
      <c r="FCE195" s="36"/>
      <c r="FCF195" s="36"/>
      <c r="FCG195" s="36"/>
      <c r="FCH195" s="36"/>
      <c r="FCI195" s="36"/>
      <c r="FCJ195" s="36"/>
      <c r="FCK195" s="36"/>
      <c r="FCL195" s="36"/>
      <c r="FCM195" s="36"/>
      <c r="FCN195" s="36"/>
      <c r="FCO195" s="36"/>
      <c r="FCP195" s="36"/>
      <c r="FCQ195" s="36"/>
      <c r="FCR195" s="36"/>
      <c r="FCS195" s="36"/>
      <c r="FCT195" s="36"/>
      <c r="FCU195" s="36"/>
      <c r="FCV195" s="36"/>
      <c r="FCW195" s="36"/>
      <c r="FCX195" s="36"/>
      <c r="FCY195" s="36"/>
      <c r="FCZ195" s="36"/>
      <c r="FDA195" s="36"/>
      <c r="FDB195" s="36"/>
      <c r="FDC195" s="36"/>
      <c r="FDD195" s="36"/>
      <c r="FDE195" s="36"/>
      <c r="FDF195" s="36"/>
      <c r="FDG195" s="36"/>
      <c r="FDH195" s="36"/>
      <c r="FDI195" s="36"/>
      <c r="FDJ195" s="36"/>
      <c r="FDK195" s="36"/>
      <c r="FDL195" s="36"/>
      <c r="FDM195" s="36"/>
      <c r="FDN195" s="36"/>
      <c r="FDO195" s="36"/>
      <c r="FDP195" s="36"/>
      <c r="FDQ195" s="36"/>
      <c r="FDR195" s="36"/>
      <c r="FDS195" s="36"/>
      <c r="FDT195" s="36"/>
      <c r="FDU195" s="36"/>
      <c r="FDV195" s="36"/>
      <c r="FDW195" s="36"/>
      <c r="FDX195" s="36"/>
      <c r="FDY195" s="36"/>
      <c r="FDZ195" s="36"/>
      <c r="FEA195" s="36"/>
      <c r="FEB195" s="36"/>
      <c r="FEC195" s="36"/>
      <c r="FED195" s="36"/>
      <c r="FEE195" s="36"/>
      <c r="FEF195" s="36"/>
      <c r="FEG195" s="36"/>
      <c r="FEH195" s="36"/>
      <c r="FEI195" s="36"/>
      <c r="FEJ195" s="36"/>
      <c r="FEK195" s="36"/>
      <c r="FEL195" s="36"/>
      <c r="FEM195" s="36"/>
      <c r="FEN195" s="36"/>
      <c r="FEO195" s="36"/>
      <c r="FEP195" s="36"/>
      <c r="FEQ195" s="36"/>
      <c r="FER195" s="36"/>
      <c r="FES195" s="36"/>
      <c r="FET195" s="36"/>
      <c r="FEU195" s="36"/>
      <c r="FEV195" s="36"/>
      <c r="FEW195" s="36"/>
      <c r="FEX195" s="36"/>
      <c r="FEY195" s="36"/>
      <c r="FEZ195" s="36"/>
      <c r="FFA195" s="36"/>
      <c r="FFB195" s="36"/>
      <c r="FFC195" s="36"/>
      <c r="FFD195" s="36"/>
      <c r="FFE195" s="36"/>
      <c r="FFF195" s="36"/>
      <c r="FFG195" s="36"/>
      <c r="FFH195" s="36"/>
      <c r="FFI195" s="36"/>
      <c r="FFJ195" s="36"/>
      <c r="FFK195" s="36"/>
      <c r="FFL195" s="36"/>
      <c r="FFM195" s="36"/>
      <c r="FFN195" s="36"/>
      <c r="FFO195" s="36"/>
      <c r="FFP195" s="36"/>
      <c r="FFQ195" s="36"/>
      <c r="FFR195" s="36"/>
      <c r="FFS195" s="36"/>
      <c r="FFT195" s="36"/>
      <c r="FFU195" s="36"/>
      <c r="FFV195" s="36"/>
      <c r="FFW195" s="36"/>
      <c r="FFX195" s="36"/>
      <c r="FFY195" s="36"/>
      <c r="FFZ195" s="36"/>
      <c r="FGA195" s="36"/>
      <c r="FGB195" s="36"/>
      <c r="FGC195" s="36"/>
      <c r="FGD195" s="36"/>
      <c r="FGE195" s="36"/>
      <c r="FGF195" s="36"/>
      <c r="FGG195" s="36"/>
      <c r="FGH195" s="36"/>
      <c r="FGI195" s="36"/>
      <c r="FGJ195" s="36"/>
      <c r="FGK195" s="36"/>
      <c r="FGL195" s="36"/>
      <c r="FGM195" s="36"/>
      <c r="FGN195" s="36"/>
      <c r="FGO195" s="36"/>
      <c r="FGP195" s="36"/>
      <c r="FGQ195" s="36"/>
      <c r="FGR195" s="36"/>
      <c r="FGS195" s="36"/>
      <c r="FGT195" s="36"/>
      <c r="FGU195" s="36"/>
      <c r="FGV195" s="36"/>
      <c r="FGW195" s="36"/>
      <c r="FGX195" s="36"/>
      <c r="FGY195" s="36"/>
      <c r="FGZ195" s="36"/>
      <c r="FHA195" s="36"/>
      <c r="FHB195" s="36"/>
      <c r="FHC195" s="36"/>
      <c r="FHD195" s="36"/>
      <c r="FHE195" s="36"/>
      <c r="FHF195" s="36"/>
      <c r="FHG195" s="36"/>
      <c r="FHH195" s="36"/>
      <c r="FHI195" s="36"/>
      <c r="FHJ195" s="36"/>
      <c r="FHK195" s="36"/>
      <c r="FHL195" s="36"/>
      <c r="FHM195" s="36"/>
      <c r="FHN195" s="36"/>
      <c r="FHO195" s="36"/>
      <c r="FHP195" s="36"/>
      <c r="FHQ195" s="36"/>
      <c r="FHR195" s="36"/>
      <c r="FHS195" s="36"/>
      <c r="FHT195" s="36"/>
      <c r="FHU195" s="36"/>
      <c r="FHV195" s="36"/>
      <c r="FHW195" s="36"/>
      <c r="FHX195" s="36"/>
      <c r="FHY195" s="36"/>
      <c r="FHZ195" s="36"/>
      <c r="FIA195" s="36"/>
      <c r="FIB195" s="36"/>
      <c r="FIC195" s="36"/>
      <c r="FID195" s="36"/>
      <c r="FIE195" s="36"/>
      <c r="FIF195" s="36"/>
      <c r="FIG195" s="36"/>
      <c r="FIH195" s="36"/>
      <c r="FII195" s="36"/>
      <c r="FIJ195" s="36"/>
      <c r="FIK195" s="36"/>
      <c r="FIL195" s="36"/>
      <c r="FIM195" s="36"/>
      <c r="FIN195" s="36"/>
      <c r="FIO195" s="36"/>
      <c r="FIP195" s="36"/>
      <c r="FIQ195" s="36"/>
      <c r="FIR195" s="36"/>
      <c r="FIS195" s="36"/>
      <c r="FIT195" s="36"/>
      <c r="FIU195" s="36"/>
      <c r="FIV195" s="36"/>
      <c r="FIW195" s="36"/>
      <c r="FIX195" s="36"/>
      <c r="FIY195" s="36"/>
      <c r="FIZ195" s="36"/>
      <c r="FJA195" s="36"/>
      <c r="FJB195" s="36"/>
      <c r="FJC195" s="36"/>
      <c r="FJD195" s="36"/>
      <c r="FJE195" s="36"/>
      <c r="FJF195" s="36"/>
      <c r="FJG195" s="36"/>
      <c r="FJH195" s="36"/>
      <c r="FJI195" s="36"/>
      <c r="FJJ195" s="36"/>
      <c r="FJK195" s="36"/>
      <c r="FJL195" s="36"/>
      <c r="FJM195" s="36"/>
      <c r="FJN195" s="36"/>
      <c r="FJO195" s="36"/>
      <c r="FJP195" s="36"/>
      <c r="FJQ195" s="36"/>
      <c r="FJR195" s="36"/>
      <c r="FJS195" s="36"/>
      <c r="FJT195" s="36"/>
      <c r="FJU195" s="36"/>
      <c r="FJV195" s="36"/>
      <c r="FJW195" s="36"/>
      <c r="FJX195" s="36"/>
      <c r="FJY195" s="36"/>
      <c r="FJZ195" s="36"/>
      <c r="FKA195" s="36"/>
      <c r="FKB195" s="36"/>
      <c r="FKC195" s="36"/>
      <c r="FKD195" s="36"/>
      <c r="FKE195" s="36"/>
      <c r="FKF195" s="36"/>
      <c r="FKG195" s="36"/>
      <c r="FKH195" s="36"/>
      <c r="FKI195" s="36"/>
      <c r="FKJ195" s="36"/>
      <c r="FKK195" s="36"/>
      <c r="FKL195" s="36"/>
      <c r="FKM195" s="36"/>
      <c r="FKN195" s="36"/>
      <c r="FKO195" s="36"/>
      <c r="FKP195" s="36"/>
      <c r="FKQ195" s="36"/>
      <c r="FKR195" s="36"/>
      <c r="FKS195" s="36"/>
      <c r="FKT195" s="36"/>
      <c r="FKU195" s="36"/>
      <c r="FKV195" s="36"/>
      <c r="FKW195" s="36"/>
      <c r="FKX195" s="36"/>
      <c r="FKY195" s="36"/>
      <c r="FKZ195" s="36"/>
      <c r="FLA195" s="36"/>
      <c r="FLB195" s="36"/>
      <c r="FLC195" s="36"/>
      <c r="FLD195" s="36"/>
      <c r="FLE195" s="36"/>
      <c r="FLF195" s="36"/>
      <c r="FLG195" s="36"/>
      <c r="FLH195" s="36"/>
      <c r="FLI195" s="36"/>
      <c r="FLJ195" s="36"/>
      <c r="FLK195" s="36"/>
      <c r="FLL195" s="36"/>
      <c r="FLM195" s="36"/>
      <c r="FLN195" s="36"/>
      <c r="FLO195" s="36"/>
      <c r="FLP195" s="36"/>
      <c r="FLQ195" s="36"/>
      <c r="FLR195" s="36"/>
      <c r="FLS195" s="36"/>
      <c r="FLT195" s="36"/>
      <c r="FLU195" s="36"/>
      <c r="FLV195" s="36"/>
      <c r="FLW195" s="36"/>
      <c r="FLX195" s="36"/>
      <c r="FLY195" s="36"/>
      <c r="FLZ195" s="36"/>
      <c r="FMA195" s="36"/>
      <c r="FMB195" s="36"/>
      <c r="FMC195" s="36"/>
      <c r="FMD195" s="36"/>
      <c r="FME195" s="36"/>
      <c r="FMF195" s="36"/>
      <c r="FMG195" s="36"/>
      <c r="FMH195" s="36"/>
      <c r="FMI195" s="36"/>
      <c r="FMJ195" s="36"/>
      <c r="FMK195" s="36"/>
      <c r="FML195" s="36"/>
      <c r="FMM195" s="36"/>
      <c r="FMN195" s="36"/>
      <c r="FMO195" s="36"/>
      <c r="FMP195" s="36"/>
      <c r="FMQ195" s="36"/>
      <c r="FMR195" s="36"/>
      <c r="FMS195" s="36"/>
      <c r="FMT195" s="36"/>
      <c r="FMU195" s="36"/>
      <c r="FMV195" s="36"/>
      <c r="FMW195" s="36"/>
      <c r="FMX195" s="36"/>
      <c r="FMY195" s="36"/>
      <c r="FMZ195" s="36"/>
      <c r="FNA195" s="36"/>
      <c r="FNB195" s="36"/>
      <c r="FNC195" s="36"/>
      <c r="FND195" s="36"/>
      <c r="FNE195" s="36"/>
      <c r="FNF195" s="36"/>
      <c r="FNG195" s="36"/>
      <c r="FNH195" s="36"/>
      <c r="FNI195" s="36"/>
      <c r="FNJ195" s="36"/>
      <c r="FNK195" s="36"/>
      <c r="FNL195" s="36"/>
      <c r="FNM195" s="36"/>
      <c r="FNN195" s="36"/>
      <c r="FNO195" s="36"/>
      <c r="FNP195" s="36"/>
      <c r="FNQ195" s="36"/>
      <c r="FNR195" s="36"/>
      <c r="FNS195" s="36"/>
      <c r="FNT195" s="36"/>
      <c r="FNU195" s="36"/>
      <c r="FNV195" s="36"/>
      <c r="FNW195" s="36"/>
      <c r="FNX195" s="36"/>
      <c r="FNY195" s="36"/>
      <c r="FNZ195" s="36"/>
      <c r="FOA195" s="36"/>
      <c r="FOB195" s="36"/>
      <c r="FOC195" s="36"/>
      <c r="FOD195" s="36"/>
      <c r="FOE195" s="36"/>
      <c r="FOF195" s="36"/>
      <c r="FOG195" s="36"/>
      <c r="FOH195" s="36"/>
      <c r="FOI195" s="36"/>
      <c r="FOJ195" s="36"/>
      <c r="FOK195" s="36"/>
      <c r="FOL195" s="36"/>
      <c r="FOM195" s="36"/>
      <c r="FON195" s="36"/>
      <c r="FOO195" s="36"/>
      <c r="FOP195" s="36"/>
      <c r="FOQ195" s="36"/>
      <c r="FOR195" s="36"/>
      <c r="FOS195" s="36"/>
      <c r="FOT195" s="36"/>
      <c r="FOU195" s="36"/>
      <c r="FOV195" s="36"/>
      <c r="FOW195" s="36"/>
      <c r="FOX195" s="36"/>
      <c r="FOY195" s="36"/>
      <c r="FOZ195" s="36"/>
      <c r="FPA195" s="36"/>
      <c r="FPB195" s="36"/>
      <c r="FPC195" s="36"/>
      <c r="FPD195" s="36"/>
      <c r="FPE195" s="36"/>
      <c r="FPF195" s="36"/>
      <c r="FPG195" s="36"/>
      <c r="FPH195" s="36"/>
      <c r="FPI195" s="36"/>
      <c r="FPJ195" s="36"/>
      <c r="FPK195" s="36"/>
      <c r="FPL195" s="36"/>
      <c r="FPM195" s="36"/>
      <c r="FPN195" s="36"/>
      <c r="FPO195" s="36"/>
      <c r="FPP195" s="36"/>
      <c r="FPQ195" s="36"/>
      <c r="FPR195" s="36"/>
      <c r="FPS195" s="36"/>
      <c r="FPT195" s="36"/>
      <c r="FPU195" s="36"/>
      <c r="FPV195" s="36"/>
      <c r="FPW195" s="36"/>
      <c r="FPX195" s="36"/>
      <c r="FPY195" s="36"/>
      <c r="FPZ195" s="36"/>
      <c r="FQA195" s="36"/>
      <c r="FQB195" s="36"/>
      <c r="FQC195" s="36"/>
      <c r="FQD195" s="36"/>
      <c r="FQE195" s="36"/>
      <c r="FQF195" s="36"/>
      <c r="FQG195" s="36"/>
      <c r="FQH195" s="36"/>
      <c r="FQI195" s="36"/>
      <c r="FQJ195" s="36"/>
      <c r="FQK195" s="36"/>
      <c r="FQL195" s="36"/>
      <c r="FQM195" s="36"/>
      <c r="FQN195" s="36"/>
      <c r="FQO195" s="36"/>
      <c r="FQP195" s="36"/>
      <c r="FQQ195" s="36"/>
      <c r="FQR195" s="36"/>
      <c r="FQS195" s="36"/>
      <c r="FQT195" s="36"/>
      <c r="FQU195" s="36"/>
      <c r="FQV195" s="36"/>
      <c r="FQW195" s="36"/>
      <c r="FQX195" s="36"/>
      <c r="FQY195" s="36"/>
      <c r="FQZ195" s="36"/>
      <c r="FRA195" s="36"/>
      <c r="FRB195" s="36"/>
      <c r="FRC195" s="36"/>
      <c r="FRD195" s="36"/>
      <c r="FRE195" s="36"/>
      <c r="FRF195" s="36"/>
      <c r="FRG195" s="36"/>
      <c r="FRH195" s="36"/>
      <c r="FRI195" s="36"/>
      <c r="FRJ195" s="36"/>
      <c r="FRK195" s="36"/>
      <c r="FRL195" s="36"/>
      <c r="FRM195" s="36"/>
      <c r="FRN195" s="36"/>
      <c r="FRO195" s="36"/>
      <c r="FRP195" s="36"/>
      <c r="FRQ195" s="36"/>
      <c r="FRR195" s="36"/>
      <c r="FRS195" s="36"/>
      <c r="FRT195" s="36"/>
      <c r="FRU195" s="36"/>
      <c r="FRV195" s="36"/>
      <c r="FRW195" s="36"/>
      <c r="FRX195" s="36"/>
      <c r="FRY195" s="36"/>
      <c r="FRZ195" s="36"/>
      <c r="FSA195" s="36"/>
      <c r="FSB195" s="36"/>
      <c r="FSC195" s="36"/>
      <c r="FSD195" s="36"/>
      <c r="FSE195" s="36"/>
      <c r="FSF195" s="36"/>
      <c r="FSG195" s="36"/>
      <c r="FSH195" s="36"/>
      <c r="FSI195" s="36"/>
      <c r="FSJ195" s="36"/>
      <c r="FSK195" s="36"/>
      <c r="FSL195" s="36"/>
      <c r="FSM195" s="36"/>
      <c r="FSN195" s="36"/>
      <c r="FSO195" s="36"/>
      <c r="FSP195" s="36"/>
      <c r="FSQ195" s="36"/>
      <c r="FSR195" s="36"/>
      <c r="FSS195" s="36"/>
      <c r="FST195" s="36"/>
      <c r="FSU195" s="36"/>
      <c r="FSV195" s="36"/>
      <c r="FSW195" s="36"/>
      <c r="FSX195" s="36"/>
      <c r="FSY195" s="36"/>
      <c r="FSZ195" s="36"/>
      <c r="FTA195" s="36"/>
      <c r="FTB195" s="36"/>
      <c r="FTC195" s="36"/>
      <c r="FTD195" s="36"/>
      <c r="FTE195" s="36"/>
      <c r="FTF195" s="36"/>
      <c r="FTG195" s="36"/>
      <c r="FTH195" s="36"/>
      <c r="FTI195" s="36"/>
      <c r="FTJ195" s="36"/>
      <c r="FTK195" s="36"/>
      <c r="FTL195" s="36"/>
      <c r="FTM195" s="36"/>
      <c r="FTN195" s="36"/>
      <c r="FTO195" s="36"/>
      <c r="FTP195" s="36"/>
      <c r="FTQ195" s="36"/>
      <c r="FTR195" s="36"/>
      <c r="FTS195" s="36"/>
      <c r="FTT195" s="36"/>
      <c r="FTU195" s="36"/>
      <c r="FTV195" s="36"/>
      <c r="FTW195" s="36"/>
      <c r="FTX195" s="36"/>
      <c r="FTY195" s="36"/>
      <c r="FTZ195" s="36"/>
      <c r="FUA195" s="36"/>
      <c r="FUB195" s="36"/>
      <c r="FUC195" s="36"/>
      <c r="FUD195" s="36"/>
      <c r="FUE195" s="36"/>
      <c r="FUF195" s="36"/>
      <c r="FUG195" s="36"/>
      <c r="FUH195" s="36"/>
      <c r="FUI195" s="36"/>
      <c r="FUJ195" s="36"/>
      <c r="FUK195" s="36"/>
      <c r="FUL195" s="36"/>
      <c r="FUM195" s="36"/>
      <c r="FUN195" s="36"/>
      <c r="FUO195" s="36"/>
      <c r="FUP195" s="36"/>
      <c r="FUQ195" s="36"/>
      <c r="FUR195" s="36"/>
      <c r="FUS195" s="36"/>
      <c r="FUT195" s="36"/>
      <c r="FUU195" s="36"/>
      <c r="FUV195" s="36"/>
      <c r="FUW195" s="36"/>
      <c r="FUX195" s="36"/>
      <c r="FUY195" s="36"/>
      <c r="FUZ195" s="36"/>
      <c r="FVA195" s="36"/>
      <c r="FVB195" s="36"/>
      <c r="FVC195" s="36"/>
      <c r="FVD195" s="36"/>
      <c r="FVE195" s="36"/>
      <c r="FVF195" s="36"/>
      <c r="FVG195" s="36"/>
      <c r="FVH195" s="36"/>
      <c r="FVI195" s="36"/>
      <c r="FVJ195" s="36"/>
      <c r="FVK195" s="36"/>
      <c r="FVL195" s="36"/>
      <c r="FVM195" s="36"/>
      <c r="FVN195" s="36"/>
      <c r="FVO195" s="36"/>
      <c r="FVP195" s="36"/>
      <c r="FVQ195" s="36"/>
      <c r="FVR195" s="36"/>
      <c r="FVS195" s="36"/>
      <c r="FVT195" s="36"/>
      <c r="FVU195" s="36"/>
      <c r="FVV195" s="36"/>
      <c r="FVW195" s="36"/>
      <c r="FVX195" s="36"/>
      <c r="FVY195" s="36"/>
      <c r="FVZ195" s="36"/>
      <c r="FWA195" s="36"/>
      <c r="FWB195" s="36"/>
      <c r="FWC195" s="36"/>
      <c r="FWD195" s="36"/>
      <c r="FWE195" s="36"/>
      <c r="FWF195" s="36"/>
      <c r="FWG195" s="36"/>
      <c r="FWH195" s="36"/>
      <c r="FWI195" s="36"/>
      <c r="FWJ195" s="36"/>
      <c r="FWK195" s="36"/>
      <c r="FWL195" s="36"/>
      <c r="FWM195" s="36"/>
      <c r="FWN195" s="36"/>
      <c r="FWO195" s="36"/>
      <c r="FWP195" s="36"/>
      <c r="FWQ195" s="36"/>
      <c r="FWR195" s="36"/>
      <c r="FWS195" s="36"/>
      <c r="FWT195" s="36"/>
      <c r="FWU195" s="36"/>
      <c r="FWV195" s="36"/>
      <c r="FWW195" s="36"/>
      <c r="FWX195" s="36"/>
      <c r="FWY195" s="36"/>
      <c r="FWZ195" s="36"/>
      <c r="FXA195" s="36"/>
      <c r="FXB195" s="36"/>
      <c r="FXC195" s="36"/>
      <c r="FXD195" s="36"/>
      <c r="FXE195" s="36"/>
      <c r="FXF195" s="36"/>
      <c r="FXG195" s="36"/>
      <c r="FXH195" s="36"/>
      <c r="FXI195" s="36"/>
      <c r="FXJ195" s="36"/>
      <c r="FXK195" s="36"/>
      <c r="FXL195" s="36"/>
      <c r="FXM195" s="36"/>
      <c r="FXN195" s="36"/>
      <c r="FXO195" s="36"/>
      <c r="FXP195" s="36"/>
      <c r="FXQ195" s="36"/>
      <c r="FXR195" s="36"/>
      <c r="FXS195" s="36"/>
      <c r="FXT195" s="36"/>
      <c r="FXU195" s="36"/>
      <c r="FXV195" s="36"/>
      <c r="FXW195" s="36"/>
      <c r="FXX195" s="36"/>
      <c r="FXY195" s="36"/>
      <c r="FXZ195" s="36"/>
      <c r="FYA195" s="36"/>
      <c r="FYB195" s="36"/>
      <c r="FYC195" s="36"/>
      <c r="FYD195" s="36"/>
      <c r="FYE195" s="36"/>
      <c r="FYF195" s="36"/>
      <c r="FYG195" s="36"/>
      <c r="FYH195" s="36"/>
      <c r="FYI195" s="36"/>
      <c r="FYJ195" s="36"/>
      <c r="FYK195" s="36"/>
      <c r="FYL195" s="36"/>
      <c r="FYM195" s="36"/>
      <c r="FYN195" s="36"/>
      <c r="FYO195" s="36"/>
      <c r="FYP195" s="36"/>
      <c r="FYQ195" s="36"/>
      <c r="FYR195" s="36"/>
      <c r="FYS195" s="36"/>
      <c r="FYT195" s="36"/>
      <c r="FYU195" s="36"/>
      <c r="FYV195" s="36"/>
      <c r="FYW195" s="36"/>
      <c r="FYX195" s="36"/>
      <c r="FYY195" s="36"/>
      <c r="FYZ195" s="36"/>
      <c r="FZA195" s="36"/>
      <c r="FZB195" s="36"/>
      <c r="FZC195" s="36"/>
      <c r="FZD195" s="36"/>
      <c r="FZE195" s="36"/>
      <c r="FZF195" s="36"/>
      <c r="FZG195" s="36"/>
      <c r="FZH195" s="36"/>
      <c r="FZI195" s="36"/>
      <c r="FZJ195" s="36"/>
      <c r="FZK195" s="36"/>
      <c r="FZL195" s="36"/>
      <c r="FZM195" s="36"/>
      <c r="FZN195" s="36"/>
      <c r="FZO195" s="36"/>
      <c r="FZP195" s="36"/>
      <c r="FZQ195" s="36"/>
      <c r="FZR195" s="36"/>
      <c r="FZS195" s="36"/>
      <c r="FZT195" s="36"/>
      <c r="FZU195" s="36"/>
      <c r="FZV195" s="36"/>
      <c r="FZW195" s="36"/>
      <c r="FZX195" s="36"/>
      <c r="FZY195" s="36"/>
      <c r="FZZ195" s="36"/>
      <c r="GAA195" s="36"/>
      <c r="GAB195" s="36"/>
      <c r="GAC195" s="36"/>
      <c r="GAD195" s="36"/>
      <c r="GAE195" s="36"/>
      <c r="GAF195" s="36"/>
      <c r="GAG195" s="36"/>
      <c r="GAH195" s="36"/>
      <c r="GAI195" s="36"/>
      <c r="GAJ195" s="36"/>
      <c r="GAK195" s="36"/>
      <c r="GAL195" s="36"/>
      <c r="GAM195" s="36"/>
      <c r="GAN195" s="36"/>
      <c r="GAO195" s="36"/>
      <c r="GAP195" s="36"/>
      <c r="GAQ195" s="36"/>
      <c r="GAR195" s="36"/>
      <c r="GAS195" s="36"/>
      <c r="GAT195" s="36"/>
      <c r="GAU195" s="36"/>
      <c r="GAV195" s="36"/>
      <c r="GAW195" s="36"/>
      <c r="GAX195" s="36"/>
      <c r="GAY195" s="36"/>
      <c r="GAZ195" s="36"/>
      <c r="GBA195" s="36"/>
      <c r="GBB195" s="36"/>
      <c r="GBC195" s="36"/>
      <c r="GBD195" s="36"/>
      <c r="GBE195" s="36"/>
      <c r="GBF195" s="36"/>
      <c r="GBG195" s="36"/>
      <c r="GBH195" s="36"/>
      <c r="GBI195" s="36"/>
      <c r="GBJ195" s="36"/>
      <c r="GBK195" s="36"/>
      <c r="GBL195" s="36"/>
      <c r="GBM195" s="36"/>
      <c r="GBN195" s="36"/>
      <c r="GBO195" s="36"/>
      <c r="GBP195" s="36"/>
      <c r="GBQ195" s="36"/>
      <c r="GBR195" s="36"/>
      <c r="GBS195" s="36"/>
      <c r="GBT195" s="36"/>
      <c r="GBU195" s="36"/>
      <c r="GBV195" s="36"/>
      <c r="GBW195" s="36"/>
      <c r="GBX195" s="36"/>
      <c r="GBY195" s="36"/>
      <c r="GBZ195" s="36"/>
      <c r="GCA195" s="36"/>
      <c r="GCB195" s="36"/>
      <c r="GCC195" s="36"/>
      <c r="GCD195" s="36"/>
      <c r="GCE195" s="36"/>
      <c r="GCF195" s="36"/>
      <c r="GCG195" s="36"/>
      <c r="GCH195" s="36"/>
      <c r="GCI195" s="36"/>
      <c r="GCJ195" s="36"/>
      <c r="GCK195" s="36"/>
      <c r="GCL195" s="36"/>
      <c r="GCM195" s="36"/>
      <c r="GCN195" s="36"/>
      <c r="GCO195" s="36"/>
      <c r="GCP195" s="36"/>
      <c r="GCQ195" s="36"/>
      <c r="GCR195" s="36"/>
      <c r="GCS195" s="36"/>
      <c r="GCT195" s="36"/>
      <c r="GCU195" s="36"/>
      <c r="GCV195" s="36"/>
      <c r="GCW195" s="36"/>
      <c r="GCX195" s="36"/>
      <c r="GCY195" s="36"/>
      <c r="GCZ195" s="36"/>
      <c r="GDA195" s="36"/>
      <c r="GDB195" s="36"/>
      <c r="GDC195" s="36"/>
      <c r="GDD195" s="36"/>
      <c r="GDE195" s="36"/>
      <c r="GDF195" s="36"/>
      <c r="GDG195" s="36"/>
      <c r="GDH195" s="36"/>
      <c r="GDI195" s="36"/>
      <c r="GDJ195" s="36"/>
      <c r="GDK195" s="36"/>
      <c r="GDL195" s="36"/>
      <c r="GDM195" s="36"/>
      <c r="GDN195" s="36"/>
      <c r="GDO195" s="36"/>
      <c r="GDP195" s="36"/>
      <c r="GDQ195" s="36"/>
      <c r="GDR195" s="36"/>
      <c r="GDS195" s="36"/>
      <c r="GDT195" s="36"/>
      <c r="GDU195" s="36"/>
      <c r="GDV195" s="36"/>
      <c r="GDW195" s="36"/>
      <c r="GDX195" s="36"/>
      <c r="GDY195" s="36"/>
      <c r="GDZ195" s="36"/>
      <c r="GEA195" s="36"/>
      <c r="GEB195" s="36"/>
      <c r="GEC195" s="36"/>
      <c r="GED195" s="36"/>
      <c r="GEE195" s="36"/>
      <c r="GEF195" s="36"/>
      <c r="GEG195" s="36"/>
      <c r="GEH195" s="36"/>
      <c r="GEI195" s="36"/>
      <c r="GEJ195" s="36"/>
      <c r="GEK195" s="36"/>
      <c r="GEL195" s="36"/>
      <c r="GEM195" s="36"/>
      <c r="GEN195" s="36"/>
      <c r="GEO195" s="36"/>
      <c r="GEP195" s="36"/>
      <c r="GEQ195" s="36"/>
      <c r="GER195" s="36"/>
      <c r="GES195" s="36"/>
      <c r="GET195" s="36"/>
      <c r="GEU195" s="36"/>
      <c r="GEV195" s="36"/>
      <c r="GEW195" s="36"/>
      <c r="GEX195" s="36"/>
      <c r="GEY195" s="36"/>
      <c r="GEZ195" s="36"/>
      <c r="GFA195" s="36"/>
      <c r="GFB195" s="36"/>
      <c r="GFC195" s="36"/>
      <c r="GFD195" s="36"/>
      <c r="GFE195" s="36"/>
      <c r="GFF195" s="36"/>
      <c r="GFG195" s="36"/>
      <c r="GFH195" s="36"/>
      <c r="GFI195" s="36"/>
      <c r="GFJ195" s="36"/>
      <c r="GFK195" s="36"/>
      <c r="GFL195" s="36"/>
      <c r="GFM195" s="36"/>
      <c r="GFN195" s="36"/>
      <c r="GFO195" s="36"/>
      <c r="GFP195" s="36"/>
      <c r="GFQ195" s="36"/>
      <c r="GFR195" s="36"/>
      <c r="GFS195" s="36"/>
      <c r="GFT195" s="36"/>
      <c r="GFU195" s="36"/>
      <c r="GFV195" s="36"/>
      <c r="GFW195" s="36"/>
      <c r="GFX195" s="36"/>
      <c r="GFY195" s="36"/>
      <c r="GFZ195" s="36"/>
      <c r="GGA195" s="36"/>
      <c r="GGB195" s="36"/>
      <c r="GGC195" s="36"/>
      <c r="GGD195" s="36"/>
      <c r="GGE195" s="36"/>
      <c r="GGF195" s="36"/>
      <c r="GGG195" s="36"/>
      <c r="GGH195" s="36"/>
      <c r="GGI195" s="36"/>
      <c r="GGJ195" s="36"/>
      <c r="GGK195" s="36"/>
      <c r="GGL195" s="36"/>
      <c r="GGM195" s="36"/>
      <c r="GGN195" s="36"/>
      <c r="GGO195" s="36"/>
      <c r="GGP195" s="36"/>
      <c r="GGQ195" s="36"/>
      <c r="GGR195" s="36"/>
      <c r="GGS195" s="36"/>
      <c r="GGT195" s="36"/>
      <c r="GGU195" s="36"/>
      <c r="GGV195" s="36"/>
      <c r="GGW195" s="36"/>
      <c r="GGX195" s="36"/>
      <c r="GGY195" s="36"/>
      <c r="GGZ195" s="36"/>
      <c r="GHA195" s="36"/>
      <c r="GHB195" s="36"/>
      <c r="GHC195" s="36"/>
      <c r="GHD195" s="36"/>
      <c r="GHE195" s="36"/>
      <c r="GHF195" s="36"/>
      <c r="GHG195" s="36"/>
      <c r="GHH195" s="36"/>
      <c r="GHI195" s="36"/>
      <c r="GHJ195" s="36"/>
      <c r="GHK195" s="36"/>
      <c r="GHL195" s="36"/>
      <c r="GHM195" s="36"/>
      <c r="GHN195" s="36"/>
      <c r="GHO195" s="36"/>
      <c r="GHP195" s="36"/>
      <c r="GHQ195" s="36"/>
      <c r="GHR195" s="36"/>
      <c r="GHS195" s="36"/>
      <c r="GHT195" s="36"/>
      <c r="GHU195" s="36"/>
      <c r="GHV195" s="36"/>
      <c r="GHW195" s="36"/>
      <c r="GHX195" s="36"/>
      <c r="GHY195" s="36"/>
      <c r="GHZ195" s="36"/>
      <c r="GIA195" s="36"/>
      <c r="GIB195" s="36"/>
      <c r="GIC195" s="36"/>
      <c r="GID195" s="36"/>
      <c r="GIE195" s="36"/>
      <c r="GIF195" s="36"/>
      <c r="GIG195" s="36"/>
      <c r="GIH195" s="36"/>
      <c r="GII195" s="36"/>
      <c r="GIJ195" s="36"/>
      <c r="GIK195" s="36"/>
      <c r="GIL195" s="36"/>
      <c r="GIM195" s="36"/>
      <c r="GIN195" s="36"/>
      <c r="GIO195" s="36"/>
      <c r="GIP195" s="36"/>
      <c r="GIQ195" s="36"/>
      <c r="GIR195" s="36"/>
      <c r="GIS195" s="36"/>
      <c r="GIT195" s="36"/>
      <c r="GIU195" s="36"/>
      <c r="GIV195" s="36"/>
      <c r="GIW195" s="36"/>
      <c r="GIX195" s="36"/>
      <c r="GIY195" s="36"/>
      <c r="GIZ195" s="36"/>
      <c r="GJA195" s="36"/>
      <c r="GJB195" s="36"/>
      <c r="GJC195" s="36"/>
      <c r="GJD195" s="36"/>
      <c r="GJE195" s="36"/>
      <c r="GJF195" s="36"/>
      <c r="GJG195" s="36"/>
      <c r="GJH195" s="36"/>
      <c r="GJI195" s="36"/>
      <c r="GJJ195" s="36"/>
      <c r="GJK195" s="36"/>
      <c r="GJL195" s="36"/>
      <c r="GJM195" s="36"/>
      <c r="GJN195" s="36"/>
      <c r="GJO195" s="36"/>
      <c r="GJP195" s="36"/>
      <c r="GJQ195" s="36"/>
      <c r="GJR195" s="36"/>
      <c r="GJS195" s="36"/>
      <c r="GJT195" s="36"/>
      <c r="GJU195" s="36"/>
      <c r="GJV195" s="36"/>
      <c r="GJW195" s="36"/>
      <c r="GJX195" s="36"/>
      <c r="GJY195" s="36"/>
      <c r="GJZ195" s="36"/>
      <c r="GKA195" s="36"/>
      <c r="GKB195" s="36"/>
      <c r="GKC195" s="36"/>
      <c r="GKD195" s="36"/>
      <c r="GKE195" s="36"/>
      <c r="GKF195" s="36"/>
      <c r="GKG195" s="36"/>
      <c r="GKH195" s="36"/>
      <c r="GKI195" s="36"/>
      <c r="GKJ195" s="36"/>
      <c r="GKK195" s="36"/>
      <c r="GKL195" s="36"/>
      <c r="GKM195" s="36"/>
      <c r="GKN195" s="36"/>
      <c r="GKO195" s="36"/>
      <c r="GKP195" s="36"/>
      <c r="GKQ195" s="36"/>
      <c r="GKR195" s="36"/>
      <c r="GKS195" s="36"/>
      <c r="GKT195" s="36"/>
      <c r="GKU195" s="36"/>
      <c r="GKV195" s="36"/>
      <c r="GKW195" s="36"/>
      <c r="GKX195" s="36"/>
      <c r="GKY195" s="36"/>
      <c r="GKZ195" s="36"/>
      <c r="GLA195" s="36"/>
      <c r="GLB195" s="36"/>
      <c r="GLC195" s="36"/>
      <c r="GLD195" s="36"/>
      <c r="GLE195" s="36"/>
      <c r="GLF195" s="36"/>
      <c r="GLG195" s="36"/>
      <c r="GLH195" s="36"/>
      <c r="GLI195" s="36"/>
      <c r="GLJ195" s="36"/>
      <c r="GLK195" s="36"/>
      <c r="GLL195" s="36"/>
      <c r="GLM195" s="36"/>
      <c r="GLN195" s="36"/>
      <c r="GLO195" s="36"/>
      <c r="GLP195" s="36"/>
      <c r="GLQ195" s="36"/>
      <c r="GLR195" s="36"/>
      <c r="GLS195" s="36"/>
      <c r="GLT195" s="36"/>
      <c r="GLU195" s="36"/>
      <c r="GLV195" s="36"/>
      <c r="GLW195" s="36"/>
      <c r="GLX195" s="36"/>
      <c r="GLY195" s="36"/>
      <c r="GLZ195" s="36"/>
      <c r="GMA195" s="36"/>
      <c r="GMB195" s="36"/>
      <c r="GMC195" s="36"/>
      <c r="GMD195" s="36"/>
      <c r="GME195" s="36"/>
      <c r="GMF195" s="36"/>
      <c r="GMG195" s="36"/>
      <c r="GMH195" s="36"/>
      <c r="GMI195" s="36"/>
      <c r="GMJ195" s="36"/>
      <c r="GMK195" s="36"/>
      <c r="GML195" s="36"/>
      <c r="GMM195" s="36"/>
      <c r="GMN195" s="36"/>
      <c r="GMO195" s="36"/>
      <c r="GMP195" s="36"/>
      <c r="GMQ195" s="36"/>
      <c r="GMR195" s="36"/>
      <c r="GMS195" s="36"/>
      <c r="GMT195" s="36"/>
      <c r="GMU195" s="36"/>
      <c r="GMV195" s="36"/>
      <c r="GMW195" s="36"/>
      <c r="GMX195" s="36"/>
      <c r="GMY195" s="36"/>
      <c r="GMZ195" s="36"/>
      <c r="GNA195" s="36"/>
      <c r="GNB195" s="36"/>
      <c r="GNC195" s="36"/>
      <c r="GND195" s="36"/>
      <c r="GNE195" s="36"/>
      <c r="GNF195" s="36"/>
      <c r="GNG195" s="36"/>
      <c r="GNH195" s="36"/>
      <c r="GNI195" s="36"/>
      <c r="GNJ195" s="36"/>
      <c r="GNK195" s="36"/>
      <c r="GNL195" s="36"/>
      <c r="GNM195" s="36"/>
      <c r="GNN195" s="36"/>
      <c r="GNO195" s="36"/>
      <c r="GNP195" s="36"/>
      <c r="GNQ195" s="36"/>
      <c r="GNR195" s="36"/>
      <c r="GNS195" s="36"/>
      <c r="GNT195" s="36"/>
      <c r="GNU195" s="36"/>
      <c r="GNV195" s="36"/>
      <c r="GNW195" s="36"/>
      <c r="GNX195" s="36"/>
      <c r="GNY195" s="36"/>
      <c r="GNZ195" s="36"/>
      <c r="GOA195" s="36"/>
      <c r="GOB195" s="36"/>
      <c r="GOC195" s="36"/>
      <c r="GOD195" s="36"/>
      <c r="GOE195" s="36"/>
      <c r="GOF195" s="36"/>
      <c r="GOG195" s="36"/>
      <c r="GOH195" s="36"/>
      <c r="GOI195" s="36"/>
      <c r="GOJ195" s="36"/>
      <c r="GOK195" s="36"/>
      <c r="GOL195" s="36"/>
      <c r="GOM195" s="36"/>
      <c r="GON195" s="36"/>
      <c r="GOO195" s="36"/>
      <c r="GOP195" s="36"/>
      <c r="GOQ195" s="36"/>
      <c r="GOR195" s="36"/>
      <c r="GOS195" s="36"/>
      <c r="GOT195" s="36"/>
      <c r="GOU195" s="36"/>
      <c r="GOV195" s="36"/>
      <c r="GOW195" s="36"/>
      <c r="GOX195" s="36"/>
      <c r="GOY195" s="36"/>
      <c r="GOZ195" s="36"/>
      <c r="GPA195" s="36"/>
      <c r="GPB195" s="36"/>
      <c r="GPC195" s="36"/>
      <c r="GPD195" s="36"/>
      <c r="GPE195" s="36"/>
      <c r="GPF195" s="36"/>
      <c r="GPG195" s="36"/>
      <c r="GPH195" s="36"/>
      <c r="GPI195" s="36"/>
      <c r="GPJ195" s="36"/>
      <c r="GPK195" s="36"/>
      <c r="GPL195" s="36"/>
      <c r="GPM195" s="36"/>
      <c r="GPN195" s="36"/>
      <c r="GPO195" s="36"/>
      <c r="GPP195" s="36"/>
      <c r="GPQ195" s="36"/>
      <c r="GPR195" s="36"/>
      <c r="GPS195" s="36"/>
      <c r="GPT195" s="36"/>
      <c r="GPU195" s="36"/>
      <c r="GPV195" s="36"/>
      <c r="GPW195" s="36"/>
      <c r="GPX195" s="36"/>
      <c r="GPY195" s="36"/>
      <c r="GPZ195" s="36"/>
      <c r="GQA195" s="36"/>
      <c r="GQB195" s="36"/>
      <c r="GQC195" s="36"/>
      <c r="GQD195" s="36"/>
      <c r="GQE195" s="36"/>
      <c r="GQF195" s="36"/>
      <c r="GQG195" s="36"/>
      <c r="GQH195" s="36"/>
      <c r="GQI195" s="36"/>
      <c r="GQJ195" s="36"/>
      <c r="GQK195" s="36"/>
      <c r="GQL195" s="36"/>
      <c r="GQM195" s="36"/>
      <c r="GQN195" s="36"/>
      <c r="GQO195" s="36"/>
      <c r="GQP195" s="36"/>
      <c r="GQQ195" s="36"/>
      <c r="GQR195" s="36"/>
      <c r="GQS195" s="36"/>
      <c r="GQT195" s="36"/>
      <c r="GQU195" s="36"/>
      <c r="GQV195" s="36"/>
      <c r="GQW195" s="36"/>
      <c r="GQX195" s="36"/>
      <c r="GQY195" s="36"/>
      <c r="GQZ195" s="36"/>
      <c r="GRA195" s="36"/>
      <c r="GRB195" s="36"/>
      <c r="GRC195" s="36"/>
      <c r="GRD195" s="36"/>
      <c r="GRE195" s="36"/>
      <c r="GRF195" s="36"/>
      <c r="GRG195" s="36"/>
      <c r="GRH195" s="36"/>
      <c r="GRI195" s="36"/>
      <c r="GRJ195" s="36"/>
      <c r="GRK195" s="36"/>
      <c r="GRL195" s="36"/>
      <c r="GRM195" s="36"/>
      <c r="GRN195" s="36"/>
      <c r="GRO195" s="36"/>
      <c r="GRP195" s="36"/>
      <c r="GRQ195" s="36"/>
      <c r="GRR195" s="36"/>
      <c r="GRS195" s="36"/>
      <c r="GRT195" s="36"/>
      <c r="GRU195" s="36"/>
      <c r="GRV195" s="36"/>
      <c r="GRW195" s="36"/>
      <c r="GRX195" s="36"/>
      <c r="GRY195" s="36"/>
      <c r="GRZ195" s="36"/>
      <c r="GSA195" s="36"/>
      <c r="GSB195" s="36"/>
      <c r="GSC195" s="36"/>
      <c r="GSD195" s="36"/>
      <c r="GSE195" s="36"/>
      <c r="GSF195" s="36"/>
      <c r="GSG195" s="36"/>
      <c r="GSH195" s="36"/>
      <c r="GSI195" s="36"/>
      <c r="GSJ195" s="36"/>
      <c r="GSK195" s="36"/>
      <c r="GSL195" s="36"/>
      <c r="GSM195" s="36"/>
      <c r="GSN195" s="36"/>
      <c r="GSO195" s="36"/>
      <c r="GSP195" s="36"/>
      <c r="GSQ195" s="36"/>
      <c r="GSR195" s="36"/>
      <c r="GSS195" s="36"/>
      <c r="GST195" s="36"/>
      <c r="GSU195" s="36"/>
      <c r="GSV195" s="36"/>
      <c r="GSW195" s="36"/>
      <c r="GSX195" s="36"/>
      <c r="GSY195" s="36"/>
      <c r="GSZ195" s="36"/>
      <c r="GTA195" s="36"/>
      <c r="GTB195" s="36"/>
      <c r="GTC195" s="36"/>
      <c r="GTD195" s="36"/>
      <c r="GTE195" s="36"/>
      <c r="GTF195" s="36"/>
      <c r="GTG195" s="36"/>
      <c r="GTH195" s="36"/>
      <c r="GTI195" s="36"/>
      <c r="GTJ195" s="36"/>
      <c r="GTK195" s="36"/>
      <c r="GTL195" s="36"/>
      <c r="GTM195" s="36"/>
      <c r="GTN195" s="36"/>
      <c r="GTO195" s="36"/>
      <c r="GTP195" s="36"/>
      <c r="GTQ195" s="36"/>
      <c r="GTR195" s="36"/>
      <c r="GTS195" s="36"/>
      <c r="GTT195" s="36"/>
      <c r="GTU195" s="36"/>
      <c r="GTV195" s="36"/>
      <c r="GTW195" s="36"/>
      <c r="GTX195" s="36"/>
      <c r="GTY195" s="36"/>
      <c r="GTZ195" s="36"/>
      <c r="GUA195" s="36"/>
      <c r="GUB195" s="36"/>
      <c r="GUC195" s="36"/>
      <c r="GUD195" s="36"/>
      <c r="GUE195" s="36"/>
      <c r="GUF195" s="36"/>
      <c r="GUG195" s="36"/>
      <c r="GUH195" s="36"/>
      <c r="GUI195" s="36"/>
      <c r="GUJ195" s="36"/>
      <c r="GUK195" s="36"/>
      <c r="GUL195" s="36"/>
      <c r="GUM195" s="36"/>
      <c r="GUN195" s="36"/>
      <c r="GUO195" s="36"/>
      <c r="GUP195" s="36"/>
      <c r="GUQ195" s="36"/>
      <c r="GUR195" s="36"/>
      <c r="GUS195" s="36"/>
      <c r="GUT195" s="36"/>
      <c r="GUU195" s="36"/>
      <c r="GUV195" s="36"/>
      <c r="GUW195" s="36"/>
      <c r="GUX195" s="36"/>
      <c r="GUY195" s="36"/>
      <c r="GUZ195" s="36"/>
      <c r="GVA195" s="36"/>
      <c r="GVB195" s="36"/>
      <c r="GVC195" s="36"/>
      <c r="GVD195" s="36"/>
      <c r="GVE195" s="36"/>
      <c r="GVF195" s="36"/>
      <c r="GVG195" s="36"/>
      <c r="GVH195" s="36"/>
      <c r="GVI195" s="36"/>
      <c r="GVJ195" s="36"/>
      <c r="GVK195" s="36"/>
      <c r="GVL195" s="36"/>
      <c r="GVM195" s="36"/>
      <c r="GVN195" s="36"/>
      <c r="GVO195" s="36"/>
      <c r="GVP195" s="36"/>
      <c r="GVQ195" s="36"/>
      <c r="GVR195" s="36"/>
      <c r="GVS195" s="36"/>
      <c r="GVT195" s="36"/>
      <c r="GVU195" s="36"/>
      <c r="GVV195" s="36"/>
      <c r="GVW195" s="36"/>
      <c r="GVX195" s="36"/>
      <c r="GVY195" s="36"/>
      <c r="GVZ195" s="36"/>
      <c r="GWA195" s="36"/>
      <c r="GWB195" s="36"/>
      <c r="GWC195" s="36"/>
      <c r="GWD195" s="36"/>
      <c r="GWE195" s="36"/>
      <c r="GWF195" s="36"/>
      <c r="GWG195" s="36"/>
      <c r="GWH195" s="36"/>
      <c r="GWI195" s="36"/>
      <c r="GWJ195" s="36"/>
      <c r="GWK195" s="36"/>
      <c r="GWL195" s="36"/>
      <c r="GWM195" s="36"/>
      <c r="GWN195" s="36"/>
      <c r="GWO195" s="36"/>
      <c r="GWP195" s="36"/>
      <c r="GWQ195" s="36"/>
      <c r="GWR195" s="36"/>
      <c r="GWS195" s="36"/>
      <c r="GWT195" s="36"/>
      <c r="GWU195" s="36"/>
      <c r="GWV195" s="36"/>
      <c r="GWW195" s="36"/>
      <c r="GWX195" s="36"/>
      <c r="GWY195" s="36"/>
      <c r="GWZ195" s="36"/>
      <c r="GXA195" s="36"/>
      <c r="GXB195" s="36"/>
      <c r="GXC195" s="36"/>
      <c r="GXD195" s="36"/>
      <c r="GXE195" s="36"/>
      <c r="GXF195" s="36"/>
      <c r="GXG195" s="36"/>
      <c r="GXH195" s="36"/>
      <c r="GXI195" s="36"/>
      <c r="GXJ195" s="36"/>
      <c r="GXK195" s="36"/>
      <c r="GXL195" s="36"/>
      <c r="GXM195" s="36"/>
      <c r="GXN195" s="36"/>
      <c r="GXO195" s="36"/>
      <c r="GXP195" s="36"/>
      <c r="GXQ195" s="36"/>
      <c r="GXR195" s="36"/>
      <c r="GXS195" s="36"/>
      <c r="GXT195" s="36"/>
      <c r="GXU195" s="36"/>
      <c r="GXV195" s="36"/>
      <c r="GXW195" s="36"/>
      <c r="GXX195" s="36"/>
      <c r="GXY195" s="36"/>
      <c r="GXZ195" s="36"/>
      <c r="GYA195" s="36"/>
      <c r="GYB195" s="36"/>
      <c r="GYC195" s="36"/>
      <c r="GYD195" s="36"/>
      <c r="GYE195" s="36"/>
      <c r="GYF195" s="36"/>
      <c r="GYG195" s="36"/>
      <c r="GYH195" s="36"/>
      <c r="GYI195" s="36"/>
      <c r="GYJ195" s="36"/>
      <c r="GYK195" s="36"/>
      <c r="GYL195" s="36"/>
      <c r="GYM195" s="36"/>
      <c r="GYN195" s="36"/>
      <c r="GYO195" s="36"/>
      <c r="GYP195" s="36"/>
      <c r="GYQ195" s="36"/>
      <c r="GYR195" s="36"/>
      <c r="GYS195" s="36"/>
      <c r="GYT195" s="36"/>
      <c r="GYU195" s="36"/>
      <c r="GYV195" s="36"/>
      <c r="GYW195" s="36"/>
      <c r="GYX195" s="36"/>
      <c r="GYY195" s="36"/>
      <c r="GYZ195" s="36"/>
      <c r="GZA195" s="36"/>
      <c r="GZB195" s="36"/>
      <c r="GZC195" s="36"/>
      <c r="GZD195" s="36"/>
      <c r="GZE195" s="36"/>
      <c r="GZF195" s="36"/>
      <c r="GZG195" s="36"/>
      <c r="GZH195" s="36"/>
      <c r="GZI195" s="36"/>
      <c r="GZJ195" s="36"/>
      <c r="GZK195" s="36"/>
      <c r="GZL195" s="36"/>
      <c r="GZM195" s="36"/>
      <c r="GZN195" s="36"/>
      <c r="GZO195" s="36"/>
      <c r="GZP195" s="36"/>
      <c r="GZQ195" s="36"/>
      <c r="GZR195" s="36"/>
      <c r="GZS195" s="36"/>
      <c r="GZT195" s="36"/>
      <c r="GZU195" s="36"/>
      <c r="GZV195" s="36"/>
      <c r="GZW195" s="36"/>
      <c r="GZX195" s="36"/>
      <c r="GZY195" s="36"/>
      <c r="GZZ195" s="36"/>
      <c r="HAA195" s="36"/>
      <c r="HAB195" s="36"/>
      <c r="HAC195" s="36"/>
      <c r="HAD195" s="36"/>
      <c r="HAE195" s="36"/>
      <c r="HAF195" s="36"/>
      <c r="HAG195" s="36"/>
      <c r="HAH195" s="36"/>
      <c r="HAI195" s="36"/>
      <c r="HAJ195" s="36"/>
      <c r="HAK195" s="36"/>
      <c r="HAL195" s="36"/>
      <c r="HAM195" s="36"/>
      <c r="HAN195" s="36"/>
      <c r="HAO195" s="36"/>
      <c r="HAP195" s="36"/>
      <c r="HAQ195" s="36"/>
      <c r="HAR195" s="36"/>
      <c r="HAS195" s="36"/>
      <c r="HAT195" s="36"/>
      <c r="HAU195" s="36"/>
      <c r="HAV195" s="36"/>
      <c r="HAW195" s="36"/>
      <c r="HAX195" s="36"/>
      <c r="HAY195" s="36"/>
      <c r="HAZ195" s="36"/>
      <c r="HBA195" s="36"/>
      <c r="HBB195" s="36"/>
      <c r="HBC195" s="36"/>
      <c r="HBD195" s="36"/>
      <c r="HBE195" s="36"/>
      <c r="HBF195" s="36"/>
      <c r="HBG195" s="36"/>
      <c r="HBH195" s="36"/>
      <c r="HBI195" s="36"/>
      <c r="HBJ195" s="36"/>
      <c r="HBK195" s="36"/>
      <c r="HBL195" s="36"/>
      <c r="HBM195" s="36"/>
      <c r="HBN195" s="36"/>
      <c r="HBO195" s="36"/>
      <c r="HBP195" s="36"/>
      <c r="HBQ195" s="36"/>
      <c r="HBR195" s="36"/>
      <c r="HBS195" s="36"/>
      <c r="HBT195" s="36"/>
      <c r="HBU195" s="36"/>
      <c r="HBV195" s="36"/>
      <c r="HBW195" s="36"/>
      <c r="HBX195" s="36"/>
      <c r="HBY195" s="36"/>
      <c r="HBZ195" s="36"/>
      <c r="HCA195" s="36"/>
      <c r="HCB195" s="36"/>
      <c r="HCC195" s="36"/>
      <c r="HCD195" s="36"/>
      <c r="HCE195" s="36"/>
      <c r="HCF195" s="36"/>
      <c r="HCG195" s="36"/>
      <c r="HCH195" s="36"/>
      <c r="HCI195" s="36"/>
      <c r="HCJ195" s="36"/>
      <c r="HCK195" s="36"/>
      <c r="HCL195" s="36"/>
      <c r="HCM195" s="36"/>
      <c r="HCN195" s="36"/>
      <c r="HCO195" s="36"/>
      <c r="HCP195" s="36"/>
      <c r="HCQ195" s="36"/>
      <c r="HCR195" s="36"/>
      <c r="HCS195" s="36"/>
      <c r="HCT195" s="36"/>
      <c r="HCU195" s="36"/>
      <c r="HCV195" s="36"/>
      <c r="HCW195" s="36"/>
      <c r="HCX195" s="36"/>
      <c r="HCY195" s="36"/>
      <c r="HCZ195" s="36"/>
      <c r="HDA195" s="36"/>
      <c r="HDB195" s="36"/>
      <c r="HDC195" s="36"/>
      <c r="HDD195" s="36"/>
      <c r="HDE195" s="36"/>
      <c r="HDF195" s="36"/>
      <c r="HDG195" s="36"/>
      <c r="HDH195" s="36"/>
      <c r="HDI195" s="36"/>
      <c r="HDJ195" s="36"/>
      <c r="HDK195" s="36"/>
      <c r="HDL195" s="36"/>
      <c r="HDM195" s="36"/>
      <c r="HDN195" s="36"/>
      <c r="HDO195" s="36"/>
      <c r="HDP195" s="36"/>
      <c r="HDQ195" s="36"/>
      <c r="HDR195" s="36"/>
      <c r="HDS195" s="36"/>
      <c r="HDT195" s="36"/>
      <c r="HDU195" s="36"/>
      <c r="HDV195" s="36"/>
      <c r="HDW195" s="36"/>
      <c r="HDX195" s="36"/>
      <c r="HDY195" s="36"/>
      <c r="HDZ195" s="36"/>
      <c r="HEA195" s="36"/>
      <c r="HEB195" s="36"/>
      <c r="HEC195" s="36"/>
      <c r="HED195" s="36"/>
      <c r="HEE195" s="36"/>
      <c r="HEF195" s="36"/>
      <c r="HEG195" s="36"/>
      <c r="HEH195" s="36"/>
      <c r="HEI195" s="36"/>
      <c r="HEJ195" s="36"/>
      <c r="HEK195" s="36"/>
      <c r="HEL195" s="36"/>
      <c r="HEM195" s="36"/>
      <c r="HEN195" s="36"/>
      <c r="HEO195" s="36"/>
      <c r="HEP195" s="36"/>
      <c r="HEQ195" s="36"/>
      <c r="HER195" s="36"/>
      <c r="HES195" s="36"/>
      <c r="HET195" s="36"/>
      <c r="HEU195" s="36"/>
      <c r="HEV195" s="36"/>
      <c r="HEW195" s="36"/>
      <c r="HEX195" s="36"/>
      <c r="HEY195" s="36"/>
      <c r="HEZ195" s="36"/>
      <c r="HFA195" s="36"/>
      <c r="HFB195" s="36"/>
      <c r="HFC195" s="36"/>
      <c r="HFD195" s="36"/>
      <c r="HFE195" s="36"/>
      <c r="HFF195" s="36"/>
      <c r="HFG195" s="36"/>
      <c r="HFH195" s="36"/>
      <c r="HFI195" s="36"/>
      <c r="HFJ195" s="36"/>
      <c r="HFK195" s="36"/>
      <c r="HFL195" s="36"/>
      <c r="HFM195" s="36"/>
      <c r="HFN195" s="36"/>
      <c r="HFO195" s="36"/>
      <c r="HFP195" s="36"/>
      <c r="HFQ195" s="36"/>
      <c r="HFR195" s="36"/>
      <c r="HFS195" s="36"/>
      <c r="HFT195" s="36"/>
      <c r="HFU195" s="36"/>
      <c r="HFV195" s="36"/>
      <c r="HFW195" s="36"/>
      <c r="HFX195" s="36"/>
      <c r="HFY195" s="36"/>
      <c r="HFZ195" s="36"/>
      <c r="HGA195" s="36"/>
      <c r="HGB195" s="36"/>
      <c r="HGC195" s="36"/>
      <c r="HGD195" s="36"/>
      <c r="HGE195" s="36"/>
      <c r="HGF195" s="36"/>
      <c r="HGG195" s="36"/>
      <c r="HGH195" s="36"/>
      <c r="HGI195" s="36"/>
      <c r="HGJ195" s="36"/>
      <c r="HGK195" s="36"/>
      <c r="HGL195" s="36"/>
      <c r="HGM195" s="36"/>
      <c r="HGN195" s="36"/>
      <c r="HGO195" s="36"/>
      <c r="HGP195" s="36"/>
      <c r="HGQ195" s="36"/>
      <c r="HGR195" s="36"/>
      <c r="HGS195" s="36"/>
      <c r="HGT195" s="36"/>
      <c r="HGU195" s="36"/>
      <c r="HGV195" s="36"/>
      <c r="HGW195" s="36"/>
      <c r="HGX195" s="36"/>
      <c r="HGY195" s="36"/>
      <c r="HGZ195" s="36"/>
      <c r="HHA195" s="36"/>
      <c r="HHB195" s="36"/>
      <c r="HHC195" s="36"/>
      <c r="HHD195" s="36"/>
      <c r="HHE195" s="36"/>
      <c r="HHF195" s="36"/>
      <c r="HHG195" s="36"/>
      <c r="HHH195" s="36"/>
      <c r="HHI195" s="36"/>
      <c r="HHJ195" s="36"/>
      <c r="HHK195" s="36"/>
      <c r="HHL195" s="36"/>
      <c r="HHM195" s="36"/>
      <c r="HHN195" s="36"/>
      <c r="HHO195" s="36"/>
      <c r="HHP195" s="36"/>
      <c r="HHQ195" s="36"/>
      <c r="HHR195" s="36"/>
      <c r="HHS195" s="36"/>
      <c r="HHT195" s="36"/>
      <c r="HHU195" s="36"/>
      <c r="HHV195" s="36"/>
      <c r="HHW195" s="36"/>
      <c r="HHX195" s="36"/>
      <c r="HHY195" s="36"/>
      <c r="HHZ195" s="36"/>
      <c r="HIA195" s="36"/>
      <c r="HIB195" s="36"/>
      <c r="HIC195" s="36"/>
      <c r="HID195" s="36"/>
      <c r="HIE195" s="36"/>
      <c r="HIF195" s="36"/>
      <c r="HIG195" s="36"/>
      <c r="HIH195" s="36"/>
      <c r="HII195" s="36"/>
      <c r="HIJ195" s="36"/>
      <c r="HIK195" s="36"/>
      <c r="HIL195" s="36"/>
      <c r="HIM195" s="36"/>
      <c r="HIN195" s="36"/>
      <c r="HIO195" s="36"/>
      <c r="HIP195" s="36"/>
      <c r="HIQ195" s="36"/>
      <c r="HIR195" s="36"/>
      <c r="HIS195" s="36"/>
      <c r="HIT195" s="36"/>
      <c r="HIU195" s="36"/>
      <c r="HIV195" s="36"/>
      <c r="HIW195" s="36"/>
      <c r="HIX195" s="36"/>
      <c r="HIY195" s="36"/>
      <c r="HIZ195" s="36"/>
      <c r="HJA195" s="36"/>
      <c r="HJB195" s="36"/>
      <c r="HJC195" s="36"/>
      <c r="HJD195" s="36"/>
      <c r="HJE195" s="36"/>
      <c r="HJF195" s="36"/>
      <c r="HJG195" s="36"/>
      <c r="HJH195" s="36"/>
      <c r="HJI195" s="36"/>
      <c r="HJJ195" s="36"/>
      <c r="HJK195" s="36"/>
      <c r="HJL195" s="36"/>
      <c r="HJM195" s="36"/>
      <c r="HJN195" s="36"/>
      <c r="HJO195" s="36"/>
      <c r="HJP195" s="36"/>
      <c r="HJQ195" s="36"/>
      <c r="HJR195" s="36"/>
      <c r="HJS195" s="36"/>
      <c r="HJT195" s="36"/>
      <c r="HJU195" s="36"/>
      <c r="HJV195" s="36"/>
      <c r="HJW195" s="36"/>
      <c r="HJX195" s="36"/>
      <c r="HJY195" s="36"/>
      <c r="HJZ195" s="36"/>
      <c r="HKA195" s="36"/>
      <c r="HKB195" s="36"/>
      <c r="HKC195" s="36"/>
      <c r="HKD195" s="36"/>
      <c r="HKE195" s="36"/>
      <c r="HKF195" s="36"/>
      <c r="HKG195" s="36"/>
      <c r="HKH195" s="36"/>
      <c r="HKI195" s="36"/>
      <c r="HKJ195" s="36"/>
      <c r="HKK195" s="36"/>
      <c r="HKL195" s="36"/>
      <c r="HKM195" s="36"/>
      <c r="HKN195" s="36"/>
      <c r="HKO195" s="36"/>
      <c r="HKP195" s="36"/>
      <c r="HKQ195" s="36"/>
      <c r="HKR195" s="36"/>
      <c r="HKS195" s="36"/>
      <c r="HKT195" s="36"/>
      <c r="HKU195" s="36"/>
      <c r="HKV195" s="36"/>
      <c r="HKW195" s="36"/>
      <c r="HKX195" s="36"/>
      <c r="HKY195" s="36"/>
      <c r="HKZ195" s="36"/>
      <c r="HLA195" s="36"/>
      <c r="HLB195" s="36"/>
      <c r="HLC195" s="36"/>
      <c r="HLD195" s="36"/>
      <c r="HLE195" s="36"/>
      <c r="HLF195" s="36"/>
      <c r="HLG195" s="36"/>
      <c r="HLH195" s="36"/>
      <c r="HLI195" s="36"/>
      <c r="HLJ195" s="36"/>
      <c r="HLK195" s="36"/>
      <c r="HLL195" s="36"/>
      <c r="HLM195" s="36"/>
      <c r="HLN195" s="36"/>
      <c r="HLO195" s="36"/>
      <c r="HLP195" s="36"/>
      <c r="HLQ195" s="36"/>
      <c r="HLR195" s="36"/>
      <c r="HLS195" s="36"/>
      <c r="HLT195" s="36"/>
      <c r="HLU195" s="36"/>
      <c r="HLV195" s="36"/>
      <c r="HLW195" s="36"/>
      <c r="HLX195" s="36"/>
      <c r="HLY195" s="36"/>
      <c r="HLZ195" s="36"/>
      <c r="HMA195" s="36"/>
      <c r="HMB195" s="36"/>
      <c r="HMC195" s="36"/>
      <c r="HMD195" s="36"/>
      <c r="HME195" s="36"/>
      <c r="HMF195" s="36"/>
      <c r="HMG195" s="36"/>
      <c r="HMH195" s="36"/>
      <c r="HMI195" s="36"/>
      <c r="HMJ195" s="36"/>
      <c r="HMK195" s="36"/>
      <c r="HML195" s="36"/>
      <c r="HMM195" s="36"/>
      <c r="HMN195" s="36"/>
      <c r="HMO195" s="36"/>
      <c r="HMP195" s="36"/>
      <c r="HMQ195" s="36"/>
      <c r="HMR195" s="36"/>
      <c r="HMS195" s="36"/>
      <c r="HMT195" s="36"/>
      <c r="HMU195" s="36"/>
      <c r="HMV195" s="36"/>
      <c r="HMW195" s="36"/>
      <c r="HMX195" s="36"/>
      <c r="HMY195" s="36"/>
      <c r="HMZ195" s="36"/>
      <c r="HNA195" s="36"/>
      <c r="HNB195" s="36"/>
      <c r="HNC195" s="36"/>
      <c r="HND195" s="36"/>
      <c r="HNE195" s="36"/>
      <c r="HNF195" s="36"/>
      <c r="HNG195" s="36"/>
      <c r="HNH195" s="36"/>
      <c r="HNI195" s="36"/>
      <c r="HNJ195" s="36"/>
      <c r="HNK195" s="36"/>
      <c r="HNL195" s="36"/>
      <c r="HNM195" s="36"/>
      <c r="HNN195" s="36"/>
      <c r="HNO195" s="36"/>
      <c r="HNP195" s="36"/>
      <c r="HNQ195" s="36"/>
      <c r="HNR195" s="36"/>
      <c r="HNS195" s="36"/>
      <c r="HNT195" s="36"/>
      <c r="HNU195" s="36"/>
      <c r="HNV195" s="36"/>
      <c r="HNW195" s="36"/>
      <c r="HNX195" s="36"/>
      <c r="HNY195" s="36"/>
      <c r="HNZ195" s="36"/>
      <c r="HOA195" s="36"/>
      <c r="HOB195" s="36"/>
      <c r="HOC195" s="36"/>
      <c r="HOD195" s="36"/>
      <c r="HOE195" s="36"/>
      <c r="HOF195" s="36"/>
      <c r="HOG195" s="36"/>
      <c r="HOH195" s="36"/>
      <c r="HOI195" s="36"/>
      <c r="HOJ195" s="36"/>
      <c r="HOK195" s="36"/>
      <c r="HOL195" s="36"/>
      <c r="HOM195" s="36"/>
      <c r="HON195" s="36"/>
      <c r="HOO195" s="36"/>
      <c r="HOP195" s="36"/>
      <c r="HOQ195" s="36"/>
      <c r="HOR195" s="36"/>
      <c r="HOS195" s="36"/>
      <c r="HOT195" s="36"/>
      <c r="HOU195" s="36"/>
      <c r="HOV195" s="36"/>
      <c r="HOW195" s="36"/>
      <c r="HOX195" s="36"/>
      <c r="HOY195" s="36"/>
      <c r="HOZ195" s="36"/>
      <c r="HPA195" s="36"/>
      <c r="HPB195" s="36"/>
      <c r="HPC195" s="36"/>
      <c r="HPD195" s="36"/>
      <c r="HPE195" s="36"/>
      <c r="HPF195" s="36"/>
      <c r="HPG195" s="36"/>
      <c r="HPH195" s="36"/>
      <c r="HPI195" s="36"/>
      <c r="HPJ195" s="36"/>
      <c r="HPK195" s="36"/>
      <c r="HPL195" s="36"/>
      <c r="HPM195" s="36"/>
      <c r="HPN195" s="36"/>
      <c r="HPO195" s="36"/>
      <c r="HPP195" s="36"/>
      <c r="HPQ195" s="36"/>
      <c r="HPR195" s="36"/>
      <c r="HPS195" s="36"/>
      <c r="HPT195" s="36"/>
      <c r="HPU195" s="36"/>
      <c r="HPV195" s="36"/>
      <c r="HPW195" s="36"/>
      <c r="HPX195" s="36"/>
      <c r="HPY195" s="36"/>
      <c r="HPZ195" s="36"/>
      <c r="HQA195" s="36"/>
      <c r="HQB195" s="36"/>
      <c r="HQC195" s="36"/>
      <c r="HQD195" s="36"/>
      <c r="HQE195" s="36"/>
      <c r="HQF195" s="36"/>
      <c r="HQG195" s="36"/>
      <c r="HQH195" s="36"/>
      <c r="HQI195" s="36"/>
      <c r="HQJ195" s="36"/>
      <c r="HQK195" s="36"/>
      <c r="HQL195" s="36"/>
      <c r="HQM195" s="36"/>
      <c r="HQN195" s="36"/>
      <c r="HQO195" s="36"/>
      <c r="HQP195" s="36"/>
      <c r="HQQ195" s="36"/>
      <c r="HQR195" s="36"/>
      <c r="HQS195" s="36"/>
      <c r="HQT195" s="36"/>
      <c r="HQU195" s="36"/>
      <c r="HQV195" s="36"/>
      <c r="HQW195" s="36"/>
      <c r="HQX195" s="36"/>
      <c r="HQY195" s="36"/>
      <c r="HQZ195" s="36"/>
      <c r="HRA195" s="36"/>
      <c r="HRB195" s="36"/>
      <c r="HRC195" s="36"/>
      <c r="HRD195" s="36"/>
      <c r="HRE195" s="36"/>
      <c r="HRF195" s="36"/>
      <c r="HRG195" s="36"/>
      <c r="HRH195" s="36"/>
      <c r="HRI195" s="36"/>
      <c r="HRJ195" s="36"/>
      <c r="HRK195" s="36"/>
      <c r="HRL195" s="36"/>
      <c r="HRM195" s="36"/>
      <c r="HRN195" s="36"/>
      <c r="HRO195" s="36"/>
      <c r="HRP195" s="36"/>
      <c r="HRQ195" s="36"/>
      <c r="HRR195" s="36"/>
      <c r="HRS195" s="36"/>
      <c r="HRT195" s="36"/>
      <c r="HRU195" s="36"/>
      <c r="HRV195" s="36"/>
      <c r="HRW195" s="36"/>
      <c r="HRX195" s="36"/>
      <c r="HRY195" s="36"/>
      <c r="HRZ195" s="36"/>
      <c r="HSA195" s="36"/>
      <c r="HSB195" s="36"/>
      <c r="HSC195" s="36"/>
      <c r="HSD195" s="36"/>
      <c r="HSE195" s="36"/>
      <c r="HSF195" s="36"/>
      <c r="HSG195" s="36"/>
      <c r="HSH195" s="36"/>
      <c r="HSI195" s="36"/>
      <c r="HSJ195" s="36"/>
      <c r="HSK195" s="36"/>
      <c r="HSL195" s="36"/>
      <c r="HSM195" s="36"/>
      <c r="HSN195" s="36"/>
      <c r="HSO195" s="36"/>
      <c r="HSP195" s="36"/>
      <c r="HSQ195" s="36"/>
      <c r="HSR195" s="36"/>
      <c r="HSS195" s="36"/>
      <c r="HST195" s="36"/>
      <c r="HSU195" s="36"/>
      <c r="HSV195" s="36"/>
      <c r="HSW195" s="36"/>
      <c r="HSX195" s="36"/>
      <c r="HSY195" s="36"/>
      <c r="HSZ195" s="36"/>
      <c r="HTA195" s="36"/>
      <c r="HTB195" s="36"/>
      <c r="HTC195" s="36"/>
      <c r="HTD195" s="36"/>
      <c r="HTE195" s="36"/>
      <c r="HTF195" s="36"/>
      <c r="HTG195" s="36"/>
      <c r="HTH195" s="36"/>
      <c r="HTI195" s="36"/>
      <c r="HTJ195" s="36"/>
      <c r="HTK195" s="36"/>
      <c r="HTL195" s="36"/>
      <c r="HTM195" s="36"/>
      <c r="HTN195" s="36"/>
      <c r="HTO195" s="36"/>
      <c r="HTP195" s="36"/>
      <c r="HTQ195" s="36"/>
      <c r="HTR195" s="36"/>
      <c r="HTS195" s="36"/>
      <c r="HTT195" s="36"/>
      <c r="HTU195" s="36"/>
      <c r="HTV195" s="36"/>
      <c r="HTW195" s="36"/>
      <c r="HTX195" s="36"/>
      <c r="HTY195" s="36"/>
      <c r="HTZ195" s="36"/>
      <c r="HUA195" s="36"/>
      <c r="HUB195" s="36"/>
      <c r="HUC195" s="36"/>
      <c r="HUD195" s="36"/>
      <c r="HUE195" s="36"/>
      <c r="HUF195" s="36"/>
      <c r="HUG195" s="36"/>
      <c r="HUH195" s="36"/>
      <c r="HUI195" s="36"/>
      <c r="HUJ195" s="36"/>
      <c r="HUK195" s="36"/>
      <c r="HUL195" s="36"/>
      <c r="HUM195" s="36"/>
      <c r="HUN195" s="36"/>
      <c r="HUO195" s="36"/>
      <c r="HUP195" s="36"/>
      <c r="HUQ195" s="36"/>
      <c r="HUR195" s="36"/>
      <c r="HUS195" s="36"/>
      <c r="HUT195" s="36"/>
      <c r="HUU195" s="36"/>
      <c r="HUV195" s="36"/>
      <c r="HUW195" s="36"/>
      <c r="HUX195" s="36"/>
      <c r="HUY195" s="36"/>
      <c r="HUZ195" s="36"/>
      <c r="HVA195" s="36"/>
      <c r="HVB195" s="36"/>
      <c r="HVC195" s="36"/>
      <c r="HVD195" s="36"/>
      <c r="HVE195" s="36"/>
      <c r="HVF195" s="36"/>
      <c r="HVG195" s="36"/>
      <c r="HVH195" s="36"/>
      <c r="HVI195" s="36"/>
      <c r="HVJ195" s="36"/>
      <c r="HVK195" s="36"/>
      <c r="HVL195" s="36"/>
      <c r="HVM195" s="36"/>
      <c r="HVN195" s="36"/>
      <c r="HVO195" s="36"/>
      <c r="HVP195" s="36"/>
      <c r="HVQ195" s="36"/>
      <c r="HVR195" s="36"/>
      <c r="HVS195" s="36"/>
      <c r="HVT195" s="36"/>
      <c r="HVU195" s="36"/>
      <c r="HVV195" s="36"/>
      <c r="HVW195" s="36"/>
      <c r="HVX195" s="36"/>
      <c r="HVY195" s="36"/>
      <c r="HVZ195" s="36"/>
      <c r="HWA195" s="36"/>
      <c r="HWB195" s="36"/>
      <c r="HWC195" s="36"/>
      <c r="HWD195" s="36"/>
      <c r="HWE195" s="36"/>
      <c r="HWF195" s="36"/>
      <c r="HWG195" s="36"/>
      <c r="HWH195" s="36"/>
      <c r="HWI195" s="36"/>
      <c r="HWJ195" s="36"/>
      <c r="HWK195" s="36"/>
      <c r="HWL195" s="36"/>
      <c r="HWM195" s="36"/>
      <c r="HWN195" s="36"/>
      <c r="HWO195" s="36"/>
      <c r="HWP195" s="36"/>
      <c r="HWQ195" s="36"/>
      <c r="HWR195" s="36"/>
      <c r="HWS195" s="36"/>
      <c r="HWT195" s="36"/>
      <c r="HWU195" s="36"/>
      <c r="HWV195" s="36"/>
      <c r="HWW195" s="36"/>
      <c r="HWX195" s="36"/>
      <c r="HWY195" s="36"/>
      <c r="HWZ195" s="36"/>
      <c r="HXA195" s="36"/>
      <c r="HXB195" s="36"/>
      <c r="HXC195" s="36"/>
      <c r="HXD195" s="36"/>
      <c r="HXE195" s="36"/>
      <c r="HXF195" s="36"/>
      <c r="HXG195" s="36"/>
      <c r="HXH195" s="36"/>
      <c r="HXI195" s="36"/>
      <c r="HXJ195" s="36"/>
      <c r="HXK195" s="36"/>
      <c r="HXL195" s="36"/>
      <c r="HXM195" s="36"/>
      <c r="HXN195" s="36"/>
      <c r="HXO195" s="36"/>
      <c r="HXP195" s="36"/>
      <c r="HXQ195" s="36"/>
      <c r="HXR195" s="36"/>
      <c r="HXS195" s="36"/>
      <c r="HXT195" s="36"/>
      <c r="HXU195" s="36"/>
      <c r="HXV195" s="36"/>
      <c r="HXW195" s="36"/>
      <c r="HXX195" s="36"/>
      <c r="HXY195" s="36"/>
      <c r="HXZ195" s="36"/>
      <c r="HYA195" s="36"/>
      <c r="HYB195" s="36"/>
      <c r="HYC195" s="36"/>
      <c r="HYD195" s="36"/>
      <c r="HYE195" s="36"/>
      <c r="HYF195" s="36"/>
      <c r="HYG195" s="36"/>
      <c r="HYH195" s="36"/>
      <c r="HYI195" s="36"/>
      <c r="HYJ195" s="36"/>
      <c r="HYK195" s="36"/>
      <c r="HYL195" s="36"/>
      <c r="HYM195" s="36"/>
      <c r="HYN195" s="36"/>
      <c r="HYO195" s="36"/>
      <c r="HYP195" s="36"/>
      <c r="HYQ195" s="36"/>
      <c r="HYR195" s="36"/>
      <c r="HYS195" s="36"/>
      <c r="HYT195" s="36"/>
      <c r="HYU195" s="36"/>
      <c r="HYV195" s="36"/>
      <c r="HYW195" s="36"/>
      <c r="HYX195" s="36"/>
      <c r="HYY195" s="36"/>
      <c r="HYZ195" s="36"/>
      <c r="HZA195" s="36"/>
      <c r="HZB195" s="36"/>
      <c r="HZC195" s="36"/>
      <c r="HZD195" s="36"/>
      <c r="HZE195" s="36"/>
      <c r="HZF195" s="36"/>
      <c r="HZG195" s="36"/>
      <c r="HZH195" s="36"/>
      <c r="HZI195" s="36"/>
      <c r="HZJ195" s="36"/>
      <c r="HZK195" s="36"/>
      <c r="HZL195" s="36"/>
      <c r="HZM195" s="36"/>
      <c r="HZN195" s="36"/>
      <c r="HZO195" s="36"/>
      <c r="HZP195" s="36"/>
      <c r="HZQ195" s="36"/>
      <c r="HZR195" s="36"/>
      <c r="HZS195" s="36"/>
      <c r="HZT195" s="36"/>
      <c r="HZU195" s="36"/>
      <c r="HZV195" s="36"/>
      <c r="HZW195" s="36"/>
      <c r="HZX195" s="36"/>
      <c r="HZY195" s="36"/>
      <c r="HZZ195" s="36"/>
      <c r="IAA195" s="36"/>
      <c r="IAB195" s="36"/>
      <c r="IAC195" s="36"/>
      <c r="IAD195" s="36"/>
      <c r="IAE195" s="36"/>
      <c r="IAF195" s="36"/>
      <c r="IAG195" s="36"/>
      <c r="IAH195" s="36"/>
      <c r="IAI195" s="36"/>
      <c r="IAJ195" s="36"/>
      <c r="IAK195" s="36"/>
      <c r="IAL195" s="36"/>
      <c r="IAM195" s="36"/>
      <c r="IAN195" s="36"/>
      <c r="IAO195" s="36"/>
      <c r="IAP195" s="36"/>
      <c r="IAQ195" s="36"/>
      <c r="IAR195" s="36"/>
      <c r="IAS195" s="36"/>
      <c r="IAT195" s="36"/>
      <c r="IAU195" s="36"/>
      <c r="IAV195" s="36"/>
      <c r="IAW195" s="36"/>
      <c r="IAX195" s="36"/>
      <c r="IAY195" s="36"/>
      <c r="IAZ195" s="36"/>
      <c r="IBA195" s="36"/>
      <c r="IBB195" s="36"/>
      <c r="IBC195" s="36"/>
      <c r="IBD195" s="36"/>
      <c r="IBE195" s="36"/>
      <c r="IBF195" s="36"/>
      <c r="IBG195" s="36"/>
      <c r="IBH195" s="36"/>
      <c r="IBI195" s="36"/>
      <c r="IBJ195" s="36"/>
      <c r="IBK195" s="36"/>
      <c r="IBL195" s="36"/>
      <c r="IBM195" s="36"/>
      <c r="IBN195" s="36"/>
      <c r="IBO195" s="36"/>
      <c r="IBP195" s="36"/>
      <c r="IBQ195" s="36"/>
      <c r="IBR195" s="36"/>
      <c r="IBS195" s="36"/>
      <c r="IBT195" s="36"/>
      <c r="IBU195" s="36"/>
      <c r="IBV195" s="36"/>
      <c r="IBW195" s="36"/>
      <c r="IBX195" s="36"/>
      <c r="IBY195" s="36"/>
      <c r="IBZ195" s="36"/>
      <c r="ICA195" s="36"/>
      <c r="ICB195" s="36"/>
      <c r="ICC195" s="36"/>
      <c r="ICD195" s="36"/>
      <c r="ICE195" s="36"/>
      <c r="ICF195" s="36"/>
      <c r="ICG195" s="36"/>
      <c r="ICH195" s="36"/>
      <c r="ICI195" s="36"/>
      <c r="ICJ195" s="36"/>
      <c r="ICK195" s="36"/>
      <c r="ICL195" s="36"/>
      <c r="ICM195" s="36"/>
      <c r="ICN195" s="36"/>
      <c r="ICO195" s="36"/>
      <c r="ICP195" s="36"/>
      <c r="ICQ195" s="36"/>
      <c r="ICR195" s="36"/>
      <c r="ICS195" s="36"/>
      <c r="ICT195" s="36"/>
      <c r="ICU195" s="36"/>
      <c r="ICV195" s="36"/>
      <c r="ICW195" s="36"/>
      <c r="ICX195" s="36"/>
      <c r="ICY195" s="36"/>
      <c r="ICZ195" s="36"/>
      <c r="IDA195" s="36"/>
      <c r="IDB195" s="36"/>
      <c r="IDC195" s="36"/>
      <c r="IDD195" s="36"/>
      <c r="IDE195" s="36"/>
      <c r="IDF195" s="36"/>
      <c r="IDG195" s="36"/>
      <c r="IDH195" s="36"/>
      <c r="IDI195" s="36"/>
      <c r="IDJ195" s="36"/>
      <c r="IDK195" s="36"/>
      <c r="IDL195" s="36"/>
      <c r="IDM195" s="36"/>
      <c r="IDN195" s="36"/>
      <c r="IDO195" s="36"/>
      <c r="IDP195" s="36"/>
      <c r="IDQ195" s="36"/>
      <c r="IDR195" s="36"/>
      <c r="IDS195" s="36"/>
      <c r="IDT195" s="36"/>
      <c r="IDU195" s="36"/>
      <c r="IDV195" s="36"/>
      <c r="IDW195" s="36"/>
      <c r="IDX195" s="36"/>
      <c r="IDY195" s="36"/>
      <c r="IDZ195" s="36"/>
      <c r="IEA195" s="36"/>
      <c r="IEB195" s="36"/>
      <c r="IEC195" s="36"/>
      <c r="IED195" s="36"/>
      <c r="IEE195" s="36"/>
      <c r="IEF195" s="36"/>
      <c r="IEG195" s="36"/>
      <c r="IEH195" s="36"/>
      <c r="IEI195" s="36"/>
      <c r="IEJ195" s="36"/>
      <c r="IEK195" s="36"/>
      <c r="IEL195" s="36"/>
      <c r="IEM195" s="36"/>
      <c r="IEN195" s="36"/>
      <c r="IEO195" s="36"/>
      <c r="IEP195" s="36"/>
      <c r="IEQ195" s="36"/>
      <c r="IER195" s="36"/>
      <c r="IES195" s="36"/>
      <c r="IET195" s="36"/>
      <c r="IEU195" s="36"/>
      <c r="IEV195" s="36"/>
      <c r="IEW195" s="36"/>
      <c r="IEX195" s="36"/>
      <c r="IEY195" s="36"/>
      <c r="IEZ195" s="36"/>
      <c r="IFA195" s="36"/>
      <c r="IFB195" s="36"/>
      <c r="IFC195" s="36"/>
      <c r="IFD195" s="36"/>
      <c r="IFE195" s="36"/>
      <c r="IFF195" s="36"/>
      <c r="IFG195" s="36"/>
      <c r="IFH195" s="36"/>
      <c r="IFI195" s="36"/>
      <c r="IFJ195" s="36"/>
      <c r="IFK195" s="36"/>
      <c r="IFL195" s="36"/>
      <c r="IFM195" s="36"/>
      <c r="IFN195" s="36"/>
      <c r="IFO195" s="36"/>
      <c r="IFP195" s="36"/>
      <c r="IFQ195" s="36"/>
      <c r="IFR195" s="36"/>
      <c r="IFS195" s="36"/>
      <c r="IFT195" s="36"/>
      <c r="IFU195" s="36"/>
      <c r="IFV195" s="36"/>
      <c r="IFW195" s="36"/>
      <c r="IFX195" s="36"/>
      <c r="IFY195" s="36"/>
      <c r="IFZ195" s="36"/>
      <c r="IGA195" s="36"/>
      <c r="IGB195" s="36"/>
      <c r="IGC195" s="36"/>
      <c r="IGD195" s="36"/>
      <c r="IGE195" s="36"/>
      <c r="IGF195" s="36"/>
      <c r="IGG195" s="36"/>
      <c r="IGH195" s="36"/>
      <c r="IGI195" s="36"/>
      <c r="IGJ195" s="36"/>
      <c r="IGK195" s="36"/>
      <c r="IGL195" s="36"/>
      <c r="IGM195" s="36"/>
      <c r="IGN195" s="36"/>
      <c r="IGO195" s="36"/>
      <c r="IGP195" s="36"/>
      <c r="IGQ195" s="36"/>
      <c r="IGR195" s="36"/>
      <c r="IGS195" s="36"/>
      <c r="IGT195" s="36"/>
      <c r="IGU195" s="36"/>
      <c r="IGV195" s="36"/>
      <c r="IGW195" s="36"/>
      <c r="IGX195" s="36"/>
      <c r="IGY195" s="36"/>
      <c r="IGZ195" s="36"/>
      <c r="IHA195" s="36"/>
      <c r="IHB195" s="36"/>
      <c r="IHC195" s="36"/>
      <c r="IHD195" s="36"/>
      <c r="IHE195" s="36"/>
      <c r="IHF195" s="36"/>
      <c r="IHG195" s="36"/>
      <c r="IHH195" s="36"/>
      <c r="IHI195" s="36"/>
      <c r="IHJ195" s="36"/>
      <c r="IHK195" s="36"/>
      <c r="IHL195" s="36"/>
      <c r="IHM195" s="36"/>
      <c r="IHN195" s="36"/>
      <c r="IHO195" s="36"/>
      <c r="IHP195" s="36"/>
      <c r="IHQ195" s="36"/>
      <c r="IHR195" s="36"/>
      <c r="IHS195" s="36"/>
      <c r="IHT195" s="36"/>
      <c r="IHU195" s="36"/>
      <c r="IHV195" s="36"/>
      <c r="IHW195" s="36"/>
      <c r="IHX195" s="36"/>
      <c r="IHY195" s="36"/>
      <c r="IHZ195" s="36"/>
      <c r="IIA195" s="36"/>
      <c r="IIB195" s="36"/>
      <c r="IIC195" s="36"/>
      <c r="IID195" s="36"/>
      <c r="IIE195" s="36"/>
      <c r="IIF195" s="36"/>
      <c r="IIG195" s="36"/>
      <c r="IIH195" s="36"/>
      <c r="III195" s="36"/>
      <c r="IIJ195" s="36"/>
      <c r="IIK195" s="36"/>
      <c r="IIL195" s="36"/>
      <c r="IIM195" s="36"/>
      <c r="IIN195" s="36"/>
      <c r="IIO195" s="36"/>
      <c r="IIP195" s="36"/>
      <c r="IIQ195" s="36"/>
      <c r="IIR195" s="36"/>
      <c r="IIS195" s="36"/>
      <c r="IIT195" s="36"/>
      <c r="IIU195" s="36"/>
      <c r="IIV195" s="36"/>
      <c r="IIW195" s="36"/>
      <c r="IIX195" s="36"/>
      <c r="IIY195" s="36"/>
      <c r="IIZ195" s="36"/>
      <c r="IJA195" s="36"/>
      <c r="IJB195" s="36"/>
      <c r="IJC195" s="36"/>
      <c r="IJD195" s="36"/>
      <c r="IJE195" s="36"/>
      <c r="IJF195" s="36"/>
      <c r="IJG195" s="36"/>
      <c r="IJH195" s="36"/>
      <c r="IJI195" s="36"/>
      <c r="IJJ195" s="36"/>
      <c r="IJK195" s="36"/>
      <c r="IJL195" s="36"/>
      <c r="IJM195" s="36"/>
      <c r="IJN195" s="36"/>
      <c r="IJO195" s="36"/>
      <c r="IJP195" s="36"/>
      <c r="IJQ195" s="36"/>
      <c r="IJR195" s="36"/>
      <c r="IJS195" s="36"/>
      <c r="IJT195" s="36"/>
      <c r="IJU195" s="36"/>
      <c r="IJV195" s="36"/>
      <c r="IJW195" s="36"/>
      <c r="IJX195" s="36"/>
      <c r="IJY195" s="36"/>
      <c r="IJZ195" s="36"/>
      <c r="IKA195" s="36"/>
      <c r="IKB195" s="36"/>
      <c r="IKC195" s="36"/>
      <c r="IKD195" s="36"/>
      <c r="IKE195" s="36"/>
      <c r="IKF195" s="36"/>
      <c r="IKG195" s="36"/>
      <c r="IKH195" s="36"/>
      <c r="IKI195" s="36"/>
      <c r="IKJ195" s="36"/>
      <c r="IKK195" s="36"/>
      <c r="IKL195" s="36"/>
      <c r="IKM195" s="36"/>
      <c r="IKN195" s="36"/>
      <c r="IKO195" s="36"/>
      <c r="IKP195" s="36"/>
      <c r="IKQ195" s="36"/>
      <c r="IKR195" s="36"/>
      <c r="IKS195" s="36"/>
      <c r="IKT195" s="36"/>
      <c r="IKU195" s="36"/>
      <c r="IKV195" s="36"/>
      <c r="IKW195" s="36"/>
      <c r="IKX195" s="36"/>
      <c r="IKY195" s="36"/>
      <c r="IKZ195" s="36"/>
      <c r="ILA195" s="36"/>
      <c r="ILB195" s="36"/>
      <c r="ILC195" s="36"/>
      <c r="ILD195" s="36"/>
      <c r="ILE195" s="36"/>
      <c r="ILF195" s="36"/>
      <c r="ILG195" s="36"/>
      <c r="ILH195" s="36"/>
      <c r="ILI195" s="36"/>
      <c r="ILJ195" s="36"/>
      <c r="ILK195" s="36"/>
      <c r="ILL195" s="36"/>
      <c r="ILM195" s="36"/>
      <c r="ILN195" s="36"/>
      <c r="ILO195" s="36"/>
      <c r="ILP195" s="36"/>
      <c r="ILQ195" s="36"/>
      <c r="ILR195" s="36"/>
      <c r="ILS195" s="36"/>
      <c r="ILT195" s="36"/>
      <c r="ILU195" s="36"/>
      <c r="ILV195" s="36"/>
      <c r="ILW195" s="36"/>
      <c r="ILX195" s="36"/>
      <c r="ILY195" s="36"/>
      <c r="ILZ195" s="36"/>
      <c r="IMA195" s="36"/>
      <c r="IMB195" s="36"/>
      <c r="IMC195" s="36"/>
      <c r="IMD195" s="36"/>
      <c r="IME195" s="36"/>
      <c r="IMF195" s="36"/>
      <c r="IMG195" s="36"/>
      <c r="IMH195" s="36"/>
      <c r="IMI195" s="36"/>
      <c r="IMJ195" s="36"/>
      <c r="IMK195" s="36"/>
      <c r="IML195" s="36"/>
      <c r="IMM195" s="36"/>
      <c r="IMN195" s="36"/>
      <c r="IMO195" s="36"/>
      <c r="IMP195" s="36"/>
      <c r="IMQ195" s="36"/>
      <c r="IMR195" s="36"/>
      <c r="IMS195" s="36"/>
      <c r="IMT195" s="36"/>
      <c r="IMU195" s="36"/>
      <c r="IMV195" s="36"/>
      <c r="IMW195" s="36"/>
      <c r="IMX195" s="36"/>
      <c r="IMY195" s="36"/>
      <c r="IMZ195" s="36"/>
      <c r="INA195" s="36"/>
      <c r="INB195" s="36"/>
      <c r="INC195" s="36"/>
      <c r="IND195" s="36"/>
      <c r="INE195" s="36"/>
      <c r="INF195" s="36"/>
      <c r="ING195" s="36"/>
      <c r="INH195" s="36"/>
      <c r="INI195" s="36"/>
      <c r="INJ195" s="36"/>
      <c r="INK195" s="36"/>
      <c r="INL195" s="36"/>
      <c r="INM195" s="36"/>
      <c r="INN195" s="36"/>
      <c r="INO195" s="36"/>
      <c r="INP195" s="36"/>
      <c r="INQ195" s="36"/>
      <c r="INR195" s="36"/>
      <c r="INS195" s="36"/>
      <c r="INT195" s="36"/>
      <c r="INU195" s="36"/>
      <c r="INV195" s="36"/>
      <c r="INW195" s="36"/>
      <c r="INX195" s="36"/>
      <c r="INY195" s="36"/>
      <c r="INZ195" s="36"/>
      <c r="IOA195" s="36"/>
      <c r="IOB195" s="36"/>
      <c r="IOC195" s="36"/>
      <c r="IOD195" s="36"/>
      <c r="IOE195" s="36"/>
      <c r="IOF195" s="36"/>
      <c r="IOG195" s="36"/>
      <c r="IOH195" s="36"/>
      <c r="IOI195" s="36"/>
      <c r="IOJ195" s="36"/>
      <c r="IOK195" s="36"/>
      <c r="IOL195" s="36"/>
      <c r="IOM195" s="36"/>
      <c r="ION195" s="36"/>
      <c r="IOO195" s="36"/>
      <c r="IOP195" s="36"/>
      <c r="IOQ195" s="36"/>
      <c r="IOR195" s="36"/>
      <c r="IOS195" s="36"/>
      <c r="IOT195" s="36"/>
      <c r="IOU195" s="36"/>
      <c r="IOV195" s="36"/>
      <c r="IOW195" s="36"/>
      <c r="IOX195" s="36"/>
      <c r="IOY195" s="36"/>
      <c r="IOZ195" s="36"/>
      <c r="IPA195" s="36"/>
      <c r="IPB195" s="36"/>
      <c r="IPC195" s="36"/>
      <c r="IPD195" s="36"/>
      <c r="IPE195" s="36"/>
      <c r="IPF195" s="36"/>
      <c r="IPG195" s="36"/>
      <c r="IPH195" s="36"/>
      <c r="IPI195" s="36"/>
      <c r="IPJ195" s="36"/>
      <c r="IPK195" s="36"/>
      <c r="IPL195" s="36"/>
      <c r="IPM195" s="36"/>
      <c r="IPN195" s="36"/>
      <c r="IPO195" s="36"/>
      <c r="IPP195" s="36"/>
      <c r="IPQ195" s="36"/>
      <c r="IPR195" s="36"/>
      <c r="IPS195" s="36"/>
      <c r="IPT195" s="36"/>
      <c r="IPU195" s="36"/>
      <c r="IPV195" s="36"/>
      <c r="IPW195" s="36"/>
      <c r="IPX195" s="36"/>
      <c r="IPY195" s="36"/>
      <c r="IPZ195" s="36"/>
      <c r="IQA195" s="36"/>
      <c r="IQB195" s="36"/>
      <c r="IQC195" s="36"/>
      <c r="IQD195" s="36"/>
      <c r="IQE195" s="36"/>
      <c r="IQF195" s="36"/>
      <c r="IQG195" s="36"/>
      <c r="IQH195" s="36"/>
      <c r="IQI195" s="36"/>
      <c r="IQJ195" s="36"/>
      <c r="IQK195" s="36"/>
      <c r="IQL195" s="36"/>
      <c r="IQM195" s="36"/>
      <c r="IQN195" s="36"/>
      <c r="IQO195" s="36"/>
      <c r="IQP195" s="36"/>
      <c r="IQQ195" s="36"/>
      <c r="IQR195" s="36"/>
      <c r="IQS195" s="36"/>
      <c r="IQT195" s="36"/>
      <c r="IQU195" s="36"/>
      <c r="IQV195" s="36"/>
      <c r="IQW195" s="36"/>
      <c r="IQX195" s="36"/>
      <c r="IQY195" s="36"/>
      <c r="IQZ195" s="36"/>
      <c r="IRA195" s="36"/>
      <c r="IRB195" s="36"/>
      <c r="IRC195" s="36"/>
      <c r="IRD195" s="36"/>
      <c r="IRE195" s="36"/>
      <c r="IRF195" s="36"/>
      <c r="IRG195" s="36"/>
      <c r="IRH195" s="36"/>
      <c r="IRI195" s="36"/>
      <c r="IRJ195" s="36"/>
      <c r="IRK195" s="36"/>
      <c r="IRL195" s="36"/>
      <c r="IRM195" s="36"/>
      <c r="IRN195" s="36"/>
      <c r="IRO195" s="36"/>
      <c r="IRP195" s="36"/>
      <c r="IRQ195" s="36"/>
      <c r="IRR195" s="36"/>
      <c r="IRS195" s="36"/>
      <c r="IRT195" s="36"/>
      <c r="IRU195" s="36"/>
      <c r="IRV195" s="36"/>
      <c r="IRW195" s="36"/>
      <c r="IRX195" s="36"/>
      <c r="IRY195" s="36"/>
      <c r="IRZ195" s="36"/>
      <c r="ISA195" s="36"/>
      <c r="ISB195" s="36"/>
      <c r="ISC195" s="36"/>
      <c r="ISD195" s="36"/>
      <c r="ISE195" s="36"/>
      <c r="ISF195" s="36"/>
      <c r="ISG195" s="36"/>
      <c r="ISH195" s="36"/>
      <c r="ISI195" s="36"/>
      <c r="ISJ195" s="36"/>
      <c r="ISK195" s="36"/>
      <c r="ISL195" s="36"/>
      <c r="ISM195" s="36"/>
      <c r="ISN195" s="36"/>
      <c r="ISO195" s="36"/>
      <c r="ISP195" s="36"/>
      <c r="ISQ195" s="36"/>
      <c r="ISR195" s="36"/>
      <c r="ISS195" s="36"/>
      <c r="IST195" s="36"/>
      <c r="ISU195" s="36"/>
      <c r="ISV195" s="36"/>
      <c r="ISW195" s="36"/>
      <c r="ISX195" s="36"/>
      <c r="ISY195" s="36"/>
      <c r="ISZ195" s="36"/>
      <c r="ITA195" s="36"/>
      <c r="ITB195" s="36"/>
      <c r="ITC195" s="36"/>
      <c r="ITD195" s="36"/>
      <c r="ITE195" s="36"/>
      <c r="ITF195" s="36"/>
      <c r="ITG195" s="36"/>
      <c r="ITH195" s="36"/>
      <c r="ITI195" s="36"/>
      <c r="ITJ195" s="36"/>
      <c r="ITK195" s="36"/>
      <c r="ITL195" s="36"/>
      <c r="ITM195" s="36"/>
      <c r="ITN195" s="36"/>
      <c r="ITO195" s="36"/>
      <c r="ITP195" s="36"/>
      <c r="ITQ195" s="36"/>
      <c r="ITR195" s="36"/>
      <c r="ITS195" s="36"/>
      <c r="ITT195" s="36"/>
      <c r="ITU195" s="36"/>
      <c r="ITV195" s="36"/>
      <c r="ITW195" s="36"/>
      <c r="ITX195" s="36"/>
      <c r="ITY195" s="36"/>
      <c r="ITZ195" s="36"/>
      <c r="IUA195" s="36"/>
      <c r="IUB195" s="36"/>
      <c r="IUC195" s="36"/>
      <c r="IUD195" s="36"/>
      <c r="IUE195" s="36"/>
      <c r="IUF195" s="36"/>
      <c r="IUG195" s="36"/>
      <c r="IUH195" s="36"/>
      <c r="IUI195" s="36"/>
      <c r="IUJ195" s="36"/>
      <c r="IUK195" s="36"/>
      <c r="IUL195" s="36"/>
      <c r="IUM195" s="36"/>
      <c r="IUN195" s="36"/>
      <c r="IUO195" s="36"/>
      <c r="IUP195" s="36"/>
      <c r="IUQ195" s="36"/>
      <c r="IUR195" s="36"/>
      <c r="IUS195" s="36"/>
      <c r="IUT195" s="36"/>
      <c r="IUU195" s="36"/>
      <c r="IUV195" s="36"/>
      <c r="IUW195" s="36"/>
      <c r="IUX195" s="36"/>
      <c r="IUY195" s="36"/>
      <c r="IUZ195" s="36"/>
      <c r="IVA195" s="36"/>
      <c r="IVB195" s="36"/>
      <c r="IVC195" s="36"/>
      <c r="IVD195" s="36"/>
      <c r="IVE195" s="36"/>
      <c r="IVF195" s="36"/>
      <c r="IVG195" s="36"/>
      <c r="IVH195" s="36"/>
      <c r="IVI195" s="36"/>
      <c r="IVJ195" s="36"/>
      <c r="IVK195" s="36"/>
      <c r="IVL195" s="36"/>
      <c r="IVM195" s="36"/>
      <c r="IVN195" s="36"/>
      <c r="IVO195" s="36"/>
      <c r="IVP195" s="36"/>
      <c r="IVQ195" s="36"/>
      <c r="IVR195" s="36"/>
      <c r="IVS195" s="36"/>
      <c r="IVT195" s="36"/>
      <c r="IVU195" s="36"/>
      <c r="IVV195" s="36"/>
      <c r="IVW195" s="36"/>
      <c r="IVX195" s="36"/>
      <c r="IVY195" s="36"/>
      <c r="IVZ195" s="36"/>
      <c r="IWA195" s="36"/>
      <c r="IWB195" s="36"/>
      <c r="IWC195" s="36"/>
      <c r="IWD195" s="36"/>
      <c r="IWE195" s="36"/>
      <c r="IWF195" s="36"/>
      <c r="IWG195" s="36"/>
      <c r="IWH195" s="36"/>
      <c r="IWI195" s="36"/>
      <c r="IWJ195" s="36"/>
      <c r="IWK195" s="36"/>
      <c r="IWL195" s="36"/>
      <c r="IWM195" s="36"/>
      <c r="IWN195" s="36"/>
      <c r="IWO195" s="36"/>
      <c r="IWP195" s="36"/>
      <c r="IWQ195" s="36"/>
      <c r="IWR195" s="36"/>
      <c r="IWS195" s="36"/>
      <c r="IWT195" s="36"/>
      <c r="IWU195" s="36"/>
      <c r="IWV195" s="36"/>
      <c r="IWW195" s="36"/>
      <c r="IWX195" s="36"/>
      <c r="IWY195" s="36"/>
      <c r="IWZ195" s="36"/>
      <c r="IXA195" s="36"/>
      <c r="IXB195" s="36"/>
      <c r="IXC195" s="36"/>
      <c r="IXD195" s="36"/>
      <c r="IXE195" s="36"/>
      <c r="IXF195" s="36"/>
      <c r="IXG195" s="36"/>
      <c r="IXH195" s="36"/>
      <c r="IXI195" s="36"/>
      <c r="IXJ195" s="36"/>
      <c r="IXK195" s="36"/>
      <c r="IXL195" s="36"/>
      <c r="IXM195" s="36"/>
      <c r="IXN195" s="36"/>
      <c r="IXO195" s="36"/>
      <c r="IXP195" s="36"/>
      <c r="IXQ195" s="36"/>
      <c r="IXR195" s="36"/>
      <c r="IXS195" s="36"/>
      <c r="IXT195" s="36"/>
      <c r="IXU195" s="36"/>
      <c r="IXV195" s="36"/>
      <c r="IXW195" s="36"/>
      <c r="IXX195" s="36"/>
      <c r="IXY195" s="36"/>
      <c r="IXZ195" s="36"/>
      <c r="IYA195" s="36"/>
      <c r="IYB195" s="36"/>
      <c r="IYC195" s="36"/>
      <c r="IYD195" s="36"/>
      <c r="IYE195" s="36"/>
      <c r="IYF195" s="36"/>
      <c r="IYG195" s="36"/>
      <c r="IYH195" s="36"/>
      <c r="IYI195" s="36"/>
      <c r="IYJ195" s="36"/>
      <c r="IYK195" s="36"/>
      <c r="IYL195" s="36"/>
      <c r="IYM195" s="36"/>
      <c r="IYN195" s="36"/>
      <c r="IYO195" s="36"/>
      <c r="IYP195" s="36"/>
      <c r="IYQ195" s="36"/>
      <c r="IYR195" s="36"/>
      <c r="IYS195" s="36"/>
      <c r="IYT195" s="36"/>
      <c r="IYU195" s="36"/>
      <c r="IYV195" s="36"/>
      <c r="IYW195" s="36"/>
      <c r="IYX195" s="36"/>
      <c r="IYY195" s="36"/>
      <c r="IYZ195" s="36"/>
      <c r="IZA195" s="36"/>
      <c r="IZB195" s="36"/>
      <c r="IZC195" s="36"/>
      <c r="IZD195" s="36"/>
      <c r="IZE195" s="36"/>
      <c r="IZF195" s="36"/>
      <c r="IZG195" s="36"/>
      <c r="IZH195" s="36"/>
      <c r="IZI195" s="36"/>
      <c r="IZJ195" s="36"/>
      <c r="IZK195" s="36"/>
      <c r="IZL195" s="36"/>
      <c r="IZM195" s="36"/>
      <c r="IZN195" s="36"/>
      <c r="IZO195" s="36"/>
      <c r="IZP195" s="36"/>
      <c r="IZQ195" s="36"/>
      <c r="IZR195" s="36"/>
      <c r="IZS195" s="36"/>
      <c r="IZT195" s="36"/>
      <c r="IZU195" s="36"/>
      <c r="IZV195" s="36"/>
      <c r="IZW195" s="36"/>
      <c r="IZX195" s="36"/>
      <c r="IZY195" s="36"/>
      <c r="IZZ195" s="36"/>
      <c r="JAA195" s="36"/>
      <c r="JAB195" s="36"/>
      <c r="JAC195" s="36"/>
      <c r="JAD195" s="36"/>
      <c r="JAE195" s="36"/>
      <c r="JAF195" s="36"/>
      <c r="JAG195" s="36"/>
      <c r="JAH195" s="36"/>
      <c r="JAI195" s="36"/>
      <c r="JAJ195" s="36"/>
      <c r="JAK195" s="36"/>
      <c r="JAL195" s="36"/>
      <c r="JAM195" s="36"/>
      <c r="JAN195" s="36"/>
      <c r="JAO195" s="36"/>
      <c r="JAP195" s="36"/>
      <c r="JAQ195" s="36"/>
      <c r="JAR195" s="36"/>
      <c r="JAS195" s="36"/>
      <c r="JAT195" s="36"/>
      <c r="JAU195" s="36"/>
      <c r="JAV195" s="36"/>
      <c r="JAW195" s="36"/>
      <c r="JAX195" s="36"/>
      <c r="JAY195" s="36"/>
      <c r="JAZ195" s="36"/>
      <c r="JBA195" s="36"/>
      <c r="JBB195" s="36"/>
      <c r="JBC195" s="36"/>
      <c r="JBD195" s="36"/>
      <c r="JBE195" s="36"/>
      <c r="JBF195" s="36"/>
      <c r="JBG195" s="36"/>
      <c r="JBH195" s="36"/>
      <c r="JBI195" s="36"/>
      <c r="JBJ195" s="36"/>
      <c r="JBK195" s="36"/>
      <c r="JBL195" s="36"/>
      <c r="JBM195" s="36"/>
      <c r="JBN195" s="36"/>
      <c r="JBO195" s="36"/>
      <c r="JBP195" s="36"/>
      <c r="JBQ195" s="36"/>
      <c r="JBR195" s="36"/>
      <c r="JBS195" s="36"/>
      <c r="JBT195" s="36"/>
      <c r="JBU195" s="36"/>
      <c r="JBV195" s="36"/>
      <c r="JBW195" s="36"/>
      <c r="JBX195" s="36"/>
      <c r="JBY195" s="36"/>
      <c r="JBZ195" s="36"/>
      <c r="JCA195" s="36"/>
      <c r="JCB195" s="36"/>
      <c r="JCC195" s="36"/>
      <c r="JCD195" s="36"/>
      <c r="JCE195" s="36"/>
      <c r="JCF195" s="36"/>
      <c r="JCG195" s="36"/>
      <c r="JCH195" s="36"/>
      <c r="JCI195" s="36"/>
      <c r="JCJ195" s="36"/>
      <c r="JCK195" s="36"/>
      <c r="JCL195" s="36"/>
      <c r="JCM195" s="36"/>
      <c r="JCN195" s="36"/>
      <c r="JCO195" s="36"/>
      <c r="JCP195" s="36"/>
      <c r="JCQ195" s="36"/>
      <c r="JCR195" s="36"/>
      <c r="JCS195" s="36"/>
      <c r="JCT195" s="36"/>
      <c r="JCU195" s="36"/>
      <c r="JCV195" s="36"/>
      <c r="JCW195" s="36"/>
      <c r="JCX195" s="36"/>
      <c r="JCY195" s="36"/>
      <c r="JCZ195" s="36"/>
      <c r="JDA195" s="36"/>
      <c r="JDB195" s="36"/>
      <c r="JDC195" s="36"/>
      <c r="JDD195" s="36"/>
      <c r="JDE195" s="36"/>
      <c r="JDF195" s="36"/>
      <c r="JDG195" s="36"/>
      <c r="JDH195" s="36"/>
      <c r="JDI195" s="36"/>
      <c r="JDJ195" s="36"/>
      <c r="JDK195" s="36"/>
      <c r="JDL195" s="36"/>
      <c r="JDM195" s="36"/>
      <c r="JDN195" s="36"/>
      <c r="JDO195" s="36"/>
      <c r="JDP195" s="36"/>
      <c r="JDQ195" s="36"/>
      <c r="JDR195" s="36"/>
      <c r="JDS195" s="36"/>
      <c r="JDT195" s="36"/>
      <c r="JDU195" s="36"/>
      <c r="JDV195" s="36"/>
      <c r="JDW195" s="36"/>
      <c r="JDX195" s="36"/>
      <c r="JDY195" s="36"/>
      <c r="JDZ195" s="36"/>
      <c r="JEA195" s="36"/>
      <c r="JEB195" s="36"/>
      <c r="JEC195" s="36"/>
      <c r="JED195" s="36"/>
      <c r="JEE195" s="36"/>
      <c r="JEF195" s="36"/>
      <c r="JEG195" s="36"/>
      <c r="JEH195" s="36"/>
      <c r="JEI195" s="36"/>
      <c r="JEJ195" s="36"/>
      <c r="JEK195" s="36"/>
      <c r="JEL195" s="36"/>
      <c r="JEM195" s="36"/>
      <c r="JEN195" s="36"/>
      <c r="JEO195" s="36"/>
      <c r="JEP195" s="36"/>
      <c r="JEQ195" s="36"/>
      <c r="JER195" s="36"/>
      <c r="JES195" s="36"/>
      <c r="JET195" s="36"/>
      <c r="JEU195" s="36"/>
      <c r="JEV195" s="36"/>
      <c r="JEW195" s="36"/>
      <c r="JEX195" s="36"/>
      <c r="JEY195" s="36"/>
      <c r="JEZ195" s="36"/>
      <c r="JFA195" s="36"/>
      <c r="JFB195" s="36"/>
      <c r="JFC195" s="36"/>
      <c r="JFD195" s="36"/>
      <c r="JFE195" s="36"/>
      <c r="JFF195" s="36"/>
      <c r="JFG195" s="36"/>
      <c r="JFH195" s="36"/>
      <c r="JFI195" s="36"/>
      <c r="JFJ195" s="36"/>
      <c r="JFK195" s="36"/>
      <c r="JFL195" s="36"/>
      <c r="JFM195" s="36"/>
      <c r="JFN195" s="36"/>
      <c r="JFO195" s="36"/>
      <c r="JFP195" s="36"/>
      <c r="JFQ195" s="36"/>
      <c r="JFR195" s="36"/>
      <c r="JFS195" s="36"/>
      <c r="JFT195" s="36"/>
      <c r="JFU195" s="36"/>
      <c r="JFV195" s="36"/>
      <c r="JFW195" s="36"/>
      <c r="JFX195" s="36"/>
      <c r="JFY195" s="36"/>
      <c r="JFZ195" s="36"/>
      <c r="JGA195" s="36"/>
      <c r="JGB195" s="36"/>
      <c r="JGC195" s="36"/>
      <c r="JGD195" s="36"/>
      <c r="JGE195" s="36"/>
      <c r="JGF195" s="36"/>
      <c r="JGG195" s="36"/>
      <c r="JGH195" s="36"/>
      <c r="JGI195" s="36"/>
      <c r="JGJ195" s="36"/>
      <c r="JGK195" s="36"/>
      <c r="JGL195" s="36"/>
      <c r="JGM195" s="36"/>
      <c r="JGN195" s="36"/>
      <c r="JGO195" s="36"/>
      <c r="JGP195" s="36"/>
      <c r="JGQ195" s="36"/>
      <c r="JGR195" s="36"/>
      <c r="JGS195" s="36"/>
      <c r="JGT195" s="36"/>
      <c r="JGU195" s="36"/>
      <c r="JGV195" s="36"/>
      <c r="JGW195" s="36"/>
      <c r="JGX195" s="36"/>
      <c r="JGY195" s="36"/>
      <c r="JGZ195" s="36"/>
      <c r="JHA195" s="36"/>
      <c r="JHB195" s="36"/>
      <c r="JHC195" s="36"/>
      <c r="JHD195" s="36"/>
      <c r="JHE195" s="36"/>
      <c r="JHF195" s="36"/>
      <c r="JHG195" s="36"/>
      <c r="JHH195" s="36"/>
      <c r="JHI195" s="36"/>
      <c r="JHJ195" s="36"/>
      <c r="JHK195" s="36"/>
      <c r="JHL195" s="36"/>
      <c r="JHM195" s="36"/>
      <c r="JHN195" s="36"/>
      <c r="JHO195" s="36"/>
      <c r="JHP195" s="36"/>
      <c r="JHQ195" s="36"/>
      <c r="JHR195" s="36"/>
      <c r="JHS195" s="36"/>
      <c r="JHT195" s="36"/>
      <c r="JHU195" s="36"/>
      <c r="JHV195" s="36"/>
      <c r="JHW195" s="36"/>
      <c r="JHX195" s="36"/>
      <c r="JHY195" s="36"/>
      <c r="JHZ195" s="36"/>
      <c r="JIA195" s="36"/>
      <c r="JIB195" s="36"/>
      <c r="JIC195" s="36"/>
      <c r="JID195" s="36"/>
      <c r="JIE195" s="36"/>
      <c r="JIF195" s="36"/>
      <c r="JIG195" s="36"/>
      <c r="JIH195" s="36"/>
      <c r="JII195" s="36"/>
      <c r="JIJ195" s="36"/>
      <c r="JIK195" s="36"/>
      <c r="JIL195" s="36"/>
      <c r="JIM195" s="36"/>
      <c r="JIN195" s="36"/>
      <c r="JIO195" s="36"/>
      <c r="JIP195" s="36"/>
      <c r="JIQ195" s="36"/>
      <c r="JIR195" s="36"/>
      <c r="JIS195" s="36"/>
      <c r="JIT195" s="36"/>
      <c r="JIU195" s="36"/>
      <c r="JIV195" s="36"/>
      <c r="JIW195" s="36"/>
      <c r="JIX195" s="36"/>
      <c r="JIY195" s="36"/>
      <c r="JIZ195" s="36"/>
      <c r="JJA195" s="36"/>
      <c r="JJB195" s="36"/>
      <c r="JJC195" s="36"/>
      <c r="JJD195" s="36"/>
      <c r="JJE195" s="36"/>
      <c r="JJF195" s="36"/>
      <c r="JJG195" s="36"/>
      <c r="JJH195" s="36"/>
      <c r="JJI195" s="36"/>
      <c r="JJJ195" s="36"/>
      <c r="JJK195" s="36"/>
      <c r="JJL195" s="36"/>
      <c r="JJM195" s="36"/>
      <c r="JJN195" s="36"/>
      <c r="JJO195" s="36"/>
      <c r="JJP195" s="36"/>
      <c r="JJQ195" s="36"/>
      <c r="JJR195" s="36"/>
      <c r="JJS195" s="36"/>
      <c r="JJT195" s="36"/>
      <c r="JJU195" s="36"/>
      <c r="JJV195" s="36"/>
      <c r="JJW195" s="36"/>
      <c r="JJX195" s="36"/>
      <c r="JJY195" s="36"/>
      <c r="JJZ195" s="36"/>
      <c r="JKA195" s="36"/>
      <c r="JKB195" s="36"/>
      <c r="JKC195" s="36"/>
      <c r="JKD195" s="36"/>
      <c r="JKE195" s="36"/>
      <c r="JKF195" s="36"/>
      <c r="JKG195" s="36"/>
      <c r="JKH195" s="36"/>
      <c r="JKI195" s="36"/>
      <c r="JKJ195" s="36"/>
      <c r="JKK195" s="36"/>
      <c r="JKL195" s="36"/>
      <c r="JKM195" s="36"/>
      <c r="JKN195" s="36"/>
      <c r="JKO195" s="36"/>
      <c r="JKP195" s="36"/>
      <c r="JKQ195" s="36"/>
      <c r="JKR195" s="36"/>
      <c r="JKS195" s="36"/>
      <c r="JKT195" s="36"/>
      <c r="JKU195" s="36"/>
      <c r="JKV195" s="36"/>
      <c r="JKW195" s="36"/>
      <c r="JKX195" s="36"/>
      <c r="JKY195" s="36"/>
      <c r="JKZ195" s="36"/>
      <c r="JLA195" s="36"/>
      <c r="JLB195" s="36"/>
      <c r="JLC195" s="36"/>
      <c r="JLD195" s="36"/>
      <c r="JLE195" s="36"/>
      <c r="JLF195" s="36"/>
      <c r="JLG195" s="36"/>
      <c r="JLH195" s="36"/>
      <c r="JLI195" s="36"/>
      <c r="JLJ195" s="36"/>
      <c r="JLK195" s="36"/>
      <c r="JLL195" s="36"/>
      <c r="JLM195" s="36"/>
      <c r="JLN195" s="36"/>
      <c r="JLO195" s="36"/>
      <c r="JLP195" s="36"/>
      <c r="JLQ195" s="36"/>
      <c r="JLR195" s="36"/>
      <c r="JLS195" s="36"/>
      <c r="JLT195" s="36"/>
      <c r="JLU195" s="36"/>
      <c r="JLV195" s="36"/>
      <c r="JLW195" s="36"/>
      <c r="JLX195" s="36"/>
      <c r="JLY195" s="36"/>
      <c r="JLZ195" s="36"/>
      <c r="JMA195" s="36"/>
      <c r="JMB195" s="36"/>
      <c r="JMC195" s="36"/>
      <c r="JMD195" s="36"/>
      <c r="JME195" s="36"/>
      <c r="JMF195" s="36"/>
      <c r="JMG195" s="36"/>
      <c r="JMH195" s="36"/>
      <c r="JMI195" s="36"/>
      <c r="JMJ195" s="36"/>
      <c r="JMK195" s="36"/>
      <c r="JML195" s="36"/>
      <c r="JMM195" s="36"/>
      <c r="JMN195" s="36"/>
      <c r="JMO195" s="36"/>
      <c r="JMP195" s="36"/>
      <c r="JMQ195" s="36"/>
      <c r="JMR195" s="36"/>
      <c r="JMS195" s="36"/>
      <c r="JMT195" s="36"/>
      <c r="JMU195" s="36"/>
      <c r="JMV195" s="36"/>
      <c r="JMW195" s="36"/>
      <c r="JMX195" s="36"/>
      <c r="JMY195" s="36"/>
      <c r="JMZ195" s="36"/>
      <c r="JNA195" s="36"/>
      <c r="JNB195" s="36"/>
      <c r="JNC195" s="36"/>
      <c r="JND195" s="36"/>
      <c r="JNE195" s="36"/>
      <c r="JNF195" s="36"/>
      <c r="JNG195" s="36"/>
      <c r="JNH195" s="36"/>
      <c r="JNI195" s="36"/>
      <c r="JNJ195" s="36"/>
      <c r="JNK195" s="36"/>
      <c r="JNL195" s="36"/>
      <c r="JNM195" s="36"/>
      <c r="JNN195" s="36"/>
      <c r="JNO195" s="36"/>
      <c r="JNP195" s="36"/>
      <c r="JNQ195" s="36"/>
      <c r="JNR195" s="36"/>
      <c r="JNS195" s="36"/>
      <c r="JNT195" s="36"/>
      <c r="JNU195" s="36"/>
      <c r="JNV195" s="36"/>
      <c r="JNW195" s="36"/>
      <c r="JNX195" s="36"/>
      <c r="JNY195" s="36"/>
      <c r="JNZ195" s="36"/>
      <c r="JOA195" s="36"/>
      <c r="JOB195" s="36"/>
      <c r="JOC195" s="36"/>
      <c r="JOD195" s="36"/>
      <c r="JOE195" s="36"/>
      <c r="JOF195" s="36"/>
      <c r="JOG195" s="36"/>
      <c r="JOH195" s="36"/>
      <c r="JOI195" s="36"/>
      <c r="JOJ195" s="36"/>
      <c r="JOK195" s="36"/>
      <c r="JOL195" s="36"/>
      <c r="JOM195" s="36"/>
      <c r="JON195" s="36"/>
      <c r="JOO195" s="36"/>
      <c r="JOP195" s="36"/>
      <c r="JOQ195" s="36"/>
      <c r="JOR195" s="36"/>
      <c r="JOS195" s="36"/>
      <c r="JOT195" s="36"/>
      <c r="JOU195" s="36"/>
      <c r="JOV195" s="36"/>
      <c r="JOW195" s="36"/>
      <c r="JOX195" s="36"/>
      <c r="JOY195" s="36"/>
      <c r="JOZ195" s="36"/>
      <c r="JPA195" s="36"/>
      <c r="JPB195" s="36"/>
      <c r="JPC195" s="36"/>
      <c r="JPD195" s="36"/>
      <c r="JPE195" s="36"/>
      <c r="JPF195" s="36"/>
      <c r="JPG195" s="36"/>
      <c r="JPH195" s="36"/>
      <c r="JPI195" s="36"/>
      <c r="JPJ195" s="36"/>
      <c r="JPK195" s="36"/>
      <c r="JPL195" s="36"/>
      <c r="JPM195" s="36"/>
      <c r="JPN195" s="36"/>
      <c r="JPO195" s="36"/>
      <c r="JPP195" s="36"/>
      <c r="JPQ195" s="36"/>
      <c r="JPR195" s="36"/>
      <c r="JPS195" s="36"/>
      <c r="JPT195" s="36"/>
      <c r="JPU195" s="36"/>
      <c r="JPV195" s="36"/>
      <c r="JPW195" s="36"/>
      <c r="JPX195" s="36"/>
      <c r="JPY195" s="36"/>
      <c r="JPZ195" s="36"/>
      <c r="JQA195" s="36"/>
      <c r="JQB195" s="36"/>
      <c r="JQC195" s="36"/>
      <c r="JQD195" s="36"/>
      <c r="JQE195" s="36"/>
      <c r="JQF195" s="36"/>
      <c r="JQG195" s="36"/>
      <c r="JQH195" s="36"/>
      <c r="JQI195" s="36"/>
      <c r="JQJ195" s="36"/>
      <c r="JQK195" s="36"/>
      <c r="JQL195" s="36"/>
      <c r="JQM195" s="36"/>
      <c r="JQN195" s="36"/>
      <c r="JQO195" s="36"/>
      <c r="JQP195" s="36"/>
      <c r="JQQ195" s="36"/>
      <c r="JQR195" s="36"/>
      <c r="JQS195" s="36"/>
      <c r="JQT195" s="36"/>
      <c r="JQU195" s="36"/>
      <c r="JQV195" s="36"/>
      <c r="JQW195" s="36"/>
      <c r="JQX195" s="36"/>
      <c r="JQY195" s="36"/>
      <c r="JQZ195" s="36"/>
      <c r="JRA195" s="36"/>
      <c r="JRB195" s="36"/>
      <c r="JRC195" s="36"/>
      <c r="JRD195" s="36"/>
      <c r="JRE195" s="36"/>
      <c r="JRF195" s="36"/>
      <c r="JRG195" s="36"/>
      <c r="JRH195" s="36"/>
      <c r="JRI195" s="36"/>
      <c r="JRJ195" s="36"/>
      <c r="JRK195" s="36"/>
      <c r="JRL195" s="36"/>
      <c r="JRM195" s="36"/>
      <c r="JRN195" s="36"/>
      <c r="JRO195" s="36"/>
      <c r="JRP195" s="36"/>
      <c r="JRQ195" s="36"/>
      <c r="JRR195" s="36"/>
      <c r="JRS195" s="36"/>
      <c r="JRT195" s="36"/>
      <c r="JRU195" s="36"/>
      <c r="JRV195" s="36"/>
      <c r="JRW195" s="36"/>
      <c r="JRX195" s="36"/>
      <c r="JRY195" s="36"/>
      <c r="JRZ195" s="36"/>
      <c r="JSA195" s="36"/>
      <c r="JSB195" s="36"/>
      <c r="JSC195" s="36"/>
      <c r="JSD195" s="36"/>
      <c r="JSE195" s="36"/>
      <c r="JSF195" s="36"/>
      <c r="JSG195" s="36"/>
      <c r="JSH195" s="36"/>
      <c r="JSI195" s="36"/>
      <c r="JSJ195" s="36"/>
      <c r="JSK195" s="36"/>
      <c r="JSL195" s="36"/>
      <c r="JSM195" s="36"/>
      <c r="JSN195" s="36"/>
      <c r="JSO195" s="36"/>
      <c r="JSP195" s="36"/>
      <c r="JSQ195" s="36"/>
      <c r="JSR195" s="36"/>
      <c r="JSS195" s="36"/>
      <c r="JST195" s="36"/>
      <c r="JSU195" s="36"/>
      <c r="JSV195" s="36"/>
      <c r="JSW195" s="36"/>
      <c r="JSX195" s="36"/>
      <c r="JSY195" s="36"/>
      <c r="JSZ195" s="36"/>
      <c r="JTA195" s="36"/>
      <c r="JTB195" s="36"/>
      <c r="JTC195" s="36"/>
      <c r="JTD195" s="36"/>
      <c r="JTE195" s="36"/>
      <c r="JTF195" s="36"/>
      <c r="JTG195" s="36"/>
      <c r="JTH195" s="36"/>
      <c r="JTI195" s="36"/>
      <c r="JTJ195" s="36"/>
      <c r="JTK195" s="36"/>
      <c r="JTL195" s="36"/>
      <c r="JTM195" s="36"/>
      <c r="JTN195" s="36"/>
      <c r="JTO195" s="36"/>
      <c r="JTP195" s="36"/>
      <c r="JTQ195" s="36"/>
      <c r="JTR195" s="36"/>
      <c r="JTS195" s="36"/>
      <c r="JTT195" s="36"/>
      <c r="JTU195" s="36"/>
      <c r="JTV195" s="36"/>
      <c r="JTW195" s="36"/>
      <c r="JTX195" s="36"/>
      <c r="JTY195" s="36"/>
      <c r="JTZ195" s="36"/>
      <c r="JUA195" s="36"/>
      <c r="JUB195" s="36"/>
      <c r="JUC195" s="36"/>
      <c r="JUD195" s="36"/>
      <c r="JUE195" s="36"/>
      <c r="JUF195" s="36"/>
      <c r="JUG195" s="36"/>
      <c r="JUH195" s="36"/>
      <c r="JUI195" s="36"/>
      <c r="JUJ195" s="36"/>
      <c r="JUK195" s="36"/>
      <c r="JUL195" s="36"/>
      <c r="JUM195" s="36"/>
      <c r="JUN195" s="36"/>
      <c r="JUO195" s="36"/>
      <c r="JUP195" s="36"/>
      <c r="JUQ195" s="36"/>
      <c r="JUR195" s="36"/>
      <c r="JUS195" s="36"/>
      <c r="JUT195" s="36"/>
      <c r="JUU195" s="36"/>
      <c r="JUV195" s="36"/>
      <c r="JUW195" s="36"/>
      <c r="JUX195" s="36"/>
      <c r="JUY195" s="36"/>
      <c r="JUZ195" s="36"/>
      <c r="JVA195" s="36"/>
      <c r="JVB195" s="36"/>
      <c r="JVC195" s="36"/>
      <c r="JVD195" s="36"/>
      <c r="JVE195" s="36"/>
      <c r="JVF195" s="36"/>
      <c r="JVG195" s="36"/>
      <c r="JVH195" s="36"/>
      <c r="JVI195" s="36"/>
      <c r="JVJ195" s="36"/>
      <c r="JVK195" s="36"/>
      <c r="JVL195" s="36"/>
      <c r="JVM195" s="36"/>
      <c r="JVN195" s="36"/>
      <c r="JVO195" s="36"/>
      <c r="JVP195" s="36"/>
      <c r="JVQ195" s="36"/>
      <c r="JVR195" s="36"/>
      <c r="JVS195" s="36"/>
      <c r="JVT195" s="36"/>
      <c r="JVU195" s="36"/>
      <c r="JVV195" s="36"/>
      <c r="JVW195" s="36"/>
      <c r="JVX195" s="36"/>
      <c r="JVY195" s="36"/>
      <c r="JVZ195" s="36"/>
      <c r="JWA195" s="36"/>
      <c r="JWB195" s="36"/>
      <c r="JWC195" s="36"/>
      <c r="JWD195" s="36"/>
      <c r="JWE195" s="36"/>
      <c r="JWF195" s="36"/>
      <c r="JWG195" s="36"/>
      <c r="JWH195" s="36"/>
      <c r="JWI195" s="36"/>
      <c r="JWJ195" s="36"/>
      <c r="JWK195" s="36"/>
      <c r="JWL195" s="36"/>
      <c r="JWM195" s="36"/>
      <c r="JWN195" s="36"/>
      <c r="JWO195" s="36"/>
      <c r="JWP195" s="36"/>
      <c r="JWQ195" s="36"/>
      <c r="JWR195" s="36"/>
      <c r="JWS195" s="36"/>
      <c r="JWT195" s="36"/>
      <c r="JWU195" s="36"/>
      <c r="JWV195" s="36"/>
      <c r="JWW195" s="36"/>
      <c r="JWX195" s="36"/>
      <c r="JWY195" s="36"/>
      <c r="JWZ195" s="36"/>
      <c r="JXA195" s="36"/>
      <c r="JXB195" s="36"/>
      <c r="JXC195" s="36"/>
      <c r="JXD195" s="36"/>
      <c r="JXE195" s="36"/>
      <c r="JXF195" s="36"/>
      <c r="JXG195" s="36"/>
      <c r="JXH195" s="36"/>
      <c r="JXI195" s="36"/>
      <c r="JXJ195" s="36"/>
      <c r="JXK195" s="36"/>
      <c r="JXL195" s="36"/>
      <c r="JXM195" s="36"/>
      <c r="JXN195" s="36"/>
      <c r="JXO195" s="36"/>
      <c r="JXP195" s="36"/>
      <c r="JXQ195" s="36"/>
      <c r="JXR195" s="36"/>
      <c r="JXS195" s="36"/>
      <c r="JXT195" s="36"/>
      <c r="JXU195" s="36"/>
      <c r="JXV195" s="36"/>
      <c r="JXW195" s="36"/>
      <c r="JXX195" s="36"/>
      <c r="JXY195" s="36"/>
      <c r="JXZ195" s="36"/>
      <c r="JYA195" s="36"/>
      <c r="JYB195" s="36"/>
      <c r="JYC195" s="36"/>
      <c r="JYD195" s="36"/>
      <c r="JYE195" s="36"/>
      <c r="JYF195" s="36"/>
      <c r="JYG195" s="36"/>
      <c r="JYH195" s="36"/>
      <c r="JYI195" s="36"/>
      <c r="JYJ195" s="36"/>
      <c r="JYK195" s="36"/>
      <c r="JYL195" s="36"/>
      <c r="JYM195" s="36"/>
      <c r="JYN195" s="36"/>
      <c r="JYO195" s="36"/>
      <c r="JYP195" s="36"/>
      <c r="JYQ195" s="36"/>
      <c r="JYR195" s="36"/>
      <c r="JYS195" s="36"/>
      <c r="JYT195" s="36"/>
      <c r="JYU195" s="36"/>
      <c r="JYV195" s="36"/>
      <c r="JYW195" s="36"/>
      <c r="JYX195" s="36"/>
      <c r="JYY195" s="36"/>
      <c r="JYZ195" s="36"/>
      <c r="JZA195" s="36"/>
      <c r="JZB195" s="36"/>
      <c r="JZC195" s="36"/>
      <c r="JZD195" s="36"/>
      <c r="JZE195" s="36"/>
      <c r="JZF195" s="36"/>
      <c r="JZG195" s="36"/>
      <c r="JZH195" s="36"/>
      <c r="JZI195" s="36"/>
      <c r="JZJ195" s="36"/>
      <c r="JZK195" s="36"/>
      <c r="JZL195" s="36"/>
      <c r="JZM195" s="36"/>
      <c r="JZN195" s="36"/>
      <c r="JZO195" s="36"/>
      <c r="JZP195" s="36"/>
      <c r="JZQ195" s="36"/>
      <c r="JZR195" s="36"/>
      <c r="JZS195" s="36"/>
      <c r="JZT195" s="36"/>
      <c r="JZU195" s="36"/>
      <c r="JZV195" s="36"/>
      <c r="JZW195" s="36"/>
      <c r="JZX195" s="36"/>
      <c r="JZY195" s="36"/>
      <c r="JZZ195" s="36"/>
      <c r="KAA195" s="36"/>
      <c r="KAB195" s="36"/>
      <c r="KAC195" s="36"/>
      <c r="KAD195" s="36"/>
      <c r="KAE195" s="36"/>
      <c r="KAF195" s="36"/>
      <c r="KAG195" s="36"/>
      <c r="KAH195" s="36"/>
      <c r="KAI195" s="36"/>
      <c r="KAJ195" s="36"/>
      <c r="KAK195" s="36"/>
      <c r="KAL195" s="36"/>
      <c r="KAM195" s="36"/>
      <c r="KAN195" s="36"/>
      <c r="KAO195" s="36"/>
      <c r="KAP195" s="36"/>
      <c r="KAQ195" s="36"/>
      <c r="KAR195" s="36"/>
      <c r="KAS195" s="36"/>
      <c r="KAT195" s="36"/>
      <c r="KAU195" s="36"/>
      <c r="KAV195" s="36"/>
      <c r="KAW195" s="36"/>
      <c r="KAX195" s="36"/>
      <c r="KAY195" s="36"/>
      <c r="KAZ195" s="36"/>
      <c r="KBA195" s="36"/>
      <c r="KBB195" s="36"/>
      <c r="KBC195" s="36"/>
      <c r="KBD195" s="36"/>
      <c r="KBE195" s="36"/>
      <c r="KBF195" s="36"/>
      <c r="KBG195" s="36"/>
      <c r="KBH195" s="36"/>
      <c r="KBI195" s="36"/>
      <c r="KBJ195" s="36"/>
      <c r="KBK195" s="36"/>
      <c r="KBL195" s="36"/>
      <c r="KBM195" s="36"/>
      <c r="KBN195" s="36"/>
      <c r="KBO195" s="36"/>
      <c r="KBP195" s="36"/>
      <c r="KBQ195" s="36"/>
      <c r="KBR195" s="36"/>
      <c r="KBS195" s="36"/>
      <c r="KBT195" s="36"/>
      <c r="KBU195" s="36"/>
      <c r="KBV195" s="36"/>
      <c r="KBW195" s="36"/>
      <c r="KBX195" s="36"/>
      <c r="KBY195" s="36"/>
      <c r="KBZ195" s="36"/>
      <c r="KCA195" s="36"/>
      <c r="KCB195" s="36"/>
      <c r="KCC195" s="36"/>
      <c r="KCD195" s="36"/>
      <c r="KCE195" s="36"/>
      <c r="KCF195" s="36"/>
      <c r="KCG195" s="36"/>
      <c r="KCH195" s="36"/>
      <c r="KCI195" s="36"/>
      <c r="KCJ195" s="36"/>
      <c r="KCK195" s="36"/>
      <c r="KCL195" s="36"/>
      <c r="KCM195" s="36"/>
      <c r="KCN195" s="36"/>
      <c r="KCO195" s="36"/>
      <c r="KCP195" s="36"/>
      <c r="KCQ195" s="36"/>
      <c r="KCR195" s="36"/>
      <c r="KCS195" s="36"/>
      <c r="KCT195" s="36"/>
      <c r="KCU195" s="36"/>
      <c r="KCV195" s="36"/>
      <c r="KCW195" s="36"/>
      <c r="KCX195" s="36"/>
      <c r="KCY195" s="36"/>
      <c r="KCZ195" s="36"/>
      <c r="KDA195" s="36"/>
      <c r="KDB195" s="36"/>
      <c r="KDC195" s="36"/>
      <c r="KDD195" s="36"/>
      <c r="KDE195" s="36"/>
      <c r="KDF195" s="36"/>
      <c r="KDG195" s="36"/>
      <c r="KDH195" s="36"/>
      <c r="KDI195" s="36"/>
      <c r="KDJ195" s="36"/>
      <c r="KDK195" s="36"/>
      <c r="KDL195" s="36"/>
      <c r="KDM195" s="36"/>
      <c r="KDN195" s="36"/>
      <c r="KDO195" s="36"/>
      <c r="KDP195" s="36"/>
      <c r="KDQ195" s="36"/>
      <c r="KDR195" s="36"/>
      <c r="KDS195" s="36"/>
      <c r="KDT195" s="36"/>
      <c r="KDU195" s="36"/>
      <c r="KDV195" s="36"/>
      <c r="KDW195" s="36"/>
      <c r="KDX195" s="36"/>
      <c r="KDY195" s="36"/>
      <c r="KDZ195" s="36"/>
      <c r="KEA195" s="36"/>
      <c r="KEB195" s="36"/>
      <c r="KEC195" s="36"/>
      <c r="KED195" s="36"/>
      <c r="KEE195" s="36"/>
      <c r="KEF195" s="36"/>
      <c r="KEG195" s="36"/>
      <c r="KEH195" s="36"/>
      <c r="KEI195" s="36"/>
      <c r="KEJ195" s="36"/>
      <c r="KEK195" s="36"/>
      <c r="KEL195" s="36"/>
      <c r="KEM195" s="36"/>
      <c r="KEN195" s="36"/>
      <c r="KEO195" s="36"/>
      <c r="KEP195" s="36"/>
      <c r="KEQ195" s="36"/>
      <c r="KER195" s="36"/>
      <c r="KES195" s="36"/>
      <c r="KET195" s="36"/>
      <c r="KEU195" s="36"/>
      <c r="KEV195" s="36"/>
      <c r="KEW195" s="36"/>
      <c r="KEX195" s="36"/>
      <c r="KEY195" s="36"/>
      <c r="KEZ195" s="36"/>
      <c r="KFA195" s="36"/>
      <c r="KFB195" s="36"/>
      <c r="KFC195" s="36"/>
      <c r="KFD195" s="36"/>
      <c r="KFE195" s="36"/>
      <c r="KFF195" s="36"/>
      <c r="KFG195" s="36"/>
      <c r="KFH195" s="36"/>
      <c r="KFI195" s="36"/>
      <c r="KFJ195" s="36"/>
      <c r="KFK195" s="36"/>
      <c r="KFL195" s="36"/>
      <c r="KFM195" s="36"/>
      <c r="KFN195" s="36"/>
      <c r="KFO195" s="36"/>
      <c r="KFP195" s="36"/>
      <c r="KFQ195" s="36"/>
      <c r="KFR195" s="36"/>
      <c r="KFS195" s="36"/>
      <c r="KFT195" s="36"/>
      <c r="KFU195" s="36"/>
      <c r="KFV195" s="36"/>
      <c r="KFW195" s="36"/>
      <c r="KFX195" s="36"/>
      <c r="KFY195" s="36"/>
      <c r="KFZ195" s="36"/>
      <c r="KGA195" s="36"/>
      <c r="KGB195" s="36"/>
      <c r="KGC195" s="36"/>
      <c r="KGD195" s="36"/>
      <c r="KGE195" s="36"/>
      <c r="KGF195" s="36"/>
      <c r="KGG195" s="36"/>
      <c r="KGH195" s="36"/>
      <c r="KGI195" s="36"/>
      <c r="KGJ195" s="36"/>
      <c r="KGK195" s="36"/>
      <c r="KGL195" s="36"/>
      <c r="KGM195" s="36"/>
      <c r="KGN195" s="36"/>
      <c r="KGO195" s="36"/>
      <c r="KGP195" s="36"/>
      <c r="KGQ195" s="36"/>
      <c r="KGR195" s="36"/>
      <c r="KGS195" s="36"/>
      <c r="KGT195" s="36"/>
      <c r="KGU195" s="36"/>
      <c r="KGV195" s="36"/>
      <c r="KGW195" s="36"/>
      <c r="KGX195" s="36"/>
      <c r="KGY195" s="36"/>
      <c r="KGZ195" s="36"/>
      <c r="KHA195" s="36"/>
      <c r="KHB195" s="36"/>
      <c r="KHC195" s="36"/>
      <c r="KHD195" s="36"/>
      <c r="KHE195" s="36"/>
      <c r="KHF195" s="36"/>
      <c r="KHG195" s="36"/>
      <c r="KHH195" s="36"/>
      <c r="KHI195" s="36"/>
      <c r="KHJ195" s="36"/>
      <c r="KHK195" s="36"/>
      <c r="KHL195" s="36"/>
      <c r="KHM195" s="36"/>
      <c r="KHN195" s="36"/>
      <c r="KHO195" s="36"/>
      <c r="KHP195" s="36"/>
      <c r="KHQ195" s="36"/>
      <c r="KHR195" s="36"/>
      <c r="KHS195" s="36"/>
      <c r="KHT195" s="36"/>
      <c r="KHU195" s="36"/>
      <c r="KHV195" s="36"/>
      <c r="KHW195" s="36"/>
      <c r="KHX195" s="36"/>
      <c r="KHY195" s="36"/>
      <c r="KHZ195" s="36"/>
      <c r="KIA195" s="36"/>
      <c r="KIB195" s="36"/>
      <c r="KIC195" s="36"/>
      <c r="KID195" s="36"/>
      <c r="KIE195" s="36"/>
      <c r="KIF195" s="36"/>
      <c r="KIG195" s="36"/>
      <c r="KIH195" s="36"/>
      <c r="KII195" s="36"/>
      <c r="KIJ195" s="36"/>
      <c r="KIK195" s="36"/>
      <c r="KIL195" s="36"/>
      <c r="KIM195" s="36"/>
      <c r="KIN195" s="36"/>
      <c r="KIO195" s="36"/>
      <c r="KIP195" s="36"/>
      <c r="KIQ195" s="36"/>
      <c r="KIR195" s="36"/>
      <c r="KIS195" s="36"/>
      <c r="KIT195" s="36"/>
      <c r="KIU195" s="36"/>
      <c r="KIV195" s="36"/>
      <c r="KIW195" s="36"/>
      <c r="KIX195" s="36"/>
      <c r="KIY195" s="36"/>
      <c r="KIZ195" s="36"/>
      <c r="KJA195" s="36"/>
      <c r="KJB195" s="36"/>
      <c r="KJC195" s="36"/>
      <c r="KJD195" s="36"/>
      <c r="KJE195" s="36"/>
      <c r="KJF195" s="36"/>
      <c r="KJG195" s="36"/>
      <c r="KJH195" s="36"/>
      <c r="KJI195" s="36"/>
      <c r="KJJ195" s="36"/>
      <c r="KJK195" s="36"/>
      <c r="KJL195" s="36"/>
      <c r="KJM195" s="36"/>
      <c r="KJN195" s="36"/>
      <c r="KJO195" s="36"/>
      <c r="KJP195" s="36"/>
      <c r="KJQ195" s="36"/>
      <c r="KJR195" s="36"/>
      <c r="KJS195" s="36"/>
      <c r="KJT195" s="36"/>
      <c r="KJU195" s="36"/>
      <c r="KJV195" s="36"/>
      <c r="KJW195" s="36"/>
      <c r="KJX195" s="36"/>
      <c r="KJY195" s="36"/>
      <c r="KJZ195" s="36"/>
      <c r="KKA195" s="36"/>
      <c r="KKB195" s="36"/>
      <c r="KKC195" s="36"/>
      <c r="KKD195" s="36"/>
      <c r="KKE195" s="36"/>
      <c r="KKF195" s="36"/>
      <c r="KKG195" s="36"/>
      <c r="KKH195" s="36"/>
      <c r="KKI195" s="36"/>
      <c r="KKJ195" s="36"/>
      <c r="KKK195" s="36"/>
      <c r="KKL195" s="36"/>
      <c r="KKM195" s="36"/>
      <c r="KKN195" s="36"/>
      <c r="KKO195" s="36"/>
      <c r="KKP195" s="36"/>
      <c r="KKQ195" s="36"/>
      <c r="KKR195" s="36"/>
      <c r="KKS195" s="36"/>
      <c r="KKT195" s="36"/>
      <c r="KKU195" s="36"/>
      <c r="KKV195" s="36"/>
      <c r="KKW195" s="36"/>
      <c r="KKX195" s="36"/>
      <c r="KKY195" s="36"/>
      <c r="KKZ195" s="36"/>
      <c r="KLA195" s="36"/>
      <c r="KLB195" s="36"/>
      <c r="KLC195" s="36"/>
      <c r="KLD195" s="36"/>
      <c r="KLE195" s="36"/>
      <c r="KLF195" s="36"/>
      <c r="KLG195" s="36"/>
      <c r="KLH195" s="36"/>
      <c r="KLI195" s="36"/>
      <c r="KLJ195" s="36"/>
      <c r="KLK195" s="36"/>
      <c r="KLL195" s="36"/>
      <c r="KLM195" s="36"/>
      <c r="KLN195" s="36"/>
      <c r="KLO195" s="36"/>
      <c r="KLP195" s="36"/>
      <c r="KLQ195" s="36"/>
      <c r="KLR195" s="36"/>
      <c r="KLS195" s="36"/>
      <c r="KLT195" s="36"/>
      <c r="KLU195" s="36"/>
      <c r="KLV195" s="36"/>
      <c r="KLW195" s="36"/>
      <c r="KLX195" s="36"/>
      <c r="KLY195" s="36"/>
      <c r="KLZ195" s="36"/>
      <c r="KMA195" s="36"/>
      <c r="KMB195" s="36"/>
      <c r="KMC195" s="36"/>
      <c r="KMD195" s="36"/>
      <c r="KME195" s="36"/>
      <c r="KMF195" s="36"/>
      <c r="KMG195" s="36"/>
      <c r="KMH195" s="36"/>
      <c r="KMI195" s="36"/>
      <c r="KMJ195" s="36"/>
      <c r="KMK195" s="36"/>
      <c r="KML195" s="36"/>
      <c r="KMM195" s="36"/>
      <c r="KMN195" s="36"/>
      <c r="KMO195" s="36"/>
      <c r="KMP195" s="36"/>
      <c r="KMQ195" s="36"/>
      <c r="KMR195" s="36"/>
      <c r="KMS195" s="36"/>
      <c r="KMT195" s="36"/>
      <c r="KMU195" s="36"/>
      <c r="KMV195" s="36"/>
      <c r="KMW195" s="36"/>
      <c r="KMX195" s="36"/>
      <c r="KMY195" s="36"/>
      <c r="KMZ195" s="36"/>
      <c r="KNA195" s="36"/>
      <c r="KNB195" s="36"/>
      <c r="KNC195" s="36"/>
      <c r="KND195" s="36"/>
      <c r="KNE195" s="36"/>
      <c r="KNF195" s="36"/>
      <c r="KNG195" s="36"/>
      <c r="KNH195" s="36"/>
      <c r="KNI195" s="36"/>
      <c r="KNJ195" s="36"/>
      <c r="KNK195" s="36"/>
      <c r="KNL195" s="36"/>
      <c r="KNM195" s="36"/>
      <c r="KNN195" s="36"/>
      <c r="KNO195" s="36"/>
      <c r="KNP195" s="36"/>
      <c r="KNQ195" s="36"/>
      <c r="KNR195" s="36"/>
      <c r="KNS195" s="36"/>
      <c r="KNT195" s="36"/>
      <c r="KNU195" s="36"/>
      <c r="KNV195" s="36"/>
      <c r="KNW195" s="36"/>
      <c r="KNX195" s="36"/>
      <c r="KNY195" s="36"/>
      <c r="KNZ195" s="36"/>
      <c r="KOA195" s="36"/>
      <c r="KOB195" s="36"/>
      <c r="KOC195" s="36"/>
      <c r="KOD195" s="36"/>
      <c r="KOE195" s="36"/>
      <c r="KOF195" s="36"/>
      <c r="KOG195" s="36"/>
      <c r="KOH195" s="36"/>
      <c r="KOI195" s="36"/>
      <c r="KOJ195" s="36"/>
      <c r="KOK195" s="36"/>
      <c r="KOL195" s="36"/>
      <c r="KOM195" s="36"/>
      <c r="KON195" s="36"/>
      <c r="KOO195" s="36"/>
      <c r="KOP195" s="36"/>
      <c r="KOQ195" s="36"/>
      <c r="KOR195" s="36"/>
      <c r="KOS195" s="36"/>
      <c r="KOT195" s="36"/>
      <c r="KOU195" s="36"/>
      <c r="KOV195" s="36"/>
      <c r="KOW195" s="36"/>
      <c r="KOX195" s="36"/>
      <c r="KOY195" s="36"/>
      <c r="KOZ195" s="36"/>
      <c r="KPA195" s="36"/>
      <c r="KPB195" s="36"/>
      <c r="KPC195" s="36"/>
      <c r="KPD195" s="36"/>
      <c r="KPE195" s="36"/>
      <c r="KPF195" s="36"/>
      <c r="KPG195" s="36"/>
      <c r="KPH195" s="36"/>
      <c r="KPI195" s="36"/>
      <c r="KPJ195" s="36"/>
      <c r="KPK195" s="36"/>
      <c r="KPL195" s="36"/>
      <c r="KPM195" s="36"/>
      <c r="KPN195" s="36"/>
      <c r="KPO195" s="36"/>
      <c r="KPP195" s="36"/>
      <c r="KPQ195" s="36"/>
      <c r="KPR195" s="36"/>
      <c r="KPS195" s="36"/>
      <c r="KPT195" s="36"/>
      <c r="KPU195" s="36"/>
      <c r="KPV195" s="36"/>
      <c r="KPW195" s="36"/>
      <c r="KPX195" s="36"/>
      <c r="KPY195" s="36"/>
      <c r="KPZ195" s="36"/>
      <c r="KQA195" s="36"/>
      <c r="KQB195" s="36"/>
      <c r="KQC195" s="36"/>
      <c r="KQD195" s="36"/>
      <c r="KQE195" s="36"/>
      <c r="KQF195" s="36"/>
      <c r="KQG195" s="36"/>
      <c r="KQH195" s="36"/>
      <c r="KQI195" s="36"/>
      <c r="KQJ195" s="36"/>
      <c r="KQK195" s="36"/>
      <c r="KQL195" s="36"/>
      <c r="KQM195" s="36"/>
      <c r="KQN195" s="36"/>
      <c r="KQO195" s="36"/>
      <c r="KQP195" s="36"/>
      <c r="KQQ195" s="36"/>
      <c r="KQR195" s="36"/>
      <c r="KQS195" s="36"/>
      <c r="KQT195" s="36"/>
      <c r="KQU195" s="36"/>
      <c r="KQV195" s="36"/>
      <c r="KQW195" s="36"/>
      <c r="KQX195" s="36"/>
      <c r="KQY195" s="36"/>
      <c r="KQZ195" s="36"/>
      <c r="KRA195" s="36"/>
      <c r="KRB195" s="36"/>
      <c r="KRC195" s="36"/>
      <c r="KRD195" s="36"/>
      <c r="KRE195" s="36"/>
      <c r="KRF195" s="36"/>
      <c r="KRG195" s="36"/>
      <c r="KRH195" s="36"/>
      <c r="KRI195" s="36"/>
      <c r="KRJ195" s="36"/>
      <c r="KRK195" s="36"/>
      <c r="KRL195" s="36"/>
      <c r="KRM195" s="36"/>
      <c r="KRN195" s="36"/>
      <c r="KRO195" s="36"/>
      <c r="KRP195" s="36"/>
      <c r="KRQ195" s="36"/>
      <c r="KRR195" s="36"/>
      <c r="KRS195" s="36"/>
      <c r="KRT195" s="36"/>
      <c r="KRU195" s="36"/>
      <c r="KRV195" s="36"/>
      <c r="KRW195" s="36"/>
      <c r="KRX195" s="36"/>
      <c r="KRY195" s="36"/>
      <c r="KRZ195" s="36"/>
      <c r="KSA195" s="36"/>
      <c r="KSB195" s="36"/>
      <c r="KSC195" s="36"/>
      <c r="KSD195" s="36"/>
      <c r="KSE195" s="36"/>
      <c r="KSF195" s="36"/>
      <c r="KSG195" s="36"/>
      <c r="KSH195" s="36"/>
      <c r="KSI195" s="36"/>
      <c r="KSJ195" s="36"/>
      <c r="KSK195" s="36"/>
      <c r="KSL195" s="36"/>
      <c r="KSM195" s="36"/>
      <c r="KSN195" s="36"/>
      <c r="KSO195" s="36"/>
      <c r="KSP195" s="36"/>
      <c r="KSQ195" s="36"/>
      <c r="KSR195" s="36"/>
      <c r="KSS195" s="36"/>
      <c r="KST195" s="36"/>
      <c r="KSU195" s="36"/>
      <c r="KSV195" s="36"/>
      <c r="KSW195" s="36"/>
      <c r="KSX195" s="36"/>
      <c r="KSY195" s="36"/>
      <c r="KSZ195" s="36"/>
      <c r="KTA195" s="36"/>
      <c r="KTB195" s="36"/>
      <c r="KTC195" s="36"/>
      <c r="KTD195" s="36"/>
      <c r="KTE195" s="36"/>
      <c r="KTF195" s="36"/>
      <c r="KTG195" s="36"/>
      <c r="KTH195" s="36"/>
      <c r="KTI195" s="36"/>
      <c r="KTJ195" s="36"/>
      <c r="KTK195" s="36"/>
      <c r="KTL195" s="36"/>
      <c r="KTM195" s="36"/>
      <c r="KTN195" s="36"/>
      <c r="KTO195" s="36"/>
      <c r="KTP195" s="36"/>
      <c r="KTQ195" s="36"/>
      <c r="KTR195" s="36"/>
      <c r="KTS195" s="36"/>
      <c r="KTT195" s="36"/>
      <c r="KTU195" s="36"/>
      <c r="KTV195" s="36"/>
      <c r="KTW195" s="36"/>
      <c r="KTX195" s="36"/>
      <c r="KTY195" s="36"/>
      <c r="KTZ195" s="36"/>
      <c r="KUA195" s="36"/>
      <c r="KUB195" s="36"/>
      <c r="KUC195" s="36"/>
      <c r="KUD195" s="36"/>
      <c r="KUE195" s="36"/>
      <c r="KUF195" s="36"/>
      <c r="KUG195" s="36"/>
      <c r="KUH195" s="36"/>
      <c r="KUI195" s="36"/>
      <c r="KUJ195" s="36"/>
      <c r="KUK195" s="36"/>
      <c r="KUL195" s="36"/>
      <c r="KUM195" s="36"/>
      <c r="KUN195" s="36"/>
      <c r="KUO195" s="36"/>
      <c r="KUP195" s="36"/>
      <c r="KUQ195" s="36"/>
      <c r="KUR195" s="36"/>
      <c r="KUS195" s="36"/>
      <c r="KUT195" s="36"/>
      <c r="KUU195" s="36"/>
      <c r="KUV195" s="36"/>
      <c r="KUW195" s="36"/>
      <c r="KUX195" s="36"/>
      <c r="KUY195" s="36"/>
      <c r="KUZ195" s="36"/>
      <c r="KVA195" s="36"/>
      <c r="KVB195" s="36"/>
      <c r="KVC195" s="36"/>
      <c r="KVD195" s="36"/>
      <c r="KVE195" s="36"/>
      <c r="KVF195" s="36"/>
      <c r="KVG195" s="36"/>
      <c r="KVH195" s="36"/>
      <c r="KVI195" s="36"/>
      <c r="KVJ195" s="36"/>
      <c r="KVK195" s="36"/>
      <c r="KVL195" s="36"/>
      <c r="KVM195" s="36"/>
      <c r="KVN195" s="36"/>
      <c r="KVO195" s="36"/>
      <c r="KVP195" s="36"/>
      <c r="KVQ195" s="36"/>
      <c r="KVR195" s="36"/>
      <c r="KVS195" s="36"/>
      <c r="KVT195" s="36"/>
      <c r="KVU195" s="36"/>
      <c r="KVV195" s="36"/>
      <c r="KVW195" s="36"/>
      <c r="KVX195" s="36"/>
      <c r="KVY195" s="36"/>
      <c r="KVZ195" s="36"/>
      <c r="KWA195" s="36"/>
      <c r="KWB195" s="36"/>
      <c r="KWC195" s="36"/>
      <c r="KWD195" s="36"/>
      <c r="KWE195" s="36"/>
      <c r="KWF195" s="36"/>
      <c r="KWG195" s="36"/>
      <c r="KWH195" s="36"/>
      <c r="KWI195" s="36"/>
      <c r="KWJ195" s="36"/>
      <c r="KWK195" s="36"/>
      <c r="KWL195" s="36"/>
      <c r="KWM195" s="36"/>
      <c r="KWN195" s="36"/>
      <c r="KWO195" s="36"/>
      <c r="KWP195" s="36"/>
      <c r="KWQ195" s="36"/>
      <c r="KWR195" s="36"/>
      <c r="KWS195" s="36"/>
      <c r="KWT195" s="36"/>
      <c r="KWU195" s="36"/>
      <c r="KWV195" s="36"/>
      <c r="KWW195" s="36"/>
      <c r="KWX195" s="36"/>
      <c r="KWY195" s="36"/>
      <c r="KWZ195" s="36"/>
      <c r="KXA195" s="36"/>
      <c r="KXB195" s="36"/>
      <c r="KXC195" s="36"/>
      <c r="KXD195" s="36"/>
      <c r="KXE195" s="36"/>
      <c r="KXF195" s="36"/>
      <c r="KXG195" s="36"/>
      <c r="KXH195" s="36"/>
      <c r="KXI195" s="36"/>
      <c r="KXJ195" s="36"/>
      <c r="KXK195" s="36"/>
      <c r="KXL195" s="36"/>
      <c r="KXM195" s="36"/>
      <c r="KXN195" s="36"/>
      <c r="KXO195" s="36"/>
      <c r="KXP195" s="36"/>
      <c r="KXQ195" s="36"/>
      <c r="KXR195" s="36"/>
      <c r="KXS195" s="36"/>
      <c r="KXT195" s="36"/>
      <c r="KXU195" s="36"/>
      <c r="KXV195" s="36"/>
      <c r="KXW195" s="36"/>
      <c r="KXX195" s="36"/>
      <c r="KXY195" s="36"/>
      <c r="KXZ195" s="36"/>
      <c r="KYA195" s="36"/>
      <c r="KYB195" s="36"/>
      <c r="KYC195" s="36"/>
      <c r="KYD195" s="36"/>
      <c r="KYE195" s="36"/>
      <c r="KYF195" s="36"/>
      <c r="KYG195" s="36"/>
      <c r="KYH195" s="36"/>
      <c r="KYI195" s="36"/>
      <c r="KYJ195" s="36"/>
      <c r="KYK195" s="36"/>
      <c r="KYL195" s="36"/>
      <c r="KYM195" s="36"/>
      <c r="KYN195" s="36"/>
      <c r="KYO195" s="36"/>
      <c r="KYP195" s="36"/>
      <c r="KYQ195" s="36"/>
      <c r="KYR195" s="36"/>
      <c r="KYS195" s="36"/>
      <c r="KYT195" s="36"/>
      <c r="KYU195" s="36"/>
      <c r="KYV195" s="36"/>
      <c r="KYW195" s="36"/>
      <c r="KYX195" s="36"/>
      <c r="KYY195" s="36"/>
      <c r="KYZ195" s="36"/>
      <c r="KZA195" s="36"/>
      <c r="KZB195" s="36"/>
      <c r="KZC195" s="36"/>
      <c r="KZD195" s="36"/>
      <c r="KZE195" s="36"/>
      <c r="KZF195" s="36"/>
      <c r="KZG195" s="36"/>
      <c r="KZH195" s="36"/>
      <c r="KZI195" s="36"/>
      <c r="KZJ195" s="36"/>
      <c r="KZK195" s="36"/>
      <c r="KZL195" s="36"/>
      <c r="KZM195" s="36"/>
      <c r="KZN195" s="36"/>
      <c r="KZO195" s="36"/>
      <c r="KZP195" s="36"/>
      <c r="KZQ195" s="36"/>
      <c r="KZR195" s="36"/>
      <c r="KZS195" s="36"/>
      <c r="KZT195" s="36"/>
      <c r="KZU195" s="36"/>
      <c r="KZV195" s="36"/>
      <c r="KZW195" s="36"/>
      <c r="KZX195" s="36"/>
      <c r="KZY195" s="36"/>
      <c r="KZZ195" s="36"/>
      <c r="LAA195" s="36"/>
      <c r="LAB195" s="36"/>
      <c r="LAC195" s="36"/>
      <c r="LAD195" s="36"/>
      <c r="LAE195" s="36"/>
      <c r="LAF195" s="36"/>
      <c r="LAG195" s="36"/>
      <c r="LAH195" s="36"/>
      <c r="LAI195" s="36"/>
      <c r="LAJ195" s="36"/>
      <c r="LAK195" s="36"/>
      <c r="LAL195" s="36"/>
      <c r="LAM195" s="36"/>
      <c r="LAN195" s="36"/>
      <c r="LAO195" s="36"/>
      <c r="LAP195" s="36"/>
      <c r="LAQ195" s="36"/>
      <c r="LAR195" s="36"/>
      <c r="LAS195" s="36"/>
      <c r="LAT195" s="36"/>
      <c r="LAU195" s="36"/>
      <c r="LAV195" s="36"/>
      <c r="LAW195" s="36"/>
      <c r="LAX195" s="36"/>
      <c r="LAY195" s="36"/>
      <c r="LAZ195" s="36"/>
      <c r="LBA195" s="36"/>
      <c r="LBB195" s="36"/>
      <c r="LBC195" s="36"/>
      <c r="LBD195" s="36"/>
      <c r="LBE195" s="36"/>
      <c r="LBF195" s="36"/>
      <c r="LBG195" s="36"/>
      <c r="LBH195" s="36"/>
      <c r="LBI195" s="36"/>
      <c r="LBJ195" s="36"/>
      <c r="LBK195" s="36"/>
      <c r="LBL195" s="36"/>
      <c r="LBM195" s="36"/>
      <c r="LBN195" s="36"/>
      <c r="LBO195" s="36"/>
      <c r="LBP195" s="36"/>
      <c r="LBQ195" s="36"/>
      <c r="LBR195" s="36"/>
      <c r="LBS195" s="36"/>
      <c r="LBT195" s="36"/>
      <c r="LBU195" s="36"/>
      <c r="LBV195" s="36"/>
      <c r="LBW195" s="36"/>
      <c r="LBX195" s="36"/>
      <c r="LBY195" s="36"/>
      <c r="LBZ195" s="36"/>
      <c r="LCA195" s="36"/>
      <c r="LCB195" s="36"/>
      <c r="LCC195" s="36"/>
      <c r="LCD195" s="36"/>
      <c r="LCE195" s="36"/>
      <c r="LCF195" s="36"/>
      <c r="LCG195" s="36"/>
      <c r="LCH195" s="36"/>
      <c r="LCI195" s="36"/>
      <c r="LCJ195" s="36"/>
      <c r="LCK195" s="36"/>
      <c r="LCL195" s="36"/>
      <c r="LCM195" s="36"/>
      <c r="LCN195" s="36"/>
      <c r="LCO195" s="36"/>
      <c r="LCP195" s="36"/>
      <c r="LCQ195" s="36"/>
      <c r="LCR195" s="36"/>
      <c r="LCS195" s="36"/>
      <c r="LCT195" s="36"/>
      <c r="LCU195" s="36"/>
      <c r="LCV195" s="36"/>
      <c r="LCW195" s="36"/>
      <c r="LCX195" s="36"/>
      <c r="LCY195" s="36"/>
      <c r="LCZ195" s="36"/>
      <c r="LDA195" s="36"/>
      <c r="LDB195" s="36"/>
      <c r="LDC195" s="36"/>
      <c r="LDD195" s="36"/>
      <c r="LDE195" s="36"/>
      <c r="LDF195" s="36"/>
      <c r="LDG195" s="36"/>
      <c r="LDH195" s="36"/>
      <c r="LDI195" s="36"/>
      <c r="LDJ195" s="36"/>
      <c r="LDK195" s="36"/>
      <c r="LDL195" s="36"/>
      <c r="LDM195" s="36"/>
      <c r="LDN195" s="36"/>
      <c r="LDO195" s="36"/>
      <c r="LDP195" s="36"/>
      <c r="LDQ195" s="36"/>
      <c r="LDR195" s="36"/>
      <c r="LDS195" s="36"/>
      <c r="LDT195" s="36"/>
      <c r="LDU195" s="36"/>
      <c r="LDV195" s="36"/>
      <c r="LDW195" s="36"/>
      <c r="LDX195" s="36"/>
      <c r="LDY195" s="36"/>
      <c r="LDZ195" s="36"/>
      <c r="LEA195" s="36"/>
      <c r="LEB195" s="36"/>
      <c r="LEC195" s="36"/>
      <c r="LED195" s="36"/>
      <c r="LEE195" s="36"/>
      <c r="LEF195" s="36"/>
      <c r="LEG195" s="36"/>
      <c r="LEH195" s="36"/>
      <c r="LEI195" s="36"/>
      <c r="LEJ195" s="36"/>
      <c r="LEK195" s="36"/>
      <c r="LEL195" s="36"/>
      <c r="LEM195" s="36"/>
      <c r="LEN195" s="36"/>
      <c r="LEO195" s="36"/>
      <c r="LEP195" s="36"/>
      <c r="LEQ195" s="36"/>
      <c r="LER195" s="36"/>
      <c r="LES195" s="36"/>
      <c r="LET195" s="36"/>
      <c r="LEU195" s="36"/>
      <c r="LEV195" s="36"/>
      <c r="LEW195" s="36"/>
      <c r="LEX195" s="36"/>
      <c r="LEY195" s="36"/>
      <c r="LEZ195" s="36"/>
      <c r="LFA195" s="36"/>
      <c r="LFB195" s="36"/>
      <c r="LFC195" s="36"/>
      <c r="LFD195" s="36"/>
      <c r="LFE195" s="36"/>
      <c r="LFF195" s="36"/>
      <c r="LFG195" s="36"/>
      <c r="LFH195" s="36"/>
      <c r="LFI195" s="36"/>
      <c r="LFJ195" s="36"/>
      <c r="LFK195" s="36"/>
      <c r="LFL195" s="36"/>
      <c r="LFM195" s="36"/>
      <c r="LFN195" s="36"/>
      <c r="LFO195" s="36"/>
      <c r="LFP195" s="36"/>
      <c r="LFQ195" s="36"/>
      <c r="LFR195" s="36"/>
      <c r="LFS195" s="36"/>
      <c r="LFT195" s="36"/>
      <c r="LFU195" s="36"/>
      <c r="LFV195" s="36"/>
      <c r="LFW195" s="36"/>
      <c r="LFX195" s="36"/>
      <c r="LFY195" s="36"/>
      <c r="LFZ195" s="36"/>
      <c r="LGA195" s="36"/>
      <c r="LGB195" s="36"/>
      <c r="LGC195" s="36"/>
      <c r="LGD195" s="36"/>
      <c r="LGE195" s="36"/>
      <c r="LGF195" s="36"/>
      <c r="LGG195" s="36"/>
      <c r="LGH195" s="36"/>
      <c r="LGI195" s="36"/>
      <c r="LGJ195" s="36"/>
      <c r="LGK195" s="36"/>
      <c r="LGL195" s="36"/>
      <c r="LGM195" s="36"/>
      <c r="LGN195" s="36"/>
      <c r="LGO195" s="36"/>
      <c r="LGP195" s="36"/>
      <c r="LGQ195" s="36"/>
      <c r="LGR195" s="36"/>
      <c r="LGS195" s="36"/>
      <c r="LGT195" s="36"/>
      <c r="LGU195" s="36"/>
      <c r="LGV195" s="36"/>
      <c r="LGW195" s="36"/>
      <c r="LGX195" s="36"/>
      <c r="LGY195" s="36"/>
      <c r="LGZ195" s="36"/>
      <c r="LHA195" s="36"/>
      <c r="LHB195" s="36"/>
      <c r="LHC195" s="36"/>
      <c r="LHD195" s="36"/>
      <c r="LHE195" s="36"/>
      <c r="LHF195" s="36"/>
      <c r="LHG195" s="36"/>
      <c r="LHH195" s="36"/>
      <c r="LHI195" s="36"/>
      <c r="LHJ195" s="36"/>
      <c r="LHK195" s="36"/>
      <c r="LHL195" s="36"/>
      <c r="LHM195" s="36"/>
      <c r="LHN195" s="36"/>
      <c r="LHO195" s="36"/>
      <c r="LHP195" s="36"/>
      <c r="LHQ195" s="36"/>
      <c r="LHR195" s="36"/>
      <c r="LHS195" s="36"/>
      <c r="LHT195" s="36"/>
      <c r="LHU195" s="36"/>
      <c r="LHV195" s="36"/>
      <c r="LHW195" s="36"/>
      <c r="LHX195" s="36"/>
      <c r="LHY195" s="36"/>
      <c r="LHZ195" s="36"/>
      <c r="LIA195" s="36"/>
      <c r="LIB195" s="36"/>
      <c r="LIC195" s="36"/>
      <c r="LID195" s="36"/>
      <c r="LIE195" s="36"/>
      <c r="LIF195" s="36"/>
      <c r="LIG195" s="36"/>
      <c r="LIH195" s="36"/>
      <c r="LII195" s="36"/>
      <c r="LIJ195" s="36"/>
      <c r="LIK195" s="36"/>
      <c r="LIL195" s="36"/>
      <c r="LIM195" s="36"/>
      <c r="LIN195" s="36"/>
      <c r="LIO195" s="36"/>
      <c r="LIP195" s="36"/>
      <c r="LIQ195" s="36"/>
      <c r="LIR195" s="36"/>
      <c r="LIS195" s="36"/>
      <c r="LIT195" s="36"/>
      <c r="LIU195" s="36"/>
      <c r="LIV195" s="36"/>
      <c r="LIW195" s="36"/>
      <c r="LIX195" s="36"/>
      <c r="LIY195" s="36"/>
      <c r="LIZ195" s="36"/>
      <c r="LJA195" s="36"/>
      <c r="LJB195" s="36"/>
      <c r="LJC195" s="36"/>
      <c r="LJD195" s="36"/>
      <c r="LJE195" s="36"/>
      <c r="LJF195" s="36"/>
      <c r="LJG195" s="36"/>
      <c r="LJH195" s="36"/>
      <c r="LJI195" s="36"/>
      <c r="LJJ195" s="36"/>
      <c r="LJK195" s="36"/>
      <c r="LJL195" s="36"/>
      <c r="LJM195" s="36"/>
      <c r="LJN195" s="36"/>
      <c r="LJO195" s="36"/>
      <c r="LJP195" s="36"/>
      <c r="LJQ195" s="36"/>
      <c r="LJR195" s="36"/>
      <c r="LJS195" s="36"/>
      <c r="LJT195" s="36"/>
      <c r="LJU195" s="36"/>
      <c r="LJV195" s="36"/>
      <c r="LJW195" s="36"/>
      <c r="LJX195" s="36"/>
      <c r="LJY195" s="36"/>
      <c r="LJZ195" s="36"/>
      <c r="LKA195" s="36"/>
      <c r="LKB195" s="36"/>
      <c r="LKC195" s="36"/>
      <c r="LKD195" s="36"/>
      <c r="LKE195" s="36"/>
      <c r="LKF195" s="36"/>
      <c r="LKG195" s="36"/>
      <c r="LKH195" s="36"/>
      <c r="LKI195" s="36"/>
      <c r="LKJ195" s="36"/>
      <c r="LKK195" s="36"/>
      <c r="LKL195" s="36"/>
      <c r="LKM195" s="36"/>
      <c r="LKN195" s="36"/>
      <c r="LKO195" s="36"/>
      <c r="LKP195" s="36"/>
      <c r="LKQ195" s="36"/>
      <c r="LKR195" s="36"/>
      <c r="LKS195" s="36"/>
      <c r="LKT195" s="36"/>
      <c r="LKU195" s="36"/>
      <c r="LKV195" s="36"/>
      <c r="LKW195" s="36"/>
      <c r="LKX195" s="36"/>
      <c r="LKY195" s="36"/>
      <c r="LKZ195" s="36"/>
      <c r="LLA195" s="36"/>
      <c r="LLB195" s="36"/>
      <c r="LLC195" s="36"/>
      <c r="LLD195" s="36"/>
      <c r="LLE195" s="36"/>
      <c r="LLF195" s="36"/>
      <c r="LLG195" s="36"/>
      <c r="LLH195" s="36"/>
      <c r="LLI195" s="36"/>
      <c r="LLJ195" s="36"/>
      <c r="LLK195" s="36"/>
      <c r="LLL195" s="36"/>
      <c r="LLM195" s="36"/>
      <c r="LLN195" s="36"/>
      <c r="LLO195" s="36"/>
      <c r="LLP195" s="36"/>
      <c r="LLQ195" s="36"/>
      <c r="LLR195" s="36"/>
      <c r="LLS195" s="36"/>
      <c r="LLT195" s="36"/>
      <c r="LLU195" s="36"/>
      <c r="LLV195" s="36"/>
      <c r="LLW195" s="36"/>
      <c r="LLX195" s="36"/>
      <c r="LLY195" s="36"/>
      <c r="LLZ195" s="36"/>
      <c r="LMA195" s="36"/>
      <c r="LMB195" s="36"/>
      <c r="LMC195" s="36"/>
      <c r="LMD195" s="36"/>
      <c r="LME195" s="36"/>
      <c r="LMF195" s="36"/>
      <c r="LMG195" s="36"/>
      <c r="LMH195" s="36"/>
      <c r="LMI195" s="36"/>
      <c r="LMJ195" s="36"/>
      <c r="LMK195" s="36"/>
      <c r="LML195" s="36"/>
      <c r="LMM195" s="36"/>
      <c r="LMN195" s="36"/>
      <c r="LMO195" s="36"/>
      <c r="LMP195" s="36"/>
      <c r="LMQ195" s="36"/>
      <c r="LMR195" s="36"/>
      <c r="LMS195" s="36"/>
      <c r="LMT195" s="36"/>
      <c r="LMU195" s="36"/>
      <c r="LMV195" s="36"/>
      <c r="LMW195" s="36"/>
      <c r="LMX195" s="36"/>
      <c r="LMY195" s="36"/>
      <c r="LMZ195" s="36"/>
      <c r="LNA195" s="36"/>
      <c r="LNB195" s="36"/>
      <c r="LNC195" s="36"/>
      <c r="LND195" s="36"/>
      <c r="LNE195" s="36"/>
      <c r="LNF195" s="36"/>
      <c r="LNG195" s="36"/>
      <c r="LNH195" s="36"/>
      <c r="LNI195" s="36"/>
      <c r="LNJ195" s="36"/>
      <c r="LNK195" s="36"/>
      <c r="LNL195" s="36"/>
      <c r="LNM195" s="36"/>
      <c r="LNN195" s="36"/>
      <c r="LNO195" s="36"/>
      <c r="LNP195" s="36"/>
      <c r="LNQ195" s="36"/>
      <c r="LNR195" s="36"/>
      <c r="LNS195" s="36"/>
      <c r="LNT195" s="36"/>
      <c r="LNU195" s="36"/>
      <c r="LNV195" s="36"/>
      <c r="LNW195" s="36"/>
      <c r="LNX195" s="36"/>
      <c r="LNY195" s="36"/>
      <c r="LNZ195" s="36"/>
      <c r="LOA195" s="36"/>
      <c r="LOB195" s="36"/>
      <c r="LOC195" s="36"/>
      <c r="LOD195" s="36"/>
      <c r="LOE195" s="36"/>
      <c r="LOF195" s="36"/>
      <c r="LOG195" s="36"/>
      <c r="LOH195" s="36"/>
      <c r="LOI195" s="36"/>
      <c r="LOJ195" s="36"/>
      <c r="LOK195" s="36"/>
      <c r="LOL195" s="36"/>
      <c r="LOM195" s="36"/>
      <c r="LON195" s="36"/>
      <c r="LOO195" s="36"/>
      <c r="LOP195" s="36"/>
      <c r="LOQ195" s="36"/>
      <c r="LOR195" s="36"/>
      <c r="LOS195" s="36"/>
      <c r="LOT195" s="36"/>
      <c r="LOU195" s="36"/>
      <c r="LOV195" s="36"/>
      <c r="LOW195" s="36"/>
      <c r="LOX195" s="36"/>
      <c r="LOY195" s="36"/>
      <c r="LOZ195" s="36"/>
      <c r="LPA195" s="36"/>
      <c r="LPB195" s="36"/>
      <c r="LPC195" s="36"/>
      <c r="LPD195" s="36"/>
      <c r="LPE195" s="36"/>
      <c r="LPF195" s="36"/>
      <c r="LPG195" s="36"/>
      <c r="LPH195" s="36"/>
      <c r="LPI195" s="36"/>
      <c r="LPJ195" s="36"/>
      <c r="LPK195" s="36"/>
      <c r="LPL195" s="36"/>
      <c r="LPM195" s="36"/>
      <c r="LPN195" s="36"/>
      <c r="LPO195" s="36"/>
      <c r="LPP195" s="36"/>
      <c r="LPQ195" s="36"/>
      <c r="LPR195" s="36"/>
      <c r="LPS195" s="36"/>
      <c r="LPT195" s="36"/>
      <c r="LPU195" s="36"/>
      <c r="LPV195" s="36"/>
      <c r="LPW195" s="36"/>
      <c r="LPX195" s="36"/>
      <c r="LPY195" s="36"/>
      <c r="LPZ195" s="36"/>
      <c r="LQA195" s="36"/>
      <c r="LQB195" s="36"/>
      <c r="LQC195" s="36"/>
      <c r="LQD195" s="36"/>
      <c r="LQE195" s="36"/>
      <c r="LQF195" s="36"/>
      <c r="LQG195" s="36"/>
      <c r="LQH195" s="36"/>
      <c r="LQI195" s="36"/>
      <c r="LQJ195" s="36"/>
      <c r="LQK195" s="36"/>
      <c r="LQL195" s="36"/>
      <c r="LQM195" s="36"/>
      <c r="LQN195" s="36"/>
      <c r="LQO195" s="36"/>
      <c r="LQP195" s="36"/>
      <c r="LQQ195" s="36"/>
      <c r="LQR195" s="36"/>
      <c r="LQS195" s="36"/>
      <c r="LQT195" s="36"/>
      <c r="LQU195" s="36"/>
      <c r="LQV195" s="36"/>
      <c r="LQW195" s="36"/>
      <c r="LQX195" s="36"/>
      <c r="LQY195" s="36"/>
      <c r="LQZ195" s="36"/>
      <c r="LRA195" s="36"/>
      <c r="LRB195" s="36"/>
      <c r="LRC195" s="36"/>
      <c r="LRD195" s="36"/>
      <c r="LRE195" s="36"/>
      <c r="LRF195" s="36"/>
      <c r="LRG195" s="36"/>
      <c r="LRH195" s="36"/>
      <c r="LRI195" s="36"/>
      <c r="LRJ195" s="36"/>
      <c r="LRK195" s="36"/>
      <c r="LRL195" s="36"/>
      <c r="LRM195" s="36"/>
      <c r="LRN195" s="36"/>
      <c r="LRO195" s="36"/>
      <c r="LRP195" s="36"/>
      <c r="LRQ195" s="36"/>
      <c r="LRR195" s="36"/>
      <c r="LRS195" s="36"/>
      <c r="LRT195" s="36"/>
      <c r="LRU195" s="36"/>
      <c r="LRV195" s="36"/>
      <c r="LRW195" s="36"/>
      <c r="LRX195" s="36"/>
      <c r="LRY195" s="36"/>
      <c r="LRZ195" s="36"/>
      <c r="LSA195" s="36"/>
      <c r="LSB195" s="36"/>
      <c r="LSC195" s="36"/>
      <c r="LSD195" s="36"/>
      <c r="LSE195" s="36"/>
      <c r="LSF195" s="36"/>
      <c r="LSG195" s="36"/>
      <c r="LSH195" s="36"/>
      <c r="LSI195" s="36"/>
      <c r="LSJ195" s="36"/>
      <c r="LSK195" s="36"/>
      <c r="LSL195" s="36"/>
      <c r="LSM195" s="36"/>
      <c r="LSN195" s="36"/>
      <c r="LSO195" s="36"/>
      <c r="LSP195" s="36"/>
      <c r="LSQ195" s="36"/>
      <c r="LSR195" s="36"/>
      <c r="LSS195" s="36"/>
      <c r="LST195" s="36"/>
      <c r="LSU195" s="36"/>
      <c r="LSV195" s="36"/>
      <c r="LSW195" s="36"/>
      <c r="LSX195" s="36"/>
      <c r="LSY195" s="36"/>
      <c r="LSZ195" s="36"/>
      <c r="LTA195" s="36"/>
      <c r="LTB195" s="36"/>
      <c r="LTC195" s="36"/>
      <c r="LTD195" s="36"/>
      <c r="LTE195" s="36"/>
      <c r="LTF195" s="36"/>
      <c r="LTG195" s="36"/>
      <c r="LTH195" s="36"/>
      <c r="LTI195" s="36"/>
      <c r="LTJ195" s="36"/>
      <c r="LTK195" s="36"/>
      <c r="LTL195" s="36"/>
      <c r="LTM195" s="36"/>
      <c r="LTN195" s="36"/>
      <c r="LTO195" s="36"/>
      <c r="LTP195" s="36"/>
      <c r="LTQ195" s="36"/>
      <c r="LTR195" s="36"/>
      <c r="LTS195" s="36"/>
      <c r="LTT195" s="36"/>
      <c r="LTU195" s="36"/>
      <c r="LTV195" s="36"/>
      <c r="LTW195" s="36"/>
      <c r="LTX195" s="36"/>
      <c r="LTY195" s="36"/>
      <c r="LTZ195" s="36"/>
      <c r="LUA195" s="36"/>
      <c r="LUB195" s="36"/>
      <c r="LUC195" s="36"/>
      <c r="LUD195" s="36"/>
      <c r="LUE195" s="36"/>
      <c r="LUF195" s="36"/>
      <c r="LUG195" s="36"/>
      <c r="LUH195" s="36"/>
      <c r="LUI195" s="36"/>
      <c r="LUJ195" s="36"/>
      <c r="LUK195" s="36"/>
      <c r="LUL195" s="36"/>
      <c r="LUM195" s="36"/>
      <c r="LUN195" s="36"/>
      <c r="LUO195" s="36"/>
      <c r="LUP195" s="36"/>
      <c r="LUQ195" s="36"/>
      <c r="LUR195" s="36"/>
      <c r="LUS195" s="36"/>
      <c r="LUT195" s="36"/>
      <c r="LUU195" s="36"/>
      <c r="LUV195" s="36"/>
      <c r="LUW195" s="36"/>
      <c r="LUX195" s="36"/>
      <c r="LUY195" s="36"/>
      <c r="LUZ195" s="36"/>
      <c r="LVA195" s="36"/>
      <c r="LVB195" s="36"/>
      <c r="LVC195" s="36"/>
      <c r="LVD195" s="36"/>
      <c r="LVE195" s="36"/>
      <c r="LVF195" s="36"/>
      <c r="LVG195" s="36"/>
      <c r="LVH195" s="36"/>
      <c r="LVI195" s="36"/>
      <c r="LVJ195" s="36"/>
      <c r="LVK195" s="36"/>
      <c r="LVL195" s="36"/>
      <c r="LVM195" s="36"/>
      <c r="LVN195" s="36"/>
      <c r="LVO195" s="36"/>
      <c r="LVP195" s="36"/>
      <c r="LVQ195" s="36"/>
      <c r="LVR195" s="36"/>
      <c r="LVS195" s="36"/>
      <c r="LVT195" s="36"/>
      <c r="LVU195" s="36"/>
      <c r="LVV195" s="36"/>
      <c r="LVW195" s="36"/>
      <c r="LVX195" s="36"/>
      <c r="LVY195" s="36"/>
      <c r="LVZ195" s="36"/>
      <c r="LWA195" s="36"/>
      <c r="LWB195" s="36"/>
      <c r="LWC195" s="36"/>
      <c r="LWD195" s="36"/>
      <c r="LWE195" s="36"/>
      <c r="LWF195" s="36"/>
      <c r="LWG195" s="36"/>
      <c r="LWH195" s="36"/>
      <c r="LWI195" s="36"/>
      <c r="LWJ195" s="36"/>
      <c r="LWK195" s="36"/>
      <c r="LWL195" s="36"/>
      <c r="LWM195" s="36"/>
      <c r="LWN195" s="36"/>
      <c r="LWO195" s="36"/>
      <c r="LWP195" s="36"/>
      <c r="LWQ195" s="36"/>
      <c r="LWR195" s="36"/>
      <c r="LWS195" s="36"/>
      <c r="LWT195" s="36"/>
      <c r="LWU195" s="36"/>
      <c r="LWV195" s="36"/>
      <c r="LWW195" s="36"/>
      <c r="LWX195" s="36"/>
      <c r="LWY195" s="36"/>
      <c r="LWZ195" s="36"/>
      <c r="LXA195" s="36"/>
      <c r="LXB195" s="36"/>
      <c r="LXC195" s="36"/>
      <c r="LXD195" s="36"/>
      <c r="LXE195" s="36"/>
      <c r="LXF195" s="36"/>
      <c r="LXG195" s="36"/>
      <c r="LXH195" s="36"/>
      <c r="LXI195" s="36"/>
      <c r="LXJ195" s="36"/>
      <c r="LXK195" s="36"/>
      <c r="LXL195" s="36"/>
      <c r="LXM195" s="36"/>
      <c r="LXN195" s="36"/>
      <c r="LXO195" s="36"/>
      <c r="LXP195" s="36"/>
      <c r="LXQ195" s="36"/>
      <c r="LXR195" s="36"/>
      <c r="LXS195" s="36"/>
      <c r="LXT195" s="36"/>
      <c r="LXU195" s="36"/>
      <c r="LXV195" s="36"/>
      <c r="LXW195" s="36"/>
      <c r="LXX195" s="36"/>
      <c r="LXY195" s="36"/>
      <c r="LXZ195" s="36"/>
      <c r="LYA195" s="36"/>
      <c r="LYB195" s="36"/>
      <c r="LYC195" s="36"/>
      <c r="LYD195" s="36"/>
      <c r="LYE195" s="36"/>
      <c r="LYF195" s="36"/>
      <c r="LYG195" s="36"/>
      <c r="LYH195" s="36"/>
      <c r="LYI195" s="36"/>
      <c r="LYJ195" s="36"/>
      <c r="LYK195" s="36"/>
      <c r="LYL195" s="36"/>
      <c r="LYM195" s="36"/>
      <c r="LYN195" s="36"/>
      <c r="LYO195" s="36"/>
      <c r="LYP195" s="36"/>
      <c r="LYQ195" s="36"/>
      <c r="LYR195" s="36"/>
      <c r="LYS195" s="36"/>
      <c r="LYT195" s="36"/>
      <c r="LYU195" s="36"/>
      <c r="LYV195" s="36"/>
      <c r="LYW195" s="36"/>
      <c r="LYX195" s="36"/>
      <c r="LYY195" s="36"/>
      <c r="LYZ195" s="36"/>
      <c r="LZA195" s="36"/>
      <c r="LZB195" s="36"/>
      <c r="LZC195" s="36"/>
      <c r="LZD195" s="36"/>
      <c r="LZE195" s="36"/>
      <c r="LZF195" s="36"/>
      <c r="LZG195" s="36"/>
      <c r="LZH195" s="36"/>
      <c r="LZI195" s="36"/>
      <c r="LZJ195" s="36"/>
      <c r="LZK195" s="36"/>
      <c r="LZL195" s="36"/>
      <c r="LZM195" s="36"/>
      <c r="LZN195" s="36"/>
      <c r="LZO195" s="36"/>
      <c r="LZP195" s="36"/>
      <c r="LZQ195" s="36"/>
      <c r="LZR195" s="36"/>
      <c r="LZS195" s="36"/>
      <c r="LZT195" s="36"/>
      <c r="LZU195" s="36"/>
      <c r="LZV195" s="36"/>
      <c r="LZW195" s="36"/>
      <c r="LZX195" s="36"/>
      <c r="LZY195" s="36"/>
      <c r="LZZ195" s="36"/>
      <c r="MAA195" s="36"/>
      <c r="MAB195" s="36"/>
      <c r="MAC195" s="36"/>
      <c r="MAD195" s="36"/>
      <c r="MAE195" s="36"/>
      <c r="MAF195" s="36"/>
      <c r="MAG195" s="36"/>
      <c r="MAH195" s="36"/>
      <c r="MAI195" s="36"/>
      <c r="MAJ195" s="36"/>
      <c r="MAK195" s="36"/>
      <c r="MAL195" s="36"/>
      <c r="MAM195" s="36"/>
      <c r="MAN195" s="36"/>
      <c r="MAO195" s="36"/>
      <c r="MAP195" s="36"/>
      <c r="MAQ195" s="36"/>
      <c r="MAR195" s="36"/>
      <c r="MAS195" s="36"/>
      <c r="MAT195" s="36"/>
      <c r="MAU195" s="36"/>
      <c r="MAV195" s="36"/>
      <c r="MAW195" s="36"/>
      <c r="MAX195" s="36"/>
      <c r="MAY195" s="36"/>
      <c r="MAZ195" s="36"/>
      <c r="MBA195" s="36"/>
      <c r="MBB195" s="36"/>
      <c r="MBC195" s="36"/>
      <c r="MBD195" s="36"/>
      <c r="MBE195" s="36"/>
      <c r="MBF195" s="36"/>
      <c r="MBG195" s="36"/>
      <c r="MBH195" s="36"/>
      <c r="MBI195" s="36"/>
      <c r="MBJ195" s="36"/>
      <c r="MBK195" s="36"/>
      <c r="MBL195" s="36"/>
      <c r="MBM195" s="36"/>
      <c r="MBN195" s="36"/>
      <c r="MBO195" s="36"/>
      <c r="MBP195" s="36"/>
      <c r="MBQ195" s="36"/>
      <c r="MBR195" s="36"/>
      <c r="MBS195" s="36"/>
      <c r="MBT195" s="36"/>
      <c r="MBU195" s="36"/>
      <c r="MBV195" s="36"/>
      <c r="MBW195" s="36"/>
      <c r="MBX195" s="36"/>
      <c r="MBY195" s="36"/>
      <c r="MBZ195" s="36"/>
      <c r="MCA195" s="36"/>
      <c r="MCB195" s="36"/>
      <c r="MCC195" s="36"/>
      <c r="MCD195" s="36"/>
      <c r="MCE195" s="36"/>
      <c r="MCF195" s="36"/>
      <c r="MCG195" s="36"/>
      <c r="MCH195" s="36"/>
      <c r="MCI195" s="36"/>
      <c r="MCJ195" s="36"/>
      <c r="MCK195" s="36"/>
      <c r="MCL195" s="36"/>
      <c r="MCM195" s="36"/>
      <c r="MCN195" s="36"/>
      <c r="MCO195" s="36"/>
      <c r="MCP195" s="36"/>
      <c r="MCQ195" s="36"/>
      <c r="MCR195" s="36"/>
      <c r="MCS195" s="36"/>
      <c r="MCT195" s="36"/>
      <c r="MCU195" s="36"/>
      <c r="MCV195" s="36"/>
      <c r="MCW195" s="36"/>
      <c r="MCX195" s="36"/>
      <c r="MCY195" s="36"/>
      <c r="MCZ195" s="36"/>
      <c r="MDA195" s="36"/>
      <c r="MDB195" s="36"/>
      <c r="MDC195" s="36"/>
      <c r="MDD195" s="36"/>
      <c r="MDE195" s="36"/>
      <c r="MDF195" s="36"/>
      <c r="MDG195" s="36"/>
      <c r="MDH195" s="36"/>
      <c r="MDI195" s="36"/>
      <c r="MDJ195" s="36"/>
      <c r="MDK195" s="36"/>
      <c r="MDL195" s="36"/>
      <c r="MDM195" s="36"/>
      <c r="MDN195" s="36"/>
      <c r="MDO195" s="36"/>
      <c r="MDP195" s="36"/>
      <c r="MDQ195" s="36"/>
      <c r="MDR195" s="36"/>
      <c r="MDS195" s="36"/>
      <c r="MDT195" s="36"/>
      <c r="MDU195" s="36"/>
      <c r="MDV195" s="36"/>
      <c r="MDW195" s="36"/>
      <c r="MDX195" s="36"/>
      <c r="MDY195" s="36"/>
      <c r="MDZ195" s="36"/>
      <c r="MEA195" s="36"/>
      <c r="MEB195" s="36"/>
      <c r="MEC195" s="36"/>
      <c r="MED195" s="36"/>
      <c r="MEE195" s="36"/>
      <c r="MEF195" s="36"/>
      <c r="MEG195" s="36"/>
      <c r="MEH195" s="36"/>
      <c r="MEI195" s="36"/>
      <c r="MEJ195" s="36"/>
      <c r="MEK195" s="36"/>
      <c r="MEL195" s="36"/>
      <c r="MEM195" s="36"/>
      <c r="MEN195" s="36"/>
      <c r="MEO195" s="36"/>
      <c r="MEP195" s="36"/>
      <c r="MEQ195" s="36"/>
      <c r="MER195" s="36"/>
      <c r="MES195" s="36"/>
      <c r="MET195" s="36"/>
      <c r="MEU195" s="36"/>
      <c r="MEV195" s="36"/>
      <c r="MEW195" s="36"/>
      <c r="MEX195" s="36"/>
      <c r="MEY195" s="36"/>
      <c r="MEZ195" s="36"/>
      <c r="MFA195" s="36"/>
      <c r="MFB195" s="36"/>
      <c r="MFC195" s="36"/>
      <c r="MFD195" s="36"/>
      <c r="MFE195" s="36"/>
      <c r="MFF195" s="36"/>
      <c r="MFG195" s="36"/>
      <c r="MFH195" s="36"/>
      <c r="MFI195" s="36"/>
      <c r="MFJ195" s="36"/>
      <c r="MFK195" s="36"/>
      <c r="MFL195" s="36"/>
      <c r="MFM195" s="36"/>
      <c r="MFN195" s="36"/>
      <c r="MFO195" s="36"/>
      <c r="MFP195" s="36"/>
      <c r="MFQ195" s="36"/>
      <c r="MFR195" s="36"/>
      <c r="MFS195" s="36"/>
      <c r="MFT195" s="36"/>
      <c r="MFU195" s="36"/>
      <c r="MFV195" s="36"/>
      <c r="MFW195" s="36"/>
      <c r="MFX195" s="36"/>
      <c r="MFY195" s="36"/>
      <c r="MFZ195" s="36"/>
      <c r="MGA195" s="36"/>
      <c r="MGB195" s="36"/>
      <c r="MGC195" s="36"/>
      <c r="MGD195" s="36"/>
      <c r="MGE195" s="36"/>
      <c r="MGF195" s="36"/>
      <c r="MGG195" s="36"/>
      <c r="MGH195" s="36"/>
      <c r="MGI195" s="36"/>
      <c r="MGJ195" s="36"/>
      <c r="MGK195" s="36"/>
      <c r="MGL195" s="36"/>
      <c r="MGM195" s="36"/>
      <c r="MGN195" s="36"/>
      <c r="MGO195" s="36"/>
      <c r="MGP195" s="36"/>
      <c r="MGQ195" s="36"/>
      <c r="MGR195" s="36"/>
      <c r="MGS195" s="36"/>
      <c r="MGT195" s="36"/>
      <c r="MGU195" s="36"/>
      <c r="MGV195" s="36"/>
      <c r="MGW195" s="36"/>
      <c r="MGX195" s="36"/>
      <c r="MGY195" s="36"/>
      <c r="MGZ195" s="36"/>
      <c r="MHA195" s="36"/>
      <c r="MHB195" s="36"/>
      <c r="MHC195" s="36"/>
      <c r="MHD195" s="36"/>
      <c r="MHE195" s="36"/>
      <c r="MHF195" s="36"/>
      <c r="MHG195" s="36"/>
      <c r="MHH195" s="36"/>
      <c r="MHI195" s="36"/>
      <c r="MHJ195" s="36"/>
      <c r="MHK195" s="36"/>
      <c r="MHL195" s="36"/>
      <c r="MHM195" s="36"/>
      <c r="MHN195" s="36"/>
      <c r="MHO195" s="36"/>
      <c r="MHP195" s="36"/>
      <c r="MHQ195" s="36"/>
      <c r="MHR195" s="36"/>
      <c r="MHS195" s="36"/>
      <c r="MHT195" s="36"/>
      <c r="MHU195" s="36"/>
      <c r="MHV195" s="36"/>
      <c r="MHW195" s="36"/>
      <c r="MHX195" s="36"/>
      <c r="MHY195" s="36"/>
      <c r="MHZ195" s="36"/>
      <c r="MIA195" s="36"/>
      <c r="MIB195" s="36"/>
      <c r="MIC195" s="36"/>
      <c r="MID195" s="36"/>
      <c r="MIE195" s="36"/>
      <c r="MIF195" s="36"/>
      <c r="MIG195" s="36"/>
      <c r="MIH195" s="36"/>
      <c r="MII195" s="36"/>
      <c r="MIJ195" s="36"/>
      <c r="MIK195" s="36"/>
      <c r="MIL195" s="36"/>
      <c r="MIM195" s="36"/>
      <c r="MIN195" s="36"/>
      <c r="MIO195" s="36"/>
      <c r="MIP195" s="36"/>
      <c r="MIQ195" s="36"/>
      <c r="MIR195" s="36"/>
      <c r="MIS195" s="36"/>
      <c r="MIT195" s="36"/>
      <c r="MIU195" s="36"/>
      <c r="MIV195" s="36"/>
      <c r="MIW195" s="36"/>
      <c r="MIX195" s="36"/>
      <c r="MIY195" s="36"/>
      <c r="MIZ195" s="36"/>
      <c r="MJA195" s="36"/>
      <c r="MJB195" s="36"/>
      <c r="MJC195" s="36"/>
      <c r="MJD195" s="36"/>
      <c r="MJE195" s="36"/>
      <c r="MJF195" s="36"/>
      <c r="MJG195" s="36"/>
      <c r="MJH195" s="36"/>
      <c r="MJI195" s="36"/>
      <c r="MJJ195" s="36"/>
      <c r="MJK195" s="36"/>
      <c r="MJL195" s="36"/>
      <c r="MJM195" s="36"/>
      <c r="MJN195" s="36"/>
      <c r="MJO195" s="36"/>
      <c r="MJP195" s="36"/>
      <c r="MJQ195" s="36"/>
      <c r="MJR195" s="36"/>
      <c r="MJS195" s="36"/>
      <c r="MJT195" s="36"/>
      <c r="MJU195" s="36"/>
      <c r="MJV195" s="36"/>
      <c r="MJW195" s="36"/>
      <c r="MJX195" s="36"/>
      <c r="MJY195" s="36"/>
      <c r="MJZ195" s="36"/>
      <c r="MKA195" s="36"/>
      <c r="MKB195" s="36"/>
      <c r="MKC195" s="36"/>
      <c r="MKD195" s="36"/>
      <c r="MKE195" s="36"/>
      <c r="MKF195" s="36"/>
      <c r="MKG195" s="36"/>
      <c r="MKH195" s="36"/>
      <c r="MKI195" s="36"/>
      <c r="MKJ195" s="36"/>
      <c r="MKK195" s="36"/>
      <c r="MKL195" s="36"/>
      <c r="MKM195" s="36"/>
      <c r="MKN195" s="36"/>
      <c r="MKO195" s="36"/>
      <c r="MKP195" s="36"/>
      <c r="MKQ195" s="36"/>
      <c r="MKR195" s="36"/>
      <c r="MKS195" s="36"/>
      <c r="MKT195" s="36"/>
      <c r="MKU195" s="36"/>
      <c r="MKV195" s="36"/>
      <c r="MKW195" s="36"/>
      <c r="MKX195" s="36"/>
      <c r="MKY195" s="36"/>
      <c r="MKZ195" s="36"/>
      <c r="MLA195" s="36"/>
      <c r="MLB195" s="36"/>
      <c r="MLC195" s="36"/>
      <c r="MLD195" s="36"/>
      <c r="MLE195" s="36"/>
      <c r="MLF195" s="36"/>
      <c r="MLG195" s="36"/>
      <c r="MLH195" s="36"/>
      <c r="MLI195" s="36"/>
      <c r="MLJ195" s="36"/>
      <c r="MLK195" s="36"/>
      <c r="MLL195" s="36"/>
      <c r="MLM195" s="36"/>
      <c r="MLN195" s="36"/>
      <c r="MLO195" s="36"/>
      <c r="MLP195" s="36"/>
      <c r="MLQ195" s="36"/>
      <c r="MLR195" s="36"/>
      <c r="MLS195" s="36"/>
      <c r="MLT195" s="36"/>
      <c r="MLU195" s="36"/>
      <c r="MLV195" s="36"/>
      <c r="MLW195" s="36"/>
      <c r="MLX195" s="36"/>
      <c r="MLY195" s="36"/>
      <c r="MLZ195" s="36"/>
      <c r="MMA195" s="36"/>
      <c r="MMB195" s="36"/>
      <c r="MMC195" s="36"/>
      <c r="MMD195" s="36"/>
      <c r="MME195" s="36"/>
      <c r="MMF195" s="36"/>
      <c r="MMG195" s="36"/>
      <c r="MMH195" s="36"/>
      <c r="MMI195" s="36"/>
      <c r="MMJ195" s="36"/>
      <c r="MMK195" s="36"/>
      <c r="MML195" s="36"/>
      <c r="MMM195" s="36"/>
      <c r="MMN195" s="36"/>
      <c r="MMO195" s="36"/>
      <c r="MMP195" s="36"/>
      <c r="MMQ195" s="36"/>
      <c r="MMR195" s="36"/>
      <c r="MMS195" s="36"/>
      <c r="MMT195" s="36"/>
      <c r="MMU195" s="36"/>
      <c r="MMV195" s="36"/>
      <c r="MMW195" s="36"/>
      <c r="MMX195" s="36"/>
      <c r="MMY195" s="36"/>
      <c r="MMZ195" s="36"/>
      <c r="MNA195" s="36"/>
      <c r="MNB195" s="36"/>
      <c r="MNC195" s="36"/>
      <c r="MND195" s="36"/>
      <c r="MNE195" s="36"/>
      <c r="MNF195" s="36"/>
      <c r="MNG195" s="36"/>
      <c r="MNH195" s="36"/>
      <c r="MNI195" s="36"/>
      <c r="MNJ195" s="36"/>
      <c r="MNK195" s="36"/>
      <c r="MNL195" s="36"/>
      <c r="MNM195" s="36"/>
      <c r="MNN195" s="36"/>
      <c r="MNO195" s="36"/>
      <c r="MNP195" s="36"/>
      <c r="MNQ195" s="36"/>
      <c r="MNR195" s="36"/>
      <c r="MNS195" s="36"/>
      <c r="MNT195" s="36"/>
      <c r="MNU195" s="36"/>
      <c r="MNV195" s="36"/>
      <c r="MNW195" s="36"/>
      <c r="MNX195" s="36"/>
      <c r="MNY195" s="36"/>
      <c r="MNZ195" s="36"/>
      <c r="MOA195" s="36"/>
      <c r="MOB195" s="36"/>
      <c r="MOC195" s="36"/>
      <c r="MOD195" s="36"/>
      <c r="MOE195" s="36"/>
      <c r="MOF195" s="36"/>
      <c r="MOG195" s="36"/>
      <c r="MOH195" s="36"/>
      <c r="MOI195" s="36"/>
      <c r="MOJ195" s="36"/>
      <c r="MOK195" s="36"/>
      <c r="MOL195" s="36"/>
      <c r="MOM195" s="36"/>
      <c r="MON195" s="36"/>
      <c r="MOO195" s="36"/>
      <c r="MOP195" s="36"/>
      <c r="MOQ195" s="36"/>
      <c r="MOR195" s="36"/>
      <c r="MOS195" s="36"/>
      <c r="MOT195" s="36"/>
      <c r="MOU195" s="36"/>
      <c r="MOV195" s="36"/>
      <c r="MOW195" s="36"/>
      <c r="MOX195" s="36"/>
      <c r="MOY195" s="36"/>
      <c r="MOZ195" s="36"/>
      <c r="MPA195" s="36"/>
      <c r="MPB195" s="36"/>
      <c r="MPC195" s="36"/>
      <c r="MPD195" s="36"/>
      <c r="MPE195" s="36"/>
      <c r="MPF195" s="36"/>
      <c r="MPG195" s="36"/>
      <c r="MPH195" s="36"/>
      <c r="MPI195" s="36"/>
      <c r="MPJ195" s="36"/>
      <c r="MPK195" s="36"/>
      <c r="MPL195" s="36"/>
      <c r="MPM195" s="36"/>
      <c r="MPN195" s="36"/>
      <c r="MPO195" s="36"/>
      <c r="MPP195" s="36"/>
      <c r="MPQ195" s="36"/>
      <c r="MPR195" s="36"/>
      <c r="MPS195" s="36"/>
      <c r="MPT195" s="36"/>
      <c r="MPU195" s="36"/>
      <c r="MPV195" s="36"/>
      <c r="MPW195" s="36"/>
      <c r="MPX195" s="36"/>
      <c r="MPY195" s="36"/>
      <c r="MPZ195" s="36"/>
      <c r="MQA195" s="36"/>
      <c r="MQB195" s="36"/>
      <c r="MQC195" s="36"/>
      <c r="MQD195" s="36"/>
      <c r="MQE195" s="36"/>
      <c r="MQF195" s="36"/>
      <c r="MQG195" s="36"/>
      <c r="MQH195" s="36"/>
      <c r="MQI195" s="36"/>
      <c r="MQJ195" s="36"/>
      <c r="MQK195" s="36"/>
      <c r="MQL195" s="36"/>
      <c r="MQM195" s="36"/>
      <c r="MQN195" s="36"/>
      <c r="MQO195" s="36"/>
      <c r="MQP195" s="36"/>
      <c r="MQQ195" s="36"/>
      <c r="MQR195" s="36"/>
      <c r="MQS195" s="36"/>
      <c r="MQT195" s="36"/>
      <c r="MQU195" s="36"/>
      <c r="MQV195" s="36"/>
      <c r="MQW195" s="36"/>
      <c r="MQX195" s="36"/>
      <c r="MQY195" s="36"/>
      <c r="MQZ195" s="36"/>
      <c r="MRA195" s="36"/>
      <c r="MRB195" s="36"/>
      <c r="MRC195" s="36"/>
      <c r="MRD195" s="36"/>
      <c r="MRE195" s="36"/>
      <c r="MRF195" s="36"/>
      <c r="MRG195" s="36"/>
      <c r="MRH195" s="36"/>
      <c r="MRI195" s="36"/>
      <c r="MRJ195" s="36"/>
      <c r="MRK195" s="36"/>
      <c r="MRL195" s="36"/>
      <c r="MRM195" s="36"/>
      <c r="MRN195" s="36"/>
      <c r="MRO195" s="36"/>
      <c r="MRP195" s="36"/>
      <c r="MRQ195" s="36"/>
      <c r="MRR195" s="36"/>
      <c r="MRS195" s="36"/>
      <c r="MRT195" s="36"/>
      <c r="MRU195" s="36"/>
      <c r="MRV195" s="36"/>
      <c r="MRW195" s="36"/>
      <c r="MRX195" s="36"/>
      <c r="MRY195" s="36"/>
      <c r="MRZ195" s="36"/>
      <c r="MSA195" s="36"/>
      <c r="MSB195" s="36"/>
      <c r="MSC195" s="36"/>
      <c r="MSD195" s="36"/>
      <c r="MSE195" s="36"/>
      <c r="MSF195" s="36"/>
      <c r="MSG195" s="36"/>
      <c r="MSH195" s="36"/>
      <c r="MSI195" s="36"/>
      <c r="MSJ195" s="36"/>
      <c r="MSK195" s="36"/>
      <c r="MSL195" s="36"/>
      <c r="MSM195" s="36"/>
      <c r="MSN195" s="36"/>
      <c r="MSO195" s="36"/>
      <c r="MSP195" s="36"/>
      <c r="MSQ195" s="36"/>
      <c r="MSR195" s="36"/>
      <c r="MSS195" s="36"/>
      <c r="MST195" s="36"/>
      <c r="MSU195" s="36"/>
      <c r="MSV195" s="36"/>
      <c r="MSW195" s="36"/>
      <c r="MSX195" s="36"/>
      <c r="MSY195" s="36"/>
      <c r="MSZ195" s="36"/>
      <c r="MTA195" s="36"/>
      <c r="MTB195" s="36"/>
      <c r="MTC195" s="36"/>
      <c r="MTD195" s="36"/>
      <c r="MTE195" s="36"/>
      <c r="MTF195" s="36"/>
      <c r="MTG195" s="36"/>
      <c r="MTH195" s="36"/>
      <c r="MTI195" s="36"/>
      <c r="MTJ195" s="36"/>
      <c r="MTK195" s="36"/>
      <c r="MTL195" s="36"/>
      <c r="MTM195" s="36"/>
      <c r="MTN195" s="36"/>
      <c r="MTO195" s="36"/>
      <c r="MTP195" s="36"/>
      <c r="MTQ195" s="36"/>
      <c r="MTR195" s="36"/>
      <c r="MTS195" s="36"/>
      <c r="MTT195" s="36"/>
      <c r="MTU195" s="36"/>
      <c r="MTV195" s="36"/>
      <c r="MTW195" s="36"/>
      <c r="MTX195" s="36"/>
      <c r="MTY195" s="36"/>
      <c r="MTZ195" s="36"/>
      <c r="MUA195" s="36"/>
      <c r="MUB195" s="36"/>
      <c r="MUC195" s="36"/>
      <c r="MUD195" s="36"/>
      <c r="MUE195" s="36"/>
      <c r="MUF195" s="36"/>
      <c r="MUG195" s="36"/>
      <c r="MUH195" s="36"/>
      <c r="MUI195" s="36"/>
      <c r="MUJ195" s="36"/>
      <c r="MUK195" s="36"/>
      <c r="MUL195" s="36"/>
      <c r="MUM195" s="36"/>
      <c r="MUN195" s="36"/>
      <c r="MUO195" s="36"/>
      <c r="MUP195" s="36"/>
      <c r="MUQ195" s="36"/>
      <c r="MUR195" s="36"/>
      <c r="MUS195" s="36"/>
      <c r="MUT195" s="36"/>
      <c r="MUU195" s="36"/>
      <c r="MUV195" s="36"/>
      <c r="MUW195" s="36"/>
      <c r="MUX195" s="36"/>
      <c r="MUY195" s="36"/>
      <c r="MUZ195" s="36"/>
      <c r="MVA195" s="36"/>
      <c r="MVB195" s="36"/>
      <c r="MVC195" s="36"/>
      <c r="MVD195" s="36"/>
      <c r="MVE195" s="36"/>
      <c r="MVF195" s="36"/>
      <c r="MVG195" s="36"/>
      <c r="MVH195" s="36"/>
      <c r="MVI195" s="36"/>
      <c r="MVJ195" s="36"/>
      <c r="MVK195" s="36"/>
      <c r="MVL195" s="36"/>
      <c r="MVM195" s="36"/>
      <c r="MVN195" s="36"/>
      <c r="MVO195" s="36"/>
      <c r="MVP195" s="36"/>
      <c r="MVQ195" s="36"/>
      <c r="MVR195" s="36"/>
      <c r="MVS195" s="36"/>
      <c r="MVT195" s="36"/>
      <c r="MVU195" s="36"/>
      <c r="MVV195" s="36"/>
      <c r="MVW195" s="36"/>
      <c r="MVX195" s="36"/>
      <c r="MVY195" s="36"/>
      <c r="MVZ195" s="36"/>
      <c r="MWA195" s="36"/>
      <c r="MWB195" s="36"/>
      <c r="MWC195" s="36"/>
      <c r="MWD195" s="36"/>
      <c r="MWE195" s="36"/>
      <c r="MWF195" s="36"/>
      <c r="MWG195" s="36"/>
      <c r="MWH195" s="36"/>
      <c r="MWI195" s="36"/>
      <c r="MWJ195" s="36"/>
      <c r="MWK195" s="36"/>
      <c r="MWL195" s="36"/>
      <c r="MWM195" s="36"/>
      <c r="MWN195" s="36"/>
      <c r="MWO195" s="36"/>
      <c r="MWP195" s="36"/>
      <c r="MWQ195" s="36"/>
      <c r="MWR195" s="36"/>
      <c r="MWS195" s="36"/>
      <c r="MWT195" s="36"/>
      <c r="MWU195" s="36"/>
      <c r="MWV195" s="36"/>
      <c r="MWW195" s="36"/>
      <c r="MWX195" s="36"/>
      <c r="MWY195" s="36"/>
      <c r="MWZ195" s="36"/>
      <c r="MXA195" s="36"/>
      <c r="MXB195" s="36"/>
      <c r="MXC195" s="36"/>
      <c r="MXD195" s="36"/>
      <c r="MXE195" s="36"/>
      <c r="MXF195" s="36"/>
      <c r="MXG195" s="36"/>
      <c r="MXH195" s="36"/>
      <c r="MXI195" s="36"/>
      <c r="MXJ195" s="36"/>
      <c r="MXK195" s="36"/>
      <c r="MXL195" s="36"/>
      <c r="MXM195" s="36"/>
      <c r="MXN195" s="36"/>
      <c r="MXO195" s="36"/>
      <c r="MXP195" s="36"/>
      <c r="MXQ195" s="36"/>
      <c r="MXR195" s="36"/>
      <c r="MXS195" s="36"/>
      <c r="MXT195" s="36"/>
      <c r="MXU195" s="36"/>
      <c r="MXV195" s="36"/>
      <c r="MXW195" s="36"/>
      <c r="MXX195" s="36"/>
      <c r="MXY195" s="36"/>
      <c r="MXZ195" s="36"/>
      <c r="MYA195" s="36"/>
      <c r="MYB195" s="36"/>
      <c r="MYC195" s="36"/>
      <c r="MYD195" s="36"/>
      <c r="MYE195" s="36"/>
      <c r="MYF195" s="36"/>
      <c r="MYG195" s="36"/>
      <c r="MYH195" s="36"/>
      <c r="MYI195" s="36"/>
      <c r="MYJ195" s="36"/>
      <c r="MYK195" s="36"/>
      <c r="MYL195" s="36"/>
      <c r="MYM195" s="36"/>
      <c r="MYN195" s="36"/>
      <c r="MYO195" s="36"/>
      <c r="MYP195" s="36"/>
      <c r="MYQ195" s="36"/>
      <c r="MYR195" s="36"/>
      <c r="MYS195" s="36"/>
      <c r="MYT195" s="36"/>
      <c r="MYU195" s="36"/>
      <c r="MYV195" s="36"/>
      <c r="MYW195" s="36"/>
      <c r="MYX195" s="36"/>
      <c r="MYY195" s="36"/>
      <c r="MYZ195" s="36"/>
      <c r="MZA195" s="36"/>
      <c r="MZB195" s="36"/>
      <c r="MZC195" s="36"/>
      <c r="MZD195" s="36"/>
      <c r="MZE195" s="36"/>
      <c r="MZF195" s="36"/>
      <c r="MZG195" s="36"/>
      <c r="MZH195" s="36"/>
      <c r="MZI195" s="36"/>
      <c r="MZJ195" s="36"/>
      <c r="MZK195" s="36"/>
      <c r="MZL195" s="36"/>
      <c r="MZM195" s="36"/>
      <c r="MZN195" s="36"/>
      <c r="MZO195" s="36"/>
      <c r="MZP195" s="36"/>
      <c r="MZQ195" s="36"/>
      <c r="MZR195" s="36"/>
      <c r="MZS195" s="36"/>
      <c r="MZT195" s="36"/>
      <c r="MZU195" s="36"/>
      <c r="MZV195" s="36"/>
      <c r="MZW195" s="36"/>
      <c r="MZX195" s="36"/>
      <c r="MZY195" s="36"/>
      <c r="MZZ195" s="36"/>
      <c r="NAA195" s="36"/>
      <c r="NAB195" s="36"/>
      <c r="NAC195" s="36"/>
      <c r="NAD195" s="36"/>
      <c r="NAE195" s="36"/>
      <c r="NAF195" s="36"/>
      <c r="NAG195" s="36"/>
      <c r="NAH195" s="36"/>
      <c r="NAI195" s="36"/>
      <c r="NAJ195" s="36"/>
      <c r="NAK195" s="36"/>
      <c r="NAL195" s="36"/>
      <c r="NAM195" s="36"/>
      <c r="NAN195" s="36"/>
      <c r="NAO195" s="36"/>
      <c r="NAP195" s="36"/>
      <c r="NAQ195" s="36"/>
      <c r="NAR195" s="36"/>
      <c r="NAS195" s="36"/>
      <c r="NAT195" s="36"/>
      <c r="NAU195" s="36"/>
      <c r="NAV195" s="36"/>
      <c r="NAW195" s="36"/>
      <c r="NAX195" s="36"/>
      <c r="NAY195" s="36"/>
      <c r="NAZ195" s="36"/>
      <c r="NBA195" s="36"/>
      <c r="NBB195" s="36"/>
      <c r="NBC195" s="36"/>
      <c r="NBD195" s="36"/>
      <c r="NBE195" s="36"/>
      <c r="NBF195" s="36"/>
      <c r="NBG195" s="36"/>
      <c r="NBH195" s="36"/>
      <c r="NBI195" s="36"/>
      <c r="NBJ195" s="36"/>
      <c r="NBK195" s="36"/>
      <c r="NBL195" s="36"/>
      <c r="NBM195" s="36"/>
      <c r="NBN195" s="36"/>
      <c r="NBO195" s="36"/>
      <c r="NBP195" s="36"/>
      <c r="NBQ195" s="36"/>
      <c r="NBR195" s="36"/>
      <c r="NBS195" s="36"/>
      <c r="NBT195" s="36"/>
      <c r="NBU195" s="36"/>
      <c r="NBV195" s="36"/>
      <c r="NBW195" s="36"/>
      <c r="NBX195" s="36"/>
      <c r="NBY195" s="36"/>
      <c r="NBZ195" s="36"/>
      <c r="NCA195" s="36"/>
      <c r="NCB195" s="36"/>
      <c r="NCC195" s="36"/>
      <c r="NCD195" s="36"/>
      <c r="NCE195" s="36"/>
      <c r="NCF195" s="36"/>
      <c r="NCG195" s="36"/>
      <c r="NCH195" s="36"/>
      <c r="NCI195" s="36"/>
      <c r="NCJ195" s="36"/>
      <c r="NCK195" s="36"/>
      <c r="NCL195" s="36"/>
      <c r="NCM195" s="36"/>
      <c r="NCN195" s="36"/>
      <c r="NCO195" s="36"/>
      <c r="NCP195" s="36"/>
      <c r="NCQ195" s="36"/>
      <c r="NCR195" s="36"/>
      <c r="NCS195" s="36"/>
      <c r="NCT195" s="36"/>
      <c r="NCU195" s="36"/>
      <c r="NCV195" s="36"/>
      <c r="NCW195" s="36"/>
      <c r="NCX195" s="36"/>
      <c r="NCY195" s="36"/>
      <c r="NCZ195" s="36"/>
      <c r="NDA195" s="36"/>
      <c r="NDB195" s="36"/>
      <c r="NDC195" s="36"/>
      <c r="NDD195" s="36"/>
      <c r="NDE195" s="36"/>
      <c r="NDF195" s="36"/>
      <c r="NDG195" s="36"/>
      <c r="NDH195" s="36"/>
      <c r="NDI195" s="36"/>
      <c r="NDJ195" s="36"/>
      <c r="NDK195" s="36"/>
      <c r="NDL195" s="36"/>
      <c r="NDM195" s="36"/>
      <c r="NDN195" s="36"/>
      <c r="NDO195" s="36"/>
      <c r="NDP195" s="36"/>
      <c r="NDQ195" s="36"/>
      <c r="NDR195" s="36"/>
      <c r="NDS195" s="36"/>
      <c r="NDT195" s="36"/>
      <c r="NDU195" s="36"/>
      <c r="NDV195" s="36"/>
      <c r="NDW195" s="36"/>
      <c r="NDX195" s="36"/>
      <c r="NDY195" s="36"/>
      <c r="NDZ195" s="36"/>
      <c r="NEA195" s="36"/>
      <c r="NEB195" s="36"/>
      <c r="NEC195" s="36"/>
      <c r="NED195" s="36"/>
      <c r="NEE195" s="36"/>
      <c r="NEF195" s="36"/>
      <c r="NEG195" s="36"/>
      <c r="NEH195" s="36"/>
      <c r="NEI195" s="36"/>
      <c r="NEJ195" s="36"/>
      <c r="NEK195" s="36"/>
      <c r="NEL195" s="36"/>
      <c r="NEM195" s="36"/>
      <c r="NEN195" s="36"/>
      <c r="NEO195" s="36"/>
      <c r="NEP195" s="36"/>
      <c r="NEQ195" s="36"/>
      <c r="NER195" s="36"/>
      <c r="NES195" s="36"/>
      <c r="NET195" s="36"/>
      <c r="NEU195" s="36"/>
      <c r="NEV195" s="36"/>
      <c r="NEW195" s="36"/>
      <c r="NEX195" s="36"/>
      <c r="NEY195" s="36"/>
      <c r="NEZ195" s="36"/>
      <c r="NFA195" s="36"/>
      <c r="NFB195" s="36"/>
      <c r="NFC195" s="36"/>
      <c r="NFD195" s="36"/>
      <c r="NFE195" s="36"/>
      <c r="NFF195" s="36"/>
      <c r="NFG195" s="36"/>
      <c r="NFH195" s="36"/>
      <c r="NFI195" s="36"/>
      <c r="NFJ195" s="36"/>
      <c r="NFK195" s="36"/>
      <c r="NFL195" s="36"/>
      <c r="NFM195" s="36"/>
      <c r="NFN195" s="36"/>
      <c r="NFO195" s="36"/>
      <c r="NFP195" s="36"/>
      <c r="NFQ195" s="36"/>
      <c r="NFR195" s="36"/>
      <c r="NFS195" s="36"/>
      <c r="NFT195" s="36"/>
      <c r="NFU195" s="36"/>
      <c r="NFV195" s="36"/>
      <c r="NFW195" s="36"/>
      <c r="NFX195" s="36"/>
      <c r="NFY195" s="36"/>
      <c r="NFZ195" s="36"/>
      <c r="NGA195" s="36"/>
      <c r="NGB195" s="36"/>
      <c r="NGC195" s="36"/>
      <c r="NGD195" s="36"/>
      <c r="NGE195" s="36"/>
      <c r="NGF195" s="36"/>
      <c r="NGG195" s="36"/>
      <c r="NGH195" s="36"/>
      <c r="NGI195" s="36"/>
      <c r="NGJ195" s="36"/>
      <c r="NGK195" s="36"/>
      <c r="NGL195" s="36"/>
      <c r="NGM195" s="36"/>
      <c r="NGN195" s="36"/>
      <c r="NGO195" s="36"/>
      <c r="NGP195" s="36"/>
      <c r="NGQ195" s="36"/>
      <c r="NGR195" s="36"/>
      <c r="NGS195" s="36"/>
      <c r="NGT195" s="36"/>
      <c r="NGU195" s="36"/>
      <c r="NGV195" s="36"/>
      <c r="NGW195" s="36"/>
      <c r="NGX195" s="36"/>
      <c r="NGY195" s="36"/>
      <c r="NGZ195" s="36"/>
      <c r="NHA195" s="36"/>
      <c r="NHB195" s="36"/>
      <c r="NHC195" s="36"/>
      <c r="NHD195" s="36"/>
      <c r="NHE195" s="36"/>
      <c r="NHF195" s="36"/>
      <c r="NHG195" s="36"/>
      <c r="NHH195" s="36"/>
      <c r="NHI195" s="36"/>
      <c r="NHJ195" s="36"/>
      <c r="NHK195" s="36"/>
      <c r="NHL195" s="36"/>
      <c r="NHM195" s="36"/>
      <c r="NHN195" s="36"/>
      <c r="NHO195" s="36"/>
      <c r="NHP195" s="36"/>
      <c r="NHQ195" s="36"/>
      <c r="NHR195" s="36"/>
      <c r="NHS195" s="36"/>
      <c r="NHT195" s="36"/>
      <c r="NHU195" s="36"/>
      <c r="NHV195" s="36"/>
      <c r="NHW195" s="36"/>
      <c r="NHX195" s="36"/>
      <c r="NHY195" s="36"/>
      <c r="NHZ195" s="36"/>
      <c r="NIA195" s="36"/>
      <c r="NIB195" s="36"/>
      <c r="NIC195" s="36"/>
      <c r="NID195" s="36"/>
      <c r="NIE195" s="36"/>
      <c r="NIF195" s="36"/>
      <c r="NIG195" s="36"/>
      <c r="NIH195" s="36"/>
      <c r="NII195" s="36"/>
      <c r="NIJ195" s="36"/>
      <c r="NIK195" s="36"/>
      <c r="NIL195" s="36"/>
      <c r="NIM195" s="36"/>
      <c r="NIN195" s="36"/>
      <c r="NIO195" s="36"/>
      <c r="NIP195" s="36"/>
      <c r="NIQ195" s="36"/>
      <c r="NIR195" s="36"/>
      <c r="NIS195" s="36"/>
      <c r="NIT195" s="36"/>
      <c r="NIU195" s="36"/>
      <c r="NIV195" s="36"/>
      <c r="NIW195" s="36"/>
      <c r="NIX195" s="36"/>
      <c r="NIY195" s="36"/>
      <c r="NIZ195" s="36"/>
      <c r="NJA195" s="36"/>
      <c r="NJB195" s="36"/>
      <c r="NJC195" s="36"/>
      <c r="NJD195" s="36"/>
      <c r="NJE195" s="36"/>
      <c r="NJF195" s="36"/>
      <c r="NJG195" s="36"/>
      <c r="NJH195" s="36"/>
      <c r="NJI195" s="36"/>
      <c r="NJJ195" s="36"/>
      <c r="NJK195" s="36"/>
      <c r="NJL195" s="36"/>
      <c r="NJM195" s="36"/>
      <c r="NJN195" s="36"/>
      <c r="NJO195" s="36"/>
      <c r="NJP195" s="36"/>
      <c r="NJQ195" s="36"/>
      <c r="NJR195" s="36"/>
      <c r="NJS195" s="36"/>
      <c r="NJT195" s="36"/>
      <c r="NJU195" s="36"/>
      <c r="NJV195" s="36"/>
      <c r="NJW195" s="36"/>
      <c r="NJX195" s="36"/>
      <c r="NJY195" s="36"/>
      <c r="NJZ195" s="36"/>
      <c r="NKA195" s="36"/>
      <c r="NKB195" s="36"/>
      <c r="NKC195" s="36"/>
      <c r="NKD195" s="36"/>
      <c r="NKE195" s="36"/>
      <c r="NKF195" s="36"/>
      <c r="NKG195" s="36"/>
      <c r="NKH195" s="36"/>
      <c r="NKI195" s="36"/>
      <c r="NKJ195" s="36"/>
      <c r="NKK195" s="36"/>
      <c r="NKL195" s="36"/>
      <c r="NKM195" s="36"/>
      <c r="NKN195" s="36"/>
      <c r="NKO195" s="36"/>
      <c r="NKP195" s="36"/>
      <c r="NKQ195" s="36"/>
      <c r="NKR195" s="36"/>
      <c r="NKS195" s="36"/>
      <c r="NKT195" s="36"/>
      <c r="NKU195" s="36"/>
      <c r="NKV195" s="36"/>
      <c r="NKW195" s="36"/>
      <c r="NKX195" s="36"/>
      <c r="NKY195" s="36"/>
      <c r="NKZ195" s="36"/>
      <c r="NLA195" s="36"/>
      <c r="NLB195" s="36"/>
      <c r="NLC195" s="36"/>
      <c r="NLD195" s="36"/>
      <c r="NLE195" s="36"/>
      <c r="NLF195" s="36"/>
      <c r="NLG195" s="36"/>
      <c r="NLH195" s="36"/>
      <c r="NLI195" s="36"/>
      <c r="NLJ195" s="36"/>
      <c r="NLK195" s="36"/>
      <c r="NLL195" s="36"/>
      <c r="NLM195" s="36"/>
      <c r="NLN195" s="36"/>
      <c r="NLO195" s="36"/>
      <c r="NLP195" s="36"/>
      <c r="NLQ195" s="36"/>
      <c r="NLR195" s="36"/>
      <c r="NLS195" s="36"/>
      <c r="NLT195" s="36"/>
      <c r="NLU195" s="36"/>
      <c r="NLV195" s="36"/>
      <c r="NLW195" s="36"/>
      <c r="NLX195" s="36"/>
      <c r="NLY195" s="36"/>
      <c r="NLZ195" s="36"/>
      <c r="NMA195" s="36"/>
      <c r="NMB195" s="36"/>
      <c r="NMC195" s="36"/>
      <c r="NMD195" s="36"/>
      <c r="NME195" s="36"/>
      <c r="NMF195" s="36"/>
      <c r="NMG195" s="36"/>
      <c r="NMH195" s="36"/>
      <c r="NMI195" s="36"/>
      <c r="NMJ195" s="36"/>
      <c r="NMK195" s="36"/>
      <c r="NML195" s="36"/>
      <c r="NMM195" s="36"/>
      <c r="NMN195" s="36"/>
      <c r="NMO195" s="36"/>
      <c r="NMP195" s="36"/>
      <c r="NMQ195" s="36"/>
      <c r="NMR195" s="36"/>
      <c r="NMS195" s="36"/>
      <c r="NMT195" s="36"/>
      <c r="NMU195" s="36"/>
      <c r="NMV195" s="36"/>
      <c r="NMW195" s="36"/>
      <c r="NMX195" s="36"/>
      <c r="NMY195" s="36"/>
      <c r="NMZ195" s="36"/>
      <c r="NNA195" s="36"/>
      <c r="NNB195" s="36"/>
      <c r="NNC195" s="36"/>
      <c r="NND195" s="36"/>
      <c r="NNE195" s="36"/>
      <c r="NNF195" s="36"/>
      <c r="NNG195" s="36"/>
      <c r="NNH195" s="36"/>
      <c r="NNI195" s="36"/>
      <c r="NNJ195" s="36"/>
      <c r="NNK195" s="36"/>
      <c r="NNL195" s="36"/>
      <c r="NNM195" s="36"/>
      <c r="NNN195" s="36"/>
      <c r="NNO195" s="36"/>
      <c r="NNP195" s="36"/>
      <c r="NNQ195" s="36"/>
      <c r="NNR195" s="36"/>
      <c r="NNS195" s="36"/>
      <c r="NNT195" s="36"/>
      <c r="NNU195" s="36"/>
      <c r="NNV195" s="36"/>
      <c r="NNW195" s="36"/>
      <c r="NNX195" s="36"/>
      <c r="NNY195" s="36"/>
      <c r="NNZ195" s="36"/>
      <c r="NOA195" s="36"/>
      <c r="NOB195" s="36"/>
      <c r="NOC195" s="36"/>
      <c r="NOD195" s="36"/>
      <c r="NOE195" s="36"/>
      <c r="NOF195" s="36"/>
      <c r="NOG195" s="36"/>
      <c r="NOH195" s="36"/>
      <c r="NOI195" s="36"/>
      <c r="NOJ195" s="36"/>
      <c r="NOK195" s="36"/>
      <c r="NOL195" s="36"/>
      <c r="NOM195" s="36"/>
      <c r="NON195" s="36"/>
      <c r="NOO195" s="36"/>
      <c r="NOP195" s="36"/>
      <c r="NOQ195" s="36"/>
      <c r="NOR195" s="36"/>
      <c r="NOS195" s="36"/>
      <c r="NOT195" s="36"/>
      <c r="NOU195" s="36"/>
      <c r="NOV195" s="36"/>
      <c r="NOW195" s="36"/>
      <c r="NOX195" s="36"/>
      <c r="NOY195" s="36"/>
      <c r="NOZ195" s="36"/>
      <c r="NPA195" s="36"/>
      <c r="NPB195" s="36"/>
      <c r="NPC195" s="36"/>
      <c r="NPD195" s="36"/>
      <c r="NPE195" s="36"/>
      <c r="NPF195" s="36"/>
      <c r="NPG195" s="36"/>
      <c r="NPH195" s="36"/>
      <c r="NPI195" s="36"/>
      <c r="NPJ195" s="36"/>
      <c r="NPK195" s="36"/>
      <c r="NPL195" s="36"/>
      <c r="NPM195" s="36"/>
      <c r="NPN195" s="36"/>
      <c r="NPO195" s="36"/>
      <c r="NPP195" s="36"/>
      <c r="NPQ195" s="36"/>
      <c r="NPR195" s="36"/>
      <c r="NPS195" s="36"/>
      <c r="NPT195" s="36"/>
      <c r="NPU195" s="36"/>
      <c r="NPV195" s="36"/>
      <c r="NPW195" s="36"/>
      <c r="NPX195" s="36"/>
      <c r="NPY195" s="36"/>
      <c r="NPZ195" s="36"/>
      <c r="NQA195" s="36"/>
      <c r="NQB195" s="36"/>
      <c r="NQC195" s="36"/>
      <c r="NQD195" s="36"/>
      <c r="NQE195" s="36"/>
      <c r="NQF195" s="36"/>
      <c r="NQG195" s="36"/>
      <c r="NQH195" s="36"/>
      <c r="NQI195" s="36"/>
      <c r="NQJ195" s="36"/>
      <c r="NQK195" s="36"/>
      <c r="NQL195" s="36"/>
      <c r="NQM195" s="36"/>
      <c r="NQN195" s="36"/>
      <c r="NQO195" s="36"/>
      <c r="NQP195" s="36"/>
      <c r="NQQ195" s="36"/>
      <c r="NQR195" s="36"/>
      <c r="NQS195" s="36"/>
      <c r="NQT195" s="36"/>
      <c r="NQU195" s="36"/>
      <c r="NQV195" s="36"/>
      <c r="NQW195" s="36"/>
      <c r="NQX195" s="36"/>
      <c r="NQY195" s="36"/>
      <c r="NQZ195" s="36"/>
      <c r="NRA195" s="36"/>
      <c r="NRB195" s="36"/>
      <c r="NRC195" s="36"/>
      <c r="NRD195" s="36"/>
      <c r="NRE195" s="36"/>
      <c r="NRF195" s="36"/>
      <c r="NRG195" s="36"/>
      <c r="NRH195" s="36"/>
      <c r="NRI195" s="36"/>
      <c r="NRJ195" s="36"/>
      <c r="NRK195" s="36"/>
      <c r="NRL195" s="36"/>
      <c r="NRM195" s="36"/>
      <c r="NRN195" s="36"/>
      <c r="NRO195" s="36"/>
      <c r="NRP195" s="36"/>
      <c r="NRQ195" s="36"/>
      <c r="NRR195" s="36"/>
      <c r="NRS195" s="36"/>
      <c r="NRT195" s="36"/>
      <c r="NRU195" s="36"/>
      <c r="NRV195" s="36"/>
      <c r="NRW195" s="36"/>
      <c r="NRX195" s="36"/>
      <c r="NRY195" s="36"/>
      <c r="NRZ195" s="36"/>
      <c r="NSA195" s="36"/>
      <c r="NSB195" s="36"/>
      <c r="NSC195" s="36"/>
      <c r="NSD195" s="36"/>
      <c r="NSE195" s="36"/>
      <c r="NSF195" s="36"/>
      <c r="NSG195" s="36"/>
      <c r="NSH195" s="36"/>
      <c r="NSI195" s="36"/>
      <c r="NSJ195" s="36"/>
      <c r="NSK195" s="36"/>
      <c r="NSL195" s="36"/>
      <c r="NSM195" s="36"/>
      <c r="NSN195" s="36"/>
      <c r="NSO195" s="36"/>
      <c r="NSP195" s="36"/>
      <c r="NSQ195" s="36"/>
      <c r="NSR195" s="36"/>
      <c r="NSS195" s="36"/>
      <c r="NST195" s="36"/>
      <c r="NSU195" s="36"/>
      <c r="NSV195" s="36"/>
      <c r="NSW195" s="36"/>
      <c r="NSX195" s="36"/>
      <c r="NSY195" s="36"/>
      <c r="NSZ195" s="36"/>
      <c r="NTA195" s="36"/>
      <c r="NTB195" s="36"/>
      <c r="NTC195" s="36"/>
      <c r="NTD195" s="36"/>
      <c r="NTE195" s="36"/>
      <c r="NTF195" s="36"/>
      <c r="NTG195" s="36"/>
      <c r="NTH195" s="36"/>
      <c r="NTI195" s="36"/>
      <c r="NTJ195" s="36"/>
      <c r="NTK195" s="36"/>
      <c r="NTL195" s="36"/>
      <c r="NTM195" s="36"/>
      <c r="NTN195" s="36"/>
      <c r="NTO195" s="36"/>
      <c r="NTP195" s="36"/>
      <c r="NTQ195" s="36"/>
      <c r="NTR195" s="36"/>
      <c r="NTS195" s="36"/>
      <c r="NTT195" s="36"/>
      <c r="NTU195" s="36"/>
      <c r="NTV195" s="36"/>
      <c r="NTW195" s="36"/>
      <c r="NTX195" s="36"/>
      <c r="NTY195" s="36"/>
      <c r="NTZ195" s="36"/>
      <c r="NUA195" s="36"/>
      <c r="NUB195" s="36"/>
      <c r="NUC195" s="36"/>
      <c r="NUD195" s="36"/>
      <c r="NUE195" s="36"/>
      <c r="NUF195" s="36"/>
      <c r="NUG195" s="36"/>
      <c r="NUH195" s="36"/>
      <c r="NUI195" s="36"/>
      <c r="NUJ195" s="36"/>
      <c r="NUK195" s="36"/>
      <c r="NUL195" s="36"/>
      <c r="NUM195" s="36"/>
      <c r="NUN195" s="36"/>
      <c r="NUO195" s="36"/>
      <c r="NUP195" s="36"/>
      <c r="NUQ195" s="36"/>
      <c r="NUR195" s="36"/>
      <c r="NUS195" s="36"/>
      <c r="NUT195" s="36"/>
      <c r="NUU195" s="36"/>
      <c r="NUV195" s="36"/>
      <c r="NUW195" s="36"/>
      <c r="NUX195" s="36"/>
      <c r="NUY195" s="36"/>
      <c r="NUZ195" s="36"/>
      <c r="NVA195" s="36"/>
      <c r="NVB195" s="36"/>
      <c r="NVC195" s="36"/>
      <c r="NVD195" s="36"/>
      <c r="NVE195" s="36"/>
      <c r="NVF195" s="36"/>
      <c r="NVG195" s="36"/>
      <c r="NVH195" s="36"/>
      <c r="NVI195" s="36"/>
      <c r="NVJ195" s="36"/>
      <c r="NVK195" s="36"/>
      <c r="NVL195" s="36"/>
      <c r="NVM195" s="36"/>
      <c r="NVN195" s="36"/>
      <c r="NVO195" s="36"/>
      <c r="NVP195" s="36"/>
      <c r="NVQ195" s="36"/>
      <c r="NVR195" s="36"/>
      <c r="NVS195" s="36"/>
      <c r="NVT195" s="36"/>
      <c r="NVU195" s="36"/>
      <c r="NVV195" s="36"/>
      <c r="NVW195" s="36"/>
      <c r="NVX195" s="36"/>
      <c r="NVY195" s="36"/>
      <c r="NVZ195" s="36"/>
      <c r="NWA195" s="36"/>
      <c r="NWB195" s="36"/>
      <c r="NWC195" s="36"/>
      <c r="NWD195" s="36"/>
      <c r="NWE195" s="36"/>
      <c r="NWF195" s="36"/>
      <c r="NWG195" s="36"/>
      <c r="NWH195" s="36"/>
      <c r="NWI195" s="36"/>
      <c r="NWJ195" s="36"/>
      <c r="NWK195" s="36"/>
      <c r="NWL195" s="36"/>
      <c r="NWM195" s="36"/>
      <c r="NWN195" s="36"/>
      <c r="NWO195" s="36"/>
      <c r="NWP195" s="36"/>
      <c r="NWQ195" s="36"/>
      <c r="NWR195" s="36"/>
      <c r="NWS195" s="36"/>
      <c r="NWT195" s="36"/>
      <c r="NWU195" s="36"/>
      <c r="NWV195" s="36"/>
      <c r="NWW195" s="36"/>
      <c r="NWX195" s="36"/>
      <c r="NWY195" s="36"/>
      <c r="NWZ195" s="36"/>
      <c r="NXA195" s="36"/>
      <c r="NXB195" s="36"/>
      <c r="NXC195" s="36"/>
      <c r="NXD195" s="36"/>
      <c r="NXE195" s="36"/>
      <c r="NXF195" s="36"/>
      <c r="NXG195" s="36"/>
      <c r="NXH195" s="36"/>
      <c r="NXI195" s="36"/>
      <c r="NXJ195" s="36"/>
      <c r="NXK195" s="36"/>
      <c r="NXL195" s="36"/>
      <c r="NXM195" s="36"/>
      <c r="NXN195" s="36"/>
      <c r="NXO195" s="36"/>
      <c r="NXP195" s="36"/>
      <c r="NXQ195" s="36"/>
      <c r="NXR195" s="36"/>
      <c r="NXS195" s="36"/>
      <c r="NXT195" s="36"/>
      <c r="NXU195" s="36"/>
      <c r="NXV195" s="36"/>
      <c r="NXW195" s="36"/>
      <c r="NXX195" s="36"/>
      <c r="NXY195" s="36"/>
      <c r="NXZ195" s="36"/>
      <c r="NYA195" s="36"/>
      <c r="NYB195" s="36"/>
      <c r="NYC195" s="36"/>
      <c r="NYD195" s="36"/>
      <c r="NYE195" s="36"/>
      <c r="NYF195" s="36"/>
      <c r="NYG195" s="36"/>
      <c r="NYH195" s="36"/>
      <c r="NYI195" s="36"/>
      <c r="NYJ195" s="36"/>
      <c r="NYK195" s="36"/>
      <c r="NYL195" s="36"/>
      <c r="NYM195" s="36"/>
      <c r="NYN195" s="36"/>
      <c r="NYO195" s="36"/>
      <c r="NYP195" s="36"/>
      <c r="NYQ195" s="36"/>
      <c r="NYR195" s="36"/>
      <c r="NYS195" s="36"/>
      <c r="NYT195" s="36"/>
      <c r="NYU195" s="36"/>
      <c r="NYV195" s="36"/>
      <c r="NYW195" s="36"/>
      <c r="NYX195" s="36"/>
      <c r="NYY195" s="36"/>
      <c r="NYZ195" s="36"/>
      <c r="NZA195" s="36"/>
      <c r="NZB195" s="36"/>
      <c r="NZC195" s="36"/>
      <c r="NZD195" s="36"/>
      <c r="NZE195" s="36"/>
      <c r="NZF195" s="36"/>
      <c r="NZG195" s="36"/>
      <c r="NZH195" s="36"/>
      <c r="NZI195" s="36"/>
      <c r="NZJ195" s="36"/>
      <c r="NZK195" s="36"/>
      <c r="NZL195" s="36"/>
      <c r="NZM195" s="36"/>
      <c r="NZN195" s="36"/>
      <c r="NZO195" s="36"/>
      <c r="NZP195" s="36"/>
      <c r="NZQ195" s="36"/>
      <c r="NZR195" s="36"/>
      <c r="NZS195" s="36"/>
      <c r="NZT195" s="36"/>
      <c r="NZU195" s="36"/>
      <c r="NZV195" s="36"/>
      <c r="NZW195" s="36"/>
      <c r="NZX195" s="36"/>
      <c r="NZY195" s="36"/>
      <c r="NZZ195" s="36"/>
      <c r="OAA195" s="36"/>
      <c r="OAB195" s="36"/>
      <c r="OAC195" s="36"/>
      <c r="OAD195" s="36"/>
      <c r="OAE195" s="36"/>
      <c r="OAF195" s="36"/>
      <c r="OAG195" s="36"/>
      <c r="OAH195" s="36"/>
      <c r="OAI195" s="36"/>
      <c r="OAJ195" s="36"/>
      <c r="OAK195" s="36"/>
      <c r="OAL195" s="36"/>
      <c r="OAM195" s="36"/>
      <c r="OAN195" s="36"/>
      <c r="OAO195" s="36"/>
      <c r="OAP195" s="36"/>
      <c r="OAQ195" s="36"/>
      <c r="OAR195" s="36"/>
      <c r="OAS195" s="36"/>
      <c r="OAT195" s="36"/>
      <c r="OAU195" s="36"/>
      <c r="OAV195" s="36"/>
      <c r="OAW195" s="36"/>
      <c r="OAX195" s="36"/>
      <c r="OAY195" s="36"/>
      <c r="OAZ195" s="36"/>
      <c r="OBA195" s="36"/>
      <c r="OBB195" s="36"/>
      <c r="OBC195" s="36"/>
      <c r="OBD195" s="36"/>
      <c r="OBE195" s="36"/>
      <c r="OBF195" s="36"/>
      <c r="OBG195" s="36"/>
      <c r="OBH195" s="36"/>
      <c r="OBI195" s="36"/>
      <c r="OBJ195" s="36"/>
      <c r="OBK195" s="36"/>
      <c r="OBL195" s="36"/>
      <c r="OBM195" s="36"/>
      <c r="OBN195" s="36"/>
      <c r="OBO195" s="36"/>
      <c r="OBP195" s="36"/>
      <c r="OBQ195" s="36"/>
      <c r="OBR195" s="36"/>
      <c r="OBS195" s="36"/>
      <c r="OBT195" s="36"/>
      <c r="OBU195" s="36"/>
      <c r="OBV195" s="36"/>
      <c r="OBW195" s="36"/>
      <c r="OBX195" s="36"/>
      <c r="OBY195" s="36"/>
      <c r="OBZ195" s="36"/>
      <c r="OCA195" s="36"/>
      <c r="OCB195" s="36"/>
      <c r="OCC195" s="36"/>
      <c r="OCD195" s="36"/>
      <c r="OCE195" s="36"/>
      <c r="OCF195" s="36"/>
      <c r="OCG195" s="36"/>
      <c r="OCH195" s="36"/>
      <c r="OCI195" s="36"/>
      <c r="OCJ195" s="36"/>
      <c r="OCK195" s="36"/>
      <c r="OCL195" s="36"/>
      <c r="OCM195" s="36"/>
      <c r="OCN195" s="36"/>
      <c r="OCO195" s="36"/>
      <c r="OCP195" s="36"/>
      <c r="OCQ195" s="36"/>
      <c r="OCR195" s="36"/>
      <c r="OCS195" s="36"/>
      <c r="OCT195" s="36"/>
      <c r="OCU195" s="36"/>
      <c r="OCV195" s="36"/>
      <c r="OCW195" s="36"/>
      <c r="OCX195" s="36"/>
      <c r="OCY195" s="36"/>
      <c r="OCZ195" s="36"/>
      <c r="ODA195" s="36"/>
      <c r="ODB195" s="36"/>
      <c r="ODC195" s="36"/>
      <c r="ODD195" s="36"/>
      <c r="ODE195" s="36"/>
      <c r="ODF195" s="36"/>
      <c r="ODG195" s="36"/>
      <c r="ODH195" s="36"/>
      <c r="ODI195" s="36"/>
      <c r="ODJ195" s="36"/>
      <c r="ODK195" s="36"/>
      <c r="ODL195" s="36"/>
      <c r="ODM195" s="36"/>
      <c r="ODN195" s="36"/>
      <c r="ODO195" s="36"/>
      <c r="ODP195" s="36"/>
      <c r="ODQ195" s="36"/>
      <c r="ODR195" s="36"/>
      <c r="ODS195" s="36"/>
      <c r="ODT195" s="36"/>
      <c r="ODU195" s="36"/>
      <c r="ODV195" s="36"/>
      <c r="ODW195" s="36"/>
      <c r="ODX195" s="36"/>
      <c r="ODY195" s="36"/>
      <c r="ODZ195" s="36"/>
      <c r="OEA195" s="36"/>
      <c r="OEB195" s="36"/>
      <c r="OEC195" s="36"/>
      <c r="OED195" s="36"/>
      <c r="OEE195" s="36"/>
      <c r="OEF195" s="36"/>
      <c r="OEG195" s="36"/>
      <c r="OEH195" s="36"/>
      <c r="OEI195" s="36"/>
      <c r="OEJ195" s="36"/>
      <c r="OEK195" s="36"/>
      <c r="OEL195" s="36"/>
      <c r="OEM195" s="36"/>
      <c r="OEN195" s="36"/>
      <c r="OEO195" s="36"/>
      <c r="OEP195" s="36"/>
      <c r="OEQ195" s="36"/>
      <c r="OER195" s="36"/>
      <c r="OES195" s="36"/>
      <c r="OET195" s="36"/>
      <c r="OEU195" s="36"/>
      <c r="OEV195" s="36"/>
      <c r="OEW195" s="36"/>
      <c r="OEX195" s="36"/>
      <c r="OEY195" s="36"/>
      <c r="OEZ195" s="36"/>
      <c r="OFA195" s="36"/>
      <c r="OFB195" s="36"/>
      <c r="OFC195" s="36"/>
      <c r="OFD195" s="36"/>
      <c r="OFE195" s="36"/>
      <c r="OFF195" s="36"/>
      <c r="OFG195" s="36"/>
      <c r="OFH195" s="36"/>
      <c r="OFI195" s="36"/>
      <c r="OFJ195" s="36"/>
      <c r="OFK195" s="36"/>
      <c r="OFL195" s="36"/>
      <c r="OFM195" s="36"/>
      <c r="OFN195" s="36"/>
      <c r="OFO195" s="36"/>
      <c r="OFP195" s="36"/>
      <c r="OFQ195" s="36"/>
      <c r="OFR195" s="36"/>
      <c r="OFS195" s="36"/>
      <c r="OFT195" s="36"/>
      <c r="OFU195" s="36"/>
      <c r="OFV195" s="36"/>
      <c r="OFW195" s="36"/>
      <c r="OFX195" s="36"/>
      <c r="OFY195" s="36"/>
      <c r="OFZ195" s="36"/>
      <c r="OGA195" s="36"/>
      <c r="OGB195" s="36"/>
      <c r="OGC195" s="36"/>
      <c r="OGD195" s="36"/>
      <c r="OGE195" s="36"/>
      <c r="OGF195" s="36"/>
      <c r="OGG195" s="36"/>
      <c r="OGH195" s="36"/>
      <c r="OGI195" s="36"/>
      <c r="OGJ195" s="36"/>
      <c r="OGK195" s="36"/>
      <c r="OGL195" s="36"/>
      <c r="OGM195" s="36"/>
      <c r="OGN195" s="36"/>
      <c r="OGO195" s="36"/>
      <c r="OGP195" s="36"/>
      <c r="OGQ195" s="36"/>
      <c r="OGR195" s="36"/>
      <c r="OGS195" s="36"/>
      <c r="OGT195" s="36"/>
      <c r="OGU195" s="36"/>
      <c r="OGV195" s="36"/>
      <c r="OGW195" s="36"/>
      <c r="OGX195" s="36"/>
      <c r="OGY195" s="36"/>
      <c r="OGZ195" s="36"/>
      <c r="OHA195" s="36"/>
      <c r="OHB195" s="36"/>
      <c r="OHC195" s="36"/>
      <c r="OHD195" s="36"/>
      <c r="OHE195" s="36"/>
      <c r="OHF195" s="36"/>
      <c r="OHG195" s="36"/>
      <c r="OHH195" s="36"/>
      <c r="OHI195" s="36"/>
      <c r="OHJ195" s="36"/>
      <c r="OHK195" s="36"/>
      <c r="OHL195" s="36"/>
      <c r="OHM195" s="36"/>
      <c r="OHN195" s="36"/>
      <c r="OHO195" s="36"/>
      <c r="OHP195" s="36"/>
      <c r="OHQ195" s="36"/>
      <c r="OHR195" s="36"/>
      <c r="OHS195" s="36"/>
      <c r="OHT195" s="36"/>
      <c r="OHU195" s="36"/>
      <c r="OHV195" s="36"/>
      <c r="OHW195" s="36"/>
      <c r="OHX195" s="36"/>
      <c r="OHY195" s="36"/>
      <c r="OHZ195" s="36"/>
      <c r="OIA195" s="36"/>
      <c r="OIB195" s="36"/>
      <c r="OIC195" s="36"/>
      <c r="OID195" s="36"/>
      <c r="OIE195" s="36"/>
      <c r="OIF195" s="36"/>
      <c r="OIG195" s="36"/>
      <c r="OIH195" s="36"/>
      <c r="OII195" s="36"/>
      <c r="OIJ195" s="36"/>
      <c r="OIK195" s="36"/>
      <c r="OIL195" s="36"/>
      <c r="OIM195" s="36"/>
      <c r="OIN195" s="36"/>
      <c r="OIO195" s="36"/>
      <c r="OIP195" s="36"/>
      <c r="OIQ195" s="36"/>
      <c r="OIR195" s="36"/>
      <c r="OIS195" s="36"/>
      <c r="OIT195" s="36"/>
      <c r="OIU195" s="36"/>
      <c r="OIV195" s="36"/>
      <c r="OIW195" s="36"/>
      <c r="OIX195" s="36"/>
      <c r="OIY195" s="36"/>
      <c r="OIZ195" s="36"/>
      <c r="OJA195" s="36"/>
      <c r="OJB195" s="36"/>
      <c r="OJC195" s="36"/>
      <c r="OJD195" s="36"/>
      <c r="OJE195" s="36"/>
      <c r="OJF195" s="36"/>
      <c r="OJG195" s="36"/>
      <c r="OJH195" s="36"/>
      <c r="OJI195" s="36"/>
      <c r="OJJ195" s="36"/>
      <c r="OJK195" s="36"/>
      <c r="OJL195" s="36"/>
      <c r="OJM195" s="36"/>
      <c r="OJN195" s="36"/>
      <c r="OJO195" s="36"/>
      <c r="OJP195" s="36"/>
      <c r="OJQ195" s="36"/>
      <c r="OJR195" s="36"/>
      <c r="OJS195" s="36"/>
      <c r="OJT195" s="36"/>
      <c r="OJU195" s="36"/>
      <c r="OJV195" s="36"/>
      <c r="OJW195" s="36"/>
      <c r="OJX195" s="36"/>
      <c r="OJY195" s="36"/>
      <c r="OJZ195" s="36"/>
      <c r="OKA195" s="36"/>
      <c r="OKB195" s="36"/>
      <c r="OKC195" s="36"/>
      <c r="OKD195" s="36"/>
      <c r="OKE195" s="36"/>
      <c r="OKF195" s="36"/>
      <c r="OKG195" s="36"/>
      <c r="OKH195" s="36"/>
      <c r="OKI195" s="36"/>
      <c r="OKJ195" s="36"/>
      <c r="OKK195" s="36"/>
      <c r="OKL195" s="36"/>
      <c r="OKM195" s="36"/>
      <c r="OKN195" s="36"/>
      <c r="OKO195" s="36"/>
      <c r="OKP195" s="36"/>
      <c r="OKQ195" s="36"/>
      <c r="OKR195" s="36"/>
      <c r="OKS195" s="36"/>
      <c r="OKT195" s="36"/>
      <c r="OKU195" s="36"/>
      <c r="OKV195" s="36"/>
      <c r="OKW195" s="36"/>
      <c r="OKX195" s="36"/>
      <c r="OKY195" s="36"/>
      <c r="OKZ195" s="36"/>
      <c r="OLA195" s="36"/>
      <c r="OLB195" s="36"/>
      <c r="OLC195" s="36"/>
      <c r="OLD195" s="36"/>
      <c r="OLE195" s="36"/>
      <c r="OLF195" s="36"/>
      <c r="OLG195" s="36"/>
      <c r="OLH195" s="36"/>
      <c r="OLI195" s="36"/>
      <c r="OLJ195" s="36"/>
      <c r="OLK195" s="36"/>
      <c r="OLL195" s="36"/>
      <c r="OLM195" s="36"/>
      <c r="OLN195" s="36"/>
      <c r="OLO195" s="36"/>
      <c r="OLP195" s="36"/>
      <c r="OLQ195" s="36"/>
      <c r="OLR195" s="36"/>
      <c r="OLS195" s="36"/>
      <c r="OLT195" s="36"/>
      <c r="OLU195" s="36"/>
      <c r="OLV195" s="36"/>
      <c r="OLW195" s="36"/>
      <c r="OLX195" s="36"/>
      <c r="OLY195" s="36"/>
      <c r="OLZ195" s="36"/>
      <c r="OMA195" s="36"/>
      <c r="OMB195" s="36"/>
      <c r="OMC195" s="36"/>
      <c r="OMD195" s="36"/>
      <c r="OME195" s="36"/>
      <c r="OMF195" s="36"/>
      <c r="OMG195" s="36"/>
      <c r="OMH195" s="36"/>
      <c r="OMI195" s="36"/>
      <c r="OMJ195" s="36"/>
      <c r="OMK195" s="36"/>
      <c r="OML195" s="36"/>
      <c r="OMM195" s="36"/>
      <c r="OMN195" s="36"/>
      <c r="OMO195" s="36"/>
      <c r="OMP195" s="36"/>
      <c r="OMQ195" s="36"/>
      <c r="OMR195" s="36"/>
      <c r="OMS195" s="36"/>
      <c r="OMT195" s="36"/>
      <c r="OMU195" s="36"/>
      <c r="OMV195" s="36"/>
      <c r="OMW195" s="36"/>
      <c r="OMX195" s="36"/>
      <c r="OMY195" s="36"/>
      <c r="OMZ195" s="36"/>
      <c r="ONA195" s="36"/>
      <c r="ONB195" s="36"/>
      <c r="ONC195" s="36"/>
      <c r="OND195" s="36"/>
      <c r="ONE195" s="36"/>
      <c r="ONF195" s="36"/>
      <c r="ONG195" s="36"/>
      <c r="ONH195" s="36"/>
      <c r="ONI195" s="36"/>
      <c r="ONJ195" s="36"/>
      <c r="ONK195" s="36"/>
      <c r="ONL195" s="36"/>
      <c r="ONM195" s="36"/>
      <c r="ONN195" s="36"/>
      <c r="ONO195" s="36"/>
      <c r="ONP195" s="36"/>
      <c r="ONQ195" s="36"/>
      <c r="ONR195" s="36"/>
      <c r="ONS195" s="36"/>
      <c r="ONT195" s="36"/>
      <c r="ONU195" s="36"/>
      <c r="ONV195" s="36"/>
      <c r="ONW195" s="36"/>
      <c r="ONX195" s="36"/>
      <c r="ONY195" s="36"/>
      <c r="ONZ195" s="36"/>
      <c r="OOA195" s="36"/>
      <c r="OOB195" s="36"/>
      <c r="OOC195" s="36"/>
      <c r="OOD195" s="36"/>
      <c r="OOE195" s="36"/>
      <c r="OOF195" s="36"/>
      <c r="OOG195" s="36"/>
      <c r="OOH195" s="36"/>
      <c r="OOI195" s="36"/>
      <c r="OOJ195" s="36"/>
      <c r="OOK195" s="36"/>
      <c r="OOL195" s="36"/>
      <c r="OOM195" s="36"/>
      <c r="OON195" s="36"/>
      <c r="OOO195" s="36"/>
      <c r="OOP195" s="36"/>
      <c r="OOQ195" s="36"/>
      <c r="OOR195" s="36"/>
      <c r="OOS195" s="36"/>
      <c r="OOT195" s="36"/>
      <c r="OOU195" s="36"/>
      <c r="OOV195" s="36"/>
      <c r="OOW195" s="36"/>
      <c r="OOX195" s="36"/>
      <c r="OOY195" s="36"/>
      <c r="OOZ195" s="36"/>
      <c r="OPA195" s="36"/>
      <c r="OPB195" s="36"/>
      <c r="OPC195" s="36"/>
      <c r="OPD195" s="36"/>
      <c r="OPE195" s="36"/>
      <c r="OPF195" s="36"/>
      <c r="OPG195" s="36"/>
      <c r="OPH195" s="36"/>
      <c r="OPI195" s="36"/>
      <c r="OPJ195" s="36"/>
      <c r="OPK195" s="36"/>
      <c r="OPL195" s="36"/>
      <c r="OPM195" s="36"/>
      <c r="OPN195" s="36"/>
      <c r="OPO195" s="36"/>
      <c r="OPP195" s="36"/>
      <c r="OPQ195" s="36"/>
      <c r="OPR195" s="36"/>
      <c r="OPS195" s="36"/>
      <c r="OPT195" s="36"/>
      <c r="OPU195" s="36"/>
      <c r="OPV195" s="36"/>
      <c r="OPW195" s="36"/>
      <c r="OPX195" s="36"/>
      <c r="OPY195" s="36"/>
      <c r="OPZ195" s="36"/>
      <c r="OQA195" s="36"/>
      <c r="OQB195" s="36"/>
      <c r="OQC195" s="36"/>
      <c r="OQD195" s="36"/>
      <c r="OQE195" s="36"/>
      <c r="OQF195" s="36"/>
      <c r="OQG195" s="36"/>
      <c r="OQH195" s="36"/>
      <c r="OQI195" s="36"/>
      <c r="OQJ195" s="36"/>
      <c r="OQK195" s="36"/>
      <c r="OQL195" s="36"/>
      <c r="OQM195" s="36"/>
      <c r="OQN195" s="36"/>
      <c r="OQO195" s="36"/>
      <c r="OQP195" s="36"/>
      <c r="OQQ195" s="36"/>
      <c r="OQR195" s="36"/>
      <c r="OQS195" s="36"/>
      <c r="OQT195" s="36"/>
      <c r="OQU195" s="36"/>
      <c r="OQV195" s="36"/>
      <c r="OQW195" s="36"/>
      <c r="OQX195" s="36"/>
      <c r="OQY195" s="36"/>
      <c r="OQZ195" s="36"/>
      <c r="ORA195" s="36"/>
      <c r="ORB195" s="36"/>
      <c r="ORC195" s="36"/>
      <c r="ORD195" s="36"/>
      <c r="ORE195" s="36"/>
      <c r="ORF195" s="36"/>
      <c r="ORG195" s="36"/>
      <c r="ORH195" s="36"/>
      <c r="ORI195" s="36"/>
      <c r="ORJ195" s="36"/>
      <c r="ORK195" s="36"/>
      <c r="ORL195" s="36"/>
      <c r="ORM195" s="36"/>
      <c r="ORN195" s="36"/>
      <c r="ORO195" s="36"/>
      <c r="ORP195" s="36"/>
      <c r="ORQ195" s="36"/>
      <c r="ORR195" s="36"/>
      <c r="ORS195" s="36"/>
      <c r="ORT195" s="36"/>
      <c r="ORU195" s="36"/>
      <c r="ORV195" s="36"/>
      <c r="ORW195" s="36"/>
      <c r="ORX195" s="36"/>
      <c r="ORY195" s="36"/>
      <c r="ORZ195" s="36"/>
      <c r="OSA195" s="36"/>
      <c r="OSB195" s="36"/>
      <c r="OSC195" s="36"/>
      <c r="OSD195" s="36"/>
      <c r="OSE195" s="36"/>
      <c r="OSF195" s="36"/>
      <c r="OSG195" s="36"/>
      <c r="OSH195" s="36"/>
      <c r="OSI195" s="36"/>
      <c r="OSJ195" s="36"/>
      <c r="OSK195" s="36"/>
      <c r="OSL195" s="36"/>
      <c r="OSM195" s="36"/>
      <c r="OSN195" s="36"/>
      <c r="OSO195" s="36"/>
      <c r="OSP195" s="36"/>
      <c r="OSQ195" s="36"/>
      <c r="OSR195" s="36"/>
      <c r="OSS195" s="36"/>
      <c r="OST195" s="36"/>
      <c r="OSU195" s="36"/>
      <c r="OSV195" s="36"/>
      <c r="OSW195" s="36"/>
      <c r="OSX195" s="36"/>
      <c r="OSY195" s="36"/>
      <c r="OSZ195" s="36"/>
      <c r="OTA195" s="36"/>
      <c r="OTB195" s="36"/>
      <c r="OTC195" s="36"/>
      <c r="OTD195" s="36"/>
      <c r="OTE195" s="36"/>
      <c r="OTF195" s="36"/>
      <c r="OTG195" s="36"/>
      <c r="OTH195" s="36"/>
      <c r="OTI195" s="36"/>
      <c r="OTJ195" s="36"/>
      <c r="OTK195" s="36"/>
      <c r="OTL195" s="36"/>
      <c r="OTM195" s="36"/>
      <c r="OTN195" s="36"/>
      <c r="OTO195" s="36"/>
      <c r="OTP195" s="36"/>
      <c r="OTQ195" s="36"/>
      <c r="OTR195" s="36"/>
      <c r="OTS195" s="36"/>
      <c r="OTT195" s="36"/>
      <c r="OTU195" s="36"/>
      <c r="OTV195" s="36"/>
      <c r="OTW195" s="36"/>
      <c r="OTX195" s="36"/>
      <c r="OTY195" s="36"/>
      <c r="OTZ195" s="36"/>
      <c r="OUA195" s="36"/>
      <c r="OUB195" s="36"/>
      <c r="OUC195" s="36"/>
      <c r="OUD195" s="36"/>
      <c r="OUE195" s="36"/>
      <c r="OUF195" s="36"/>
      <c r="OUG195" s="36"/>
      <c r="OUH195" s="36"/>
      <c r="OUI195" s="36"/>
      <c r="OUJ195" s="36"/>
      <c r="OUK195" s="36"/>
      <c r="OUL195" s="36"/>
      <c r="OUM195" s="36"/>
      <c r="OUN195" s="36"/>
      <c r="OUO195" s="36"/>
      <c r="OUP195" s="36"/>
      <c r="OUQ195" s="36"/>
      <c r="OUR195" s="36"/>
      <c r="OUS195" s="36"/>
      <c r="OUT195" s="36"/>
      <c r="OUU195" s="36"/>
      <c r="OUV195" s="36"/>
      <c r="OUW195" s="36"/>
      <c r="OUX195" s="36"/>
      <c r="OUY195" s="36"/>
      <c r="OUZ195" s="36"/>
      <c r="OVA195" s="36"/>
      <c r="OVB195" s="36"/>
      <c r="OVC195" s="36"/>
      <c r="OVD195" s="36"/>
      <c r="OVE195" s="36"/>
      <c r="OVF195" s="36"/>
      <c r="OVG195" s="36"/>
      <c r="OVH195" s="36"/>
      <c r="OVI195" s="36"/>
      <c r="OVJ195" s="36"/>
      <c r="OVK195" s="36"/>
      <c r="OVL195" s="36"/>
      <c r="OVM195" s="36"/>
      <c r="OVN195" s="36"/>
      <c r="OVO195" s="36"/>
      <c r="OVP195" s="36"/>
      <c r="OVQ195" s="36"/>
      <c r="OVR195" s="36"/>
      <c r="OVS195" s="36"/>
      <c r="OVT195" s="36"/>
      <c r="OVU195" s="36"/>
      <c r="OVV195" s="36"/>
      <c r="OVW195" s="36"/>
      <c r="OVX195" s="36"/>
      <c r="OVY195" s="36"/>
      <c r="OVZ195" s="36"/>
      <c r="OWA195" s="36"/>
      <c r="OWB195" s="36"/>
      <c r="OWC195" s="36"/>
      <c r="OWD195" s="36"/>
      <c r="OWE195" s="36"/>
      <c r="OWF195" s="36"/>
      <c r="OWG195" s="36"/>
      <c r="OWH195" s="36"/>
      <c r="OWI195" s="36"/>
      <c r="OWJ195" s="36"/>
      <c r="OWK195" s="36"/>
      <c r="OWL195" s="36"/>
      <c r="OWM195" s="36"/>
      <c r="OWN195" s="36"/>
      <c r="OWO195" s="36"/>
      <c r="OWP195" s="36"/>
      <c r="OWQ195" s="36"/>
      <c r="OWR195" s="36"/>
      <c r="OWS195" s="36"/>
      <c r="OWT195" s="36"/>
      <c r="OWU195" s="36"/>
      <c r="OWV195" s="36"/>
      <c r="OWW195" s="36"/>
      <c r="OWX195" s="36"/>
      <c r="OWY195" s="36"/>
      <c r="OWZ195" s="36"/>
      <c r="OXA195" s="36"/>
      <c r="OXB195" s="36"/>
      <c r="OXC195" s="36"/>
      <c r="OXD195" s="36"/>
      <c r="OXE195" s="36"/>
      <c r="OXF195" s="36"/>
      <c r="OXG195" s="36"/>
      <c r="OXH195" s="36"/>
      <c r="OXI195" s="36"/>
      <c r="OXJ195" s="36"/>
      <c r="OXK195" s="36"/>
      <c r="OXL195" s="36"/>
      <c r="OXM195" s="36"/>
      <c r="OXN195" s="36"/>
      <c r="OXO195" s="36"/>
      <c r="OXP195" s="36"/>
      <c r="OXQ195" s="36"/>
      <c r="OXR195" s="36"/>
      <c r="OXS195" s="36"/>
      <c r="OXT195" s="36"/>
      <c r="OXU195" s="36"/>
      <c r="OXV195" s="36"/>
      <c r="OXW195" s="36"/>
      <c r="OXX195" s="36"/>
      <c r="OXY195" s="36"/>
      <c r="OXZ195" s="36"/>
      <c r="OYA195" s="36"/>
      <c r="OYB195" s="36"/>
      <c r="OYC195" s="36"/>
      <c r="OYD195" s="36"/>
      <c r="OYE195" s="36"/>
      <c r="OYF195" s="36"/>
      <c r="OYG195" s="36"/>
      <c r="OYH195" s="36"/>
      <c r="OYI195" s="36"/>
      <c r="OYJ195" s="36"/>
      <c r="OYK195" s="36"/>
      <c r="OYL195" s="36"/>
      <c r="OYM195" s="36"/>
      <c r="OYN195" s="36"/>
      <c r="OYO195" s="36"/>
      <c r="OYP195" s="36"/>
      <c r="OYQ195" s="36"/>
      <c r="OYR195" s="36"/>
      <c r="OYS195" s="36"/>
      <c r="OYT195" s="36"/>
      <c r="OYU195" s="36"/>
      <c r="OYV195" s="36"/>
      <c r="OYW195" s="36"/>
      <c r="OYX195" s="36"/>
      <c r="OYY195" s="36"/>
      <c r="OYZ195" s="36"/>
      <c r="OZA195" s="36"/>
      <c r="OZB195" s="36"/>
      <c r="OZC195" s="36"/>
      <c r="OZD195" s="36"/>
      <c r="OZE195" s="36"/>
      <c r="OZF195" s="36"/>
      <c r="OZG195" s="36"/>
      <c r="OZH195" s="36"/>
      <c r="OZI195" s="36"/>
      <c r="OZJ195" s="36"/>
      <c r="OZK195" s="36"/>
      <c r="OZL195" s="36"/>
      <c r="OZM195" s="36"/>
      <c r="OZN195" s="36"/>
      <c r="OZO195" s="36"/>
      <c r="OZP195" s="36"/>
      <c r="OZQ195" s="36"/>
      <c r="OZR195" s="36"/>
      <c r="OZS195" s="36"/>
      <c r="OZT195" s="36"/>
      <c r="OZU195" s="36"/>
      <c r="OZV195" s="36"/>
      <c r="OZW195" s="36"/>
      <c r="OZX195" s="36"/>
      <c r="OZY195" s="36"/>
      <c r="OZZ195" s="36"/>
      <c r="PAA195" s="36"/>
      <c r="PAB195" s="36"/>
      <c r="PAC195" s="36"/>
      <c r="PAD195" s="36"/>
      <c r="PAE195" s="36"/>
      <c r="PAF195" s="36"/>
      <c r="PAG195" s="36"/>
      <c r="PAH195" s="36"/>
      <c r="PAI195" s="36"/>
      <c r="PAJ195" s="36"/>
      <c r="PAK195" s="36"/>
      <c r="PAL195" s="36"/>
      <c r="PAM195" s="36"/>
      <c r="PAN195" s="36"/>
      <c r="PAO195" s="36"/>
      <c r="PAP195" s="36"/>
      <c r="PAQ195" s="36"/>
      <c r="PAR195" s="36"/>
      <c r="PAS195" s="36"/>
      <c r="PAT195" s="36"/>
      <c r="PAU195" s="36"/>
      <c r="PAV195" s="36"/>
      <c r="PAW195" s="36"/>
      <c r="PAX195" s="36"/>
      <c r="PAY195" s="36"/>
      <c r="PAZ195" s="36"/>
      <c r="PBA195" s="36"/>
      <c r="PBB195" s="36"/>
      <c r="PBC195" s="36"/>
      <c r="PBD195" s="36"/>
      <c r="PBE195" s="36"/>
      <c r="PBF195" s="36"/>
      <c r="PBG195" s="36"/>
      <c r="PBH195" s="36"/>
      <c r="PBI195" s="36"/>
      <c r="PBJ195" s="36"/>
      <c r="PBK195" s="36"/>
      <c r="PBL195" s="36"/>
      <c r="PBM195" s="36"/>
      <c r="PBN195" s="36"/>
      <c r="PBO195" s="36"/>
      <c r="PBP195" s="36"/>
      <c r="PBQ195" s="36"/>
      <c r="PBR195" s="36"/>
      <c r="PBS195" s="36"/>
      <c r="PBT195" s="36"/>
      <c r="PBU195" s="36"/>
      <c r="PBV195" s="36"/>
      <c r="PBW195" s="36"/>
      <c r="PBX195" s="36"/>
      <c r="PBY195" s="36"/>
      <c r="PBZ195" s="36"/>
      <c r="PCA195" s="36"/>
      <c r="PCB195" s="36"/>
      <c r="PCC195" s="36"/>
      <c r="PCD195" s="36"/>
      <c r="PCE195" s="36"/>
      <c r="PCF195" s="36"/>
      <c r="PCG195" s="36"/>
      <c r="PCH195" s="36"/>
      <c r="PCI195" s="36"/>
      <c r="PCJ195" s="36"/>
      <c r="PCK195" s="36"/>
      <c r="PCL195" s="36"/>
      <c r="PCM195" s="36"/>
      <c r="PCN195" s="36"/>
      <c r="PCO195" s="36"/>
      <c r="PCP195" s="36"/>
      <c r="PCQ195" s="36"/>
      <c r="PCR195" s="36"/>
      <c r="PCS195" s="36"/>
      <c r="PCT195" s="36"/>
      <c r="PCU195" s="36"/>
      <c r="PCV195" s="36"/>
      <c r="PCW195" s="36"/>
      <c r="PCX195" s="36"/>
      <c r="PCY195" s="36"/>
      <c r="PCZ195" s="36"/>
      <c r="PDA195" s="36"/>
      <c r="PDB195" s="36"/>
      <c r="PDC195" s="36"/>
      <c r="PDD195" s="36"/>
      <c r="PDE195" s="36"/>
      <c r="PDF195" s="36"/>
      <c r="PDG195" s="36"/>
      <c r="PDH195" s="36"/>
      <c r="PDI195" s="36"/>
      <c r="PDJ195" s="36"/>
      <c r="PDK195" s="36"/>
      <c r="PDL195" s="36"/>
      <c r="PDM195" s="36"/>
      <c r="PDN195" s="36"/>
      <c r="PDO195" s="36"/>
      <c r="PDP195" s="36"/>
      <c r="PDQ195" s="36"/>
      <c r="PDR195" s="36"/>
      <c r="PDS195" s="36"/>
      <c r="PDT195" s="36"/>
      <c r="PDU195" s="36"/>
      <c r="PDV195" s="36"/>
      <c r="PDW195" s="36"/>
      <c r="PDX195" s="36"/>
      <c r="PDY195" s="36"/>
      <c r="PDZ195" s="36"/>
      <c r="PEA195" s="36"/>
      <c r="PEB195" s="36"/>
      <c r="PEC195" s="36"/>
      <c r="PED195" s="36"/>
      <c r="PEE195" s="36"/>
      <c r="PEF195" s="36"/>
      <c r="PEG195" s="36"/>
      <c r="PEH195" s="36"/>
      <c r="PEI195" s="36"/>
      <c r="PEJ195" s="36"/>
      <c r="PEK195" s="36"/>
      <c r="PEL195" s="36"/>
      <c r="PEM195" s="36"/>
      <c r="PEN195" s="36"/>
      <c r="PEO195" s="36"/>
      <c r="PEP195" s="36"/>
      <c r="PEQ195" s="36"/>
      <c r="PER195" s="36"/>
      <c r="PES195" s="36"/>
      <c r="PET195" s="36"/>
      <c r="PEU195" s="36"/>
      <c r="PEV195" s="36"/>
      <c r="PEW195" s="36"/>
      <c r="PEX195" s="36"/>
      <c r="PEY195" s="36"/>
      <c r="PEZ195" s="36"/>
      <c r="PFA195" s="36"/>
      <c r="PFB195" s="36"/>
      <c r="PFC195" s="36"/>
      <c r="PFD195" s="36"/>
      <c r="PFE195" s="36"/>
      <c r="PFF195" s="36"/>
      <c r="PFG195" s="36"/>
      <c r="PFH195" s="36"/>
      <c r="PFI195" s="36"/>
      <c r="PFJ195" s="36"/>
      <c r="PFK195" s="36"/>
      <c r="PFL195" s="36"/>
      <c r="PFM195" s="36"/>
      <c r="PFN195" s="36"/>
      <c r="PFO195" s="36"/>
      <c r="PFP195" s="36"/>
      <c r="PFQ195" s="36"/>
      <c r="PFR195" s="36"/>
      <c r="PFS195" s="36"/>
      <c r="PFT195" s="36"/>
      <c r="PFU195" s="36"/>
      <c r="PFV195" s="36"/>
      <c r="PFW195" s="36"/>
      <c r="PFX195" s="36"/>
      <c r="PFY195" s="36"/>
      <c r="PFZ195" s="36"/>
      <c r="PGA195" s="36"/>
      <c r="PGB195" s="36"/>
      <c r="PGC195" s="36"/>
      <c r="PGD195" s="36"/>
      <c r="PGE195" s="36"/>
      <c r="PGF195" s="36"/>
      <c r="PGG195" s="36"/>
      <c r="PGH195" s="36"/>
      <c r="PGI195" s="36"/>
      <c r="PGJ195" s="36"/>
      <c r="PGK195" s="36"/>
      <c r="PGL195" s="36"/>
      <c r="PGM195" s="36"/>
      <c r="PGN195" s="36"/>
      <c r="PGO195" s="36"/>
      <c r="PGP195" s="36"/>
      <c r="PGQ195" s="36"/>
      <c r="PGR195" s="36"/>
      <c r="PGS195" s="36"/>
      <c r="PGT195" s="36"/>
      <c r="PGU195" s="36"/>
      <c r="PGV195" s="36"/>
      <c r="PGW195" s="36"/>
      <c r="PGX195" s="36"/>
      <c r="PGY195" s="36"/>
      <c r="PGZ195" s="36"/>
      <c r="PHA195" s="36"/>
      <c r="PHB195" s="36"/>
      <c r="PHC195" s="36"/>
      <c r="PHD195" s="36"/>
      <c r="PHE195" s="36"/>
      <c r="PHF195" s="36"/>
      <c r="PHG195" s="36"/>
      <c r="PHH195" s="36"/>
      <c r="PHI195" s="36"/>
      <c r="PHJ195" s="36"/>
      <c r="PHK195" s="36"/>
      <c r="PHL195" s="36"/>
      <c r="PHM195" s="36"/>
      <c r="PHN195" s="36"/>
      <c r="PHO195" s="36"/>
      <c r="PHP195" s="36"/>
      <c r="PHQ195" s="36"/>
      <c r="PHR195" s="36"/>
      <c r="PHS195" s="36"/>
      <c r="PHT195" s="36"/>
      <c r="PHU195" s="36"/>
      <c r="PHV195" s="36"/>
      <c r="PHW195" s="36"/>
      <c r="PHX195" s="36"/>
      <c r="PHY195" s="36"/>
      <c r="PHZ195" s="36"/>
      <c r="PIA195" s="36"/>
      <c r="PIB195" s="36"/>
      <c r="PIC195" s="36"/>
      <c r="PID195" s="36"/>
      <c r="PIE195" s="36"/>
      <c r="PIF195" s="36"/>
      <c r="PIG195" s="36"/>
      <c r="PIH195" s="36"/>
      <c r="PII195" s="36"/>
      <c r="PIJ195" s="36"/>
      <c r="PIK195" s="36"/>
      <c r="PIL195" s="36"/>
      <c r="PIM195" s="36"/>
      <c r="PIN195" s="36"/>
      <c r="PIO195" s="36"/>
      <c r="PIP195" s="36"/>
      <c r="PIQ195" s="36"/>
      <c r="PIR195" s="36"/>
      <c r="PIS195" s="36"/>
      <c r="PIT195" s="36"/>
      <c r="PIU195" s="36"/>
      <c r="PIV195" s="36"/>
      <c r="PIW195" s="36"/>
      <c r="PIX195" s="36"/>
      <c r="PIY195" s="36"/>
      <c r="PIZ195" s="36"/>
      <c r="PJA195" s="36"/>
      <c r="PJB195" s="36"/>
      <c r="PJC195" s="36"/>
      <c r="PJD195" s="36"/>
      <c r="PJE195" s="36"/>
      <c r="PJF195" s="36"/>
      <c r="PJG195" s="36"/>
      <c r="PJH195" s="36"/>
      <c r="PJI195" s="36"/>
      <c r="PJJ195" s="36"/>
      <c r="PJK195" s="36"/>
      <c r="PJL195" s="36"/>
      <c r="PJM195" s="36"/>
      <c r="PJN195" s="36"/>
      <c r="PJO195" s="36"/>
      <c r="PJP195" s="36"/>
      <c r="PJQ195" s="36"/>
      <c r="PJR195" s="36"/>
      <c r="PJS195" s="36"/>
      <c r="PJT195" s="36"/>
      <c r="PJU195" s="36"/>
      <c r="PJV195" s="36"/>
      <c r="PJW195" s="36"/>
      <c r="PJX195" s="36"/>
      <c r="PJY195" s="36"/>
      <c r="PJZ195" s="36"/>
      <c r="PKA195" s="36"/>
      <c r="PKB195" s="36"/>
      <c r="PKC195" s="36"/>
      <c r="PKD195" s="36"/>
      <c r="PKE195" s="36"/>
      <c r="PKF195" s="36"/>
      <c r="PKG195" s="36"/>
      <c r="PKH195" s="36"/>
      <c r="PKI195" s="36"/>
      <c r="PKJ195" s="36"/>
      <c r="PKK195" s="36"/>
      <c r="PKL195" s="36"/>
      <c r="PKM195" s="36"/>
      <c r="PKN195" s="36"/>
      <c r="PKO195" s="36"/>
      <c r="PKP195" s="36"/>
      <c r="PKQ195" s="36"/>
      <c r="PKR195" s="36"/>
      <c r="PKS195" s="36"/>
      <c r="PKT195" s="36"/>
      <c r="PKU195" s="36"/>
      <c r="PKV195" s="36"/>
      <c r="PKW195" s="36"/>
      <c r="PKX195" s="36"/>
      <c r="PKY195" s="36"/>
      <c r="PKZ195" s="36"/>
      <c r="PLA195" s="36"/>
      <c r="PLB195" s="36"/>
      <c r="PLC195" s="36"/>
      <c r="PLD195" s="36"/>
      <c r="PLE195" s="36"/>
      <c r="PLF195" s="36"/>
      <c r="PLG195" s="36"/>
      <c r="PLH195" s="36"/>
      <c r="PLI195" s="36"/>
      <c r="PLJ195" s="36"/>
      <c r="PLK195" s="36"/>
      <c r="PLL195" s="36"/>
      <c r="PLM195" s="36"/>
      <c r="PLN195" s="36"/>
      <c r="PLO195" s="36"/>
      <c r="PLP195" s="36"/>
      <c r="PLQ195" s="36"/>
      <c r="PLR195" s="36"/>
      <c r="PLS195" s="36"/>
      <c r="PLT195" s="36"/>
      <c r="PLU195" s="36"/>
      <c r="PLV195" s="36"/>
      <c r="PLW195" s="36"/>
      <c r="PLX195" s="36"/>
      <c r="PLY195" s="36"/>
      <c r="PLZ195" s="36"/>
      <c r="PMA195" s="36"/>
      <c r="PMB195" s="36"/>
      <c r="PMC195" s="36"/>
      <c r="PMD195" s="36"/>
      <c r="PME195" s="36"/>
      <c r="PMF195" s="36"/>
      <c r="PMG195" s="36"/>
      <c r="PMH195" s="36"/>
      <c r="PMI195" s="36"/>
      <c r="PMJ195" s="36"/>
      <c r="PMK195" s="36"/>
      <c r="PML195" s="36"/>
      <c r="PMM195" s="36"/>
      <c r="PMN195" s="36"/>
      <c r="PMO195" s="36"/>
      <c r="PMP195" s="36"/>
      <c r="PMQ195" s="36"/>
      <c r="PMR195" s="36"/>
      <c r="PMS195" s="36"/>
      <c r="PMT195" s="36"/>
      <c r="PMU195" s="36"/>
      <c r="PMV195" s="36"/>
      <c r="PMW195" s="36"/>
      <c r="PMX195" s="36"/>
      <c r="PMY195" s="36"/>
      <c r="PMZ195" s="36"/>
      <c r="PNA195" s="36"/>
      <c r="PNB195" s="36"/>
      <c r="PNC195" s="36"/>
      <c r="PND195" s="36"/>
      <c r="PNE195" s="36"/>
      <c r="PNF195" s="36"/>
      <c r="PNG195" s="36"/>
      <c r="PNH195" s="36"/>
      <c r="PNI195" s="36"/>
      <c r="PNJ195" s="36"/>
      <c r="PNK195" s="36"/>
      <c r="PNL195" s="36"/>
      <c r="PNM195" s="36"/>
      <c r="PNN195" s="36"/>
      <c r="PNO195" s="36"/>
      <c r="PNP195" s="36"/>
      <c r="PNQ195" s="36"/>
      <c r="PNR195" s="36"/>
      <c r="PNS195" s="36"/>
      <c r="PNT195" s="36"/>
      <c r="PNU195" s="36"/>
      <c r="PNV195" s="36"/>
      <c r="PNW195" s="36"/>
      <c r="PNX195" s="36"/>
      <c r="PNY195" s="36"/>
      <c r="PNZ195" s="36"/>
      <c r="POA195" s="36"/>
      <c r="POB195" s="36"/>
      <c r="POC195" s="36"/>
      <c r="POD195" s="36"/>
      <c r="POE195" s="36"/>
      <c r="POF195" s="36"/>
      <c r="POG195" s="36"/>
      <c r="POH195" s="36"/>
      <c r="POI195" s="36"/>
      <c r="POJ195" s="36"/>
      <c r="POK195" s="36"/>
      <c r="POL195" s="36"/>
      <c r="POM195" s="36"/>
      <c r="PON195" s="36"/>
      <c r="POO195" s="36"/>
      <c r="POP195" s="36"/>
      <c r="POQ195" s="36"/>
      <c r="POR195" s="36"/>
      <c r="POS195" s="36"/>
      <c r="POT195" s="36"/>
      <c r="POU195" s="36"/>
      <c r="POV195" s="36"/>
      <c r="POW195" s="36"/>
      <c r="POX195" s="36"/>
      <c r="POY195" s="36"/>
      <c r="POZ195" s="36"/>
      <c r="PPA195" s="36"/>
      <c r="PPB195" s="36"/>
      <c r="PPC195" s="36"/>
      <c r="PPD195" s="36"/>
      <c r="PPE195" s="36"/>
      <c r="PPF195" s="36"/>
      <c r="PPG195" s="36"/>
      <c r="PPH195" s="36"/>
      <c r="PPI195" s="36"/>
      <c r="PPJ195" s="36"/>
      <c r="PPK195" s="36"/>
      <c r="PPL195" s="36"/>
      <c r="PPM195" s="36"/>
      <c r="PPN195" s="36"/>
      <c r="PPO195" s="36"/>
      <c r="PPP195" s="36"/>
      <c r="PPQ195" s="36"/>
      <c r="PPR195" s="36"/>
      <c r="PPS195" s="36"/>
      <c r="PPT195" s="36"/>
      <c r="PPU195" s="36"/>
      <c r="PPV195" s="36"/>
      <c r="PPW195" s="36"/>
      <c r="PPX195" s="36"/>
      <c r="PPY195" s="36"/>
      <c r="PPZ195" s="36"/>
      <c r="PQA195" s="36"/>
      <c r="PQB195" s="36"/>
      <c r="PQC195" s="36"/>
      <c r="PQD195" s="36"/>
      <c r="PQE195" s="36"/>
      <c r="PQF195" s="36"/>
      <c r="PQG195" s="36"/>
      <c r="PQH195" s="36"/>
      <c r="PQI195" s="36"/>
      <c r="PQJ195" s="36"/>
      <c r="PQK195" s="36"/>
      <c r="PQL195" s="36"/>
      <c r="PQM195" s="36"/>
      <c r="PQN195" s="36"/>
      <c r="PQO195" s="36"/>
      <c r="PQP195" s="36"/>
      <c r="PQQ195" s="36"/>
      <c r="PQR195" s="36"/>
      <c r="PQS195" s="36"/>
      <c r="PQT195" s="36"/>
      <c r="PQU195" s="36"/>
      <c r="PQV195" s="36"/>
      <c r="PQW195" s="36"/>
      <c r="PQX195" s="36"/>
      <c r="PQY195" s="36"/>
      <c r="PQZ195" s="36"/>
      <c r="PRA195" s="36"/>
      <c r="PRB195" s="36"/>
      <c r="PRC195" s="36"/>
      <c r="PRD195" s="36"/>
      <c r="PRE195" s="36"/>
      <c r="PRF195" s="36"/>
      <c r="PRG195" s="36"/>
      <c r="PRH195" s="36"/>
      <c r="PRI195" s="36"/>
      <c r="PRJ195" s="36"/>
      <c r="PRK195" s="36"/>
      <c r="PRL195" s="36"/>
      <c r="PRM195" s="36"/>
      <c r="PRN195" s="36"/>
      <c r="PRO195" s="36"/>
      <c r="PRP195" s="36"/>
      <c r="PRQ195" s="36"/>
      <c r="PRR195" s="36"/>
      <c r="PRS195" s="36"/>
      <c r="PRT195" s="36"/>
      <c r="PRU195" s="36"/>
      <c r="PRV195" s="36"/>
      <c r="PRW195" s="36"/>
      <c r="PRX195" s="36"/>
      <c r="PRY195" s="36"/>
      <c r="PRZ195" s="36"/>
      <c r="PSA195" s="36"/>
      <c r="PSB195" s="36"/>
      <c r="PSC195" s="36"/>
      <c r="PSD195" s="36"/>
      <c r="PSE195" s="36"/>
      <c r="PSF195" s="36"/>
      <c r="PSG195" s="36"/>
      <c r="PSH195" s="36"/>
      <c r="PSI195" s="36"/>
      <c r="PSJ195" s="36"/>
      <c r="PSK195" s="36"/>
      <c r="PSL195" s="36"/>
      <c r="PSM195" s="36"/>
      <c r="PSN195" s="36"/>
      <c r="PSO195" s="36"/>
      <c r="PSP195" s="36"/>
      <c r="PSQ195" s="36"/>
      <c r="PSR195" s="36"/>
      <c r="PSS195" s="36"/>
      <c r="PST195" s="36"/>
      <c r="PSU195" s="36"/>
      <c r="PSV195" s="36"/>
      <c r="PSW195" s="36"/>
      <c r="PSX195" s="36"/>
      <c r="PSY195" s="36"/>
      <c r="PSZ195" s="36"/>
      <c r="PTA195" s="36"/>
      <c r="PTB195" s="36"/>
      <c r="PTC195" s="36"/>
      <c r="PTD195" s="36"/>
      <c r="PTE195" s="36"/>
      <c r="PTF195" s="36"/>
      <c r="PTG195" s="36"/>
      <c r="PTH195" s="36"/>
      <c r="PTI195" s="36"/>
      <c r="PTJ195" s="36"/>
      <c r="PTK195" s="36"/>
      <c r="PTL195" s="36"/>
      <c r="PTM195" s="36"/>
      <c r="PTN195" s="36"/>
      <c r="PTO195" s="36"/>
      <c r="PTP195" s="36"/>
      <c r="PTQ195" s="36"/>
      <c r="PTR195" s="36"/>
      <c r="PTS195" s="36"/>
      <c r="PTT195" s="36"/>
      <c r="PTU195" s="36"/>
      <c r="PTV195" s="36"/>
      <c r="PTW195" s="36"/>
      <c r="PTX195" s="36"/>
      <c r="PTY195" s="36"/>
      <c r="PTZ195" s="36"/>
      <c r="PUA195" s="36"/>
      <c r="PUB195" s="36"/>
      <c r="PUC195" s="36"/>
      <c r="PUD195" s="36"/>
      <c r="PUE195" s="36"/>
      <c r="PUF195" s="36"/>
      <c r="PUG195" s="36"/>
      <c r="PUH195" s="36"/>
      <c r="PUI195" s="36"/>
      <c r="PUJ195" s="36"/>
      <c r="PUK195" s="36"/>
      <c r="PUL195" s="36"/>
      <c r="PUM195" s="36"/>
      <c r="PUN195" s="36"/>
      <c r="PUO195" s="36"/>
      <c r="PUP195" s="36"/>
      <c r="PUQ195" s="36"/>
      <c r="PUR195" s="36"/>
      <c r="PUS195" s="36"/>
      <c r="PUT195" s="36"/>
      <c r="PUU195" s="36"/>
      <c r="PUV195" s="36"/>
      <c r="PUW195" s="36"/>
      <c r="PUX195" s="36"/>
      <c r="PUY195" s="36"/>
      <c r="PUZ195" s="36"/>
      <c r="PVA195" s="36"/>
      <c r="PVB195" s="36"/>
      <c r="PVC195" s="36"/>
      <c r="PVD195" s="36"/>
      <c r="PVE195" s="36"/>
      <c r="PVF195" s="36"/>
      <c r="PVG195" s="36"/>
      <c r="PVH195" s="36"/>
      <c r="PVI195" s="36"/>
      <c r="PVJ195" s="36"/>
      <c r="PVK195" s="36"/>
      <c r="PVL195" s="36"/>
      <c r="PVM195" s="36"/>
      <c r="PVN195" s="36"/>
      <c r="PVO195" s="36"/>
      <c r="PVP195" s="36"/>
      <c r="PVQ195" s="36"/>
      <c r="PVR195" s="36"/>
      <c r="PVS195" s="36"/>
      <c r="PVT195" s="36"/>
      <c r="PVU195" s="36"/>
      <c r="PVV195" s="36"/>
      <c r="PVW195" s="36"/>
      <c r="PVX195" s="36"/>
      <c r="PVY195" s="36"/>
      <c r="PVZ195" s="36"/>
      <c r="PWA195" s="36"/>
      <c r="PWB195" s="36"/>
      <c r="PWC195" s="36"/>
      <c r="PWD195" s="36"/>
      <c r="PWE195" s="36"/>
      <c r="PWF195" s="36"/>
      <c r="PWG195" s="36"/>
      <c r="PWH195" s="36"/>
      <c r="PWI195" s="36"/>
      <c r="PWJ195" s="36"/>
      <c r="PWK195" s="36"/>
      <c r="PWL195" s="36"/>
      <c r="PWM195" s="36"/>
      <c r="PWN195" s="36"/>
      <c r="PWO195" s="36"/>
      <c r="PWP195" s="36"/>
      <c r="PWQ195" s="36"/>
      <c r="PWR195" s="36"/>
      <c r="PWS195" s="36"/>
      <c r="PWT195" s="36"/>
      <c r="PWU195" s="36"/>
      <c r="PWV195" s="36"/>
      <c r="PWW195" s="36"/>
      <c r="PWX195" s="36"/>
      <c r="PWY195" s="36"/>
      <c r="PWZ195" s="36"/>
      <c r="PXA195" s="36"/>
      <c r="PXB195" s="36"/>
      <c r="PXC195" s="36"/>
      <c r="PXD195" s="36"/>
      <c r="PXE195" s="36"/>
      <c r="PXF195" s="36"/>
      <c r="PXG195" s="36"/>
      <c r="PXH195" s="36"/>
      <c r="PXI195" s="36"/>
      <c r="PXJ195" s="36"/>
      <c r="PXK195" s="36"/>
      <c r="PXL195" s="36"/>
      <c r="PXM195" s="36"/>
      <c r="PXN195" s="36"/>
      <c r="PXO195" s="36"/>
      <c r="PXP195" s="36"/>
      <c r="PXQ195" s="36"/>
      <c r="PXR195" s="36"/>
      <c r="PXS195" s="36"/>
      <c r="PXT195" s="36"/>
      <c r="PXU195" s="36"/>
      <c r="PXV195" s="36"/>
      <c r="PXW195" s="36"/>
      <c r="PXX195" s="36"/>
      <c r="PXY195" s="36"/>
      <c r="PXZ195" s="36"/>
      <c r="PYA195" s="36"/>
      <c r="PYB195" s="36"/>
      <c r="PYC195" s="36"/>
      <c r="PYD195" s="36"/>
      <c r="PYE195" s="36"/>
      <c r="PYF195" s="36"/>
      <c r="PYG195" s="36"/>
      <c r="PYH195" s="36"/>
      <c r="PYI195" s="36"/>
      <c r="PYJ195" s="36"/>
      <c r="PYK195" s="36"/>
      <c r="PYL195" s="36"/>
      <c r="PYM195" s="36"/>
      <c r="PYN195" s="36"/>
      <c r="PYO195" s="36"/>
      <c r="PYP195" s="36"/>
      <c r="PYQ195" s="36"/>
      <c r="PYR195" s="36"/>
      <c r="PYS195" s="36"/>
      <c r="PYT195" s="36"/>
      <c r="PYU195" s="36"/>
      <c r="PYV195" s="36"/>
      <c r="PYW195" s="36"/>
      <c r="PYX195" s="36"/>
      <c r="PYY195" s="36"/>
      <c r="PYZ195" s="36"/>
      <c r="PZA195" s="36"/>
      <c r="PZB195" s="36"/>
      <c r="PZC195" s="36"/>
      <c r="PZD195" s="36"/>
      <c r="PZE195" s="36"/>
      <c r="PZF195" s="36"/>
      <c r="PZG195" s="36"/>
      <c r="PZH195" s="36"/>
      <c r="PZI195" s="36"/>
      <c r="PZJ195" s="36"/>
      <c r="PZK195" s="36"/>
      <c r="PZL195" s="36"/>
      <c r="PZM195" s="36"/>
      <c r="PZN195" s="36"/>
      <c r="PZO195" s="36"/>
      <c r="PZP195" s="36"/>
      <c r="PZQ195" s="36"/>
      <c r="PZR195" s="36"/>
      <c r="PZS195" s="36"/>
      <c r="PZT195" s="36"/>
      <c r="PZU195" s="36"/>
      <c r="PZV195" s="36"/>
      <c r="PZW195" s="36"/>
      <c r="PZX195" s="36"/>
      <c r="PZY195" s="36"/>
      <c r="PZZ195" s="36"/>
      <c r="QAA195" s="36"/>
      <c r="QAB195" s="36"/>
      <c r="QAC195" s="36"/>
      <c r="QAD195" s="36"/>
      <c r="QAE195" s="36"/>
      <c r="QAF195" s="36"/>
      <c r="QAG195" s="36"/>
      <c r="QAH195" s="36"/>
      <c r="QAI195" s="36"/>
      <c r="QAJ195" s="36"/>
      <c r="QAK195" s="36"/>
      <c r="QAL195" s="36"/>
      <c r="QAM195" s="36"/>
      <c r="QAN195" s="36"/>
      <c r="QAO195" s="36"/>
      <c r="QAP195" s="36"/>
      <c r="QAQ195" s="36"/>
      <c r="QAR195" s="36"/>
      <c r="QAS195" s="36"/>
      <c r="QAT195" s="36"/>
      <c r="QAU195" s="36"/>
      <c r="QAV195" s="36"/>
      <c r="QAW195" s="36"/>
      <c r="QAX195" s="36"/>
      <c r="QAY195" s="36"/>
      <c r="QAZ195" s="36"/>
      <c r="QBA195" s="36"/>
      <c r="QBB195" s="36"/>
      <c r="QBC195" s="36"/>
      <c r="QBD195" s="36"/>
      <c r="QBE195" s="36"/>
      <c r="QBF195" s="36"/>
      <c r="QBG195" s="36"/>
      <c r="QBH195" s="36"/>
      <c r="QBI195" s="36"/>
      <c r="QBJ195" s="36"/>
      <c r="QBK195" s="36"/>
      <c r="QBL195" s="36"/>
      <c r="QBM195" s="36"/>
      <c r="QBN195" s="36"/>
      <c r="QBO195" s="36"/>
      <c r="QBP195" s="36"/>
      <c r="QBQ195" s="36"/>
      <c r="QBR195" s="36"/>
      <c r="QBS195" s="36"/>
      <c r="QBT195" s="36"/>
      <c r="QBU195" s="36"/>
      <c r="QBV195" s="36"/>
      <c r="QBW195" s="36"/>
      <c r="QBX195" s="36"/>
      <c r="QBY195" s="36"/>
      <c r="QBZ195" s="36"/>
      <c r="QCA195" s="36"/>
      <c r="QCB195" s="36"/>
      <c r="QCC195" s="36"/>
      <c r="QCD195" s="36"/>
      <c r="QCE195" s="36"/>
      <c r="QCF195" s="36"/>
      <c r="QCG195" s="36"/>
      <c r="QCH195" s="36"/>
      <c r="QCI195" s="36"/>
      <c r="QCJ195" s="36"/>
      <c r="QCK195" s="36"/>
      <c r="QCL195" s="36"/>
      <c r="QCM195" s="36"/>
      <c r="QCN195" s="36"/>
      <c r="QCO195" s="36"/>
      <c r="QCP195" s="36"/>
      <c r="QCQ195" s="36"/>
      <c r="QCR195" s="36"/>
      <c r="QCS195" s="36"/>
      <c r="QCT195" s="36"/>
      <c r="QCU195" s="36"/>
      <c r="QCV195" s="36"/>
      <c r="QCW195" s="36"/>
      <c r="QCX195" s="36"/>
      <c r="QCY195" s="36"/>
      <c r="QCZ195" s="36"/>
      <c r="QDA195" s="36"/>
      <c r="QDB195" s="36"/>
      <c r="QDC195" s="36"/>
      <c r="QDD195" s="36"/>
      <c r="QDE195" s="36"/>
      <c r="QDF195" s="36"/>
      <c r="QDG195" s="36"/>
      <c r="QDH195" s="36"/>
      <c r="QDI195" s="36"/>
      <c r="QDJ195" s="36"/>
      <c r="QDK195" s="36"/>
      <c r="QDL195" s="36"/>
      <c r="QDM195" s="36"/>
      <c r="QDN195" s="36"/>
      <c r="QDO195" s="36"/>
      <c r="QDP195" s="36"/>
      <c r="QDQ195" s="36"/>
      <c r="QDR195" s="36"/>
      <c r="QDS195" s="36"/>
      <c r="QDT195" s="36"/>
      <c r="QDU195" s="36"/>
      <c r="QDV195" s="36"/>
      <c r="QDW195" s="36"/>
      <c r="QDX195" s="36"/>
      <c r="QDY195" s="36"/>
      <c r="QDZ195" s="36"/>
      <c r="QEA195" s="36"/>
      <c r="QEB195" s="36"/>
      <c r="QEC195" s="36"/>
      <c r="QED195" s="36"/>
      <c r="QEE195" s="36"/>
      <c r="QEF195" s="36"/>
      <c r="QEG195" s="36"/>
      <c r="QEH195" s="36"/>
      <c r="QEI195" s="36"/>
      <c r="QEJ195" s="36"/>
      <c r="QEK195" s="36"/>
      <c r="QEL195" s="36"/>
      <c r="QEM195" s="36"/>
      <c r="QEN195" s="36"/>
      <c r="QEO195" s="36"/>
      <c r="QEP195" s="36"/>
      <c r="QEQ195" s="36"/>
      <c r="QER195" s="36"/>
      <c r="QES195" s="36"/>
      <c r="QET195" s="36"/>
      <c r="QEU195" s="36"/>
      <c r="QEV195" s="36"/>
      <c r="QEW195" s="36"/>
      <c r="QEX195" s="36"/>
      <c r="QEY195" s="36"/>
      <c r="QEZ195" s="36"/>
      <c r="QFA195" s="36"/>
      <c r="QFB195" s="36"/>
      <c r="QFC195" s="36"/>
      <c r="QFD195" s="36"/>
      <c r="QFE195" s="36"/>
      <c r="QFF195" s="36"/>
      <c r="QFG195" s="36"/>
      <c r="QFH195" s="36"/>
      <c r="QFI195" s="36"/>
      <c r="QFJ195" s="36"/>
      <c r="QFK195" s="36"/>
      <c r="QFL195" s="36"/>
      <c r="QFM195" s="36"/>
      <c r="QFN195" s="36"/>
      <c r="QFO195" s="36"/>
      <c r="QFP195" s="36"/>
      <c r="QFQ195" s="36"/>
      <c r="QFR195" s="36"/>
      <c r="QFS195" s="36"/>
      <c r="QFT195" s="36"/>
      <c r="QFU195" s="36"/>
      <c r="QFV195" s="36"/>
      <c r="QFW195" s="36"/>
      <c r="QFX195" s="36"/>
      <c r="QFY195" s="36"/>
      <c r="QFZ195" s="36"/>
      <c r="QGA195" s="36"/>
      <c r="QGB195" s="36"/>
      <c r="QGC195" s="36"/>
      <c r="QGD195" s="36"/>
      <c r="QGE195" s="36"/>
      <c r="QGF195" s="36"/>
      <c r="QGG195" s="36"/>
      <c r="QGH195" s="36"/>
      <c r="QGI195" s="36"/>
      <c r="QGJ195" s="36"/>
      <c r="QGK195" s="36"/>
      <c r="QGL195" s="36"/>
      <c r="QGM195" s="36"/>
      <c r="QGN195" s="36"/>
      <c r="QGO195" s="36"/>
      <c r="QGP195" s="36"/>
      <c r="QGQ195" s="36"/>
      <c r="QGR195" s="36"/>
      <c r="QGS195" s="36"/>
      <c r="QGT195" s="36"/>
      <c r="QGU195" s="36"/>
      <c r="QGV195" s="36"/>
      <c r="QGW195" s="36"/>
      <c r="QGX195" s="36"/>
      <c r="QGY195" s="36"/>
      <c r="QGZ195" s="36"/>
      <c r="QHA195" s="36"/>
      <c r="QHB195" s="36"/>
      <c r="QHC195" s="36"/>
      <c r="QHD195" s="36"/>
      <c r="QHE195" s="36"/>
      <c r="QHF195" s="36"/>
      <c r="QHG195" s="36"/>
      <c r="QHH195" s="36"/>
      <c r="QHI195" s="36"/>
      <c r="QHJ195" s="36"/>
      <c r="QHK195" s="36"/>
      <c r="QHL195" s="36"/>
      <c r="QHM195" s="36"/>
      <c r="QHN195" s="36"/>
      <c r="QHO195" s="36"/>
      <c r="QHP195" s="36"/>
      <c r="QHQ195" s="36"/>
      <c r="QHR195" s="36"/>
      <c r="QHS195" s="36"/>
      <c r="QHT195" s="36"/>
      <c r="QHU195" s="36"/>
      <c r="QHV195" s="36"/>
      <c r="QHW195" s="36"/>
      <c r="QHX195" s="36"/>
      <c r="QHY195" s="36"/>
      <c r="QHZ195" s="36"/>
      <c r="QIA195" s="36"/>
      <c r="QIB195" s="36"/>
      <c r="QIC195" s="36"/>
      <c r="QID195" s="36"/>
      <c r="QIE195" s="36"/>
      <c r="QIF195" s="36"/>
      <c r="QIG195" s="36"/>
      <c r="QIH195" s="36"/>
      <c r="QII195" s="36"/>
      <c r="QIJ195" s="36"/>
      <c r="QIK195" s="36"/>
      <c r="QIL195" s="36"/>
      <c r="QIM195" s="36"/>
      <c r="QIN195" s="36"/>
      <c r="QIO195" s="36"/>
      <c r="QIP195" s="36"/>
      <c r="QIQ195" s="36"/>
      <c r="QIR195" s="36"/>
      <c r="QIS195" s="36"/>
      <c r="QIT195" s="36"/>
      <c r="QIU195" s="36"/>
      <c r="QIV195" s="36"/>
      <c r="QIW195" s="36"/>
      <c r="QIX195" s="36"/>
      <c r="QIY195" s="36"/>
      <c r="QIZ195" s="36"/>
      <c r="QJA195" s="36"/>
      <c r="QJB195" s="36"/>
      <c r="QJC195" s="36"/>
      <c r="QJD195" s="36"/>
      <c r="QJE195" s="36"/>
      <c r="QJF195" s="36"/>
      <c r="QJG195" s="36"/>
      <c r="QJH195" s="36"/>
      <c r="QJI195" s="36"/>
      <c r="QJJ195" s="36"/>
      <c r="QJK195" s="36"/>
      <c r="QJL195" s="36"/>
      <c r="QJM195" s="36"/>
      <c r="QJN195" s="36"/>
      <c r="QJO195" s="36"/>
      <c r="QJP195" s="36"/>
      <c r="QJQ195" s="36"/>
      <c r="QJR195" s="36"/>
      <c r="QJS195" s="36"/>
      <c r="QJT195" s="36"/>
      <c r="QJU195" s="36"/>
      <c r="QJV195" s="36"/>
      <c r="QJW195" s="36"/>
      <c r="QJX195" s="36"/>
      <c r="QJY195" s="36"/>
      <c r="QJZ195" s="36"/>
      <c r="QKA195" s="36"/>
      <c r="QKB195" s="36"/>
      <c r="QKC195" s="36"/>
      <c r="QKD195" s="36"/>
      <c r="QKE195" s="36"/>
      <c r="QKF195" s="36"/>
      <c r="QKG195" s="36"/>
      <c r="QKH195" s="36"/>
      <c r="QKI195" s="36"/>
      <c r="QKJ195" s="36"/>
      <c r="QKK195" s="36"/>
      <c r="QKL195" s="36"/>
      <c r="QKM195" s="36"/>
      <c r="QKN195" s="36"/>
      <c r="QKO195" s="36"/>
      <c r="QKP195" s="36"/>
      <c r="QKQ195" s="36"/>
      <c r="QKR195" s="36"/>
      <c r="QKS195" s="36"/>
      <c r="QKT195" s="36"/>
      <c r="QKU195" s="36"/>
      <c r="QKV195" s="36"/>
      <c r="QKW195" s="36"/>
      <c r="QKX195" s="36"/>
      <c r="QKY195" s="36"/>
      <c r="QKZ195" s="36"/>
      <c r="QLA195" s="36"/>
      <c r="QLB195" s="36"/>
      <c r="QLC195" s="36"/>
      <c r="QLD195" s="36"/>
      <c r="QLE195" s="36"/>
      <c r="QLF195" s="36"/>
      <c r="QLG195" s="36"/>
      <c r="QLH195" s="36"/>
      <c r="QLI195" s="36"/>
      <c r="QLJ195" s="36"/>
      <c r="QLK195" s="36"/>
      <c r="QLL195" s="36"/>
      <c r="QLM195" s="36"/>
      <c r="QLN195" s="36"/>
      <c r="QLO195" s="36"/>
      <c r="QLP195" s="36"/>
      <c r="QLQ195" s="36"/>
      <c r="QLR195" s="36"/>
      <c r="QLS195" s="36"/>
      <c r="QLT195" s="36"/>
      <c r="QLU195" s="36"/>
      <c r="QLV195" s="36"/>
      <c r="QLW195" s="36"/>
      <c r="QLX195" s="36"/>
      <c r="QLY195" s="36"/>
      <c r="QLZ195" s="36"/>
      <c r="QMA195" s="36"/>
      <c r="QMB195" s="36"/>
      <c r="QMC195" s="36"/>
      <c r="QMD195" s="36"/>
      <c r="QME195" s="36"/>
      <c r="QMF195" s="36"/>
      <c r="QMG195" s="36"/>
      <c r="QMH195" s="36"/>
      <c r="QMI195" s="36"/>
      <c r="QMJ195" s="36"/>
      <c r="QMK195" s="36"/>
      <c r="QML195" s="36"/>
      <c r="QMM195" s="36"/>
      <c r="QMN195" s="36"/>
      <c r="QMO195" s="36"/>
      <c r="QMP195" s="36"/>
      <c r="QMQ195" s="36"/>
      <c r="QMR195" s="36"/>
      <c r="QMS195" s="36"/>
      <c r="QMT195" s="36"/>
      <c r="QMU195" s="36"/>
      <c r="QMV195" s="36"/>
      <c r="QMW195" s="36"/>
      <c r="QMX195" s="36"/>
      <c r="QMY195" s="36"/>
      <c r="QMZ195" s="36"/>
      <c r="QNA195" s="36"/>
      <c r="QNB195" s="36"/>
      <c r="QNC195" s="36"/>
      <c r="QND195" s="36"/>
      <c r="QNE195" s="36"/>
      <c r="QNF195" s="36"/>
      <c r="QNG195" s="36"/>
      <c r="QNH195" s="36"/>
      <c r="QNI195" s="36"/>
      <c r="QNJ195" s="36"/>
      <c r="QNK195" s="36"/>
      <c r="QNL195" s="36"/>
      <c r="QNM195" s="36"/>
      <c r="QNN195" s="36"/>
      <c r="QNO195" s="36"/>
      <c r="QNP195" s="36"/>
      <c r="QNQ195" s="36"/>
      <c r="QNR195" s="36"/>
      <c r="QNS195" s="36"/>
      <c r="QNT195" s="36"/>
      <c r="QNU195" s="36"/>
      <c r="QNV195" s="36"/>
      <c r="QNW195" s="36"/>
      <c r="QNX195" s="36"/>
      <c r="QNY195" s="36"/>
      <c r="QNZ195" s="36"/>
      <c r="QOA195" s="36"/>
      <c r="QOB195" s="36"/>
      <c r="QOC195" s="36"/>
      <c r="QOD195" s="36"/>
      <c r="QOE195" s="36"/>
      <c r="QOF195" s="36"/>
      <c r="QOG195" s="36"/>
      <c r="QOH195" s="36"/>
      <c r="QOI195" s="36"/>
      <c r="QOJ195" s="36"/>
      <c r="QOK195" s="36"/>
      <c r="QOL195" s="36"/>
      <c r="QOM195" s="36"/>
      <c r="QON195" s="36"/>
      <c r="QOO195" s="36"/>
      <c r="QOP195" s="36"/>
      <c r="QOQ195" s="36"/>
      <c r="QOR195" s="36"/>
      <c r="QOS195" s="36"/>
      <c r="QOT195" s="36"/>
      <c r="QOU195" s="36"/>
      <c r="QOV195" s="36"/>
      <c r="QOW195" s="36"/>
      <c r="QOX195" s="36"/>
      <c r="QOY195" s="36"/>
      <c r="QOZ195" s="36"/>
      <c r="QPA195" s="36"/>
      <c r="QPB195" s="36"/>
      <c r="QPC195" s="36"/>
      <c r="QPD195" s="36"/>
      <c r="QPE195" s="36"/>
      <c r="QPF195" s="36"/>
      <c r="QPG195" s="36"/>
      <c r="QPH195" s="36"/>
      <c r="QPI195" s="36"/>
      <c r="QPJ195" s="36"/>
      <c r="QPK195" s="36"/>
      <c r="QPL195" s="36"/>
      <c r="QPM195" s="36"/>
      <c r="QPN195" s="36"/>
      <c r="QPO195" s="36"/>
      <c r="QPP195" s="36"/>
      <c r="QPQ195" s="36"/>
      <c r="QPR195" s="36"/>
      <c r="QPS195" s="36"/>
      <c r="QPT195" s="36"/>
      <c r="QPU195" s="36"/>
      <c r="QPV195" s="36"/>
      <c r="QPW195" s="36"/>
      <c r="QPX195" s="36"/>
      <c r="QPY195" s="36"/>
      <c r="QPZ195" s="36"/>
      <c r="QQA195" s="36"/>
      <c r="QQB195" s="36"/>
      <c r="QQC195" s="36"/>
      <c r="QQD195" s="36"/>
      <c r="QQE195" s="36"/>
      <c r="QQF195" s="36"/>
      <c r="QQG195" s="36"/>
      <c r="QQH195" s="36"/>
      <c r="QQI195" s="36"/>
      <c r="QQJ195" s="36"/>
      <c r="QQK195" s="36"/>
      <c r="QQL195" s="36"/>
      <c r="QQM195" s="36"/>
      <c r="QQN195" s="36"/>
      <c r="QQO195" s="36"/>
      <c r="QQP195" s="36"/>
      <c r="QQQ195" s="36"/>
      <c r="QQR195" s="36"/>
      <c r="QQS195" s="36"/>
      <c r="QQT195" s="36"/>
      <c r="QQU195" s="36"/>
      <c r="QQV195" s="36"/>
      <c r="QQW195" s="36"/>
      <c r="QQX195" s="36"/>
      <c r="QQY195" s="36"/>
      <c r="QQZ195" s="36"/>
      <c r="QRA195" s="36"/>
      <c r="QRB195" s="36"/>
      <c r="QRC195" s="36"/>
      <c r="QRD195" s="36"/>
      <c r="QRE195" s="36"/>
      <c r="QRF195" s="36"/>
      <c r="QRG195" s="36"/>
      <c r="QRH195" s="36"/>
      <c r="QRI195" s="36"/>
      <c r="QRJ195" s="36"/>
      <c r="QRK195" s="36"/>
      <c r="QRL195" s="36"/>
      <c r="QRM195" s="36"/>
      <c r="QRN195" s="36"/>
      <c r="QRO195" s="36"/>
      <c r="QRP195" s="36"/>
      <c r="QRQ195" s="36"/>
      <c r="QRR195" s="36"/>
      <c r="QRS195" s="36"/>
      <c r="QRT195" s="36"/>
      <c r="QRU195" s="36"/>
      <c r="QRV195" s="36"/>
      <c r="QRW195" s="36"/>
      <c r="QRX195" s="36"/>
      <c r="QRY195" s="36"/>
      <c r="QRZ195" s="36"/>
      <c r="QSA195" s="36"/>
      <c r="QSB195" s="36"/>
      <c r="QSC195" s="36"/>
      <c r="QSD195" s="36"/>
      <c r="QSE195" s="36"/>
      <c r="QSF195" s="36"/>
      <c r="QSG195" s="36"/>
      <c r="QSH195" s="36"/>
      <c r="QSI195" s="36"/>
      <c r="QSJ195" s="36"/>
      <c r="QSK195" s="36"/>
      <c r="QSL195" s="36"/>
      <c r="QSM195" s="36"/>
      <c r="QSN195" s="36"/>
      <c r="QSO195" s="36"/>
      <c r="QSP195" s="36"/>
      <c r="QSQ195" s="36"/>
      <c r="QSR195" s="36"/>
      <c r="QSS195" s="36"/>
      <c r="QST195" s="36"/>
      <c r="QSU195" s="36"/>
      <c r="QSV195" s="36"/>
      <c r="QSW195" s="36"/>
      <c r="QSX195" s="36"/>
      <c r="QSY195" s="36"/>
      <c r="QSZ195" s="36"/>
      <c r="QTA195" s="36"/>
      <c r="QTB195" s="36"/>
      <c r="QTC195" s="36"/>
      <c r="QTD195" s="36"/>
      <c r="QTE195" s="36"/>
      <c r="QTF195" s="36"/>
      <c r="QTG195" s="36"/>
      <c r="QTH195" s="36"/>
      <c r="QTI195" s="36"/>
      <c r="QTJ195" s="36"/>
      <c r="QTK195" s="36"/>
      <c r="QTL195" s="36"/>
      <c r="QTM195" s="36"/>
      <c r="QTN195" s="36"/>
      <c r="QTO195" s="36"/>
      <c r="QTP195" s="36"/>
      <c r="QTQ195" s="36"/>
      <c r="QTR195" s="36"/>
      <c r="QTS195" s="36"/>
      <c r="QTT195" s="36"/>
      <c r="QTU195" s="36"/>
      <c r="QTV195" s="36"/>
      <c r="QTW195" s="36"/>
      <c r="QTX195" s="36"/>
      <c r="QTY195" s="36"/>
      <c r="QTZ195" s="36"/>
      <c r="QUA195" s="36"/>
      <c r="QUB195" s="36"/>
      <c r="QUC195" s="36"/>
      <c r="QUD195" s="36"/>
      <c r="QUE195" s="36"/>
      <c r="QUF195" s="36"/>
      <c r="QUG195" s="36"/>
      <c r="QUH195" s="36"/>
      <c r="QUI195" s="36"/>
      <c r="QUJ195" s="36"/>
      <c r="QUK195" s="36"/>
      <c r="QUL195" s="36"/>
      <c r="QUM195" s="36"/>
      <c r="QUN195" s="36"/>
      <c r="QUO195" s="36"/>
      <c r="QUP195" s="36"/>
      <c r="QUQ195" s="36"/>
      <c r="QUR195" s="36"/>
      <c r="QUS195" s="36"/>
      <c r="QUT195" s="36"/>
      <c r="QUU195" s="36"/>
      <c r="QUV195" s="36"/>
      <c r="QUW195" s="36"/>
      <c r="QUX195" s="36"/>
      <c r="QUY195" s="36"/>
      <c r="QUZ195" s="36"/>
      <c r="QVA195" s="36"/>
      <c r="QVB195" s="36"/>
      <c r="QVC195" s="36"/>
      <c r="QVD195" s="36"/>
      <c r="QVE195" s="36"/>
      <c r="QVF195" s="36"/>
      <c r="QVG195" s="36"/>
      <c r="QVH195" s="36"/>
      <c r="QVI195" s="36"/>
      <c r="QVJ195" s="36"/>
      <c r="QVK195" s="36"/>
      <c r="QVL195" s="36"/>
      <c r="QVM195" s="36"/>
      <c r="QVN195" s="36"/>
      <c r="QVO195" s="36"/>
      <c r="QVP195" s="36"/>
      <c r="QVQ195" s="36"/>
      <c r="QVR195" s="36"/>
      <c r="QVS195" s="36"/>
      <c r="QVT195" s="36"/>
      <c r="QVU195" s="36"/>
      <c r="QVV195" s="36"/>
      <c r="QVW195" s="36"/>
      <c r="QVX195" s="36"/>
      <c r="QVY195" s="36"/>
      <c r="QVZ195" s="36"/>
      <c r="QWA195" s="36"/>
      <c r="QWB195" s="36"/>
      <c r="QWC195" s="36"/>
      <c r="QWD195" s="36"/>
      <c r="QWE195" s="36"/>
      <c r="QWF195" s="36"/>
      <c r="QWG195" s="36"/>
      <c r="QWH195" s="36"/>
      <c r="QWI195" s="36"/>
      <c r="QWJ195" s="36"/>
      <c r="QWK195" s="36"/>
      <c r="QWL195" s="36"/>
      <c r="QWM195" s="36"/>
      <c r="QWN195" s="36"/>
      <c r="QWO195" s="36"/>
      <c r="QWP195" s="36"/>
      <c r="QWQ195" s="36"/>
      <c r="QWR195" s="36"/>
      <c r="QWS195" s="36"/>
      <c r="QWT195" s="36"/>
      <c r="QWU195" s="36"/>
      <c r="QWV195" s="36"/>
      <c r="QWW195" s="36"/>
      <c r="QWX195" s="36"/>
      <c r="QWY195" s="36"/>
      <c r="QWZ195" s="36"/>
      <c r="QXA195" s="36"/>
      <c r="QXB195" s="36"/>
      <c r="QXC195" s="36"/>
      <c r="QXD195" s="36"/>
      <c r="QXE195" s="36"/>
      <c r="QXF195" s="36"/>
      <c r="QXG195" s="36"/>
      <c r="QXH195" s="36"/>
      <c r="QXI195" s="36"/>
      <c r="QXJ195" s="36"/>
      <c r="QXK195" s="36"/>
      <c r="QXL195" s="36"/>
      <c r="QXM195" s="36"/>
      <c r="QXN195" s="36"/>
      <c r="QXO195" s="36"/>
      <c r="QXP195" s="36"/>
      <c r="QXQ195" s="36"/>
      <c r="QXR195" s="36"/>
      <c r="QXS195" s="36"/>
      <c r="QXT195" s="36"/>
      <c r="QXU195" s="36"/>
      <c r="QXV195" s="36"/>
      <c r="QXW195" s="36"/>
      <c r="QXX195" s="36"/>
      <c r="QXY195" s="36"/>
      <c r="QXZ195" s="36"/>
      <c r="QYA195" s="36"/>
      <c r="QYB195" s="36"/>
      <c r="QYC195" s="36"/>
      <c r="QYD195" s="36"/>
      <c r="QYE195" s="36"/>
      <c r="QYF195" s="36"/>
      <c r="QYG195" s="36"/>
      <c r="QYH195" s="36"/>
      <c r="QYI195" s="36"/>
      <c r="QYJ195" s="36"/>
      <c r="QYK195" s="36"/>
      <c r="QYL195" s="36"/>
      <c r="QYM195" s="36"/>
      <c r="QYN195" s="36"/>
      <c r="QYO195" s="36"/>
      <c r="QYP195" s="36"/>
      <c r="QYQ195" s="36"/>
      <c r="QYR195" s="36"/>
      <c r="QYS195" s="36"/>
      <c r="QYT195" s="36"/>
      <c r="QYU195" s="36"/>
      <c r="QYV195" s="36"/>
      <c r="QYW195" s="36"/>
      <c r="QYX195" s="36"/>
      <c r="QYY195" s="36"/>
      <c r="QYZ195" s="36"/>
      <c r="QZA195" s="36"/>
      <c r="QZB195" s="36"/>
      <c r="QZC195" s="36"/>
      <c r="QZD195" s="36"/>
      <c r="QZE195" s="36"/>
      <c r="QZF195" s="36"/>
      <c r="QZG195" s="36"/>
      <c r="QZH195" s="36"/>
      <c r="QZI195" s="36"/>
      <c r="QZJ195" s="36"/>
      <c r="QZK195" s="36"/>
      <c r="QZL195" s="36"/>
      <c r="QZM195" s="36"/>
      <c r="QZN195" s="36"/>
      <c r="QZO195" s="36"/>
      <c r="QZP195" s="36"/>
      <c r="QZQ195" s="36"/>
      <c r="QZR195" s="36"/>
      <c r="QZS195" s="36"/>
      <c r="QZT195" s="36"/>
      <c r="QZU195" s="36"/>
      <c r="QZV195" s="36"/>
      <c r="QZW195" s="36"/>
      <c r="QZX195" s="36"/>
      <c r="QZY195" s="36"/>
      <c r="QZZ195" s="36"/>
      <c r="RAA195" s="36"/>
      <c r="RAB195" s="36"/>
      <c r="RAC195" s="36"/>
      <c r="RAD195" s="36"/>
      <c r="RAE195" s="36"/>
      <c r="RAF195" s="36"/>
      <c r="RAG195" s="36"/>
      <c r="RAH195" s="36"/>
      <c r="RAI195" s="36"/>
      <c r="RAJ195" s="36"/>
      <c r="RAK195" s="36"/>
      <c r="RAL195" s="36"/>
      <c r="RAM195" s="36"/>
      <c r="RAN195" s="36"/>
      <c r="RAO195" s="36"/>
      <c r="RAP195" s="36"/>
      <c r="RAQ195" s="36"/>
      <c r="RAR195" s="36"/>
      <c r="RAS195" s="36"/>
      <c r="RAT195" s="36"/>
      <c r="RAU195" s="36"/>
      <c r="RAV195" s="36"/>
      <c r="RAW195" s="36"/>
      <c r="RAX195" s="36"/>
      <c r="RAY195" s="36"/>
      <c r="RAZ195" s="36"/>
      <c r="RBA195" s="36"/>
      <c r="RBB195" s="36"/>
      <c r="RBC195" s="36"/>
      <c r="RBD195" s="36"/>
      <c r="RBE195" s="36"/>
      <c r="RBF195" s="36"/>
      <c r="RBG195" s="36"/>
      <c r="RBH195" s="36"/>
      <c r="RBI195" s="36"/>
      <c r="RBJ195" s="36"/>
      <c r="RBK195" s="36"/>
      <c r="RBL195" s="36"/>
      <c r="RBM195" s="36"/>
      <c r="RBN195" s="36"/>
      <c r="RBO195" s="36"/>
      <c r="RBP195" s="36"/>
      <c r="RBQ195" s="36"/>
      <c r="RBR195" s="36"/>
      <c r="RBS195" s="36"/>
      <c r="RBT195" s="36"/>
      <c r="RBU195" s="36"/>
      <c r="RBV195" s="36"/>
      <c r="RBW195" s="36"/>
      <c r="RBX195" s="36"/>
      <c r="RBY195" s="36"/>
      <c r="RBZ195" s="36"/>
      <c r="RCA195" s="36"/>
      <c r="RCB195" s="36"/>
      <c r="RCC195" s="36"/>
      <c r="RCD195" s="36"/>
      <c r="RCE195" s="36"/>
      <c r="RCF195" s="36"/>
      <c r="RCG195" s="36"/>
      <c r="RCH195" s="36"/>
      <c r="RCI195" s="36"/>
      <c r="RCJ195" s="36"/>
      <c r="RCK195" s="36"/>
      <c r="RCL195" s="36"/>
      <c r="RCM195" s="36"/>
      <c r="RCN195" s="36"/>
      <c r="RCO195" s="36"/>
      <c r="RCP195" s="36"/>
      <c r="RCQ195" s="36"/>
      <c r="RCR195" s="36"/>
      <c r="RCS195" s="36"/>
      <c r="RCT195" s="36"/>
      <c r="RCU195" s="36"/>
      <c r="RCV195" s="36"/>
      <c r="RCW195" s="36"/>
      <c r="RCX195" s="36"/>
      <c r="RCY195" s="36"/>
      <c r="RCZ195" s="36"/>
      <c r="RDA195" s="36"/>
      <c r="RDB195" s="36"/>
      <c r="RDC195" s="36"/>
      <c r="RDD195" s="36"/>
      <c r="RDE195" s="36"/>
      <c r="RDF195" s="36"/>
      <c r="RDG195" s="36"/>
      <c r="RDH195" s="36"/>
      <c r="RDI195" s="36"/>
      <c r="RDJ195" s="36"/>
      <c r="RDK195" s="36"/>
      <c r="RDL195" s="36"/>
      <c r="RDM195" s="36"/>
      <c r="RDN195" s="36"/>
      <c r="RDO195" s="36"/>
      <c r="RDP195" s="36"/>
      <c r="RDQ195" s="36"/>
      <c r="RDR195" s="36"/>
      <c r="RDS195" s="36"/>
      <c r="RDT195" s="36"/>
      <c r="RDU195" s="36"/>
      <c r="RDV195" s="36"/>
      <c r="RDW195" s="36"/>
      <c r="RDX195" s="36"/>
      <c r="RDY195" s="36"/>
      <c r="RDZ195" s="36"/>
      <c r="REA195" s="36"/>
      <c r="REB195" s="36"/>
      <c r="REC195" s="36"/>
      <c r="RED195" s="36"/>
      <c r="REE195" s="36"/>
      <c r="REF195" s="36"/>
      <c r="REG195" s="36"/>
      <c r="REH195" s="36"/>
      <c r="REI195" s="36"/>
      <c r="REJ195" s="36"/>
      <c r="REK195" s="36"/>
      <c r="REL195" s="36"/>
      <c r="REM195" s="36"/>
      <c r="REN195" s="36"/>
      <c r="REO195" s="36"/>
      <c r="REP195" s="36"/>
      <c r="REQ195" s="36"/>
      <c r="RER195" s="36"/>
      <c r="RES195" s="36"/>
      <c r="RET195" s="36"/>
      <c r="REU195" s="36"/>
      <c r="REV195" s="36"/>
      <c r="REW195" s="36"/>
      <c r="REX195" s="36"/>
      <c r="REY195" s="36"/>
      <c r="REZ195" s="36"/>
      <c r="RFA195" s="36"/>
      <c r="RFB195" s="36"/>
      <c r="RFC195" s="36"/>
      <c r="RFD195" s="36"/>
      <c r="RFE195" s="36"/>
      <c r="RFF195" s="36"/>
      <c r="RFG195" s="36"/>
      <c r="RFH195" s="36"/>
      <c r="RFI195" s="36"/>
      <c r="RFJ195" s="36"/>
      <c r="RFK195" s="36"/>
      <c r="RFL195" s="36"/>
      <c r="RFM195" s="36"/>
      <c r="RFN195" s="36"/>
      <c r="RFO195" s="36"/>
      <c r="RFP195" s="36"/>
      <c r="RFQ195" s="36"/>
      <c r="RFR195" s="36"/>
      <c r="RFS195" s="36"/>
      <c r="RFT195" s="36"/>
      <c r="RFU195" s="36"/>
      <c r="RFV195" s="36"/>
      <c r="RFW195" s="36"/>
      <c r="RFX195" s="36"/>
      <c r="RFY195" s="36"/>
      <c r="RFZ195" s="36"/>
      <c r="RGA195" s="36"/>
      <c r="RGB195" s="36"/>
      <c r="RGC195" s="36"/>
      <c r="RGD195" s="36"/>
      <c r="RGE195" s="36"/>
      <c r="RGF195" s="36"/>
      <c r="RGG195" s="36"/>
      <c r="RGH195" s="36"/>
      <c r="RGI195" s="36"/>
      <c r="RGJ195" s="36"/>
      <c r="RGK195" s="36"/>
      <c r="RGL195" s="36"/>
      <c r="RGM195" s="36"/>
      <c r="RGN195" s="36"/>
      <c r="RGO195" s="36"/>
      <c r="RGP195" s="36"/>
      <c r="RGQ195" s="36"/>
      <c r="RGR195" s="36"/>
      <c r="RGS195" s="36"/>
      <c r="RGT195" s="36"/>
      <c r="RGU195" s="36"/>
      <c r="RGV195" s="36"/>
      <c r="RGW195" s="36"/>
      <c r="RGX195" s="36"/>
      <c r="RGY195" s="36"/>
      <c r="RGZ195" s="36"/>
      <c r="RHA195" s="36"/>
      <c r="RHB195" s="36"/>
      <c r="RHC195" s="36"/>
      <c r="RHD195" s="36"/>
      <c r="RHE195" s="36"/>
      <c r="RHF195" s="36"/>
      <c r="RHG195" s="36"/>
      <c r="RHH195" s="36"/>
      <c r="RHI195" s="36"/>
      <c r="RHJ195" s="36"/>
      <c r="RHK195" s="36"/>
      <c r="RHL195" s="36"/>
      <c r="RHM195" s="36"/>
      <c r="RHN195" s="36"/>
      <c r="RHO195" s="36"/>
      <c r="RHP195" s="36"/>
      <c r="RHQ195" s="36"/>
      <c r="RHR195" s="36"/>
      <c r="RHS195" s="36"/>
      <c r="RHT195" s="36"/>
      <c r="RHU195" s="36"/>
      <c r="RHV195" s="36"/>
      <c r="RHW195" s="36"/>
      <c r="RHX195" s="36"/>
      <c r="RHY195" s="36"/>
      <c r="RHZ195" s="36"/>
      <c r="RIA195" s="36"/>
      <c r="RIB195" s="36"/>
      <c r="RIC195" s="36"/>
      <c r="RID195" s="36"/>
      <c r="RIE195" s="36"/>
      <c r="RIF195" s="36"/>
      <c r="RIG195" s="36"/>
      <c r="RIH195" s="36"/>
      <c r="RII195" s="36"/>
      <c r="RIJ195" s="36"/>
      <c r="RIK195" s="36"/>
      <c r="RIL195" s="36"/>
      <c r="RIM195" s="36"/>
      <c r="RIN195" s="36"/>
      <c r="RIO195" s="36"/>
      <c r="RIP195" s="36"/>
      <c r="RIQ195" s="36"/>
      <c r="RIR195" s="36"/>
      <c r="RIS195" s="36"/>
      <c r="RIT195" s="36"/>
      <c r="RIU195" s="36"/>
      <c r="RIV195" s="36"/>
      <c r="RIW195" s="36"/>
      <c r="RIX195" s="36"/>
      <c r="RIY195" s="36"/>
      <c r="RIZ195" s="36"/>
      <c r="RJA195" s="36"/>
      <c r="RJB195" s="36"/>
      <c r="RJC195" s="36"/>
      <c r="RJD195" s="36"/>
      <c r="RJE195" s="36"/>
      <c r="RJF195" s="36"/>
      <c r="RJG195" s="36"/>
      <c r="RJH195" s="36"/>
      <c r="RJI195" s="36"/>
      <c r="RJJ195" s="36"/>
      <c r="RJK195" s="36"/>
      <c r="RJL195" s="36"/>
      <c r="RJM195" s="36"/>
      <c r="RJN195" s="36"/>
      <c r="RJO195" s="36"/>
      <c r="RJP195" s="36"/>
      <c r="RJQ195" s="36"/>
      <c r="RJR195" s="36"/>
      <c r="RJS195" s="36"/>
      <c r="RJT195" s="36"/>
      <c r="RJU195" s="36"/>
      <c r="RJV195" s="36"/>
      <c r="RJW195" s="36"/>
      <c r="RJX195" s="36"/>
      <c r="RJY195" s="36"/>
      <c r="RJZ195" s="36"/>
      <c r="RKA195" s="36"/>
      <c r="RKB195" s="36"/>
      <c r="RKC195" s="36"/>
      <c r="RKD195" s="36"/>
      <c r="RKE195" s="36"/>
      <c r="RKF195" s="36"/>
      <c r="RKG195" s="36"/>
      <c r="RKH195" s="36"/>
      <c r="RKI195" s="36"/>
      <c r="RKJ195" s="36"/>
      <c r="RKK195" s="36"/>
      <c r="RKL195" s="36"/>
      <c r="RKM195" s="36"/>
      <c r="RKN195" s="36"/>
      <c r="RKO195" s="36"/>
      <c r="RKP195" s="36"/>
      <c r="RKQ195" s="36"/>
      <c r="RKR195" s="36"/>
      <c r="RKS195" s="36"/>
      <c r="RKT195" s="36"/>
      <c r="RKU195" s="36"/>
      <c r="RKV195" s="36"/>
      <c r="RKW195" s="36"/>
      <c r="RKX195" s="36"/>
      <c r="RKY195" s="36"/>
      <c r="RKZ195" s="36"/>
      <c r="RLA195" s="36"/>
      <c r="RLB195" s="36"/>
      <c r="RLC195" s="36"/>
      <c r="RLD195" s="36"/>
      <c r="RLE195" s="36"/>
      <c r="RLF195" s="36"/>
      <c r="RLG195" s="36"/>
      <c r="RLH195" s="36"/>
      <c r="RLI195" s="36"/>
      <c r="RLJ195" s="36"/>
      <c r="RLK195" s="36"/>
      <c r="RLL195" s="36"/>
      <c r="RLM195" s="36"/>
      <c r="RLN195" s="36"/>
      <c r="RLO195" s="36"/>
      <c r="RLP195" s="36"/>
      <c r="RLQ195" s="36"/>
      <c r="RLR195" s="36"/>
      <c r="RLS195" s="36"/>
      <c r="RLT195" s="36"/>
      <c r="RLU195" s="36"/>
      <c r="RLV195" s="36"/>
      <c r="RLW195" s="36"/>
      <c r="RLX195" s="36"/>
      <c r="RLY195" s="36"/>
      <c r="RLZ195" s="36"/>
      <c r="RMA195" s="36"/>
      <c r="RMB195" s="36"/>
      <c r="RMC195" s="36"/>
      <c r="RMD195" s="36"/>
      <c r="RME195" s="36"/>
      <c r="RMF195" s="36"/>
      <c r="RMG195" s="36"/>
      <c r="RMH195" s="36"/>
      <c r="RMI195" s="36"/>
      <c r="RMJ195" s="36"/>
      <c r="RMK195" s="36"/>
      <c r="RML195" s="36"/>
      <c r="RMM195" s="36"/>
      <c r="RMN195" s="36"/>
      <c r="RMO195" s="36"/>
      <c r="RMP195" s="36"/>
      <c r="RMQ195" s="36"/>
      <c r="RMR195" s="36"/>
      <c r="RMS195" s="36"/>
      <c r="RMT195" s="36"/>
      <c r="RMU195" s="36"/>
      <c r="RMV195" s="36"/>
      <c r="RMW195" s="36"/>
      <c r="RMX195" s="36"/>
      <c r="RMY195" s="36"/>
      <c r="RMZ195" s="36"/>
      <c r="RNA195" s="36"/>
      <c r="RNB195" s="36"/>
      <c r="RNC195" s="36"/>
      <c r="RND195" s="36"/>
      <c r="RNE195" s="36"/>
      <c r="RNF195" s="36"/>
      <c r="RNG195" s="36"/>
      <c r="RNH195" s="36"/>
      <c r="RNI195" s="36"/>
      <c r="RNJ195" s="36"/>
      <c r="RNK195" s="36"/>
      <c r="RNL195" s="36"/>
      <c r="RNM195" s="36"/>
      <c r="RNN195" s="36"/>
      <c r="RNO195" s="36"/>
      <c r="RNP195" s="36"/>
      <c r="RNQ195" s="36"/>
      <c r="RNR195" s="36"/>
      <c r="RNS195" s="36"/>
      <c r="RNT195" s="36"/>
      <c r="RNU195" s="36"/>
      <c r="RNV195" s="36"/>
      <c r="RNW195" s="36"/>
      <c r="RNX195" s="36"/>
      <c r="RNY195" s="36"/>
      <c r="RNZ195" s="36"/>
      <c r="ROA195" s="36"/>
      <c r="ROB195" s="36"/>
      <c r="ROC195" s="36"/>
      <c r="ROD195" s="36"/>
      <c r="ROE195" s="36"/>
      <c r="ROF195" s="36"/>
      <c r="ROG195" s="36"/>
      <c r="ROH195" s="36"/>
      <c r="ROI195" s="36"/>
      <c r="ROJ195" s="36"/>
      <c r="ROK195" s="36"/>
      <c r="ROL195" s="36"/>
      <c r="ROM195" s="36"/>
      <c r="RON195" s="36"/>
      <c r="ROO195" s="36"/>
      <c r="ROP195" s="36"/>
      <c r="ROQ195" s="36"/>
      <c r="ROR195" s="36"/>
      <c r="ROS195" s="36"/>
      <c r="ROT195" s="36"/>
      <c r="ROU195" s="36"/>
      <c r="ROV195" s="36"/>
      <c r="ROW195" s="36"/>
      <c r="ROX195" s="36"/>
      <c r="ROY195" s="36"/>
      <c r="ROZ195" s="36"/>
      <c r="RPA195" s="36"/>
      <c r="RPB195" s="36"/>
      <c r="RPC195" s="36"/>
      <c r="RPD195" s="36"/>
      <c r="RPE195" s="36"/>
      <c r="RPF195" s="36"/>
      <c r="RPG195" s="36"/>
      <c r="RPH195" s="36"/>
      <c r="RPI195" s="36"/>
      <c r="RPJ195" s="36"/>
      <c r="RPK195" s="36"/>
      <c r="RPL195" s="36"/>
      <c r="RPM195" s="36"/>
      <c r="RPN195" s="36"/>
      <c r="RPO195" s="36"/>
      <c r="RPP195" s="36"/>
      <c r="RPQ195" s="36"/>
      <c r="RPR195" s="36"/>
      <c r="RPS195" s="36"/>
      <c r="RPT195" s="36"/>
      <c r="RPU195" s="36"/>
      <c r="RPV195" s="36"/>
      <c r="RPW195" s="36"/>
      <c r="RPX195" s="36"/>
      <c r="RPY195" s="36"/>
      <c r="RPZ195" s="36"/>
      <c r="RQA195" s="36"/>
      <c r="RQB195" s="36"/>
      <c r="RQC195" s="36"/>
      <c r="RQD195" s="36"/>
      <c r="RQE195" s="36"/>
      <c r="RQF195" s="36"/>
      <c r="RQG195" s="36"/>
      <c r="RQH195" s="36"/>
      <c r="RQI195" s="36"/>
      <c r="RQJ195" s="36"/>
      <c r="RQK195" s="36"/>
      <c r="RQL195" s="36"/>
      <c r="RQM195" s="36"/>
      <c r="RQN195" s="36"/>
      <c r="RQO195" s="36"/>
      <c r="RQP195" s="36"/>
      <c r="RQQ195" s="36"/>
      <c r="RQR195" s="36"/>
      <c r="RQS195" s="36"/>
      <c r="RQT195" s="36"/>
      <c r="RQU195" s="36"/>
      <c r="RQV195" s="36"/>
      <c r="RQW195" s="36"/>
      <c r="RQX195" s="36"/>
      <c r="RQY195" s="36"/>
      <c r="RQZ195" s="36"/>
      <c r="RRA195" s="36"/>
      <c r="RRB195" s="36"/>
      <c r="RRC195" s="36"/>
      <c r="RRD195" s="36"/>
      <c r="RRE195" s="36"/>
      <c r="RRF195" s="36"/>
      <c r="RRG195" s="36"/>
      <c r="RRH195" s="36"/>
      <c r="RRI195" s="36"/>
      <c r="RRJ195" s="36"/>
      <c r="RRK195" s="36"/>
      <c r="RRL195" s="36"/>
      <c r="RRM195" s="36"/>
      <c r="RRN195" s="36"/>
      <c r="RRO195" s="36"/>
      <c r="RRP195" s="36"/>
      <c r="RRQ195" s="36"/>
      <c r="RRR195" s="36"/>
      <c r="RRS195" s="36"/>
      <c r="RRT195" s="36"/>
      <c r="RRU195" s="36"/>
      <c r="RRV195" s="36"/>
      <c r="RRW195" s="36"/>
      <c r="RRX195" s="36"/>
      <c r="RRY195" s="36"/>
      <c r="RRZ195" s="36"/>
      <c r="RSA195" s="36"/>
      <c r="RSB195" s="36"/>
      <c r="RSC195" s="36"/>
      <c r="RSD195" s="36"/>
      <c r="RSE195" s="36"/>
      <c r="RSF195" s="36"/>
      <c r="RSG195" s="36"/>
      <c r="RSH195" s="36"/>
      <c r="RSI195" s="36"/>
      <c r="RSJ195" s="36"/>
      <c r="RSK195" s="36"/>
      <c r="RSL195" s="36"/>
      <c r="RSM195" s="36"/>
      <c r="RSN195" s="36"/>
      <c r="RSO195" s="36"/>
      <c r="RSP195" s="36"/>
      <c r="RSQ195" s="36"/>
      <c r="RSR195" s="36"/>
      <c r="RSS195" s="36"/>
      <c r="RST195" s="36"/>
      <c r="RSU195" s="36"/>
      <c r="RSV195" s="36"/>
      <c r="RSW195" s="36"/>
      <c r="RSX195" s="36"/>
      <c r="RSY195" s="36"/>
      <c r="RSZ195" s="36"/>
      <c r="RTA195" s="36"/>
      <c r="RTB195" s="36"/>
      <c r="RTC195" s="36"/>
      <c r="RTD195" s="36"/>
      <c r="RTE195" s="36"/>
      <c r="RTF195" s="36"/>
      <c r="RTG195" s="36"/>
      <c r="RTH195" s="36"/>
      <c r="RTI195" s="36"/>
      <c r="RTJ195" s="36"/>
      <c r="RTK195" s="36"/>
      <c r="RTL195" s="36"/>
      <c r="RTM195" s="36"/>
      <c r="RTN195" s="36"/>
      <c r="RTO195" s="36"/>
      <c r="RTP195" s="36"/>
      <c r="RTQ195" s="36"/>
      <c r="RTR195" s="36"/>
      <c r="RTS195" s="36"/>
      <c r="RTT195" s="36"/>
      <c r="RTU195" s="36"/>
      <c r="RTV195" s="36"/>
      <c r="RTW195" s="36"/>
      <c r="RTX195" s="36"/>
      <c r="RTY195" s="36"/>
      <c r="RTZ195" s="36"/>
      <c r="RUA195" s="36"/>
      <c r="RUB195" s="36"/>
      <c r="RUC195" s="36"/>
      <c r="RUD195" s="36"/>
      <c r="RUE195" s="36"/>
      <c r="RUF195" s="36"/>
      <c r="RUG195" s="36"/>
      <c r="RUH195" s="36"/>
      <c r="RUI195" s="36"/>
      <c r="RUJ195" s="36"/>
      <c r="RUK195" s="36"/>
      <c r="RUL195" s="36"/>
      <c r="RUM195" s="36"/>
      <c r="RUN195" s="36"/>
      <c r="RUO195" s="36"/>
      <c r="RUP195" s="36"/>
      <c r="RUQ195" s="36"/>
      <c r="RUR195" s="36"/>
      <c r="RUS195" s="36"/>
      <c r="RUT195" s="36"/>
      <c r="RUU195" s="36"/>
      <c r="RUV195" s="36"/>
      <c r="RUW195" s="36"/>
      <c r="RUX195" s="36"/>
      <c r="RUY195" s="36"/>
      <c r="RUZ195" s="36"/>
      <c r="RVA195" s="36"/>
      <c r="RVB195" s="36"/>
      <c r="RVC195" s="36"/>
      <c r="RVD195" s="36"/>
      <c r="RVE195" s="36"/>
      <c r="RVF195" s="36"/>
      <c r="RVG195" s="36"/>
      <c r="RVH195" s="36"/>
      <c r="RVI195" s="36"/>
      <c r="RVJ195" s="36"/>
      <c r="RVK195" s="36"/>
      <c r="RVL195" s="36"/>
      <c r="RVM195" s="36"/>
      <c r="RVN195" s="36"/>
      <c r="RVO195" s="36"/>
      <c r="RVP195" s="36"/>
      <c r="RVQ195" s="36"/>
      <c r="RVR195" s="36"/>
      <c r="RVS195" s="36"/>
      <c r="RVT195" s="36"/>
      <c r="RVU195" s="36"/>
      <c r="RVV195" s="36"/>
      <c r="RVW195" s="36"/>
      <c r="RVX195" s="36"/>
      <c r="RVY195" s="36"/>
      <c r="RVZ195" s="36"/>
      <c r="RWA195" s="36"/>
      <c r="RWB195" s="36"/>
      <c r="RWC195" s="36"/>
      <c r="RWD195" s="36"/>
      <c r="RWE195" s="36"/>
      <c r="RWF195" s="36"/>
      <c r="RWG195" s="36"/>
      <c r="RWH195" s="36"/>
      <c r="RWI195" s="36"/>
      <c r="RWJ195" s="36"/>
      <c r="RWK195" s="36"/>
      <c r="RWL195" s="36"/>
      <c r="RWM195" s="36"/>
      <c r="RWN195" s="36"/>
      <c r="RWO195" s="36"/>
      <c r="RWP195" s="36"/>
      <c r="RWQ195" s="36"/>
      <c r="RWR195" s="36"/>
      <c r="RWS195" s="36"/>
      <c r="RWT195" s="36"/>
      <c r="RWU195" s="36"/>
      <c r="RWV195" s="36"/>
      <c r="RWW195" s="36"/>
      <c r="RWX195" s="36"/>
      <c r="RWY195" s="36"/>
      <c r="RWZ195" s="36"/>
      <c r="RXA195" s="36"/>
      <c r="RXB195" s="36"/>
      <c r="RXC195" s="36"/>
      <c r="RXD195" s="36"/>
      <c r="RXE195" s="36"/>
      <c r="RXF195" s="36"/>
      <c r="RXG195" s="36"/>
      <c r="RXH195" s="36"/>
      <c r="RXI195" s="36"/>
      <c r="RXJ195" s="36"/>
      <c r="RXK195" s="36"/>
      <c r="RXL195" s="36"/>
      <c r="RXM195" s="36"/>
      <c r="RXN195" s="36"/>
      <c r="RXO195" s="36"/>
      <c r="RXP195" s="36"/>
      <c r="RXQ195" s="36"/>
      <c r="RXR195" s="36"/>
      <c r="RXS195" s="36"/>
      <c r="RXT195" s="36"/>
      <c r="RXU195" s="36"/>
      <c r="RXV195" s="36"/>
      <c r="RXW195" s="36"/>
      <c r="RXX195" s="36"/>
      <c r="RXY195" s="36"/>
      <c r="RXZ195" s="36"/>
      <c r="RYA195" s="36"/>
      <c r="RYB195" s="36"/>
      <c r="RYC195" s="36"/>
      <c r="RYD195" s="36"/>
      <c r="RYE195" s="36"/>
      <c r="RYF195" s="36"/>
      <c r="RYG195" s="36"/>
      <c r="RYH195" s="36"/>
      <c r="RYI195" s="36"/>
      <c r="RYJ195" s="36"/>
      <c r="RYK195" s="36"/>
      <c r="RYL195" s="36"/>
      <c r="RYM195" s="36"/>
      <c r="RYN195" s="36"/>
      <c r="RYO195" s="36"/>
      <c r="RYP195" s="36"/>
      <c r="RYQ195" s="36"/>
      <c r="RYR195" s="36"/>
      <c r="RYS195" s="36"/>
      <c r="RYT195" s="36"/>
      <c r="RYU195" s="36"/>
      <c r="RYV195" s="36"/>
      <c r="RYW195" s="36"/>
      <c r="RYX195" s="36"/>
      <c r="RYY195" s="36"/>
      <c r="RYZ195" s="36"/>
      <c r="RZA195" s="36"/>
      <c r="RZB195" s="36"/>
      <c r="RZC195" s="36"/>
      <c r="RZD195" s="36"/>
      <c r="RZE195" s="36"/>
      <c r="RZF195" s="36"/>
      <c r="RZG195" s="36"/>
      <c r="RZH195" s="36"/>
      <c r="RZI195" s="36"/>
      <c r="RZJ195" s="36"/>
      <c r="RZK195" s="36"/>
      <c r="RZL195" s="36"/>
      <c r="RZM195" s="36"/>
      <c r="RZN195" s="36"/>
      <c r="RZO195" s="36"/>
      <c r="RZP195" s="36"/>
      <c r="RZQ195" s="36"/>
      <c r="RZR195" s="36"/>
      <c r="RZS195" s="36"/>
      <c r="RZT195" s="36"/>
      <c r="RZU195" s="36"/>
      <c r="RZV195" s="36"/>
      <c r="RZW195" s="36"/>
      <c r="RZX195" s="36"/>
      <c r="RZY195" s="36"/>
      <c r="RZZ195" s="36"/>
      <c r="SAA195" s="36"/>
      <c r="SAB195" s="36"/>
      <c r="SAC195" s="36"/>
      <c r="SAD195" s="36"/>
      <c r="SAE195" s="36"/>
      <c r="SAF195" s="36"/>
      <c r="SAG195" s="36"/>
      <c r="SAH195" s="36"/>
      <c r="SAI195" s="36"/>
      <c r="SAJ195" s="36"/>
      <c r="SAK195" s="36"/>
      <c r="SAL195" s="36"/>
      <c r="SAM195" s="36"/>
      <c r="SAN195" s="36"/>
      <c r="SAO195" s="36"/>
      <c r="SAP195" s="36"/>
      <c r="SAQ195" s="36"/>
      <c r="SAR195" s="36"/>
      <c r="SAS195" s="36"/>
      <c r="SAT195" s="36"/>
      <c r="SAU195" s="36"/>
      <c r="SAV195" s="36"/>
      <c r="SAW195" s="36"/>
      <c r="SAX195" s="36"/>
      <c r="SAY195" s="36"/>
      <c r="SAZ195" s="36"/>
      <c r="SBA195" s="36"/>
      <c r="SBB195" s="36"/>
      <c r="SBC195" s="36"/>
      <c r="SBD195" s="36"/>
      <c r="SBE195" s="36"/>
      <c r="SBF195" s="36"/>
      <c r="SBG195" s="36"/>
      <c r="SBH195" s="36"/>
      <c r="SBI195" s="36"/>
      <c r="SBJ195" s="36"/>
      <c r="SBK195" s="36"/>
      <c r="SBL195" s="36"/>
      <c r="SBM195" s="36"/>
      <c r="SBN195" s="36"/>
      <c r="SBO195" s="36"/>
      <c r="SBP195" s="36"/>
      <c r="SBQ195" s="36"/>
      <c r="SBR195" s="36"/>
      <c r="SBS195" s="36"/>
      <c r="SBT195" s="36"/>
      <c r="SBU195" s="36"/>
      <c r="SBV195" s="36"/>
      <c r="SBW195" s="36"/>
      <c r="SBX195" s="36"/>
      <c r="SBY195" s="36"/>
      <c r="SBZ195" s="36"/>
      <c r="SCA195" s="36"/>
      <c r="SCB195" s="36"/>
      <c r="SCC195" s="36"/>
      <c r="SCD195" s="36"/>
      <c r="SCE195" s="36"/>
      <c r="SCF195" s="36"/>
      <c r="SCG195" s="36"/>
      <c r="SCH195" s="36"/>
      <c r="SCI195" s="36"/>
      <c r="SCJ195" s="36"/>
      <c r="SCK195" s="36"/>
      <c r="SCL195" s="36"/>
      <c r="SCM195" s="36"/>
      <c r="SCN195" s="36"/>
      <c r="SCO195" s="36"/>
      <c r="SCP195" s="36"/>
      <c r="SCQ195" s="36"/>
      <c r="SCR195" s="36"/>
      <c r="SCS195" s="36"/>
      <c r="SCT195" s="36"/>
      <c r="SCU195" s="36"/>
      <c r="SCV195" s="36"/>
      <c r="SCW195" s="36"/>
      <c r="SCX195" s="36"/>
      <c r="SCY195" s="36"/>
      <c r="SCZ195" s="36"/>
      <c r="SDA195" s="36"/>
      <c r="SDB195" s="36"/>
      <c r="SDC195" s="36"/>
      <c r="SDD195" s="36"/>
      <c r="SDE195" s="36"/>
      <c r="SDF195" s="36"/>
      <c r="SDG195" s="36"/>
      <c r="SDH195" s="36"/>
      <c r="SDI195" s="36"/>
      <c r="SDJ195" s="36"/>
      <c r="SDK195" s="36"/>
      <c r="SDL195" s="36"/>
      <c r="SDM195" s="36"/>
      <c r="SDN195" s="36"/>
      <c r="SDO195" s="36"/>
      <c r="SDP195" s="36"/>
      <c r="SDQ195" s="36"/>
      <c r="SDR195" s="36"/>
      <c r="SDS195" s="36"/>
      <c r="SDT195" s="36"/>
      <c r="SDU195" s="36"/>
      <c r="SDV195" s="36"/>
      <c r="SDW195" s="36"/>
      <c r="SDX195" s="36"/>
      <c r="SDY195" s="36"/>
      <c r="SDZ195" s="36"/>
      <c r="SEA195" s="36"/>
      <c r="SEB195" s="36"/>
      <c r="SEC195" s="36"/>
      <c r="SED195" s="36"/>
      <c r="SEE195" s="36"/>
      <c r="SEF195" s="36"/>
      <c r="SEG195" s="36"/>
      <c r="SEH195" s="36"/>
      <c r="SEI195" s="36"/>
      <c r="SEJ195" s="36"/>
      <c r="SEK195" s="36"/>
      <c r="SEL195" s="36"/>
      <c r="SEM195" s="36"/>
      <c r="SEN195" s="36"/>
      <c r="SEO195" s="36"/>
      <c r="SEP195" s="36"/>
      <c r="SEQ195" s="36"/>
      <c r="SER195" s="36"/>
      <c r="SES195" s="36"/>
      <c r="SET195" s="36"/>
      <c r="SEU195" s="36"/>
      <c r="SEV195" s="36"/>
      <c r="SEW195" s="36"/>
      <c r="SEX195" s="36"/>
      <c r="SEY195" s="36"/>
      <c r="SEZ195" s="36"/>
      <c r="SFA195" s="36"/>
      <c r="SFB195" s="36"/>
      <c r="SFC195" s="36"/>
      <c r="SFD195" s="36"/>
      <c r="SFE195" s="36"/>
      <c r="SFF195" s="36"/>
      <c r="SFG195" s="36"/>
      <c r="SFH195" s="36"/>
      <c r="SFI195" s="36"/>
      <c r="SFJ195" s="36"/>
      <c r="SFK195" s="36"/>
      <c r="SFL195" s="36"/>
      <c r="SFM195" s="36"/>
      <c r="SFN195" s="36"/>
      <c r="SFO195" s="36"/>
      <c r="SFP195" s="36"/>
      <c r="SFQ195" s="36"/>
      <c r="SFR195" s="36"/>
      <c r="SFS195" s="36"/>
      <c r="SFT195" s="36"/>
      <c r="SFU195" s="36"/>
      <c r="SFV195" s="36"/>
      <c r="SFW195" s="36"/>
      <c r="SFX195" s="36"/>
      <c r="SFY195" s="36"/>
      <c r="SFZ195" s="36"/>
      <c r="SGA195" s="36"/>
      <c r="SGB195" s="36"/>
      <c r="SGC195" s="36"/>
      <c r="SGD195" s="36"/>
      <c r="SGE195" s="36"/>
      <c r="SGF195" s="36"/>
      <c r="SGG195" s="36"/>
      <c r="SGH195" s="36"/>
      <c r="SGI195" s="36"/>
      <c r="SGJ195" s="36"/>
      <c r="SGK195" s="36"/>
      <c r="SGL195" s="36"/>
      <c r="SGM195" s="36"/>
      <c r="SGN195" s="36"/>
      <c r="SGO195" s="36"/>
      <c r="SGP195" s="36"/>
      <c r="SGQ195" s="36"/>
      <c r="SGR195" s="36"/>
      <c r="SGS195" s="36"/>
      <c r="SGT195" s="36"/>
      <c r="SGU195" s="36"/>
      <c r="SGV195" s="36"/>
      <c r="SGW195" s="36"/>
      <c r="SGX195" s="36"/>
      <c r="SGY195" s="36"/>
      <c r="SGZ195" s="36"/>
      <c r="SHA195" s="36"/>
      <c r="SHB195" s="36"/>
      <c r="SHC195" s="36"/>
      <c r="SHD195" s="36"/>
      <c r="SHE195" s="36"/>
      <c r="SHF195" s="36"/>
      <c r="SHG195" s="36"/>
      <c r="SHH195" s="36"/>
      <c r="SHI195" s="36"/>
      <c r="SHJ195" s="36"/>
      <c r="SHK195" s="36"/>
      <c r="SHL195" s="36"/>
      <c r="SHM195" s="36"/>
      <c r="SHN195" s="36"/>
      <c r="SHO195" s="36"/>
      <c r="SHP195" s="36"/>
      <c r="SHQ195" s="36"/>
      <c r="SHR195" s="36"/>
      <c r="SHS195" s="36"/>
      <c r="SHT195" s="36"/>
      <c r="SHU195" s="36"/>
      <c r="SHV195" s="36"/>
      <c r="SHW195" s="36"/>
      <c r="SHX195" s="36"/>
      <c r="SHY195" s="36"/>
      <c r="SHZ195" s="36"/>
      <c r="SIA195" s="36"/>
      <c r="SIB195" s="36"/>
      <c r="SIC195" s="36"/>
      <c r="SID195" s="36"/>
      <c r="SIE195" s="36"/>
      <c r="SIF195" s="36"/>
      <c r="SIG195" s="36"/>
      <c r="SIH195" s="36"/>
      <c r="SII195" s="36"/>
      <c r="SIJ195" s="36"/>
      <c r="SIK195" s="36"/>
      <c r="SIL195" s="36"/>
      <c r="SIM195" s="36"/>
      <c r="SIN195" s="36"/>
      <c r="SIO195" s="36"/>
      <c r="SIP195" s="36"/>
      <c r="SIQ195" s="36"/>
      <c r="SIR195" s="36"/>
      <c r="SIS195" s="36"/>
      <c r="SIT195" s="36"/>
      <c r="SIU195" s="36"/>
      <c r="SIV195" s="36"/>
      <c r="SIW195" s="36"/>
      <c r="SIX195" s="36"/>
      <c r="SIY195" s="36"/>
      <c r="SIZ195" s="36"/>
      <c r="SJA195" s="36"/>
      <c r="SJB195" s="36"/>
      <c r="SJC195" s="36"/>
      <c r="SJD195" s="36"/>
      <c r="SJE195" s="36"/>
      <c r="SJF195" s="36"/>
      <c r="SJG195" s="36"/>
      <c r="SJH195" s="36"/>
      <c r="SJI195" s="36"/>
      <c r="SJJ195" s="36"/>
      <c r="SJK195" s="36"/>
      <c r="SJL195" s="36"/>
      <c r="SJM195" s="36"/>
      <c r="SJN195" s="36"/>
      <c r="SJO195" s="36"/>
      <c r="SJP195" s="36"/>
      <c r="SJQ195" s="36"/>
      <c r="SJR195" s="36"/>
      <c r="SJS195" s="36"/>
      <c r="SJT195" s="36"/>
      <c r="SJU195" s="36"/>
      <c r="SJV195" s="36"/>
      <c r="SJW195" s="36"/>
      <c r="SJX195" s="36"/>
      <c r="SJY195" s="36"/>
      <c r="SJZ195" s="36"/>
      <c r="SKA195" s="36"/>
      <c r="SKB195" s="36"/>
      <c r="SKC195" s="36"/>
      <c r="SKD195" s="36"/>
      <c r="SKE195" s="36"/>
      <c r="SKF195" s="36"/>
      <c r="SKG195" s="36"/>
      <c r="SKH195" s="36"/>
      <c r="SKI195" s="36"/>
      <c r="SKJ195" s="36"/>
      <c r="SKK195" s="36"/>
      <c r="SKL195" s="36"/>
      <c r="SKM195" s="36"/>
      <c r="SKN195" s="36"/>
      <c r="SKO195" s="36"/>
      <c r="SKP195" s="36"/>
      <c r="SKQ195" s="36"/>
      <c r="SKR195" s="36"/>
      <c r="SKS195" s="36"/>
      <c r="SKT195" s="36"/>
      <c r="SKU195" s="36"/>
      <c r="SKV195" s="36"/>
      <c r="SKW195" s="36"/>
      <c r="SKX195" s="36"/>
      <c r="SKY195" s="36"/>
      <c r="SKZ195" s="36"/>
      <c r="SLA195" s="36"/>
      <c r="SLB195" s="36"/>
      <c r="SLC195" s="36"/>
      <c r="SLD195" s="36"/>
      <c r="SLE195" s="36"/>
      <c r="SLF195" s="36"/>
      <c r="SLG195" s="36"/>
      <c r="SLH195" s="36"/>
      <c r="SLI195" s="36"/>
      <c r="SLJ195" s="36"/>
      <c r="SLK195" s="36"/>
      <c r="SLL195" s="36"/>
      <c r="SLM195" s="36"/>
      <c r="SLN195" s="36"/>
      <c r="SLO195" s="36"/>
      <c r="SLP195" s="36"/>
      <c r="SLQ195" s="36"/>
      <c r="SLR195" s="36"/>
      <c r="SLS195" s="36"/>
      <c r="SLT195" s="36"/>
      <c r="SLU195" s="36"/>
      <c r="SLV195" s="36"/>
      <c r="SLW195" s="36"/>
      <c r="SLX195" s="36"/>
      <c r="SLY195" s="36"/>
      <c r="SLZ195" s="36"/>
      <c r="SMA195" s="36"/>
      <c r="SMB195" s="36"/>
      <c r="SMC195" s="36"/>
      <c r="SMD195" s="36"/>
      <c r="SME195" s="36"/>
      <c r="SMF195" s="36"/>
      <c r="SMG195" s="36"/>
      <c r="SMH195" s="36"/>
      <c r="SMI195" s="36"/>
      <c r="SMJ195" s="36"/>
      <c r="SMK195" s="36"/>
      <c r="SML195" s="36"/>
      <c r="SMM195" s="36"/>
      <c r="SMN195" s="36"/>
      <c r="SMO195" s="36"/>
      <c r="SMP195" s="36"/>
      <c r="SMQ195" s="36"/>
      <c r="SMR195" s="36"/>
      <c r="SMS195" s="36"/>
      <c r="SMT195" s="36"/>
      <c r="SMU195" s="36"/>
      <c r="SMV195" s="36"/>
      <c r="SMW195" s="36"/>
      <c r="SMX195" s="36"/>
      <c r="SMY195" s="36"/>
      <c r="SMZ195" s="36"/>
      <c r="SNA195" s="36"/>
      <c r="SNB195" s="36"/>
      <c r="SNC195" s="36"/>
      <c r="SND195" s="36"/>
      <c r="SNE195" s="36"/>
      <c r="SNF195" s="36"/>
      <c r="SNG195" s="36"/>
      <c r="SNH195" s="36"/>
      <c r="SNI195" s="36"/>
      <c r="SNJ195" s="36"/>
      <c r="SNK195" s="36"/>
      <c r="SNL195" s="36"/>
      <c r="SNM195" s="36"/>
      <c r="SNN195" s="36"/>
      <c r="SNO195" s="36"/>
      <c r="SNP195" s="36"/>
      <c r="SNQ195" s="36"/>
      <c r="SNR195" s="36"/>
      <c r="SNS195" s="36"/>
      <c r="SNT195" s="36"/>
      <c r="SNU195" s="36"/>
      <c r="SNV195" s="36"/>
      <c r="SNW195" s="36"/>
      <c r="SNX195" s="36"/>
      <c r="SNY195" s="36"/>
      <c r="SNZ195" s="36"/>
      <c r="SOA195" s="36"/>
      <c r="SOB195" s="36"/>
      <c r="SOC195" s="36"/>
      <c r="SOD195" s="36"/>
      <c r="SOE195" s="36"/>
      <c r="SOF195" s="36"/>
      <c r="SOG195" s="36"/>
      <c r="SOH195" s="36"/>
      <c r="SOI195" s="36"/>
      <c r="SOJ195" s="36"/>
      <c r="SOK195" s="36"/>
      <c r="SOL195" s="36"/>
      <c r="SOM195" s="36"/>
      <c r="SON195" s="36"/>
      <c r="SOO195" s="36"/>
      <c r="SOP195" s="36"/>
      <c r="SOQ195" s="36"/>
      <c r="SOR195" s="36"/>
      <c r="SOS195" s="36"/>
      <c r="SOT195" s="36"/>
      <c r="SOU195" s="36"/>
      <c r="SOV195" s="36"/>
      <c r="SOW195" s="36"/>
      <c r="SOX195" s="36"/>
      <c r="SOY195" s="36"/>
      <c r="SOZ195" s="36"/>
      <c r="SPA195" s="36"/>
      <c r="SPB195" s="36"/>
      <c r="SPC195" s="36"/>
      <c r="SPD195" s="36"/>
      <c r="SPE195" s="36"/>
      <c r="SPF195" s="36"/>
      <c r="SPG195" s="36"/>
      <c r="SPH195" s="36"/>
      <c r="SPI195" s="36"/>
      <c r="SPJ195" s="36"/>
      <c r="SPK195" s="36"/>
      <c r="SPL195" s="36"/>
      <c r="SPM195" s="36"/>
      <c r="SPN195" s="36"/>
      <c r="SPO195" s="36"/>
      <c r="SPP195" s="36"/>
      <c r="SPQ195" s="36"/>
      <c r="SPR195" s="36"/>
      <c r="SPS195" s="36"/>
      <c r="SPT195" s="36"/>
      <c r="SPU195" s="36"/>
      <c r="SPV195" s="36"/>
      <c r="SPW195" s="36"/>
      <c r="SPX195" s="36"/>
      <c r="SPY195" s="36"/>
      <c r="SPZ195" s="36"/>
      <c r="SQA195" s="36"/>
      <c r="SQB195" s="36"/>
      <c r="SQC195" s="36"/>
      <c r="SQD195" s="36"/>
      <c r="SQE195" s="36"/>
      <c r="SQF195" s="36"/>
      <c r="SQG195" s="36"/>
      <c r="SQH195" s="36"/>
      <c r="SQI195" s="36"/>
      <c r="SQJ195" s="36"/>
      <c r="SQK195" s="36"/>
      <c r="SQL195" s="36"/>
      <c r="SQM195" s="36"/>
      <c r="SQN195" s="36"/>
      <c r="SQO195" s="36"/>
      <c r="SQP195" s="36"/>
      <c r="SQQ195" s="36"/>
      <c r="SQR195" s="36"/>
      <c r="SQS195" s="36"/>
      <c r="SQT195" s="36"/>
      <c r="SQU195" s="36"/>
      <c r="SQV195" s="36"/>
      <c r="SQW195" s="36"/>
      <c r="SQX195" s="36"/>
      <c r="SQY195" s="36"/>
      <c r="SQZ195" s="36"/>
      <c r="SRA195" s="36"/>
      <c r="SRB195" s="36"/>
      <c r="SRC195" s="36"/>
      <c r="SRD195" s="36"/>
      <c r="SRE195" s="36"/>
      <c r="SRF195" s="36"/>
      <c r="SRG195" s="36"/>
      <c r="SRH195" s="36"/>
      <c r="SRI195" s="36"/>
      <c r="SRJ195" s="36"/>
      <c r="SRK195" s="36"/>
      <c r="SRL195" s="36"/>
      <c r="SRM195" s="36"/>
      <c r="SRN195" s="36"/>
      <c r="SRO195" s="36"/>
      <c r="SRP195" s="36"/>
      <c r="SRQ195" s="36"/>
      <c r="SRR195" s="36"/>
      <c r="SRS195" s="36"/>
      <c r="SRT195" s="36"/>
      <c r="SRU195" s="36"/>
      <c r="SRV195" s="36"/>
      <c r="SRW195" s="36"/>
      <c r="SRX195" s="36"/>
      <c r="SRY195" s="36"/>
      <c r="SRZ195" s="36"/>
      <c r="SSA195" s="36"/>
      <c r="SSB195" s="36"/>
      <c r="SSC195" s="36"/>
      <c r="SSD195" s="36"/>
      <c r="SSE195" s="36"/>
      <c r="SSF195" s="36"/>
      <c r="SSG195" s="36"/>
      <c r="SSH195" s="36"/>
      <c r="SSI195" s="36"/>
      <c r="SSJ195" s="36"/>
      <c r="SSK195" s="36"/>
      <c r="SSL195" s="36"/>
      <c r="SSM195" s="36"/>
      <c r="SSN195" s="36"/>
      <c r="SSO195" s="36"/>
      <c r="SSP195" s="36"/>
      <c r="SSQ195" s="36"/>
      <c r="SSR195" s="36"/>
      <c r="SSS195" s="36"/>
      <c r="SST195" s="36"/>
      <c r="SSU195" s="36"/>
      <c r="SSV195" s="36"/>
      <c r="SSW195" s="36"/>
      <c r="SSX195" s="36"/>
      <c r="SSY195" s="36"/>
      <c r="SSZ195" s="36"/>
      <c r="STA195" s="36"/>
      <c r="STB195" s="36"/>
      <c r="STC195" s="36"/>
      <c r="STD195" s="36"/>
      <c r="STE195" s="36"/>
      <c r="STF195" s="36"/>
      <c r="STG195" s="36"/>
      <c r="STH195" s="36"/>
      <c r="STI195" s="36"/>
      <c r="STJ195" s="36"/>
      <c r="STK195" s="36"/>
      <c r="STL195" s="36"/>
      <c r="STM195" s="36"/>
      <c r="STN195" s="36"/>
      <c r="STO195" s="36"/>
      <c r="STP195" s="36"/>
      <c r="STQ195" s="36"/>
      <c r="STR195" s="36"/>
      <c r="STS195" s="36"/>
      <c r="STT195" s="36"/>
      <c r="STU195" s="36"/>
      <c r="STV195" s="36"/>
      <c r="STW195" s="36"/>
      <c r="STX195" s="36"/>
      <c r="STY195" s="36"/>
      <c r="STZ195" s="36"/>
      <c r="SUA195" s="36"/>
      <c r="SUB195" s="36"/>
      <c r="SUC195" s="36"/>
      <c r="SUD195" s="36"/>
      <c r="SUE195" s="36"/>
      <c r="SUF195" s="36"/>
      <c r="SUG195" s="36"/>
      <c r="SUH195" s="36"/>
      <c r="SUI195" s="36"/>
      <c r="SUJ195" s="36"/>
      <c r="SUK195" s="36"/>
      <c r="SUL195" s="36"/>
      <c r="SUM195" s="36"/>
      <c r="SUN195" s="36"/>
      <c r="SUO195" s="36"/>
      <c r="SUP195" s="36"/>
      <c r="SUQ195" s="36"/>
      <c r="SUR195" s="36"/>
      <c r="SUS195" s="36"/>
      <c r="SUT195" s="36"/>
      <c r="SUU195" s="36"/>
      <c r="SUV195" s="36"/>
      <c r="SUW195" s="36"/>
      <c r="SUX195" s="36"/>
      <c r="SUY195" s="36"/>
      <c r="SUZ195" s="36"/>
      <c r="SVA195" s="36"/>
      <c r="SVB195" s="36"/>
      <c r="SVC195" s="36"/>
      <c r="SVD195" s="36"/>
      <c r="SVE195" s="36"/>
      <c r="SVF195" s="36"/>
      <c r="SVG195" s="36"/>
      <c r="SVH195" s="36"/>
      <c r="SVI195" s="36"/>
      <c r="SVJ195" s="36"/>
      <c r="SVK195" s="36"/>
      <c r="SVL195" s="36"/>
      <c r="SVM195" s="36"/>
      <c r="SVN195" s="36"/>
      <c r="SVO195" s="36"/>
      <c r="SVP195" s="36"/>
      <c r="SVQ195" s="36"/>
      <c r="SVR195" s="36"/>
      <c r="SVS195" s="36"/>
      <c r="SVT195" s="36"/>
      <c r="SVU195" s="36"/>
      <c r="SVV195" s="36"/>
      <c r="SVW195" s="36"/>
      <c r="SVX195" s="36"/>
      <c r="SVY195" s="36"/>
      <c r="SVZ195" s="36"/>
      <c r="SWA195" s="36"/>
      <c r="SWB195" s="36"/>
      <c r="SWC195" s="36"/>
      <c r="SWD195" s="36"/>
      <c r="SWE195" s="36"/>
      <c r="SWF195" s="36"/>
      <c r="SWG195" s="36"/>
      <c r="SWH195" s="36"/>
      <c r="SWI195" s="36"/>
      <c r="SWJ195" s="36"/>
      <c r="SWK195" s="36"/>
      <c r="SWL195" s="36"/>
      <c r="SWM195" s="36"/>
      <c r="SWN195" s="36"/>
      <c r="SWO195" s="36"/>
      <c r="SWP195" s="36"/>
      <c r="SWQ195" s="36"/>
      <c r="SWR195" s="36"/>
      <c r="SWS195" s="36"/>
      <c r="SWT195" s="36"/>
      <c r="SWU195" s="36"/>
      <c r="SWV195" s="36"/>
      <c r="SWW195" s="36"/>
      <c r="SWX195" s="36"/>
      <c r="SWY195" s="36"/>
      <c r="SWZ195" s="36"/>
      <c r="SXA195" s="36"/>
      <c r="SXB195" s="36"/>
      <c r="SXC195" s="36"/>
      <c r="SXD195" s="36"/>
      <c r="SXE195" s="36"/>
      <c r="SXF195" s="36"/>
      <c r="SXG195" s="36"/>
      <c r="SXH195" s="36"/>
      <c r="SXI195" s="36"/>
      <c r="SXJ195" s="36"/>
      <c r="SXK195" s="36"/>
      <c r="SXL195" s="36"/>
      <c r="SXM195" s="36"/>
      <c r="SXN195" s="36"/>
      <c r="SXO195" s="36"/>
      <c r="SXP195" s="36"/>
      <c r="SXQ195" s="36"/>
      <c r="SXR195" s="36"/>
      <c r="SXS195" s="36"/>
      <c r="SXT195" s="36"/>
      <c r="SXU195" s="36"/>
      <c r="SXV195" s="36"/>
      <c r="SXW195" s="36"/>
      <c r="SXX195" s="36"/>
      <c r="SXY195" s="36"/>
      <c r="SXZ195" s="36"/>
      <c r="SYA195" s="36"/>
      <c r="SYB195" s="36"/>
      <c r="SYC195" s="36"/>
      <c r="SYD195" s="36"/>
      <c r="SYE195" s="36"/>
      <c r="SYF195" s="36"/>
      <c r="SYG195" s="36"/>
      <c r="SYH195" s="36"/>
      <c r="SYI195" s="36"/>
      <c r="SYJ195" s="36"/>
      <c r="SYK195" s="36"/>
      <c r="SYL195" s="36"/>
      <c r="SYM195" s="36"/>
      <c r="SYN195" s="36"/>
      <c r="SYO195" s="36"/>
      <c r="SYP195" s="36"/>
      <c r="SYQ195" s="36"/>
      <c r="SYR195" s="36"/>
      <c r="SYS195" s="36"/>
      <c r="SYT195" s="36"/>
      <c r="SYU195" s="36"/>
      <c r="SYV195" s="36"/>
      <c r="SYW195" s="36"/>
      <c r="SYX195" s="36"/>
      <c r="SYY195" s="36"/>
      <c r="SYZ195" s="36"/>
      <c r="SZA195" s="36"/>
      <c r="SZB195" s="36"/>
      <c r="SZC195" s="36"/>
      <c r="SZD195" s="36"/>
      <c r="SZE195" s="36"/>
      <c r="SZF195" s="36"/>
      <c r="SZG195" s="36"/>
      <c r="SZH195" s="36"/>
      <c r="SZI195" s="36"/>
      <c r="SZJ195" s="36"/>
      <c r="SZK195" s="36"/>
      <c r="SZL195" s="36"/>
      <c r="SZM195" s="36"/>
      <c r="SZN195" s="36"/>
      <c r="SZO195" s="36"/>
      <c r="SZP195" s="36"/>
      <c r="SZQ195" s="36"/>
      <c r="SZR195" s="36"/>
      <c r="SZS195" s="36"/>
      <c r="SZT195" s="36"/>
      <c r="SZU195" s="36"/>
      <c r="SZV195" s="36"/>
      <c r="SZW195" s="36"/>
      <c r="SZX195" s="36"/>
      <c r="SZY195" s="36"/>
      <c r="SZZ195" s="36"/>
      <c r="TAA195" s="36"/>
      <c r="TAB195" s="36"/>
      <c r="TAC195" s="36"/>
      <c r="TAD195" s="36"/>
      <c r="TAE195" s="36"/>
      <c r="TAF195" s="36"/>
      <c r="TAG195" s="36"/>
      <c r="TAH195" s="36"/>
      <c r="TAI195" s="36"/>
      <c r="TAJ195" s="36"/>
      <c r="TAK195" s="36"/>
      <c r="TAL195" s="36"/>
      <c r="TAM195" s="36"/>
      <c r="TAN195" s="36"/>
      <c r="TAO195" s="36"/>
      <c r="TAP195" s="36"/>
      <c r="TAQ195" s="36"/>
      <c r="TAR195" s="36"/>
      <c r="TAS195" s="36"/>
      <c r="TAT195" s="36"/>
      <c r="TAU195" s="36"/>
      <c r="TAV195" s="36"/>
      <c r="TAW195" s="36"/>
      <c r="TAX195" s="36"/>
      <c r="TAY195" s="36"/>
      <c r="TAZ195" s="36"/>
      <c r="TBA195" s="36"/>
      <c r="TBB195" s="36"/>
      <c r="TBC195" s="36"/>
      <c r="TBD195" s="36"/>
      <c r="TBE195" s="36"/>
      <c r="TBF195" s="36"/>
      <c r="TBG195" s="36"/>
      <c r="TBH195" s="36"/>
      <c r="TBI195" s="36"/>
      <c r="TBJ195" s="36"/>
      <c r="TBK195" s="36"/>
      <c r="TBL195" s="36"/>
      <c r="TBM195" s="36"/>
      <c r="TBN195" s="36"/>
      <c r="TBO195" s="36"/>
      <c r="TBP195" s="36"/>
      <c r="TBQ195" s="36"/>
      <c r="TBR195" s="36"/>
      <c r="TBS195" s="36"/>
      <c r="TBT195" s="36"/>
      <c r="TBU195" s="36"/>
      <c r="TBV195" s="36"/>
      <c r="TBW195" s="36"/>
      <c r="TBX195" s="36"/>
      <c r="TBY195" s="36"/>
      <c r="TBZ195" s="36"/>
      <c r="TCA195" s="36"/>
      <c r="TCB195" s="36"/>
      <c r="TCC195" s="36"/>
      <c r="TCD195" s="36"/>
      <c r="TCE195" s="36"/>
      <c r="TCF195" s="36"/>
      <c r="TCG195" s="36"/>
      <c r="TCH195" s="36"/>
      <c r="TCI195" s="36"/>
      <c r="TCJ195" s="36"/>
      <c r="TCK195" s="36"/>
      <c r="TCL195" s="36"/>
      <c r="TCM195" s="36"/>
      <c r="TCN195" s="36"/>
      <c r="TCO195" s="36"/>
      <c r="TCP195" s="36"/>
      <c r="TCQ195" s="36"/>
      <c r="TCR195" s="36"/>
      <c r="TCS195" s="36"/>
      <c r="TCT195" s="36"/>
      <c r="TCU195" s="36"/>
      <c r="TCV195" s="36"/>
      <c r="TCW195" s="36"/>
      <c r="TCX195" s="36"/>
      <c r="TCY195" s="36"/>
      <c r="TCZ195" s="36"/>
      <c r="TDA195" s="36"/>
      <c r="TDB195" s="36"/>
      <c r="TDC195" s="36"/>
      <c r="TDD195" s="36"/>
      <c r="TDE195" s="36"/>
      <c r="TDF195" s="36"/>
      <c r="TDG195" s="36"/>
      <c r="TDH195" s="36"/>
      <c r="TDI195" s="36"/>
      <c r="TDJ195" s="36"/>
      <c r="TDK195" s="36"/>
      <c r="TDL195" s="36"/>
      <c r="TDM195" s="36"/>
      <c r="TDN195" s="36"/>
      <c r="TDO195" s="36"/>
      <c r="TDP195" s="36"/>
      <c r="TDQ195" s="36"/>
      <c r="TDR195" s="36"/>
      <c r="TDS195" s="36"/>
      <c r="TDT195" s="36"/>
      <c r="TDU195" s="36"/>
      <c r="TDV195" s="36"/>
      <c r="TDW195" s="36"/>
      <c r="TDX195" s="36"/>
      <c r="TDY195" s="36"/>
      <c r="TDZ195" s="36"/>
      <c r="TEA195" s="36"/>
      <c r="TEB195" s="36"/>
      <c r="TEC195" s="36"/>
      <c r="TED195" s="36"/>
      <c r="TEE195" s="36"/>
      <c r="TEF195" s="36"/>
      <c r="TEG195" s="36"/>
      <c r="TEH195" s="36"/>
      <c r="TEI195" s="36"/>
      <c r="TEJ195" s="36"/>
      <c r="TEK195" s="36"/>
      <c r="TEL195" s="36"/>
      <c r="TEM195" s="36"/>
      <c r="TEN195" s="36"/>
      <c r="TEO195" s="36"/>
      <c r="TEP195" s="36"/>
      <c r="TEQ195" s="36"/>
      <c r="TER195" s="36"/>
      <c r="TES195" s="36"/>
      <c r="TET195" s="36"/>
      <c r="TEU195" s="36"/>
      <c r="TEV195" s="36"/>
      <c r="TEW195" s="36"/>
      <c r="TEX195" s="36"/>
      <c r="TEY195" s="36"/>
      <c r="TEZ195" s="36"/>
      <c r="TFA195" s="36"/>
      <c r="TFB195" s="36"/>
      <c r="TFC195" s="36"/>
      <c r="TFD195" s="36"/>
      <c r="TFE195" s="36"/>
      <c r="TFF195" s="36"/>
      <c r="TFG195" s="36"/>
      <c r="TFH195" s="36"/>
      <c r="TFI195" s="36"/>
      <c r="TFJ195" s="36"/>
      <c r="TFK195" s="36"/>
      <c r="TFL195" s="36"/>
      <c r="TFM195" s="36"/>
      <c r="TFN195" s="36"/>
      <c r="TFO195" s="36"/>
      <c r="TFP195" s="36"/>
      <c r="TFQ195" s="36"/>
      <c r="TFR195" s="36"/>
      <c r="TFS195" s="36"/>
      <c r="TFT195" s="36"/>
      <c r="TFU195" s="36"/>
      <c r="TFV195" s="36"/>
      <c r="TFW195" s="36"/>
      <c r="TFX195" s="36"/>
      <c r="TFY195" s="36"/>
      <c r="TFZ195" s="36"/>
      <c r="TGA195" s="36"/>
      <c r="TGB195" s="36"/>
      <c r="TGC195" s="36"/>
      <c r="TGD195" s="36"/>
      <c r="TGE195" s="36"/>
      <c r="TGF195" s="36"/>
      <c r="TGG195" s="36"/>
      <c r="TGH195" s="36"/>
      <c r="TGI195" s="36"/>
      <c r="TGJ195" s="36"/>
      <c r="TGK195" s="36"/>
      <c r="TGL195" s="36"/>
      <c r="TGM195" s="36"/>
      <c r="TGN195" s="36"/>
      <c r="TGO195" s="36"/>
      <c r="TGP195" s="36"/>
      <c r="TGQ195" s="36"/>
      <c r="TGR195" s="36"/>
      <c r="TGS195" s="36"/>
      <c r="TGT195" s="36"/>
      <c r="TGU195" s="36"/>
      <c r="TGV195" s="36"/>
      <c r="TGW195" s="36"/>
      <c r="TGX195" s="36"/>
      <c r="TGY195" s="36"/>
      <c r="TGZ195" s="36"/>
      <c r="THA195" s="36"/>
      <c r="THB195" s="36"/>
      <c r="THC195" s="36"/>
      <c r="THD195" s="36"/>
      <c r="THE195" s="36"/>
      <c r="THF195" s="36"/>
      <c r="THG195" s="36"/>
      <c r="THH195" s="36"/>
      <c r="THI195" s="36"/>
      <c r="THJ195" s="36"/>
      <c r="THK195" s="36"/>
      <c r="THL195" s="36"/>
      <c r="THM195" s="36"/>
      <c r="THN195" s="36"/>
      <c r="THO195" s="36"/>
      <c r="THP195" s="36"/>
      <c r="THQ195" s="36"/>
      <c r="THR195" s="36"/>
      <c r="THS195" s="36"/>
      <c r="THT195" s="36"/>
      <c r="THU195" s="36"/>
      <c r="THV195" s="36"/>
      <c r="THW195" s="36"/>
      <c r="THX195" s="36"/>
      <c r="THY195" s="36"/>
      <c r="THZ195" s="36"/>
      <c r="TIA195" s="36"/>
      <c r="TIB195" s="36"/>
      <c r="TIC195" s="36"/>
      <c r="TID195" s="36"/>
      <c r="TIE195" s="36"/>
      <c r="TIF195" s="36"/>
      <c r="TIG195" s="36"/>
      <c r="TIH195" s="36"/>
      <c r="TII195" s="36"/>
      <c r="TIJ195" s="36"/>
      <c r="TIK195" s="36"/>
      <c r="TIL195" s="36"/>
      <c r="TIM195" s="36"/>
      <c r="TIN195" s="36"/>
      <c r="TIO195" s="36"/>
      <c r="TIP195" s="36"/>
      <c r="TIQ195" s="36"/>
      <c r="TIR195" s="36"/>
      <c r="TIS195" s="36"/>
      <c r="TIT195" s="36"/>
      <c r="TIU195" s="36"/>
      <c r="TIV195" s="36"/>
      <c r="TIW195" s="36"/>
      <c r="TIX195" s="36"/>
      <c r="TIY195" s="36"/>
      <c r="TIZ195" s="36"/>
      <c r="TJA195" s="36"/>
      <c r="TJB195" s="36"/>
      <c r="TJC195" s="36"/>
      <c r="TJD195" s="36"/>
      <c r="TJE195" s="36"/>
      <c r="TJF195" s="36"/>
      <c r="TJG195" s="36"/>
      <c r="TJH195" s="36"/>
      <c r="TJI195" s="36"/>
      <c r="TJJ195" s="36"/>
      <c r="TJK195" s="36"/>
      <c r="TJL195" s="36"/>
      <c r="TJM195" s="36"/>
      <c r="TJN195" s="36"/>
      <c r="TJO195" s="36"/>
      <c r="TJP195" s="36"/>
      <c r="TJQ195" s="36"/>
      <c r="TJR195" s="36"/>
      <c r="TJS195" s="36"/>
      <c r="TJT195" s="36"/>
      <c r="TJU195" s="36"/>
      <c r="TJV195" s="36"/>
      <c r="TJW195" s="36"/>
      <c r="TJX195" s="36"/>
      <c r="TJY195" s="36"/>
      <c r="TJZ195" s="36"/>
      <c r="TKA195" s="36"/>
      <c r="TKB195" s="36"/>
      <c r="TKC195" s="36"/>
      <c r="TKD195" s="36"/>
      <c r="TKE195" s="36"/>
      <c r="TKF195" s="36"/>
      <c r="TKG195" s="36"/>
      <c r="TKH195" s="36"/>
      <c r="TKI195" s="36"/>
      <c r="TKJ195" s="36"/>
      <c r="TKK195" s="36"/>
      <c r="TKL195" s="36"/>
      <c r="TKM195" s="36"/>
      <c r="TKN195" s="36"/>
      <c r="TKO195" s="36"/>
      <c r="TKP195" s="36"/>
      <c r="TKQ195" s="36"/>
      <c r="TKR195" s="36"/>
      <c r="TKS195" s="36"/>
      <c r="TKT195" s="36"/>
      <c r="TKU195" s="36"/>
      <c r="TKV195" s="36"/>
      <c r="TKW195" s="36"/>
      <c r="TKX195" s="36"/>
      <c r="TKY195" s="36"/>
      <c r="TKZ195" s="36"/>
      <c r="TLA195" s="36"/>
      <c r="TLB195" s="36"/>
      <c r="TLC195" s="36"/>
      <c r="TLD195" s="36"/>
      <c r="TLE195" s="36"/>
      <c r="TLF195" s="36"/>
      <c r="TLG195" s="36"/>
      <c r="TLH195" s="36"/>
      <c r="TLI195" s="36"/>
      <c r="TLJ195" s="36"/>
      <c r="TLK195" s="36"/>
      <c r="TLL195" s="36"/>
      <c r="TLM195" s="36"/>
      <c r="TLN195" s="36"/>
      <c r="TLO195" s="36"/>
      <c r="TLP195" s="36"/>
      <c r="TLQ195" s="36"/>
      <c r="TLR195" s="36"/>
      <c r="TLS195" s="36"/>
      <c r="TLT195" s="36"/>
      <c r="TLU195" s="36"/>
      <c r="TLV195" s="36"/>
      <c r="TLW195" s="36"/>
      <c r="TLX195" s="36"/>
      <c r="TLY195" s="36"/>
      <c r="TLZ195" s="36"/>
      <c r="TMA195" s="36"/>
      <c r="TMB195" s="36"/>
      <c r="TMC195" s="36"/>
      <c r="TMD195" s="36"/>
      <c r="TME195" s="36"/>
      <c r="TMF195" s="36"/>
      <c r="TMG195" s="36"/>
      <c r="TMH195" s="36"/>
      <c r="TMI195" s="36"/>
      <c r="TMJ195" s="36"/>
      <c r="TMK195" s="36"/>
      <c r="TML195" s="36"/>
      <c r="TMM195" s="36"/>
      <c r="TMN195" s="36"/>
      <c r="TMO195" s="36"/>
      <c r="TMP195" s="36"/>
      <c r="TMQ195" s="36"/>
      <c r="TMR195" s="36"/>
      <c r="TMS195" s="36"/>
      <c r="TMT195" s="36"/>
      <c r="TMU195" s="36"/>
      <c r="TMV195" s="36"/>
      <c r="TMW195" s="36"/>
      <c r="TMX195" s="36"/>
      <c r="TMY195" s="36"/>
      <c r="TMZ195" s="36"/>
      <c r="TNA195" s="36"/>
      <c r="TNB195" s="36"/>
      <c r="TNC195" s="36"/>
      <c r="TND195" s="36"/>
      <c r="TNE195" s="36"/>
      <c r="TNF195" s="36"/>
      <c r="TNG195" s="36"/>
      <c r="TNH195" s="36"/>
      <c r="TNI195" s="36"/>
      <c r="TNJ195" s="36"/>
      <c r="TNK195" s="36"/>
      <c r="TNL195" s="36"/>
      <c r="TNM195" s="36"/>
      <c r="TNN195" s="36"/>
      <c r="TNO195" s="36"/>
      <c r="TNP195" s="36"/>
      <c r="TNQ195" s="36"/>
      <c r="TNR195" s="36"/>
      <c r="TNS195" s="36"/>
      <c r="TNT195" s="36"/>
      <c r="TNU195" s="36"/>
      <c r="TNV195" s="36"/>
      <c r="TNW195" s="36"/>
      <c r="TNX195" s="36"/>
      <c r="TNY195" s="36"/>
      <c r="TNZ195" s="36"/>
      <c r="TOA195" s="36"/>
      <c r="TOB195" s="36"/>
      <c r="TOC195" s="36"/>
      <c r="TOD195" s="36"/>
      <c r="TOE195" s="36"/>
      <c r="TOF195" s="36"/>
      <c r="TOG195" s="36"/>
      <c r="TOH195" s="36"/>
      <c r="TOI195" s="36"/>
      <c r="TOJ195" s="36"/>
      <c r="TOK195" s="36"/>
      <c r="TOL195" s="36"/>
      <c r="TOM195" s="36"/>
      <c r="TON195" s="36"/>
      <c r="TOO195" s="36"/>
      <c r="TOP195" s="36"/>
      <c r="TOQ195" s="36"/>
      <c r="TOR195" s="36"/>
      <c r="TOS195" s="36"/>
      <c r="TOT195" s="36"/>
      <c r="TOU195" s="36"/>
      <c r="TOV195" s="36"/>
      <c r="TOW195" s="36"/>
      <c r="TOX195" s="36"/>
      <c r="TOY195" s="36"/>
      <c r="TOZ195" s="36"/>
      <c r="TPA195" s="36"/>
      <c r="TPB195" s="36"/>
      <c r="TPC195" s="36"/>
      <c r="TPD195" s="36"/>
      <c r="TPE195" s="36"/>
      <c r="TPF195" s="36"/>
      <c r="TPG195" s="36"/>
      <c r="TPH195" s="36"/>
      <c r="TPI195" s="36"/>
      <c r="TPJ195" s="36"/>
      <c r="TPK195" s="36"/>
      <c r="TPL195" s="36"/>
      <c r="TPM195" s="36"/>
      <c r="TPN195" s="36"/>
      <c r="TPO195" s="36"/>
      <c r="TPP195" s="36"/>
      <c r="TPQ195" s="36"/>
      <c r="TPR195" s="36"/>
      <c r="TPS195" s="36"/>
      <c r="TPT195" s="36"/>
      <c r="TPU195" s="36"/>
      <c r="TPV195" s="36"/>
      <c r="TPW195" s="36"/>
      <c r="TPX195" s="36"/>
      <c r="TPY195" s="36"/>
      <c r="TPZ195" s="36"/>
      <c r="TQA195" s="36"/>
      <c r="TQB195" s="36"/>
      <c r="TQC195" s="36"/>
      <c r="TQD195" s="36"/>
      <c r="TQE195" s="36"/>
      <c r="TQF195" s="36"/>
      <c r="TQG195" s="36"/>
      <c r="TQH195" s="36"/>
      <c r="TQI195" s="36"/>
      <c r="TQJ195" s="36"/>
      <c r="TQK195" s="36"/>
      <c r="TQL195" s="36"/>
      <c r="TQM195" s="36"/>
      <c r="TQN195" s="36"/>
      <c r="TQO195" s="36"/>
      <c r="TQP195" s="36"/>
      <c r="TQQ195" s="36"/>
      <c r="TQR195" s="36"/>
      <c r="TQS195" s="36"/>
      <c r="TQT195" s="36"/>
      <c r="TQU195" s="36"/>
      <c r="TQV195" s="36"/>
      <c r="TQW195" s="36"/>
      <c r="TQX195" s="36"/>
      <c r="TQY195" s="36"/>
      <c r="TQZ195" s="36"/>
      <c r="TRA195" s="36"/>
      <c r="TRB195" s="36"/>
      <c r="TRC195" s="36"/>
      <c r="TRD195" s="36"/>
      <c r="TRE195" s="36"/>
      <c r="TRF195" s="36"/>
      <c r="TRG195" s="36"/>
      <c r="TRH195" s="36"/>
      <c r="TRI195" s="36"/>
      <c r="TRJ195" s="36"/>
      <c r="TRK195" s="36"/>
      <c r="TRL195" s="36"/>
      <c r="TRM195" s="36"/>
      <c r="TRN195" s="36"/>
      <c r="TRO195" s="36"/>
      <c r="TRP195" s="36"/>
      <c r="TRQ195" s="36"/>
      <c r="TRR195" s="36"/>
      <c r="TRS195" s="36"/>
      <c r="TRT195" s="36"/>
      <c r="TRU195" s="36"/>
      <c r="TRV195" s="36"/>
      <c r="TRW195" s="36"/>
      <c r="TRX195" s="36"/>
      <c r="TRY195" s="36"/>
      <c r="TRZ195" s="36"/>
      <c r="TSA195" s="36"/>
      <c r="TSB195" s="36"/>
      <c r="TSC195" s="36"/>
      <c r="TSD195" s="36"/>
      <c r="TSE195" s="36"/>
      <c r="TSF195" s="36"/>
      <c r="TSG195" s="36"/>
      <c r="TSH195" s="36"/>
      <c r="TSI195" s="36"/>
      <c r="TSJ195" s="36"/>
      <c r="TSK195" s="36"/>
      <c r="TSL195" s="36"/>
      <c r="TSM195" s="36"/>
      <c r="TSN195" s="36"/>
      <c r="TSO195" s="36"/>
      <c r="TSP195" s="36"/>
      <c r="TSQ195" s="36"/>
      <c r="TSR195" s="36"/>
      <c r="TSS195" s="36"/>
      <c r="TST195" s="36"/>
      <c r="TSU195" s="36"/>
      <c r="TSV195" s="36"/>
      <c r="TSW195" s="36"/>
      <c r="TSX195" s="36"/>
      <c r="TSY195" s="36"/>
      <c r="TSZ195" s="36"/>
      <c r="TTA195" s="36"/>
      <c r="TTB195" s="36"/>
      <c r="TTC195" s="36"/>
      <c r="TTD195" s="36"/>
      <c r="TTE195" s="36"/>
      <c r="TTF195" s="36"/>
      <c r="TTG195" s="36"/>
      <c r="TTH195" s="36"/>
      <c r="TTI195" s="36"/>
      <c r="TTJ195" s="36"/>
      <c r="TTK195" s="36"/>
      <c r="TTL195" s="36"/>
      <c r="TTM195" s="36"/>
      <c r="TTN195" s="36"/>
      <c r="TTO195" s="36"/>
      <c r="TTP195" s="36"/>
      <c r="TTQ195" s="36"/>
      <c r="TTR195" s="36"/>
      <c r="TTS195" s="36"/>
      <c r="TTT195" s="36"/>
      <c r="TTU195" s="36"/>
      <c r="TTV195" s="36"/>
      <c r="TTW195" s="36"/>
      <c r="TTX195" s="36"/>
      <c r="TTY195" s="36"/>
      <c r="TTZ195" s="36"/>
      <c r="TUA195" s="36"/>
      <c r="TUB195" s="36"/>
      <c r="TUC195" s="36"/>
      <c r="TUD195" s="36"/>
      <c r="TUE195" s="36"/>
      <c r="TUF195" s="36"/>
      <c r="TUG195" s="36"/>
      <c r="TUH195" s="36"/>
      <c r="TUI195" s="36"/>
      <c r="TUJ195" s="36"/>
      <c r="TUK195" s="36"/>
      <c r="TUL195" s="36"/>
      <c r="TUM195" s="36"/>
      <c r="TUN195" s="36"/>
      <c r="TUO195" s="36"/>
      <c r="TUP195" s="36"/>
      <c r="TUQ195" s="36"/>
      <c r="TUR195" s="36"/>
      <c r="TUS195" s="36"/>
      <c r="TUT195" s="36"/>
      <c r="TUU195" s="36"/>
      <c r="TUV195" s="36"/>
      <c r="TUW195" s="36"/>
      <c r="TUX195" s="36"/>
      <c r="TUY195" s="36"/>
      <c r="TUZ195" s="36"/>
      <c r="TVA195" s="36"/>
      <c r="TVB195" s="36"/>
      <c r="TVC195" s="36"/>
      <c r="TVD195" s="36"/>
      <c r="TVE195" s="36"/>
      <c r="TVF195" s="36"/>
      <c r="TVG195" s="36"/>
      <c r="TVH195" s="36"/>
      <c r="TVI195" s="36"/>
      <c r="TVJ195" s="36"/>
      <c r="TVK195" s="36"/>
      <c r="TVL195" s="36"/>
      <c r="TVM195" s="36"/>
      <c r="TVN195" s="36"/>
      <c r="TVO195" s="36"/>
      <c r="TVP195" s="36"/>
      <c r="TVQ195" s="36"/>
      <c r="TVR195" s="36"/>
      <c r="TVS195" s="36"/>
      <c r="TVT195" s="36"/>
      <c r="TVU195" s="36"/>
      <c r="TVV195" s="36"/>
      <c r="TVW195" s="36"/>
      <c r="TVX195" s="36"/>
      <c r="TVY195" s="36"/>
      <c r="TVZ195" s="36"/>
      <c r="TWA195" s="36"/>
      <c r="TWB195" s="36"/>
      <c r="TWC195" s="36"/>
      <c r="TWD195" s="36"/>
      <c r="TWE195" s="36"/>
      <c r="TWF195" s="36"/>
      <c r="TWG195" s="36"/>
      <c r="TWH195" s="36"/>
      <c r="TWI195" s="36"/>
      <c r="TWJ195" s="36"/>
      <c r="TWK195" s="36"/>
      <c r="TWL195" s="36"/>
      <c r="TWM195" s="36"/>
      <c r="TWN195" s="36"/>
      <c r="TWO195" s="36"/>
      <c r="TWP195" s="36"/>
      <c r="TWQ195" s="36"/>
      <c r="TWR195" s="36"/>
      <c r="TWS195" s="36"/>
      <c r="TWT195" s="36"/>
      <c r="TWU195" s="36"/>
      <c r="TWV195" s="36"/>
      <c r="TWW195" s="36"/>
      <c r="TWX195" s="36"/>
      <c r="TWY195" s="36"/>
      <c r="TWZ195" s="36"/>
      <c r="TXA195" s="36"/>
      <c r="TXB195" s="36"/>
      <c r="TXC195" s="36"/>
      <c r="TXD195" s="36"/>
      <c r="TXE195" s="36"/>
      <c r="TXF195" s="36"/>
      <c r="TXG195" s="36"/>
      <c r="TXH195" s="36"/>
      <c r="TXI195" s="36"/>
      <c r="TXJ195" s="36"/>
      <c r="TXK195" s="36"/>
      <c r="TXL195" s="36"/>
      <c r="TXM195" s="36"/>
      <c r="TXN195" s="36"/>
      <c r="TXO195" s="36"/>
      <c r="TXP195" s="36"/>
      <c r="TXQ195" s="36"/>
      <c r="TXR195" s="36"/>
      <c r="TXS195" s="36"/>
      <c r="TXT195" s="36"/>
      <c r="TXU195" s="36"/>
      <c r="TXV195" s="36"/>
      <c r="TXW195" s="36"/>
      <c r="TXX195" s="36"/>
      <c r="TXY195" s="36"/>
      <c r="TXZ195" s="36"/>
      <c r="TYA195" s="36"/>
      <c r="TYB195" s="36"/>
      <c r="TYC195" s="36"/>
      <c r="TYD195" s="36"/>
      <c r="TYE195" s="36"/>
      <c r="TYF195" s="36"/>
      <c r="TYG195" s="36"/>
      <c r="TYH195" s="36"/>
      <c r="TYI195" s="36"/>
      <c r="TYJ195" s="36"/>
      <c r="TYK195" s="36"/>
      <c r="TYL195" s="36"/>
      <c r="TYM195" s="36"/>
      <c r="TYN195" s="36"/>
      <c r="TYO195" s="36"/>
      <c r="TYP195" s="36"/>
      <c r="TYQ195" s="36"/>
      <c r="TYR195" s="36"/>
      <c r="TYS195" s="36"/>
      <c r="TYT195" s="36"/>
      <c r="TYU195" s="36"/>
      <c r="TYV195" s="36"/>
      <c r="TYW195" s="36"/>
      <c r="TYX195" s="36"/>
      <c r="TYY195" s="36"/>
      <c r="TYZ195" s="36"/>
      <c r="TZA195" s="36"/>
      <c r="TZB195" s="36"/>
      <c r="TZC195" s="36"/>
      <c r="TZD195" s="36"/>
      <c r="TZE195" s="36"/>
      <c r="TZF195" s="36"/>
      <c r="TZG195" s="36"/>
      <c r="TZH195" s="36"/>
      <c r="TZI195" s="36"/>
      <c r="TZJ195" s="36"/>
      <c r="TZK195" s="36"/>
      <c r="TZL195" s="36"/>
      <c r="TZM195" s="36"/>
      <c r="TZN195" s="36"/>
      <c r="TZO195" s="36"/>
      <c r="TZP195" s="36"/>
      <c r="TZQ195" s="36"/>
      <c r="TZR195" s="36"/>
      <c r="TZS195" s="36"/>
      <c r="TZT195" s="36"/>
      <c r="TZU195" s="36"/>
      <c r="TZV195" s="36"/>
      <c r="TZW195" s="36"/>
      <c r="TZX195" s="36"/>
      <c r="TZY195" s="36"/>
      <c r="TZZ195" s="36"/>
      <c r="UAA195" s="36"/>
      <c r="UAB195" s="36"/>
      <c r="UAC195" s="36"/>
      <c r="UAD195" s="36"/>
      <c r="UAE195" s="36"/>
      <c r="UAF195" s="36"/>
      <c r="UAG195" s="36"/>
      <c r="UAH195" s="36"/>
      <c r="UAI195" s="36"/>
      <c r="UAJ195" s="36"/>
      <c r="UAK195" s="36"/>
      <c r="UAL195" s="36"/>
      <c r="UAM195" s="36"/>
      <c r="UAN195" s="36"/>
      <c r="UAO195" s="36"/>
      <c r="UAP195" s="36"/>
      <c r="UAQ195" s="36"/>
      <c r="UAR195" s="36"/>
      <c r="UAS195" s="36"/>
      <c r="UAT195" s="36"/>
      <c r="UAU195" s="36"/>
      <c r="UAV195" s="36"/>
      <c r="UAW195" s="36"/>
      <c r="UAX195" s="36"/>
      <c r="UAY195" s="36"/>
      <c r="UAZ195" s="36"/>
      <c r="UBA195" s="36"/>
      <c r="UBB195" s="36"/>
      <c r="UBC195" s="36"/>
      <c r="UBD195" s="36"/>
      <c r="UBE195" s="36"/>
      <c r="UBF195" s="36"/>
      <c r="UBG195" s="36"/>
      <c r="UBH195" s="36"/>
      <c r="UBI195" s="36"/>
      <c r="UBJ195" s="36"/>
      <c r="UBK195" s="36"/>
      <c r="UBL195" s="36"/>
      <c r="UBM195" s="36"/>
      <c r="UBN195" s="36"/>
      <c r="UBO195" s="36"/>
      <c r="UBP195" s="36"/>
      <c r="UBQ195" s="36"/>
      <c r="UBR195" s="36"/>
      <c r="UBS195" s="36"/>
      <c r="UBT195" s="36"/>
      <c r="UBU195" s="36"/>
      <c r="UBV195" s="36"/>
      <c r="UBW195" s="36"/>
      <c r="UBX195" s="36"/>
      <c r="UBY195" s="36"/>
      <c r="UBZ195" s="36"/>
      <c r="UCA195" s="36"/>
      <c r="UCB195" s="36"/>
      <c r="UCC195" s="36"/>
      <c r="UCD195" s="36"/>
      <c r="UCE195" s="36"/>
      <c r="UCF195" s="36"/>
      <c r="UCG195" s="36"/>
      <c r="UCH195" s="36"/>
      <c r="UCI195" s="36"/>
      <c r="UCJ195" s="36"/>
      <c r="UCK195" s="36"/>
      <c r="UCL195" s="36"/>
      <c r="UCM195" s="36"/>
      <c r="UCN195" s="36"/>
      <c r="UCO195" s="36"/>
      <c r="UCP195" s="36"/>
      <c r="UCQ195" s="36"/>
      <c r="UCR195" s="36"/>
      <c r="UCS195" s="36"/>
      <c r="UCT195" s="36"/>
      <c r="UCU195" s="36"/>
      <c r="UCV195" s="36"/>
      <c r="UCW195" s="36"/>
      <c r="UCX195" s="36"/>
      <c r="UCY195" s="36"/>
      <c r="UCZ195" s="36"/>
      <c r="UDA195" s="36"/>
      <c r="UDB195" s="36"/>
      <c r="UDC195" s="36"/>
      <c r="UDD195" s="36"/>
      <c r="UDE195" s="36"/>
      <c r="UDF195" s="36"/>
      <c r="UDG195" s="36"/>
      <c r="UDH195" s="36"/>
      <c r="UDI195" s="36"/>
      <c r="UDJ195" s="36"/>
      <c r="UDK195" s="36"/>
      <c r="UDL195" s="36"/>
      <c r="UDM195" s="36"/>
      <c r="UDN195" s="36"/>
      <c r="UDO195" s="36"/>
      <c r="UDP195" s="36"/>
      <c r="UDQ195" s="36"/>
      <c r="UDR195" s="36"/>
      <c r="UDS195" s="36"/>
      <c r="UDT195" s="36"/>
      <c r="UDU195" s="36"/>
      <c r="UDV195" s="36"/>
      <c r="UDW195" s="36"/>
      <c r="UDX195" s="36"/>
      <c r="UDY195" s="36"/>
      <c r="UDZ195" s="36"/>
      <c r="UEA195" s="36"/>
      <c r="UEB195" s="36"/>
      <c r="UEC195" s="36"/>
      <c r="UED195" s="36"/>
      <c r="UEE195" s="36"/>
      <c r="UEF195" s="36"/>
      <c r="UEG195" s="36"/>
      <c r="UEH195" s="36"/>
      <c r="UEI195" s="36"/>
      <c r="UEJ195" s="36"/>
      <c r="UEK195" s="36"/>
      <c r="UEL195" s="36"/>
      <c r="UEM195" s="36"/>
      <c r="UEN195" s="36"/>
      <c r="UEO195" s="36"/>
      <c r="UEP195" s="36"/>
      <c r="UEQ195" s="36"/>
      <c r="UER195" s="36"/>
      <c r="UES195" s="36"/>
      <c r="UET195" s="36"/>
      <c r="UEU195" s="36"/>
      <c r="UEV195" s="36"/>
      <c r="UEW195" s="36"/>
      <c r="UEX195" s="36"/>
      <c r="UEY195" s="36"/>
      <c r="UEZ195" s="36"/>
      <c r="UFA195" s="36"/>
      <c r="UFB195" s="36"/>
      <c r="UFC195" s="36"/>
      <c r="UFD195" s="36"/>
      <c r="UFE195" s="36"/>
      <c r="UFF195" s="36"/>
      <c r="UFG195" s="36"/>
      <c r="UFH195" s="36"/>
      <c r="UFI195" s="36"/>
      <c r="UFJ195" s="36"/>
      <c r="UFK195" s="36"/>
      <c r="UFL195" s="36"/>
      <c r="UFM195" s="36"/>
      <c r="UFN195" s="36"/>
      <c r="UFO195" s="36"/>
      <c r="UFP195" s="36"/>
      <c r="UFQ195" s="36"/>
      <c r="UFR195" s="36"/>
      <c r="UFS195" s="36"/>
      <c r="UFT195" s="36"/>
      <c r="UFU195" s="36"/>
      <c r="UFV195" s="36"/>
      <c r="UFW195" s="36"/>
      <c r="UFX195" s="36"/>
      <c r="UFY195" s="36"/>
      <c r="UFZ195" s="36"/>
      <c r="UGA195" s="36"/>
      <c r="UGB195" s="36"/>
      <c r="UGC195" s="36"/>
      <c r="UGD195" s="36"/>
      <c r="UGE195" s="36"/>
      <c r="UGF195" s="36"/>
      <c r="UGG195" s="36"/>
      <c r="UGH195" s="36"/>
      <c r="UGI195" s="36"/>
      <c r="UGJ195" s="36"/>
      <c r="UGK195" s="36"/>
      <c r="UGL195" s="36"/>
      <c r="UGM195" s="36"/>
      <c r="UGN195" s="36"/>
      <c r="UGO195" s="36"/>
      <c r="UGP195" s="36"/>
      <c r="UGQ195" s="36"/>
      <c r="UGR195" s="36"/>
      <c r="UGS195" s="36"/>
      <c r="UGT195" s="36"/>
      <c r="UGU195" s="36"/>
      <c r="UGV195" s="36"/>
      <c r="UGW195" s="36"/>
      <c r="UGX195" s="36"/>
      <c r="UGY195" s="36"/>
      <c r="UGZ195" s="36"/>
      <c r="UHA195" s="36"/>
      <c r="UHB195" s="36"/>
      <c r="UHC195" s="36"/>
      <c r="UHD195" s="36"/>
      <c r="UHE195" s="36"/>
      <c r="UHF195" s="36"/>
      <c r="UHG195" s="36"/>
      <c r="UHH195" s="36"/>
      <c r="UHI195" s="36"/>
      <c r="UHJ195" s="36"/>
      <c r="UHK195" s="36"/>
      <c r="UHL195" s="36"/>
      <c r="UHM195" s="36"/>
      <c r="UHN195" s="36"/>
      <c r="UHO195" s="36"/>
      <c r="UHP195" s="36"/>
      <c r="UHQ195" s="36"/>
      <c r="UHR195" s="36"/>
      <c r="UHS195" s="36"/>
      <c r="UHT195" s="36"/>
      <c r="UHU195" s="36"/>
      <c r="UHV195" s="36"/>
      <c r="UHW195" s="36"/>
      <c r="UHX195" s="36"/>
      <c r="UHY195" s="36"/>
      <c r="UHZ195" s="36"/>
      <c r="UIA195" s="36"/>
      <c r="UIB195" s="36"/>
      <c r="UIC195" s="36"/>
      <c r="UID195" s="36"/>
      <c r="UIE195" s="36"/>
      <c r="UIF195" s="36"/>
      <c r="UIG195" s="36"/>
      <c r="UIH195" s="36"/>
      <c r="UII195" s="36"/>
      <c r="UIJ195" s="36"/>
      <c r="UIK195" s="36"/>
      <c r="UIL195" s="36"/>
      <c r="UIM195" s="36"/>
      <c r="UIN195" s="36"/>
      <c r="UIO195" s="36"/>
      <c r="UIP195" s="36"/>
      <c r="UIQ195" s="36"/>
      <c r="UIR195" s="36"/>
      <c r="UIS195" s="36"/>
      <c r="UIT195" s="36"/>
      <c r="UIU195" s="36"/>
      <c r="UIV195" s="36"/>
      <c r="UIW195" s="36"/>
      <c r="UIX195" s="36"/>
      <c r="UIY195" s="36"/>
      <c r="UIZ195" s="36"/>
      <c r="UJA195" s="36"/>
      <c r="UJB195" s="36"/>
      <c r="UJC195" s="36"/>
      <c r="UJD195" s="36"/>
      <c r="UJE195" s="36"/>
      <c r="UJF195" s="36"/>
      <c r="UJG195" s="36"/>
      <c r="UJH195" s="36"/>
      <c r="UJI195" s="36"/>
      <c r="UJJ195" s="36"/>
      <c r="UJK195" s="36"/>
      <c r="UJL195" s="36"/>
      <c r="UJM195" s="36"/>
      <c r="UJN195" s="36"/>
      <c r="UJO195" s="36"/>
      <c r="UJP195" s="36"/>
      <c r="UJQ195" s="36"/>
      <c r="UJR195" s="36"/>
      <c r="UJS195" s="36"/>
      <c r="UJT195" s="36"/>
      <c r="UJU195" s="36"/>
      <c r="UJV195" s="36"/>
      <c r="UJW195" s="36"/>
      <c r="UJX195" s="36"/>
      <c r="UJY195" s="36"/>
      <c r="UJZ195" s="36"/>
      <c r="UKA195" s="36"/>
      <c r="UKB195" s="36"/>
      <c r="UKC195" s="36"/>
      <c r="UKD195" s="36"/>
      <c r="UKE195" s="36"/>
      <c r="UKF195" s="36"/>
      <c r="UKG195" s="36"/>
      <c r="UKH195" s="36"/>
      <c r="UKI195" s="36"/>
      <c r="UKJ195" s="36"/>
      <c r="UKK195" s="36"/>
      <c r="UKL195" s="36"/>
      <c r="UKM195" s="36"/>
      <c r="UKN195" s="36"/>
      <c r="UKO195" s="36"/>
      <c r="UKP195" s="36"/>
      <c r="UKQ195" s="36"/>
      <c r="UKR195" s="36"/>
      <c r="UKS195" s="36"/>
      <c r="UKT195" s="36"/>
      <c r="UKU195" s="36"/>
      <c r="UKV195" s="36"/>
      <c r="UKW195" s="36"/>
      <c r="UKX195" s="36"/>
      <c r="UKY195" s="36"/>
      <c r="UKZ195" s="36"/>
      <c r="ULA195" s="36"/>
      <c r="ULB195" s="36"/>
      <c r="ULC195" s="36"/>
      <c r="ULD195" s="36"/>
      <c r="ULE195" s="36"/>
      <c r="ULF195" s="36"/>
      <c r="ULG195" s="36"/>
      <c r="ULH195" s="36"/>
      <c r="ULI195" s="36"/>
      <c r="ULJ195" s="36"/>
      <c r="ULK195" s="36"/>
      <c r="ULL195" s="36"/>
      <c r="ULM195" s="36"/>
      <c r="ULN195" s="36"/>
      <c r="ULO195" s="36"/>
      <c r="ULP195" s="36"/>
      <c r="ULQ195" s="36"/>
      <c r="ULR195" s="36"/>
      <c r="ULS195" s="36"/>
      <c r="ULT195" s="36"/>
      <c r="ULU195" s="36"/>
      <c r="ULV195" s="36"/>
      <c r="ULW195" s="36"/>
      <c r="ULX195" s="36"/>
      <c r="ULY195" s="36"/>
      <c r="ULZ195" s="36"/>
      <c r="UMA195" s="36"/>
      <c r="UMB195" s="36"/>
      <c r="UMC195" s="36"/>
      <c r="UMD195" s="36"/>
      <c r="UME195" s="36"/>
      <c r="UMF195" s="36"/>
      <c r="UMG195" s="36"/>
      <c r="UMH195" s="36"/>
      <c r="UMI195" s="36"/>
      <c r="UMJ195" s="36"/>
      <c r="UMK195" s="36"/>
      <c r="UML195" s="36"/>
      <c r="UMM195" s="36"/>
      <c r="UMN195" s="36"/>
      <c r="UMO195" s="36"/>
      <c r="UMP195" s="36"/>
      <c r="UMQ195" s="36"/>
      <c r="UMR195" s="36"/>
      <c r="UMS195" s="36"/>
      <c r="UMT195" s="36"/>
      <c r="UMU195" s="36"/>
      <c r="UMV195" s="36"/>
      <c r="UMW195" s="36"/>
      <c r="UMX195" s="36"/>
      <c r="UMY195" s="36"/>
      <c r="UMZ195" s="36"/>
      <c r="UNA195" s="36"/>
      <c r="UNB195" s="36"/>
      <c r="UNC195" s="36"/>
      <c r="UND195" s="36"/>
      <c r="UNE195" s="36"/>
      <c r="UNF195" s="36"/>
      <c r="UNG195" s="36"/>
      <c r="UNH195" s="36"/>
      <c r="UNI195" s="36"/>
      <c r="UNJ195" s="36"/>
      <c r="UNK195" s="36"/>
      <c r="UNL195" s="36"/>
      <c r="UNM195" s="36"/>
      <c r="UNN195" s="36"/>
      <c r="UNO195" s="36"/>
      <c r="UNP195" s="36"/>
      <c r="UNQ195" s="36"/>
      <c r="UNR195" s="36"/>
      <c r="UNS195" s="36"/>
      <c r="UNT195" s="36"/>
      <c r="UNU195" s="36"/>
      <c r="UNV195" s="36"/>
      <c r="UNW195" s="36"/>
      <c r="UNX195" s="36"/>
      <c r="UNY195" s="36"/>
      <c r="UNZ195" s="36"/>
      <c r="UOA195" s="36"/>
      <c r="UOB195" s="36"/>
      <c r="UOC195" s="36"/>
      <c r="UOD195" s="36"/>
      <c r="UOE195" s="36"/>
      <c r="UOF195" s="36"/>
      <c r="UOG195" s="36"/>
      <c r="UOH195" s="36"/>
      <c r="UOI195" s="36"/>
      <c r="UOJ195" s="36"/>
      <c r="UOK195" s="36"/>
      <c r="UOL195" s="36"/>
      <c r="UOM195" s="36"/>
      <c r="UON195" s="36"/>
      <c r="UOO195" s="36"/>
      <c r="UOP195" s="36"/>
      <c r="UOQ195" s="36"/>
      <c r="UOR195" s="36"/>
      <c r="UOS195" s="36"/>
      <c r="UOT195" s="36"/>
      <c r="UOU195" s="36"/>
      <c r="UOV195" s="36"/>
      <c r="UOW195" s="36"/>
      <c r="UOX195" s="36"/>
      <c r="UOY195" s="36"/>
      <c r="UOZ195" s="36"/>
      <c r="UPA195" s="36"/>
      <c r="UPB195" s="36"/>
      <c r="UPC195" s="36"/>
      <c r="UPD195" s="36"/>
      <c r="UPE195" s="36"/>
      <c r="UPF195" s="36"/>
      <c r="UPG195" s="36"/>
      <c r="UPH195" s="36"/>
      <c r="UPI195" s="36"/>
      <c r="UPJ195" s="36"/>
      <c r="UPK195" s="36"/>
      <c r="UPL195" s="36"/>
      <c r="UPM195" s="36"/>
      <c r="UPN195" s="36"/>
      <c r="UPO195" s="36"/>
      <c r="UPP195" s="36"/>
      <c r="UPQ195" s="36"/>
      <c r="UPR195" s="36"/>
      <c r="UPS195" s="36"/>
      <c r="UPT195" s="36"/>
      <c r="UPU195" s="36"/>
      <c r="UPV195" s="36"/>
      <c r="UPW195" s="36"/>
      <c r="UPX195" s="36"/>
      <c r="UPY195" s="36"/>
      <c r="UPZ195" s="36"/>
      <c r="UQA195" s="36"/>
      <c r="UQB195" s="36"/>
      <c r="UQC195" s="36"/>
      <c r="UQD195" s="36"/>
      <c r="UQE195" s="36"/>
      <c r="UQF195" s="36"/>
      <c r="UQG195" s="36"/>
      <c r="UQH195" s="36"/>
      <c r="UQI195" s="36"/>
      <c r="UQJ195" s="36"/>
      <c r="UQK195" s="36"/>
      <c r="UQL195" s="36"/>
      <c r="UQM195" s="36"/>
      <c r="UQN195" s="36"/>
      <c r="UQO195" s="36"/>
      <c r="UQP195" s="36"/>
      <c r="UQQ195" s="36"/>
      <c r="UQR195" s="36"/>
      <c r="UQS195" s="36"/>
      <c r="UQT195" s="36"/>
      <c r="UQU195" s="36"/>
      <c r="UQV195" s="36"/>
      <c r="UQW195" s="36"/>
      <c r="UQX195" s="36"/>
      <c r="UQY195" s="36"/>
      <c r="UQZ195" s="36"/>
      <c r="URA195" s="36"/>
      <c r="URB195" s="36"/>
      <c r="URC195" s="36"/>
      <c r="URD195" s="36"/>
      <c r="URE195" s="36"/>
      <c r="URF195" s="36"/>
      <c r="URG195" s="36"/>
      <c r="URH195" s="36"/>
      <c r="URI195" s="36"/>
      <c r="URJ195" s="36"/>
      <c r="URK195" s="36"/>
      <c r="URL195" s="36"/>
      <c r="URM195" s="36"/>
      <c r="URN195" s="36"/>
      <c r="URO195" s="36"/>
      <c r="URP195" s="36"/>
      <c r="URQ195" s="36"/>
      <c r="URR195" s="36"/>
      <c r="URS195" s="36"/>
      <c r="URT195" s="36"/>
      <c r="URU195" s="36"/>
      <c r="URV195" s="36"/>
      <c r="URW195" s="36"/>
      <c r="URX195" s="36"/>
      <c r="URY195" s="36"/>
      <c r="URZ195" s="36"/>
      <c r="USA195" s="36"/>
      <c r="USB195" s="36"/>
      <c r="USC195" s="36"/>
      <c r="USD195" s="36"/>
      <c r="USE195" s="36"/>
      <c r="USF195" s="36"/>
      <c r="USG195" s="36"/>
      <c r="USH195" s="36"/>
      <c r="USI195" s="36"/>
      <c r="USJ195" s="36"/>
      <c r="USK195" s="36"/>
      <c r="USL195" s="36"/>
      <c r="USM195" s="36"/>
      <c r="USN195" s="36"/>
      <c r="USO195" s="36"/>
      <c r="USP195" s="36"/>
      <c r="USQ195" s="36"/>
      <c r="USR195" s="36"/>
      <c r="USS195" s="36"/>
      <c r="UST195" s="36"/>
      <c r="USU195" s="36"/>
      <c r="USV195" s="36"/>
      <c r="USW195" s="36"/>
      <c r="USX195" s="36"/>
      <c r="USY195" s="36"/>
      <c r="USZ195" s="36"/>
      <c r="UTA195" s="36"/>
      <c r="UTB195" s="36"/>
      <c r="UTC195" s="36"/>
      <c r="UTD195" s="36"/>
      <c r="UTE195" s="36"/>
      <c r="UTF195" s="36"/>
      <c r="UTG195" s="36"/>
      <c r="UTH195" s="36"/>
      <c r="UTI195" s="36"/>
      <c r="UTJ195" s="36"/>
      <c r="UTK195" s="36"/>
      <c r="UTL195" s="36"/>
      <c r="UTM195" s="36"/>
      <c r="UTN195" s="36"/>
      <c r="UTO195" s="36"/>
      <c r="UTP195" s="36"/>
      <c r="UTQ195" s="36"/>
      <c r="UTR195" s="36"/>
      <c r="UTS195" s="36"/>
      <c r="UTT195" s="36"/>
      <c r="UTU195" s="36"/>
      <c r="UTV195" s="36"/>
      <c r="UTW195" s="36"/>
      <c r="UTX195" s="36"/>
      <c r="UTY195" s="36"/>
      <c r="UTZ195" s="36"/>
      <c r="UUA195" s="36"/>
      <c r="UUB195" s="36"/>
      <c r="UUC195" s="36"/>
      <c r="UUD195" s="36"/>
      <c r="UUE195" s="36"/>
      <c r="UUF195" s="36"/>
      <c r="UUG195" s="36"/>
      <c r="UUH195" s="36"/>
      <c r="UUI195" s="36"/>
      <c r="UUJ195" s="36"/>
      <c r="UUK195" s="36"/>
      <c r="UUL195" s="36"/>
      <c r="UUM195" s="36"/>
      <c r="UUN195" s="36"/>
      <c r="UUO195" s="36"/>
      <c r="UUP195" s="36"/>
      <c r="UUQ195" s="36"/>
      <c r="UUR195" s="36"/>
      <c r="UUS195" s="36"/>
      <c r="UUT195" s="36"/>
      <c r="UUU195" s="36"/>
      <c r="UUV195" s="36"/>
      <c r="UUW195" s="36"/>
      <c r="UUX195" s="36"/>
      <c r="UUY195" s="36"/>
      <c r="UUZ195" s="36"/>
      <c r="UVA195" s="36"/>
      <c r="UVB195" s="36"/>
      <c r="UVC195" s="36"/>
      <c r="UVD195" s="36"/>
      <c r="UVE195" s="36"/>
      <c r="UVF195" s="36"/>
      <c r="UVG195" s="36"/>
      <c r="UVH195" s="36"/>
      <c r="UVI195" s="36"/>
      <c r="UVJ195" s="36"/>
      <c r="UVK195" s="36"/>
      <c r="UVL195" s="36"/>
      <c r="UVM195" s="36"/>
      <c r="UVN195" s="36"/>
      <c r="UVO195" s="36"/>
      <c r="UVP195" s="36"/>
      <c r="UVQ195" s="36"/>
      <c r="UVR195" s="36"/>
      <c r="UVS195" s="36"/>
      <c r="UVT195" s="36"/>
      <c r="UVU195" s="36"/>
      <c r="UVV195" s="36"/>
      <c r="UVW195" s="36"/>
      <c r="UVX195" s="36"/>
      <c r="UVY195" s="36"/>
      <c r="UVZ195" s="36"/>
      <c r="UWA195" s="36"/>
      <c r="UWB195" s="36"/>
      <c r="UWC195" s="36"/>
      <c r="UWD195" s="36"/>
      <c r="UWE195" s="36"/>
      <c r="UWF195" s="36"/>
      <c r="UWG195" s="36"/>
      <c r="UWH195" s="36"/>
      <c r="UWI195" s="36"/>
      <c r="UWJ195" s="36"/>
      <c r="UWK195" s="36"/>
      <c r="UWL195" s="36"/>
      <c r="UWM195" s="36"/>
      <c r="UWN195" s="36"/>
      <c r="UWO195" s="36"/>
      <c r="UWP195" s="36"/>
      <c r="UWQ195" s="36"/>
      <c r="UWR195" s="36"/>
      <c r="UWS195" s="36"/>
      <c r="UWT195" s="36"/>
      <c r="UWU195" s="36"/>
      <c r="UWV195" s="36"/>
      <c r="UWW195" s="36"/>
      <c r="UWX195" s="36"/>
      <c r="UWY195" s="36"/>
      <c r="UWZ195" s="36"/>
      <c r="UXA195" s="36"/>
      <c r="UXB195" s="36"/>
      <c r="UXC195" s="36"/>
      <c r="UXD195" s="36"/>
      <c r="UXE195" s="36"/>
      <c r="UXF195" s="36"/>
      <c r="UXG195" s="36"/>
      <c r="UXH195" s="36"/>
      <c r="UXI195" s="36"/>
      <c r="UXJ195" s="36"/>
      <c r="UXK195" s="36"/>
      <c r="UXL195" s="36"/>
      <c r="UXM195" s="36"/>
      <c r="UXN195" s="36"/>
      <c r="UXO195" s="36"/>
      <c r="UXP195" s="36"/>
      <c r="UXQ195" s="36"/>
      <c r="UXR195" s="36"/>
      <c r="UXS195" s="36"/>
      <c r="UXT195" s="36"/>
      <c r="UXU195" s="36"/>
      <c r="UXV195" s="36"/>
      <c r="UXW195" s="36"/>
      <c r="UXX195" s="36"/>
      <c r="UXY195" s="36"/>
      <c r="UXZ195" s="36"/>
      <c r="UYA195" s="36"/>
      <c r="UYB195" s="36"/>
      <c r="UYC195" s="36"/>
      <c r="UYD195" s="36"/>
      <c r="UYE195" s="36"/>
      <c r="UYF195" s="36"/>
      <c r="UYG195" s="36"/>
      <c r="UYH195" s="36"/>
      <c r="UYI195" s="36"/>
      <c r="UYJ195" s="36"/>
      <c r="UYK195" s="36"/>
      <c r="UYL195" s="36"/>
      <c r="UYM195" s="36"/>
      <c r="UYN195" s="36"/>
      <c r="UYO195" s="36"/>
      <c r="UYP195" s="36"/>
      <c r="UYQ195" s="36"/>
      <c r="UYR195" s="36"/>
      <c r="UYS195" s="36"/>
      <c r="UYT195" s="36"/>
      <c r="UYU195" s="36"/>
      <c r="UYV195" s="36"/>
      <c r="UYW195" s="36"/>
      <c r="UYX195" s="36"/>
      <c r="UYY195" s="36"/>
      <c r="UYZ195" s="36"/>
      <c r="UZA195" s="36"/>
      <c r="UZB195" s="36"/>
      <c r="UZC195" s="36"/>
      <c r="UZD195" s="36"/>
      <c r="UZE195" s="36"/>
      <c r="UZF195" s="36"/>
      <c r="UZG195" s="36"/>
      <c r="UZH195" s="36"/>
      <c r="UZI195" s="36"/>
      <c r="UZJ195" s="36"/>
      <c r="UZK195" s="36"/>
      <c r="UZL195" s="36"/>
      <c r="UZM195" s="36"/>
      <c r="UZN195" s="36"/>
      <c r="UZO195" s="36"/>
      <c r="UZP195" s="36"/>
      <c r="UZQ195" s="36"/>
      <c r="UZR195" s="36"/>
      <c r="UZS195" s="36"/>
      <c r="UZT195" s="36"/>
      <c r="UZU195" s="36"/>
      <c r="UZV195" s="36"/>
      <c r="UZW195" s="36"/>
      <c r="UZX195" s="36"/>
      <c r="UZY195" s="36"/>
      <c r="UZZ195" s="36"/>
      <c r="VAA195" s="36"/>
      <c r="VAB195" s="36"/>
      <c r="VAC195" s="36"/>
      <c r="VAD195" s="36"/>
      <c r="VAE195" s="36"/>
      <c r="VAF195" s="36"/>
      <c r="VAG195" s="36"/>
      <c r="VAH195" s="36"/>
      <c r="VAI195" s="36"/>
      <c r="VAJ195" s="36"/>
      <c r="VAK195" s="36"/>
      <c r="VAL195" s="36"/>
      <c r="VAM195" s="36"/>
      <c r="VAN195" s="36"/>
      <c r="VAO195" s="36"/>
      <c r="VAP195" s="36"/>
      <c r="VAQ195" s="36"/>
      <c r="VAR195" s="36"/>
      <c r="VAS195" s="36"/>
      <c r="VAT195" s="36"/>
      <c r="VAU195" s="36"/>
      <c r="VAV195" s="36"/>
      <c r="VAW195" s="36"/>
      <c r="VAX195" s="36"/>
      <c r="VAY195" s="36"/>
      <c r="VAZ195" s="36"/>
      <c r="VBA195" s="36"/>
      <c r="VBB195" s="36"/>
      <c r="VBC195" s="36"/>
      <c r="VBD195" s="36"/>
      <c r="VBE195" s="36"/>
      <c r="VBF195" s="36"/>
      <c r="VBG195" s="36"/>
      <c r="VBH195" s="36"/>
      <c r="VBI195" s="36"/>
      <c r="VBJ195" s="36"/>
      <c r="VBK195" s="36"/>
      <c r="VBL195" s="36"/>
      <c r="VBM195" s="36"/>
      <c r="VBN195" s="36"/>
      <c r="VBO195" s="36"/>
      <c r="VBP195" s="36"/>
      <c r="VBQ195" s="36"/>
      <c r="VBR195" s="36"/>
      <c r="VBS195" s="36"/>
      <c r="VBT195" s="36"/>
      <c r="VBU195" s="36"/>
      <c r="VBV195" s="36"/>
      <c r="VBW195" s="36"/>
      <c r="VBX195" s="36"/>
      <c r="VBY195" s="36"/>
      <c r="VBZ195" s="36"/>
      <c r="VCA195" s="36"/>
      <c r="VCB195" s="36"/>
      <c r="VCC195" s="36"/>
      <c r="VCD195" s="36"/>
      <c r="VCE195" s="36"/>
      <c r="VCF195" s="36"/>
      <c r="VCG195" s="36"/>
      <c r="VCH195" s="36"/>
      <c r="VCI195" s="36"/>
      <c r="VCJ195" s="36"/>
      <c r="VCK195" s="36"/>
      <c r="VCL195" s="36"/>
      <c r="VCM195" s="36"/>
      <c r="VCN195" s="36"/>
      <c r="VCO195" s="36"/>
      <c r="VCP195" s="36"/>
      <c r="VCQ195" s="36"/>
      <c r="VCR195" s="36"/>
      <c r="VCS195" s="36"/>
      <c r="VCT195" s="36"/>
      <c r="VCU195" s="36"/>
      <c r="VCV195" s="36"/>
      <c r="VCW195" s="36"/>
      <c r="VCX195" s="36"/>
      <c r="VCY195" s="36"/>
      <c r="VCZ195" s="36"/>
      <c r="VDA195" s="36"/>
      <c r="VDB195" s="36"/>
      <c r="VDC195" s="36"/>
      <c r="VDD195" s="36"/>
      <c r="VDE195" s="36"/>
      <c r="VDF195" s="36"/>
      <c r="VDG195" s="36"/>
      <c r="VDH195" s="36"/>
      <c r="VDI195" s="36"/>
      <c r="VDJ195" s="36"/>
      <c r="VDK195" s="36"/>
      <c r="VDL195" s="36"/>
      <c r="VDM195" s="36"/>
      <c r="VDN195" s="36"/>
      <c r="VDO195" s="36"/>
      <c r="VDP195" s="36"/>
      <c r="VDQ195" s="36"/>
      <c r="VDR195" s="36"/>
      <c r="VDS195" s="36"/>
      <c r="VDT195" s="36"/>
      <c r="VDU195" s="36"/>
      <c r="VDV195" s="36"/>
      <c r="VDW195" s="36"/>
      <c r="VDX195" s="36"/>
      <c r="VDY195" s="36"/>
      <c r="VDZ195" s="36"/>
      <c r="VEA195" s="36"/>
      <c r="VEB195" s="36"/>
      <c r="VEC195" s="36"/>
      <c r="VED195" s="36"/>
      <c r="VEE195" s="36"/>
      <c r="VEF195" s="36"/>
      <c r="VEG195" s="36"/>
      <c r="VEH195" s="36"/>
      <c r="VEI195" s="36"/>
      <c r="VEJ195" s="36"/>
      <c r="VEK195" s="36"/>
      <c r="VEL195" s="36"/>
      <c r="VEM195" s="36"/>
      <c r="VEN195" s="36"/>
      <c r="VEO195" s="36"/>
      <c r="VEP195" s="36"/>
      <c r="VEQ195" s="36"/>
      <c r="VER195" s="36"/>
      <c r="VES195" s="36"/>
      <c r="VET195" s="36"/>
      <c r="VEU195" s="36"/>
      <c r="VEV195" s="36"/>
      <c r="VEW195" s="36"/>
      <c r="VEX195" s="36"/>
      <c r="VEY195" s="36"/>
      <c r="VEZ195" s="36"/>
      <c r="VFA195" s="36"/>
      <c r="VFB195" s="36"/>
      <c r="VFC195" s="36"/>
      <c r="VFD195" s="36"/>
      <c r="VFE195" s="36"/>
      <c r="VFF195" s="36"/>
      <c r="VFG195" s="36"/>
      <c r="VFH195" s="36"/>
      <c r="VFI195" s="36"/>
      <c r="VFJ195" s="36"/>
      <c r="VFK195" s="36"/>
      <c r="VFL195" s="36"/>
      <c r="VFM195" s="36"/>
      <c r="VFN195" s="36"/>
      <c r="VFO195" s="36"/>
      <c r="VFP195" s="36"/>
      <c r="VFQ195" s="36"/>
      <c r="VFR195" s="36"/>
      <c r="VFS195" s="36"/>
      <c r="VFT195" s="36"/>
      <c r="VFU195" s="36"/>
      <c r="VFV195" s="36"/>
      <c r="VFW195" s="36"/>
      <c r="VFX195" s="36"/>
      <c r="VFY195" s="36"/>
      <c r="VFZ195" s="36"/>
      <c r="VGA195" s="36"/>
      <c r="VGB195" s="36"/>
      <c r="VGC195" s="36"/>
      <c r="VGD195" s="36"/>
      <c r="VGE195" s="36"/>
      <c r="VGF195" s="36"/>
      <c r="VGG195" s="36"/>
      <c r="VGH195" s="36"/>
      <c r="VGI195" s="36"/>
      <c r="VGJ195" s="36"/>
      <c r="VGK195" s="36"/>
      <c r="VGL195" s="36"/>
      <c r="VGM195" s="36"/>
      <c r="VGN195" s="36"/>
      <c r="VGO195" s="36"/>
      <c r="VGP195" s="36"/>
      <c r="VGQ195" s="36"/>
      <c r="VGR195" s="36"/>
      <c r="VGS195" s="36"/>
      <c r="VGT195" s="36"/>
      <c r="VGU195" s="36"/>
      <c r="VGV195" s="36"/>
      <c r="VGW195" s="36"/>
      <c r="VGX195" s="36"/>
      <c r="VGY195" s="36"/>
      <c r="VGZ195" s="36"/>
      <c r="VHA195" s="36"/>
      <c r="VHB195" s="36"/>
      <c r="VHC195" s="36"/>
      <c r="VHD195" s="36"/>
      <c r="VHE195" s="36"/>
      <c r="VHF195" s="36"/>
      <c r="VHG195" s="36"/>
      <c r="VHH195" s="36"/>
      <c r="VHI195" s="36"/>
      <c r="VHJ195" s="36"/>
      <c r="VHK195" s="36"/>
      <c r="VHL195" s="36"/>
      <c r="VHM195" s="36"/>
      <c r="VHN195" s="36"/>
      <c r="VHO195" s="36"/>
      <c r="VHP195" s="36"/>
      <c r="VHQ195" s="36"/>
      <c r="VHR195" s="36"/>
      <c r="VHS195" s="36"/>
      <c r="VHT195" s="36"/>
      <c r="VHU195" s="36"/>
      <c r="VHV195" s="36"/>
      <c r="VHW195" s="36"/>
      <c r="VHX195" s="36"/>
      <c r="VHY195" s="36"/>
      <c r="VHZ195" s="36"/>
      <c r="VIA195" s="36"/>
      <c r="VIB195" s="36"/>
      <c r="VIC195" s="36"/>
      <c r="VID195" s="36"/>
      <c r="VIE195" s="36"/>
      <c r="VIF195" s="36"/>
      <c r="VIG195" s="36"/>
      <c r="VIH195" s="36"/>
      <c r="VII195" s="36"/>
      <c r="VIJ195" s="36"/>
      <c r="VIK195" s="36"/>
      <c r="VIL195" s="36"/>
      <c r="VIM195" s="36"/>
      <c r="VIN195" s="36"/>
      <c r="VIO195" s="36"/>
      <c r="VIP195" s="36"/>
      <c r="VIQ195" s="36"/>
      <c r="VIR195" s="36"/>
      <c r="VIS195" s="36"/>
      <c r="VIT195" s="36"/>
      <c r="VIU195" s="36"/>
      <c r="VIV195" s="36"/>
      <c r="VIW195" s="36"/>
      <c r="VIX195" s="36"/>
      <c r="VIY195" s="36"/>
      <c r="VIZ195" s="36"/>
      <c r="VJA195" s="36"/>
      <c r="VJB195" s="36"/>
      <c r="VJC195" s="36"/>
      <c r="VJD195" s="36"/>
      <c r="VJE195" s="36"/>
      <c r="VJF195" s="36"/>
      <c r="VJG195" s="36"/>
      <c r="VJH195" s="36"/>
      <c r="VJI195" s="36"/>
      <c r="VJJ195" s="36"/>
      <c r="VJK195" s="36"/>
      <c r="VJL195" s="36"/>
      <c r="VJM195" s="36"/>
      <c r="VJN195" s="36"/>
      <c r="VJO195" s="36"/>
      <c r="VJP195" s="36"/>
      <c r="VJQ195" s="36"/>
      <c r="VJR195" s="36"/>
      <c r="VJS195" s="36"/>
      <c r="VJT195" s="36"/>
      <c r="VJU195" s="36"/>
      <c r="VJV195" s="36"/>
      <c r="VJW195" s="36"/>
      <c r="VJX195" s="36"/>
      <c r="VJY195" s="36"/>
      <c r="VJZ195" s="36"/>
      <c r="VKA195" s="36"/>
      <c r="VKB195" s="36"/>
      <c r="VKC195" s="36"/>
      <c r="VKD195" s="36"/>
      <c r="VKE195" s="36"/>
      <c r="VKF195" s="36"/>
      <c r="VKG195" s="36"/>
      <c r="VKH195" s="36"/>
      <c r="VKI195" s="36"/>
      <c r="VKJ195" s="36"/>
      <c r="VKK195" s="36"/>
      <c r="VKL195" s="36"/>
      <c r="VKM195" s="36"/>
      <c r="VKN195" s="36"/>
      <c r="VKO195" s="36"/>
      <c r="VKP195" s="36"/>
      <c r="VKQ195" s="36"/>
      <c r="VKR195" s="36"/>
      <c r="VKS195" s="36"/>
      <c r="VKT195" s="36"/>
      <c r="VKU195" s="36"/>
      <c r="VKV195" s="36"/>
      <c r="VKW195" s="36"/>
      <c r="VKX195" s="36"/>
      <c r="VKY195" s="36"/>
      <c r="VKZ195" s="36"/>
      <c r="VLA195" s="36"/>
      <c r="VLB195" s="36"/>
      <c r="VLC195" s="36"/>
      <c r="VLD195" s="36"/>
      <c r="VLE195" s="36"/>
      <c r="VLF195" s="36"/>
      <c r="VLG195" s="36"/>
      <c r="VLH195" s="36"/>
      <c r="VLI195" s="36"/>
      <c r="VLJ195" s="36"/>
      <c r="VLK195" s="36"/>
      <c r="VLL195" s="36"/>
      <c r="VLM195" s="36"/>
      <c r="VLN195" s="36"/>
      <c r="VLO195" s="36"/>
      <c r="VLP195" s="36"/>
      <c r="VLQ195" s="36"/>
      <c r="VLR195" s="36"/>
      <c r="VLS195" s="36"/>
      <c r="VLT195" s="36"/>
      <c r="VLU195" s="36"/>
      <c r="VLV195" s="36"/>
      <c r="VLW195" s="36"/>
      <c r="VLX195" s="36"/>
      <c r="VLY195" s="36"/>
      <c r="VLZ195" s="36"/>
      <c r="VMA195" s="36"/>
      <c r="VMB195" s="36"/>
      <c r="VMC195" s="36"/>
      <c r="VMD195" s="36"/>
      <c r="VME195" s="36"/>
      <c r="VMF195" s="36"/>
      <c r="VMG195" s="36"/>
      <c r="VMH195" s="36"/>
      <c r="VMI195" s="36"/>
      <c r="VMJ195" s="36"/>
      <c r="VMK195" s="36"/>
      <c r="VML195" s="36"/>
      <c r="VMM195" s="36"/>
      <c r="VMN195" s="36"/>
      <c r="VMO195" s="36"/>
      <c r="VMP195" s="36"/>
      <c r="VMQ195" s="36"/>
      <c r="VMR195" s="36"/>
      <c r="VMS195" s="36"/>
      <c r="VMT195" s="36"/>
      <c r="VMU195" s="36"/>
      <c r="VMV195" s="36"/>
      <c r="VMW195" s="36"/>
      <c r="VMX195" s="36"/>
      <c r="VMY195" s="36"/>
      <c r="VMZ195" s="36"/>
      <c r="VNA195" s="36"/>
      <c r="VNB195" s="36"/>
      <c r="VNC195" s="36"/>
      <c r="VND195" s="36"/>
      <c r="VNE195" s="36"/>
      <c r="VNF195" s="36"/>
      <c r="VNG195" s="36"/>
      <c r="VNH195" s="36"/>
      <c r="VNI195" s="36"/>
      <c r="VNJ195" s="36"/>
      <c r="VNK195" s="36"/>
      <c r="VNL195" s="36"/>
      <c r="VNM195" s="36"/>
      <c r="VNN195" s="36"/>
      <c r="VNO195" s="36"/>
      <c r="VNP195" s="36"/>
      <c r="VNQ195" s="36"/>
      <c r="VNR195" s="36"/>
      <c r="VNS195" s="36"/>
      <c r="VNT195" s="36"/>
      <c r="VNU195" s="36"/>
      <c r="VNV195" s="36"/>
      <c r="VNW195" s="36"/>
      <c r="VNX195" s="36"/>
      <c r="VNY195" s="36"/>
      <c r="VNZ195" s="36"/>
      <c r="VOA195" s="36"/>
      <c r="VOB195" s="36"/>
      <c r="VOC195" s="36"/>
      <c r="VOD195" s="36"/>
      <c r="VOE195" s="36"/>
      <c r="VOF195" s="36"/>
      <c r="VOG195" s="36"/>
      <c r="VOH195" s="36"/>
      <c r="VOI195" s="36"/>
      <c r="VOJ195" s="36"/>
      <c r="VOK195" s="36"/>
      <c r="VOL195" s="36"/>
      <c r="VOM195" s="36"/>
      <c r="VON195" s="36"/>
      <c r="VOO195" s="36"/>
      <c r="VOP195" s="36"/>
      <c r="VOQ195" s="36"/>
      <c r="VOR195" s="36"/>
      <c r="VOS195" s="36"/>
      <c r="VOT195" s="36"/>
      <c r="VOU195" s="36"/>
      <c r="VOV195" s="36"/>
      <c r="VOW195" s="36"/>
      <c r="VOX195" s="36"/>
      <c r="VOY195" s="36"/>
      <c r="VOZ195" s="36"/>
      <c r="VPA195" s="36"/>
      <c r="VPB195" s="36"/>
      <c r="VPC195" s="36"/>
      <c r="VPD195" s="36"/>
      <c r="VPE195" s="36"/>
      <c r="VPF195" s="36"/>
      <c r="VPG195" s="36"/>
      <c r="VPH195" s="36"/>
      <c r="VPI195" s="36"/>
      <c r="VPJ195" s="36"/>
      <c r="VPK195" s="36"/>
      <c r="VPL195" s="36"/>
      <c r="VPM195" s="36"/>
      <c r="VPN195" s="36"/>
      <c r="VPO195" s="36"/>
      <c r="VPP195" s="36"/>
      <c r="VPQ195" s="36"/>
      <c r="VPR195" s="36"/>
      <c r="VPS195" s="36"/>
      <c r="VPT195" s="36"/>
      <c r="VPU195" s="36"/>
      <c r="VPV195" s="36"/>
      <c r="VPW195" s="36"/>
      <c r="VPX195" s="36"/>
      <c r="VPY195" s="36"/>
      <c r="VPZ195" s="36"/>
      <c r="VQA195" s="36"/>
      <c r="VQB195" s="36"/>
      <c r="VQC195" s="36"/>
      <c r="VQD195" s="36"/>
      <c r="VQE195" s="36"/>
      <c r="VQF195" s="36"/>
      <c r="VQG195" s="36"/>
      <c r="VQH195" s="36"/>
      <c r="VQI195" s="36"/>
      <c r="VQJ195" s="36"/>
      <c r="VQK195" s="36"/>
      <c r="VQL195" s="36"/>
      <c r="VQM195" s="36"/>
      <c r="VQN195" s="36"/>
      <c r="VQO195" s="36"/>
      <c r="VQP195" s="36"/>
      <c r="VQQ195" s="36"/>
      <c r="VQR195" s="36"/>
      <c r="VQS195" s="36"/>
      <c r="VQT195" s="36"/>
      <c r="VQU195" s="36"/>
      <c r="VQV195" s="36"/>
      <c r="VQW195" s="36"/>
      <c r="VQX195" s="36"/>
      <c r="VQY195" s="36"/>
      <c r="VQZ195" s="36"/>
      <c r="VRA195" s="36"/>
      <c r="VRB195" s="36"/>
      <c r="VRC195" s="36"/>
      <c r="VRD195" s="36"/>
      <c r="VRE195" s="36"/>
      <c r="VRF195" s="36"/>
      <c r="VRG195" s="36"/>
      <c r="VRH195" s="36"/>
      <c r="VRI195" s="36"/>
      <c r="VRJ195" s="36"/>
      <c r="VRK195" s="36"/>
      <c r="VRL195" s="36"/>
      <c r="VRM195" s="36"/>
      <c r="VRN195" s="36"/>
      <c r="VRO195" s="36"/>
      <c r="VRP195" s="36"/>
      <c r="VRQ195" s="36"/>
      <c r="VRR195" s="36"/>
      <c r="VRS195" s="36"/>
      <c r="VRT195" s="36"/>
      <c r="VRU195" s="36"/>
      <c r="VRV195" s="36"/>
      <c r="VRW195" s="36"/>
      <c r="VRX195" s="36"/>
      <c r="VRY195" s="36"/>
      <c r="VRZ195" s="36"/>
      <c r="VSA195" s="36"/>
      <c r="VSB195" s="36"/>
      <c r="VSC195" s="36"/>
      <c r="VSD195" s="36"/>
      <c r="VSE195" s="36"/>
      <c r="VSF195" s="36"/>
      <c r="VSG195" s="36"/>
      <c r="VSH195" s="36"/>
      <c r="VSI195" s="36"/>
      <c r="VSJ195" s="36"/>
      <c r="VSK195" s="36"/>
      <c r="VSL195" s="36"/>
      <c r="VSM195" s="36"/>
      <c r="VSN195" s="36"/>
      <c r="VSO195" s="36"/>
      <c r="VSP195" s="36"/>
      <c r="VSQ195" s="36"/>
      <c r="VSR195" s="36"/>
      <c r="VSS195" s="36"/>
      <c r="VST195" s="36"/>
      <c r="VSU195" s="36"/>
      <c r="VSV195" s="36"/>
      <c r="VSW195" s="36"/>
      <c r="VSX195" s="36"/>
      <c r="VSY195" s="36"/>
      <c r="VSZ195" s="36"/>
      <c r="VTA195" s="36"/>
      <c r="VTB195" s="36"/>
      <c r="VTC195" s="36"/>
      <c r="VTD195" s="36"/>
      <c r="VTE195" s="36"/>
      <c r="VTF195" s="36"/>
      <c r="VTG195" s="36"/>
      <c r="VTH195" s="36"/>
      <c r="VTI195" s="36"/>
      <c r="VTJ195" s="36"/>
      <c r="VTK195" s="36"/>
      <c r="VTL195" s="36"/>
      <c r="VTM195" s="36"/>
      <c r="VTN195" s="36"/>
      <c r="VTO195" s="36"/>
      <c r="VTP195" s="36"/>
      <c r="VTQ195" s="36"/>
      <c r="VTR195" s="36"/>
      <c r="VTS195" s="36"/>
      <c r="VTT195" s="36"/>
      <c r="VTU195" s="36"/>
      <c r="VTV195" s="36"/>
      <c r="VTW195" s="36"/>
      <c r="VTX195" s="36"/>
      <c r="VTY195" s="36"/>
      <c r="VTZ195" s="36"/>
      <c r="VUA195" s="36"/>
      <c r="VUB195" s="36"/>
      <c r="VUC195" s="36"/>
      <c r="VUD195" s="36"/>
      <c r="VUE195" s="36"/>
      <c r="VUF195" s="36"/>
      <c r="VUG195" s="36"/>
      <c r="VUH195" s="36"/>
      <c r="VUI195" s="36"/>
      <c r="VUJ195" s="36"/>
      <c r="VUK195" s="36"/>
      <c r="VUL195" s="36"/>
      <c r="VUM195" s="36"/>
      <c r="VUN195" s="36"/>
      <c r="VUO195" s="36"/>
      <c r="VUP195" s="36"/>
      <c r="VUQ195" s="36"/>
      <c r="VUR195" s="36"/>
      <c r="VUS195" s="36"/>
      <c r="VUT195" s="36"/>
      <c r="VUU195" s="36"/>
      <c r="VUV195" s="36"/>
      <c r="VUW195" s="36"/>
      <c r="VUX195" s="36"/>
      <c r="VUY195" s="36"/>
      <c r="VUZ195" s="36"/>
      <c r="VVA195" s="36"/>
      <c r="VVB195" s="36"/>
      <c r="VVC195" s="36"/>
      <c r="VVD195" s="36"/>
      <c r="VVE195" s="36"/>
      <c r="VVF195" s="36"/>
      <c r="VVG195" s="36"/>
      <c r="VVH195" s="36"/>
      <c r="VVI195" s="36"/>
      <c r="VVJ195" s="36"/>
      <c r="VVK195" s="36"/>
      <c r="VVL195" s="36"/>
      <c r="VVM195" s="36"/>
      <c r="VVN195" s="36"/>
      <c r="VVO195" s="36"/>
      <c r="VVP195" s="36"/>
      <c r="VVQ195" s="36"/>
      <c r="VVR195" s="36"/>
      <c r="VVS195" s="36"/>
      <c r="VVT195" s="36"/>
      <c r="VVU195" s="36"/>
      <c r="VVV195" s="36"/>
      <c r="VVW195" s="36"/>
      <c r="VVX195" s="36"/>
      <c r="VVY195" s="36"/>
      <c r="VVZ195" s="36"/>
      <c r="VWA195" s="36"/>
      <c r="VWB195" s="36"/>
      <c r="VWC195" s="36"/>
      <c r="VWD195" s="36"/>
      <c r="VWE195" s="36"/>
      <c r="VWF195" s="36"/>
      <c r="VWG195" s="36"/>
      <c r="VWH195" s="36"/>
      <c r="VWI195" s="36"/>
      <c r="VWJ195" s="36"/>
      <c r="VWK195" s="36"/>
      <c r="VWL195" s="36"/>
      <c r="VWM195" s="36"/>
      <c r="VWN195" s="36"/>
      <c r="VWO195" s="36"/>
      <c r="VWP195" s="36"/>
      <c r="VWQ195" s="36"/>
      <c r="VWR195" s="36"/>
      <c r="VWS195" s="36"/>
      <c r="VWT195" s="36"/>
      <c r="VWU195" s="36"/>
      <c r="VWV195" s="36"/>
      <c r="VWW195" s="36"/>
      <c r="VWX195" s="36"/>
      <c r="VWY195" s="36"/>
      <c r="VWZ195" s="36"/>
      <c r="VXA195" s="36"/>
      <c r="VXB195" s="36"/>
      <c r="VXC195" s="36"/>
      <c r="VXD195" s="36"/>
      <c r="VXE195" s="36"/>
      <c r="VXF195" s="36"/>
      <c r="VXG195" s="36"/>
      <c r="VXH195" s="36"/>
      <c r="VXI195" s="36"/>
      <c r="VXJ195" s="36"/>
      <c r="VXK195" s="36"/>
      <c r="VXL195" s="36"/>
      <c r="VXM195" s="36"/>
      <c r="VXN195" s="36"/>
      <c r="VXO195" s="36"/>
      <c r="VXP195" s="36"/>
      <c r="VXQ195" s="36"/>
      <c r="VXR195" s="36"/>
      <c r="VXS195" s="36"/>
      <c r="VXT195" s="36"/>
      <c r="VXU195" s="36"/>
      <c r="VXV195" s="36"/>
      <c r="VXW195" s="36"/>
      <c r="VXX195" s="36"/>
      <c r="VXY195" s="36"/>
      <c r="VXZ195" s="36"/>
      <c r="VYA195" s="36"/>
      <c r="VYB195" s="36"/>
      <c r="VYC195" s="36"/>
      <c r="VYD195" s="36"/>
      <c r="VYE195" s="36"/>
      <c r="VYF195" s="36"/>
      <c r="VYG195" s="36"/>
      <c r="VYH195" s="36"/>
      <c r="VYI195" s="36"/>
      <c r="VYJ195" s="36"/>
      <c r="VYK195" s="36"/>
      <c r="VYL195" s="36"/>
      <c r="VYM195" s="36"/>
      <c r="VYN195" s="36"/>
      <c r="VYO195" s="36"/>
      <c r="VYP195" s="36"/>
      <c r="VYQ195" s="36"/>
      <c r="VYR195" s="36"/>
      <c r="VYS195" s="36"/>
      <c r="VYT195" s="36"/>
      <c r="VYU195" s="36"/>
      <c r="VYV195" s="36"/>
      <c r="VYW195" s="36"/>
      <c r="VYX195" s="36"/>
      <c r="VYY195" s="36"/>
      <c r="VYZ195" s="36"/>
      <c r="VZA195" s="36"/>
      <c r="VZB195" s="36"/>
      <c r="VZC195" s="36"/>
      <c r="VZD195" s="36"/>
      <c r="VZE195" s="36"/>
      <c r="VZF195" s="36"/>
      <c r="VZG195" s="36"/>
      <c r="VZH195" s="36"/>
      <c r="VZI195" s="36"/>
      <c r="VZJ195" s="36"/>
      <c r="VZK195" s="36"/>
      <c r="VZL195" s="36"/>
      <c r="VZM195" s="36"/>
      <c r="VZN195" s="36"/>
      <c r="VZO195" s="36"/>
      <c r="VZP195" s="36"/>
      <c r="VZQ195" s="36"/>
      <c r="VZR195" s="36"/>
      <c r="VZS195" s="36"/>
      <c r="VZT195" s="36"/>
      <c r="VZU195" s="36"/>
      <c r="VZV195" s="36"/>
      <c r="VZW195" s="36"/>
      <c r="VZX195" s="36"/>
      <c r="VZY195" s="36"/>
      <c r="VZZ195" s="36"/>
      <c r="WAA195" s="36"/>
      <c r="WAB195" s="36"/>
      <c r="WAC195" s="36"/>
      <c r="WAD195" s="36"/>
      <c r="WAE195" s="36"/>
      <c r="WAF195" s="36"/>
      <c r="WAG195" s="36"/>
      <c r="WAH195" s="36"/>
      <c r="WAI195" s="36"/>
      <c r="WAJ195" s="36"/>
      <c r="WAK195" s="36"/>
      <c r="WAL195" s="36"/>
      <c r="WAM195" s="36"/>
      <c r="WAN195" s="36"/>
      <c r="WAO195" s="36"/>
      <c r="WAP195" s="36"/>
      <c r="WAQ195" s="36"/>
      <c r="WAR195" s="36"/>
      <c r="WAS195" s="36"/>
      <c r="WAT195" s="36"/>
      <c r="WAU195" s="36"/>
      <c r="WAV195" s="36"/>
      <c r="WAW195" s="36"/>
      <c r="WAX195" s="36"/>
      <c r="WAY195" s="36"/>
      <c r="WAZ195" s="36"/>
      <c r="WBA195" s="36"/>
      <c r="WBB195" s="36"/>
      <c r="WBC195" s="36"/>
      <c r="WBD195" s="36"/>
      <c r="WBE195" s="36"/>
      <c r="WBF195" s="36"/>
      <c r="WBG195" s="36"/>
      <c r="WBH195" s="36"/>
      <c r="WBI195" s="36"/>
      <c r="WBJ195" s="36"/>
      <c r="WBK195" s="36"/>
      <c r="WBL195" s="36"/>
      <c r="WBM195" s="36"/>
      <c r="WBN195" s="36"/>
      <c r="WBO195" s="36"/>
      <c r="WBP195" s="36"/>
      <c r="WBQ195" s="36"/>
      <c r="WBR195" s="36"/>
      <c r="WBS195" s="36"/>
      <c r="WBT195" s="36"/>
      <c r="WBU195" s="36"/>
      <c r="WBV195" s="36"/>
      <c r="WBW195" s="36"/>
      <c r="WBX195" s="36"/>
      <c r="WBY195" s="36"/>
      <c r="WBZ195" s="36"/>
      <c r="WCA195" s="36"/>
      <c r="WCB195" s="36"/>
      <c r="WCC195" s="36"/>
      <c r="WCD195" s="36"/>
      <c r="WCE195" s="36"/>
      <c r="WCF195" s="36"/>
      <c r="WCG195" s="36"/>
      <c r="WCH195" s="36"/>
      <c r="WCI195" s="36"/>
      <c r="WCJ195" s="36"/>
      <c r="WCK195" s="36"/>
      <c r="WCL195" s="36"/>
      <c r="WCM195" s="36"/>
      <c r="WCN195" s="36"/>
      <c r="WCO195" s="36"/>
      <c r="WCP195" s="36"/>
      <c r="WCQ195" s="36"/>
      <c r="WCR195" s="36"/>
      <c r="WCS195" s="36"/>
      <c r="WCT195" s="36"/>
      <c r="WCU195" s="36"/>
      <c r="WCV195" s="36"/>
      <c r="WCW195" s="36"/>
      <c r="WCX195" s="36"/>
      <c r="WCY195" s="36"/>
      <c r="WCZ195" s="36"/>
      <c r="WDA195" s="36"/>
      <c r="WDB195" s="36"/>
      <c r="WDC195" s="36"/>
      <c r="WDD195" s="36"/>
      <c r="WDE195" s="36"/>
      <c r="WDF195" s="36"/>
      <c r="WDG195" s="36"/>
      <c r="WDH195" s="36"/>
      <c r="WDI195" s="36"/>
      <c r="WDJ195" s="36"/>
      <c r="WDK195" s="36"/>
      <c r="WDL195" s="36"/>
      <c r="WDM195" s="36"/>
      <c r="WDN195" s="36"/>
      <c r="WDO195" s="36"/>
      <c r="WDP195" s="36"/>
      <c r="WDQ195" s="36"/>
      <c r="WDR195" s="36"/>
      <c r="WDS195" s="36"/>
      <c r="WDT195" s="36"/>
      <c r="WDU195" s="36"/>
      <c r="WDV195" s="36"/>
      <c r="WDW195" s="36"/>
      <c r="WDX195" s="36"/>
      <c r="WDY195" s="36"/>
      <c r="WDZ195" s="36"/>
      <c r="WEA195" s="36"/>
      <c r="WEB195" s="36"/>
      <c r="WEC195" s="36"/>
      <c r="WED195" s="36"/>
      <c r="WEE195" s="36"/>
      <c r="WEF195" s="36"/>
      <c r="WEG195" s="36"/>
      <c r="WEH195" s="36"/>
      <c r="WEI195" s="36"/>
      <c r="WEJ195" s="36"/>
      <c r="WEK195" s="36"/>
      <c r="WEL195" s="36"/>
      <c r="WEM195" s="36"/>
      <c r="WEN195" s="36"/>
      <c r="WEO195" s="36"/>
      <c r="WEP195" s="36"/>
      <c r="WEQ195" s="36"/>
      <c r="WER195" s="36"/>
      <c r="WES195" s="36"/>
      <c r="WET195" s="36"/>
      <c r="WEU195" s="36"/>
      <c r="WEV195" s="36"/>
      <c r="WEW195" s="36"/>
      <c r="WEX195" s="36"/>
      <c r="WEY195" s="36"/>
      <c r="WEZ195" s="36"/>
      <c r="WFA195" s="36"/>
      <c r="WFB195" s="36"/>
      <c r="WFC195" s="36"/>
      <c r="WFD195" s="36"/>
      <c r="WFE195" s="36"/>
      <c r="WFF195" s="36"/>
      <c r="WFG195" s="36"/>
      <c r="WFH195" s="36"/>
      <c r="WFI195" s="36"/>
      <c r="WFJ195" s="36"/>
      <c r="WFK195" s="36"/>
      <c r="WFL195" s="36"/>
      <c r="WFM195" s="36"/>
      <c r="WFN195" s="36"/>
      <c r="WFO195" s="36"/>
      <c r="WFP195" s="36"/>
      <c r="WFQ195" s="36"/>
      <c r="WFR195" s="36"/>
      <c r="WFS195" s="36"/>
      <c r="WFT195" s="36"/>
      <c r="WFU195" s="36"/>
      <c r="WFV195" s="36"/>
      <c r="WFW195" s="36"/>
      <c r="WFX195" s="36"/>
      <c r="WFY195" s="36"/>
      <c r="WFZ195" s="36"/>
      <c r="WGA195" s="36"/>
      <c r="WGB195" s="36"/>
      <c r="WGC195" s="36"/>
      <c r="WGD195" s="36"/>
      <c r="WGE195" s="36"/>
      <c r="WGF195" s="36"/>
      <c r="WGG195" s="36"/>
      <c r="WGH195" s="36"/>
      <c r="WGI195" s="36"/>
      <c r="WGJ195" s="36"/>
      <c r="WGK195" s="36"/>
      <c r="WGL195" s="36"/>
      <c r="WGM195" s="36"/>
      <c r="WGN195" s="36"/>
      <c r="WGO195" s="36"/>
      <c r="WGP195" s="36"/>
      <c r="WGQ195" s="36"/>
      <c r="WGR195" s="36"/>
      <c r="WGS195" s="36"/>
      <c r="WGT195" s="36"/>
      <c r="WGU195" s="36"/>
      <c r="WGV195" s="36"/>
      <c r="WGW195" s="36"/>
      <c r="WGX195" s="36"/>
      <c r="WGY195" s="36"/>
      <c r="WGZ195" s="36"/>
      <c r="WHA195" s="36"/>
      <c r="WHB195" s="36"/>
      <c r="WHC195" s="36"/>
      <c r="WHD195" s="36"/>
      <c r="WHE195" s="36"/>
      <c r="WHF195" s="36"/>
      <c r="WHG195" s="36"/>
      <c r="WHH195" s="36"/>
      <c r="WHI195" s="36"/>
      <c r="WHJ195" s="36"/>
      <c r="WHK195" s="36"/>
      <c r="WHL195" s="36"/>
      <c r="WHM195" s="36"/>
      <c r="WHN195" s="36"/>
      <c r="WHO195" s="36"/>
      <c r="WHP195" s="36"/>
      <c r="WHQ195" s="36"/>
      <c r="WHR195" s="36"/>
      <c r="WHS195" s="36"/>
      <c r="WHT195" s="36"/>
      <c r="WHU195" s="36"/>
      <c r="WHV195" s="36"/>
      <c r="WHW195" s="36"/>
      <c r="WHX195" s="36"/>
      <c r="WHY195" s="36"/>
      <c r="WHZ195" s="36"/>
      <c r="WIA195" s="36"/>
      <c r="WIB195" s="36"/>
      <c r="WIC195" s="36"/>
      <c r="WID195" s="36"/>
      <c r="WIE195" s="36"/>
      <c r="WIF195" s="36"/>
      <c r="WIG195" s="36"/>
      <c r="WIH195" s="36"/>
      <c r="WII195" s="36"/>
      <c r="WIJ195" s="36"/>
      <c r="WIK195" s="36"/>
      <c r="WIL195" s="36"/>
      <c r="WIM195" s="36"/>
      <c r="WIN195" s="36"/>
      <c r="WIO195" s="36"/>
      <c r="WIP195" s="36"/>
      <c r="WIQ195" s="36"/>
      <c r="WIR195" s="36"/>
      <c r="WIS195" s="36"/>
      <c r="WIT195" s="36"/>
      <c r="WIU195" s="36"/>
      <c r="WIV195" s="36"/>
      <c r="WIW195" s="36"/>
      <c r="WIX195" s="36"/>
      <c r="WIY195" s="36"/>
      <c r="WIZ195" s="36"/>
      <c r="WJA195" s="36"/>
      <c r="WJB195" s="36"/>
      <c r="WJC195" s="36"/>
      <c r="WJD195" s="36"/>
      <c r="WJE195" s="36"/>
      <c r="WJF195" s="36"/>
      <c r="WJG195" s="36"/>
      <c r="WJH195" s="36"/>
      <c r="WJI195" s="36"/>
      <c r="WJJ195" s="36"/>
      <c r="WJK195" s="36"/>
      <c r="WJL195" s="36"/>
      <c r="WJM195" s="36"/>
      <c r="WJN195" s="36"/>
      <c r="WJO195" s="36"/>
      <c r="WJP195" s="36"/>
      <c r="WJQ195" s="36"/>
      <c r="WJR195" s="36"/>
      <c r="WJS195" s="36"/>
      <c r="WJT195" s="36"/>
      <c r="WJU195" s="36"/>
      <c r="WJV195" s="36"/>
      <c r="WJW195" s="36"/>
      <c r="WJX195" s="36"/>
      <c r="WJY195" s="36"/>
      <c r="WJZ195" s="36"/>
      <c r="WKA195" s="36"/>
      <c r="WKB195" s="36"/>
      <c r="WKC195" s="36"/>
      <c r="WKD195" s="36"/>
      <c r="WKE195" s="36"/>
      <c r="WKF195" s="36"/>
      <c r="WKG195" s="36"/>
      <c r="WKH195" s="36"/>
      <c r="WKI195" s="36"/>
      <c r="WKJ195" s="36"/>
      <c r="WKK195" s="36"/>
      <c r="WKL195" s="36"/>
      <c r="WKM195" s="36"/>
      <c r="WKN195" s="36"/>
      <c r="WKO195" s="36"/>
      <c r="WKP195" s="36"/>
      <c r="WKQ195" s="36"/>
      <c r="WKR195" s="36"/>
      <c r="WKS195" s="36"/>
      <c r="WKT195" s="36"/>
      <c r="WKU195" s="36"/>
      <c r="WKV195" s="36"/>
      <c r="WKW195" s="36"/>
      <c r="WKX195" s="36"/>
      <c r="WKY195" s="36"/>
      <c r="WKZ195" s="36"/>
      <c r="WLA195" s="36"/>
      <c r="WLB195" s="36"/>
      <c r="WLC195" s="36"/>
      <c r="WLD195" s="36"/>
      <c r="WLE195" s="36"/>
      <c r="WLF195" s="36"/>
      <c r="WLG195" s="36"/>
      <c r="WLH195" s="36"/>
      <c r="WLI195" s="36"/>
      <c r="WLJ195" s="36"/>
      <c r="WLK195" s="36"/>
      <c r="WLL195" s="36"/>
      <c r="WLM195" s="36"/>
      <c r="WLN195" s="36"/>
      <c r="WLO195" s="36"/>
      <c r="WLP195" s="36"/>
      <c r="WLQ195" s="36"/>
      <c r="WLR195" s="36"/>
      <c r="WLS195" s="36"/>
      <c r="WLT195" s="36"/>
      <c r="WLU195" s="36"/>
      <c r="WLV195" s="36"/>
      <c r="WLW195" s="36"/>
      <c r="WLX195" s="36"/>
      <c r="WLY195" s="36"/>
      <c r="WLZ195" s="36"/>
      <c r="WMA195" s="36"/>
      <c r="WMB195" s="36"/>
      <c r="WMC195" s="36"/>
      <c r="WMD195" s="36"/>
      <c r="WME195" s="36"/>
      <c r="WMF195" s="36"/>
      <c r="WMG195" s="36"/>
      <c r="WMH195" s="36"/>
      <c r="WMI195" s="36"/>
      <c r="WMJ195" s="36"/>
      <c r="WMK195" s="36"/>
      <c r="WML195" s="36"/>
      <c r="WMM195" s="36"/>
      <c r="WMN195" s="36"/>
      <c r="WMO195" s="36"/>
      <c r="WMP195" s="36"/>
      <c r="WMQ195" s="36"/>
      <c r="WMR195" s="36"/>
      <c r="WMS195" s="36"/>
      <c r="WMT195" s="36"/>
      <c r="WMU195" s="36"/>
      <c r="WMV195" s="36"/>
      <c r="WMW195" s="36"/>
      <c r="WMX195" s="36"/>
      <c r="WMY195" s="36"/>
      <c r="WMZ195" s="36"/>
      <c r="WNA195" s="36"/>
      <c r="WNB195" s="36"/>
      <c r="WNC195" s="36"/>
      <c r="WND195" s="36"/>
      <c r="WNE195" s="36"/>
      <c r="WNF195" s="36"/>
      <c r="WNG195" s="36"/>
      <c r="WNH195" s="36"/>
      <c r="WNI195" s="36"/>
      <c r="WNJ195" s="36"/>
      <c r="WNK195" s="36"/>
      <c r="WNL195" s="36"/>
      <c r="WNM195" s="36"/>
      <c r="WNN195" s="36"/>
      <c r="WNO195" s="36"/>
      <c r="WNP195" s="36"/>
      <c r="WNQ195" s="36"/>
      <c r="WNR195" s="36"/>
      <c r="WNS195" s="36"/>
      <c r="WNT195" s="36"/>
      <c r="WNU195" s="36"/>
      <c r="WNV195" s="36"/>
      <c r="WNW195" s="36"/>
      <c r="WNX195" s="36"/>
      <c r="WNY195" s="36"/>
      <c r="WNZ195" s="36"/>
      <c r="WOA195" s="36"/>
      <c r="WOB195" s="36"/>
      <c r="WOC195" s="36"/>
      <c r="WOD195" s="36"/>
      <c r="WOE195" s="36"/>
      <c r="WOF195" s="36"/>
      <c r="WOG195" s="36"/>
      <c r="WOH195" s="36"/>
      <c r="WOI195" s="36"/>
      <c r="WOJ195" s="36"/>
      <c r="WOK195" s="36"/>
      <c r="WOL195" s="36"/>
      <c r="WOM195" s="36"/>
      <c r="WON195" s="36"/>
      <c r="WOO195" s="36"/>
      <c r="WOP195" s="36"/>
      <c r="WOQ195" s="36"/>
      <c r="WOR195" s="36"/>
      <c r="WOS195" s="36"/>
      <c r="WOT195" s="36"/>
      <c r="WOU195" s="36"/>
      <c r="WOV195" s="36"/>
      <c r="WOW195" s="36"/>
      <c r="WOX195" s="36"/>
      <c r="WOY195" s="36"/>
      <c r="WOZ195" s="36"/>
      <c r="WPA195" s="36"/>
      <c r="WPB195" s="36"/>
      <c r="WPC195" s="36"/>
      <c r="WPD195" s="36"/>
      <c r="WPE195" s="36"/>
      <c r="WPF195" s="36"/>
      <c r="WPG195" s="36"/>
      <c r="WPH195" s="36"/>
      <c r="WPI195" s="36"/>
      <c r="WPJ195" s="36"/>
      <c r="WPK195" s="36"/>
      <c r="WPL195" s="36"/>
      <c r="WPM195" s="36"/>
      <c r="WPN195" s="36"/>
      <c r="WPO195" s="36"/>
      <c r="WPP195" s="36"/>
      <c r="WPQ195" s="36"/>
      <c r="WPR195" s="36"/>
      <c r="WPS195" s="36"/>
      <c r="WPT195" s="36"/>
      <c r="WPU195" s="36"/>
      <c r="WPV195" s="36"/>
      <c r="WPW195" s="36"/>
      <c r="WPX195" s="36"/>
      <c r="WPY195" s="36"/>
      <c r="WPZ195" s="36"/>
      <c r="WQA195" s="36"/>
      <c r="WQB195" s="36"/>
      <c r="WQC195" s="36"/>
      <c r="WQD195" s="36"/>
      <c r="WQE195" s="36"/>
      <c r="WQF195" s="36"/>
      <c r="WQG195" s="36"/>
      <c r="WQH195" s="36"/>
      <c r="WQI195" s="36"/>
      <c r="WQJ195" s="36"/>
      <c r="WQK195" s="36"/>
      <c r="WQL195" s="36"/>
      <c r="WQM195" s="36"/>
      <c r="WQN195" s="36"/>
      <c r="WQO195" s="36"/>
      <c r="WQP195" s="36"/>
      <c r="WQQ195" s="36"/>
      <c r="WQR195" s="36"/>
      <c r="WQS195" s="36"/>
      <c r="WQT195" s="36"/>
      <c r="WQU195" s="36"/>
      <c r="WQV195" s="36"/>
      <c r="WQW195" s="36"/>
      <c r="WQX195" s="36"/>
      <c r="WQY195" s="36"/>
      <c r="WQZ195" s="36"/>
      <c r="WRA195" s="36"/>
      <c r="WRB195" s="36"/>
      <c r="WRC195" s="36"/>
      <c r="WRD195" s="36"/>
      <c r="WRE195" s="36"/>
      <c r="WRF195" s="36"/>
      <c r="WRG195" s="36"/>
      <c r="WRH195" s="36"/>
      <c r="WRI195" s="36"/>
      <c r="WRJ195" s="36"/>
      <c r="WRK195" s="36"/>
      <c r="WRL195" s="36"/>
      <c r="WRM195" s="36"/>
      <c r="WRN195" s="36"/>
      <c r="WRO195" s="36"/>
      <c r="WRP195" s="36"/>
      <c r="WRQ195" s="36"/>
      <c r="WRR195" s="36"/>
      <c r="WRS195" s="36"/>
      <c r="WRT195" s="36"/>
      <c r="WRU195" s="36"/>
      <c r="WRV195" s="36"/>
      <c r="WRW195" s="36"/>
      <c r="WRX195" s="36"/>
      <c r="WRY195" s="36"/>
      <c r="WRZ195" s="36"/>
      <c r="WSA195" s="36"/>
      <c r="WSB195" s="36"/>
      <c r="WSC195" s="36"/>
      <c r="WSD195" s="36"/>
      <c r="WSE195" s="36"/>
      <c r="WSF195" s="36"/>
      <c r="WSG195" s="36"/>
      <c r="WSH195" s="36"/>
      <c r="WSI195" s="36"/>
      <c r="WSJ195" s="36"/>
      <c r="WSK195" s="36"/>
      <c r="WSL195" s="36"/>
      <c r="WSM195" s="36"/>
      <c r="WSN195" s="36"/>
      <c r="WSO195" s="36"/>
      <c r="WSP195" s="36"/>
      <c r="WSQ195" s="36"/>
      <c r="WSR195" s="36"/>
      <c r="WSS195" s="36"/>
      <c r="WST195" s="36"/>
      <c r="WSU195" s="36"/>
      <c r="WSV195" s="36"/>
      <c r="WSW195" s="36"/>
      <c r="WSX195" s="36"/>
      <c r="WSY195" s="36"/>
      <c r="WSZ195" s="36"/>
      <c r="WTA195" s="36"/>
      <c r="WTB195" s="36"/>
      <c r="WTC195" s="36"/>
      <c r="WTD195" s="36"/>
      <c r="WTE195" s="36"/>
      <c r="WTF195" s="36"/>
      <c r="WTG195" s="36"/>
      <c r="WTH195" s="36"/>
      <c r="WTI195" s="36"/>
      <c r="WTJ195" s="36"/>
      <c r="WTK195" s="36"/>
      <c r="WTL195" s="36"/>
      <c r="WTM195" s="36"/>
      <c r="WTN195" s="36"/>
      <c r="WTO195" s="36"/>
      <c r="WTP195" s="36"/>
      <c r="WTQ195" s="36"/>
      <c r="WTR195" s="36"/>
      <c r="WTS195" s="36"/>
      <c r="WTT195" s="36"/>
      <c r="WTU195" s="36"/>
      <c r="WTV195" s="36"/>
      <c r="WTW195" s="36"/>
      <c r="WTX195" s="36"/>
      <c r="WTY195" s="36"/>
      <c r="WTZ195" s="36"/>
      <c r="WUA195" s="36"/>
      <c r="WUB195" s="36"/>
      <c r="WUC195" s="36"/>
      <c r="WUD195" s="36"/>
      <c r="WUE195" s="36"/>
      <c r="WUF195" s="36"/>
      <c r="WUG195" s="36"/>
      <c r="WUH195" s="36"/>
      <c r="WUI195" s="36"/>
      <c r="WUJ195" s="36"/>
      <c r="WUK195" s="36"/>
      <c r="WUL195" s="36"/>
      <c r="WUM195" s="36"/>
      <c r="WUN195" s="36"/>
      <c r="WUO195" s="36"/>
      <c r="WUP195" s="36"/>
      <c r="WUQ195" s="36"/>
      <c r="WUR195" s="36"/>
      <c r="WUS195" s="36"/>
      <c r="WUT195" s="36"/>
      <c r="WUU195" s="36"/>
      <c r="WUV195" s="36"/>
      <c r="WUW195" s="36"/>
      <c r="WUX195" s="36"/>
      <c r="WUY195" s="36"/>
      <c r="WUZ195" s="36"/>
      <c r="WVA195" s="36"/>
      <c r="WVB195" s="36"/>
      <c r="WVC195" s="36"/>
      <c r="WVD195" s="36"/>
      <c r="WVE195" s="36"/>
      <c r="WVF195" s="36"/>
      <c r="WVG195" s="36"/>
      <c r="WVH195" s="36"/>
      <c r="WVI195" s="36"/>
      <c r="WVJ195" s="36"/>
      <c r="WVK195" s="36"/>
      <c r="WVL195" s="36"/>
      <c r="WVM195" s="36"/>
      <c r="WVN195" s="36"/>
      <c r="WVO195" s="36"/>
      <c r="WVP195" s="36"/>
      <c r="WVQ195" s="36"/>
      <c r="WVR195" s="36"/>
      <c r="WVS195" s="36"/>
      <c r="WVT195" s="36"/>
      <c r="WVU195" s="36"/>
      <c r="WVV195" s="36"/>
      <c r="WVW195" s="36"/>
      <c r="WVX195" s="36"/>
      <c r="WVY195" s="36"/>
      <c r="WVZ195" s="36"/>
      <c r="WWA195" s="36"/>
      <c r="WWB195" s="36"/>
      <c r="WWC195" s="36"/>
      <c r="WWD195" s="36"/>
      <c r="WWE195" s="36"/>
      <c r="WWF195" s="36"/>
      <c r="WWG195" s="36"/>
      <c r="WWH195" s="36"/>
      <c r="WWI195" s="36"/>
      <c r="WWJ195" s="36"/>
      <c r="WWK195" s="36"/>
      <c r="WWL195" s="36"/>
      <c r="WWM195" s="36"/>
      <c r="WWN195" s="36"/>
      <c r="WWO195" s="36"/>
      <c r="WWP195" s="36"/>
      <c r="WWQ195" s="36"/>
      <c r="WWR195" s="36"/>
      <c r="WWS195" s="36"/>
      <c r="WWT195" s="36"/>
      <c r="WWU195" s="36"/>
      <c r="WWV195" s="36"/>
      <c r="WWW195" s="36"/>
      <c r="WWX195" s="36"/>
      <c r="WWY195" s="36"/>
      <c r="WWZ195" s="36"/>
      <c r="WXA195" s="36"/>
      <c r="WXB195" s="36"/>
      <c r="WXC195" s="36"/>
      <c r="WXD195" s="36"/>
      <c r="WXE195" s="36"/>
      <c r="WXF195" s="36"/>
      <c r="WXG195" s="36"/>
      <c r="WXH195" s="36"/>
      <c r="WXI195" s="36"/>
      <c r="WXJ195" s="36"/>
      <c r="WXK195" s="36"/>
      <c r="WXL195" s="36"/>
      <c r="WXM195" s="36"/>
      <c r="WXN195" s="36"/>
      <c r="WXO195" s="36"/>
      <c r="WXP195" s="36"/>
      <c r="WXQ195" s="36"/>
      <c r="WXR195" s="36"/>
      <c r="WXS195" s="36"/>
      <c r="WXT195" s="36"/>
      <c r="WXU195" s="36"/>
      <c r="WXV195" s="36"/>
      <c r="WXW195" s="36"/>
      <c r="WXX195" s="36"/>
      <c r="WXY195" s="36"/>
      <c r="WXZ195" s="36"/>
      <c r="WYA195" s="36"/>
      <c r="WYB195" s="36"/>
      <c r="WYC195" s="36"/>
      <c r="WYD195" s="36"/>
      <c r="WYE195" s="36"/>
      <c r="WYF195" s="36"/>
      <c r="WYG195" s="36"/>
      <c r="WYH195" s="36"/>
      <c r="WYI195" s="36"/>
      <c r="WYJ195" s="36"/>
      <c r="WYK195" s="36"/>
      <c r="WYL195" s="36"/>
      <c r="WYM195" s="36"/>
      <c r="WYN195" s="36"/>
      <c r="WYO195" s="36"/>
      <c r="WYP195" s="36"/>
      <c r="WYQ195" s="36"/>
      <c r="WYR195" s="36"/>
      <c r="WYS195" s="36"/>
      <c r="WYT195" s="36"/>
      <c r="WYU195" s="36"/>
      <c r="WYV195" s="36"/>
      <c r="WYW195" s="36"/>
      <c r="WYX195" s="36"/>
      <c r="WYY195" s="36"/>
      <c r="WYZ195" s="36"/>
      <c r="WZA195" s="36"/>
      <c r="WZB195" s="36"/>
      <c r="WZC195" s="36"/>
      <c r="WZD195" s="36"/>
      <c r="WZE195" s="36"/>
      <c r="WZF195" s="36"/>
      <c r="WZG195" s="36"/>
      <c r="WZH195" s="36"/>
      <c r="WZI195" s="36"/>
      <c r="WZJ195" s="36"/>
      <c r="WZK195" s="36"/>
      <c r="WZL195" s="36"/>
      <c r="WZM195" s="36"/>
      <c r="WZN195" s="36"/>
      <c r="WZO195" s="36"/>
      <c r="WZP195" s="36"/>
      <c r="WZQ195" s="36"/>
      <c r="WZR195" s="36"/>
      <c r="WZS195" s="36"/>
      <c r="WZT195" s="36"/>
      <c r="WZU195" s="36"/>
      <c r="WZV195" s="36"/>
      <c r="WZW195" s="36"/>
      <c r="WZX195" s="36"/>
      <c r="WZY195" s="36"/>
      <c r="WZZ195" s="36"/>
      <c r="XAA195" s="36"/>
      <c r="XAB195" s="36"/>
      <c r="XAC195" s="36"/>
      <c r="XAD195" s="36"/>
      <c r="XAE195" s="36"/>
      <c r="XAF195" s="36"/>
      <c r="XAG195" s="36"/>
      <c r="XAH195" s="36"/>
      <c r="XAI195" s="36"/>
      <c r="XAJ195" s="36"/>
      <c r="XAK195" s="36"/>
      <c r="XAL195" s="36"/>
      <c r="XAM195" s="36"/>
      <c r="XAN195" s="36"/>
      <c r="XAO195" s="36"/>
      <c r="XAP195" s="36"/>
      <c r="XAQ195" s="36"/>
      <c r="XAR195" s="36"/>
      <c r="XAS195" s="36"/>
      <c r="XAT195" s="36"/>
      <c r="XAU195" s="36"/>
      <c r="XAV195" s="36"/>
      <c r="XAW195" s="36"/>
      <c r="XAX195" s="36"/>
      <c r="XAY195" s="36"/>
      <c r="XAZ195" s="36"/>
      <c r="XBA195" s="36"/>
      <c r="XBB195" s="36"/>
      <c r="XBC195" s="36"/>
      <c r="XBD195" s="36"/>
      <c r="XBE195" s="36"/>
      <c r="XBF195" s="36"/>
      <c r="XBG195" s="36"/>
      <c r="XBH195" s="36"/>
      <c r="XBI195" s="36"/>
      <c r="XBJ195" s="36"/>
      <c r="XBK195" s="36"/>
      <c r="XBL195" s="36"/>
      <c r="XBM195" s="36"/>
      <c r="XBN195" s="36"/>
      <c r="XBO195" s="36"/>
      <c r="XBP195" s="36"/>
      <c r="XBQ195" s="36"/>
      <c r="XBR195" s="36"/>
      <c r="XBS195" s="36"/>
      <c r="XBT195" s="36"/>
      <c r="XBU195" s="36"/>
      <c r="XBV195" s="36"/>
      <c r="XBW195" s="36"/>
      <c r="XBX195" s="36"/>
      <c r="XBY195" s="36"/>
      <c r="XBZ195" s="36"/>
      <c r="XCA195" s="36"/>
      <c r="XCB195" s="36"/>
      <c r="XCC195" s="36"/>
      <c r="XCD195" s="36"/>
      <c r="XCE195" s="36"/>
      <c r="XCF195" s="36"/>
      <c r="XCG195" s="36"/>
      <c r="XCH195" s="36"/>
      <c r="XCI195" s="36"/>
      <c r="XCJ195" s="36"/>
      <c r="XCK195" s="36"/>
      <c r="XCL195" s="36"/>
      <c r="XCM195" s="36"/>
      <c r="XCN195" s="36"/>
      <c r="XCO195" s="36"/>
      <c r="XCP195" s="36"/>
      <c r="XCQ195" s="36"/>
      <c r="XCR195" s="36"/>
      <c r="XCS195" s="36"/>
      <c r="XCT195" s="36"/>
      <c r="XCU195" s="36"/>
      <c r="XCV195" s="36"/>
      <c r="XCW195" s="36"/>
      <c r="XCX195" s="36"/>
      <c r="XCY195" s="36"/>
      <c r="XCZ195" s="36"/>
      <c r="XDA195" s="36"/>
      <c r="XDB195" s="36"/>
      <c r="XDC195" s="36"/>
      <c r="XDD195" s="36"/>
      <c r="XDE195" s="36"/>
      <c r="XDF195" s="36"/>
      <c r="XDG195" s="36"/>
      <c r="XDH195" s="36"/>
      <c r="XDI195" s="36"/>
      <c r="XDJ195" s="36"/>
      <c r="XDK195" s="36"/>
      <c r="XDL195" s="36"/>
      <c r="XDM195" s="36"/>
      <c r="XDN195" s="36"/>
      <c r="XDO195" s="36"/>
      <c r="XDP195" s="36"/>
      <c r="XDQ195" s="36"/>
      <c r="XDR195" s="36"/>
      <c r="XDS195" s="36"/>
      <c r="XDT195" s="36"/>
      <c r="XDU195" s="36"/>
      <c r="XDV195" s="36"/>
      <c r="XDW195" s="36"/>
      <c r="XDX195" s="36"/>
      <c r="XDY195" s="36"/>
      <c r="XDZ195" s="36"/>
      <c r="XEA195" s="36"/>
      <c r="XEB195" s="36"/>
      <c r="XEC195" s="36"/>
      <c r="XED195" s="36"/>
      <c r="XEE195" s="36"/>
      <c r="XEF195" s="36"/>
      <c r="XEG195" s="36"/>
      <c r="XEH195" s="36"/>
      <c r="XEI195" s="36"/>
      <c r="XEJ195" s="36"/>
      <c r="XEK195" s="36"/>
      <c r="XEL195" s="36"/>
      <c r="XEM195" s="36"/>
      <c r="XEN195" s="36"/>
      <c r="XEO195" s="36"/>
      <c r="XEP195" s="36"/>
      <c r="XEQ195" s="36"/>
      <c r="XER195" s="36"/>
      <c r="XES195" s="36"/>
      <c r="XET195" s="36"/>
      <c r="XEU195" s="36"/>
      <c r="XEV195" s="36"/>
      <c r="XEW195" s="36"/>
      <c r="XEX195" s="36"/>
      <c r="XEY195" s="36"/>
      <c r="XEZ195" s="36"/>
      <c r="XFA195" s="36"/>
      <c r="XFB195" s="36"/>
      <c r="XFC195" s="36"/>
    </row>
    <row r="196" spans="1:16383" ht="15" hidden="1" thickTop="1">
      <c r="B196" s="412" t="str">
        <f t="shared" ref="B196:B202" si="12">D$196</f>
        <v>Canola</v>
      </c>
      <c r="C196" s="2086" t="s">
        <v>275</v>
      </c>
      <c r="D196" s="832" t="s">
        <v>218</v>
      </c>
      <c r="E196" s="1370" t="s">
        <v>224</v>
      </c>
      <c r="F196" s="1945" t="str">
        <f>IFERROR(G196/G$248,"")</f>
        <v/>
      </c>
      <c r="G196" s="1946">
        <f>SUMIFS(F$92:F$101,PlanRotationPaturageS0,$B196)+SUMIFS(F$78:F$87,PlanRotationS0,$B196)</f>
        <v>0</v>
      </c>
      <c r="H196" s="837" t="str">
        <f>IFERROR(I196/I$248,"")</f>
        <v/>
      </c>
      <c r="I196" s="845">
        <f>SUMIFS(H$92:H$101,PlanRotationPaturageS1,$B196)+SUMIFS(H$78:H$87,PlanRotationS1,$B196)</f>
        <v>0</v>
      </c>
      <c r="J196" s="839" t="str">
        <f>IFERROR(K196/K$248,"")</f>
        <v/>
      </c>
      <c r="K196" s="845">
        <f>SUMIFS(J$92:J$101,PlanRotationPaturageS2,$B196)+SUMIFS(J$78:J$87,PlanRotationS2,$B196)</f>
        <v>0</v>
      </c>
      <c r="L196" s="842" t="str">
        <f>IFERROR(M196/M$248,"")</f>
        <v/>
      </c>
      <c r="M196" s="845">
        <f>SUMIFS(L$92:L$101,PlanRotationPaturageS3,$B196)+SUMIFS(L$78:L$87,PlanRotationS3,$B196)</f>
        <v>0</v>
      </c>
      <c r="N196" s="842" t="str">
        <f>IFERROR(O196/O$248,"")</f>
        <v/>
      </c>
      <c r="O196" s="845">
        <f>SUMIFS(N$92:N$101,PlanRotationPaturageS4,$B196)+SUMIFS(N$78:N$87,PlanRotationS4,$B196)</f>
        <v>0</v>
      </c>
      <c r="P196" s="842" t="str">
        <f>IFERROR(Q196/Q$248,"")</f>
        <v/>
      </c>
      <c r="Q196" s="845">
        <f>SUMIFS(P$92:P$101,PlanRotationPaturageS5,$B196)+SUMIFS(P$78:P$87,PlanRotationS5,$B196)</f>
        <v>0</v>
      </c>
    </row>
    <row r="197" spans="1:16383" hidden="1">
      <c r="B197" s="412" t="str">
        <f t="shared" si="12"/>
        <v>Canola</v>
      </c>
      <c r="D197" s="765" t="s">
        <v>281</v>
      </c>
      <c r="E197" s="1371" t="s">
        <v>254</v>
      </c>
      <c r="F197" s="1953"/>
      <c r="G197" s="1946">
        <f ca="1">OFFSET(RéfChamps!$CH$55,0,IF(ProdS0="Biologique",0,3))</f>
        <v>648.45051696268661</v>
      </c>
      <c r="H197" s="994"/>
      <c r="I197" s="834">
        <f ca="1">OFFSET(RéfChamps!$CH$55,0,IF(ProdS1="Biologique",0,3))</f>
        <v>791.92417401777777</v>
      </c>
      <c r="J197" s="996"/>
      <c r="K197" s="834">
        <f ca="1">OFFSET(RéfChamps!$CH$55,0,IF(ProdS2="Biologique",0,3))</f>
        <v>648.45051696268661</v>
      </c>
      <c r="L197" s="999"/>
      <c r="M197" s="834">
        <f ca="1">OFFSET(RéfChamps!$CH$55,0,IF(ProdS3="Biologique",0,3))</f>
        <v>648.45051696268661</v>
      </c>
      <c r="N197" s="999"/>
      <c r="O197" s="834">
        <f ca="1">OFFSET(RéfChamps!$CH$55,0,IF(ProdS4="Biologique",0,3))</f>
        <v>648.45051696268661</v>
      </c>
      <c r="P197" s="999"/>
      <c r="Q197" s="834">
        <f ca="1">OFFSET(RéfChamps!$CH$55,0,IF(ProdS5="Biologique",0,3))</f>
        <v>648.45051696268661</v>
      </c>
      <c r="S197" s="14"/>
    </row>
    <row r="198" spans="1:16383" hidden="1">
      <c r="B198" s="412" t="str">
        <f t="shared" si="12"/>
        <v>Canola</v>
      </c>
      <c r="D198" s="765" t="s">
        <v>252</v>
      </c>
      <c r="E198" s="1371" t="s">
        <v>937</v>
      </c>
      <c r="F198" s="1945"/>
      <c r="G198" s="1946">
        <f ca="1">OFFSET(RéfChamps!$CF$5,0,IF(ProdS0="Biologique",0,3))</f>
        <v>1.5</v>
      </c>
      <c r="H198" s="994"/>
      <c r="I198" s="1468">
        <f ca="1">OFFSET(RéfChamps!$CF$5,0,IF(ProdS1="Biologique",0,3))</f>
        <v>1.57</v>
      </c>
      <c r="J198" s="996"/>
      <c r="K198" s="1072">
        <f ca="1">OFFSET(RéfChamps!$CF$5,0,IF(ProdS2="Biologique",0,3))</f>
        <v>1.5</v>
      </c>
      <c r="L198" s="1073"/>
      <c r="M198" s="1072">
        <f ca="1">OFFSET(RéfChamps!$CF$5,0,IF(ProdS3="Biologique",0,3))</f>
        <v>1.5</v>
      </c>
      <c r="N198" s="1073"/>
      <c r="O198" s="1072">
        <f ca="1">OFFSET(RéfChamps!$CF$5,0,IF(ProdS4="Biologique",0,3))</f>
        <v>1.5</v>
      </c>
      <c r="P198" s="1073"/>
      <c r="Q198" s="1072">
        <f ca="1">OFFSET(RéfChamps!$CF$5,0,IF(ProdS5="Biologique",0,3))</f>
        <v>1.5</v>
      </c>
    </row>
    <row r="199" spans="1:16383" hidden="1">
      <c r="B199" s="412" t="str">
        <f t="shared" si="12"/>
        <v>Canola</v>
      </c>
      <c r="D199" s="765" t="s">
        <v>253</v>
      </c>
      <c r="E199" s="1371" t="s">
        <v>225</v>
      </c>
      <c r="F199" s="1945"/>
      <c r="G199" s="1946">
        <f ca="1">OFFSET(RéfChamps!$CG$5,0,IF(PrixS0="Biologique",0,3))</f>
        <v>485</v>
      </c>
      <c r="H199" s="994"/>
      <c r="I199" s="835">
        <f ca="1">OFFSET(RéfChamps!$CG$5,0,IF(PrixS1="Biologique",0,3))</f>
        <v>485</v>
      </c>
      <c r="J199" s="996"/>
      <c r="K199" s="835">
        <f ca="1">OFFSET(RéfChamps!$CG$5,0,IF(PrixS2="Biologique",0,3))</f>
        <v>485</v>
      </c>
      <c r="L199" s="1000"/>
      <c r="M199" s="835">
        <f ca="1">OFFSET(RéfChamps!$CG$5,0,IF(PrixS3="Biologique",0,3))</f>
        <v>485</v>
      </c>
      <c r="N199" s="1000"/>
      <c r="O199" s="835">
        <f ca="1">OFFSET(RéfChamps!$CG$5,0,IF(PrixS4="Biologique",0,3))</f>
        <v>1192</v>
      </c>
      <c r="P199" s="1000"/>
      <c r="Q199" s="835">
        <f ca="1">OFFSET(RéfChamps!$CG$5,0,IF(PrixS5="Biologique",0,3))</f>
        <v>1192</v>
      </c>
    </row>
    <row r="200" spans="1:16383" hidden="1">
      <c r="B200" s="412" t="str">
        <f t="shared" si="12"/>
        <v>Canola</v>
      </c>
      <c r="D200" s="765" t="s">
        <v>282</v>
      </c>
      <c r="E200" s="1371" t="s">
        <v>254</v>
      </c>
      <c r="F200" s="1945"/>
      <c r="G200" s="1946">
        <f ca="1">SUMPRODUCT(OFFSET(RéfChamps!$CF$5:$CF$9,0,IF(ProdS0="Biologique",0,3)),OFFSET(RéfChamps!$CG$5:$CG$9,0,IF(PrixS0="Biologique",0,3)))</f>
        <v>860.76440000000002</v>
      </c>
      <c r="H200" s="994"/>
      <c r="I200" s="835">
        <f ca="1">SUMPRODUCT(OFFSET(RéfChamps!$CF$5:$CF$9,0,IF(ProdS1="Biologique",0,3)),OFFSET(RéfChamps!$CG$5:$CG$9,0,IF(PrixS1="Biologique",0,3)))</f>
        <v>894.71440000000007</v>
      </c>
      <c r="J200" s="997"/>
      <c r="K200" s="835">
        <f ca="1">SUMPRODUCT(OFFSET(RéfChamps!$CF$5:$CF$9,0,IF(ProdS2="Biologique",0,3)),OFFSET(RéfChamps!$CG$5:$CG$9,0,IF(PrixS2="Biologique",0,3)))</f>
        <v>860.76440000000002</v>
      </c>
      <c r="L200" s="1000"/>
      <c r="M200" s="835">
        <f ca="1">SUMPRODUCT(OFFSET(RéfChamps!$CF$5:$CF$9,0,IF(ProdS3="Biologique",0,3)),OFFSET(RéfChamps!$CG$5:$CG$9,0,IF(PrixS3="Biologique",0,3)))</f>
        <v>860.76440000000002</v>
      </c>
      <c r="N200" s="1000"/>
      <c r="O200" s="835">
        <f ca="1">SUMPRODUCT(OFFSET(RéfChamps!$CF$5:$CF$9,0,IF(ProdS4="Biologique",0,3)),OFFSET(RéfChamps!$CG$5:$CG$9,0,IF(PrixS4="Biologique",0,3)))</f>
        <v>1805.248</v>
      </c>
      <c r="P200" s="1000"/>
      <c r="Q200" s="835">
        <f ca="1">SUMPRODUCT(OFFSET(RéfChamps!$CF$5:$CF$9,0,IF(ProdS5="Biologique",0,3)),OFFSET(RéfChamps!$CG$5:$CG$9,0,IF(PrixS5="Biologique",0,3)))</f>
        <v>1805.248</v>
      </c>
    </row>
    <row r="201" spans="1:16383" s="346" customFormat="1" ht="15" hidden="1" thickBot="1">
      <c r="A201" s="413"/>
      <c r="B201" s="428" t="str">
        <f t="shared" si="12"/>
        <v>Canola</v>
      </c>
      <c r="D201" s="765" t="s">
        <v>1457</v>
      </c>
      <c r="E201" s="1371" t="s">
        <v>254</v>
      </c>
      <c r="F201" s="1945"/>
      <c r="G201" s="1951">
        <f ca="1">IFERROR(G200-G197,"Erreur")</f>
        <v>212.31388303731342</v>
      </c>
      <c r="H201" s="994"/>
      <c r="I201" s="846">
        <f ca="1">IFERROR(I200-I197,"Erreur")</f>
        <v>102.7902259822223</v>
      </c>
      <c r="J201" s="998"/>
      <c r="K201" s="846">
        <f ca="1">IFERROR(K200-K197,"Erreur")</f>
        <v>212.31388303731342</v>
      </c>
      <c r="L201" s="1001"/>
      <c r="M201" s="846">
        <f ca="1">IFERROR(M200-M197,"Erreur")</f>
        <v>212.31388303731342</v>
      </c>
      <c r="N201" s="1001"/>
      <c r="O201" s="846">
        <f ca="1">IFERROR(O200-O197,"Erreur")</f>
        <v>1156.7974830373134</v>
      </c>
      <c r="P201" s="1001"/>
      <c r="Q201" s="846">
        <f ca="1">IFERROR(Q200-Q197,"Erreur")</f>
        <v>1156.7974830373134</v>
      </c>
      <c r="R201" s="1698"/>
    </row>
    <row r="202" spans="1:16383" s="28" customFormat="1" ht="15.75" hidden="1" thickTop="1" thickBot="1">
      <c r="A202" s="411"/>
      <c r="B202" s="428" t="str">
        <f t="shared" si="12"/>
        <v>Canola</v>
      </c>
      <c r="C202" s="36"/>
      <c r="D202" s="2085" t="str">
        <f>"Détails pour le "&amp;LOWER(D196)</f>
        <v>Détails pour le canola</v>
      </c>
      <c r="E202" s="1371"/>
      <c r="F202" s="1952"/>
      <c r="G202" s="1946"/>
      <c r="H202" s="994"/>
      <c r="I202" s="1612"/>
      <c r="J202" s="1002"/>
      <c r="K202" s="1612"/>
      <c r="L202" s="1002"/>
      <c r="M202" s="1612"/>
      <c r="N202" s="1002"/>
      <c r="O202" s="1612"/>
      <c r="P202" s="1002"/>
      <c r="Q202" s="1612"/>
      <c r="R202" s="1701"/>
      <c r="S202" s="36"/>
      <c r="T202" s="36"/>
      <c r="U202" s="36"/>
      <c r="V202" s="36"/>
      <c r="W202" s="36"/>
      <c r="X202" s="36"/>
      <c r="Y202" s="36"/>
      <c r="Z202" s="36"/>
      <c r="AA202" s="36"/>
      <c r="AB202" s="36"/>
      <c r="AC202" s="36"/>
      <c r="AD202" s="36"/>
      <c r="AE202" s="36"/>
      <c r="AF202" s="36"/>
      <c r="AG202" s="36"/>
      <c r="AH202" s="36"/>
      <c r="AI202" s="36"/>
      <c r="AJ202" s="36"/>
      <c r="AK202" s="36"/>
      <c r="AL202" s="36"/>
      <c r="AM202" s="36"/>
      <c r="AN202" s="36"/>
      <c r="AO202" s="36"/>
      <c r="AP202" s="36"/>
      <c r="AQ202" s="36"/>
      <c r="AR202" s="36"/>
      <c r="AS202" s="36"/>
      <c r="AT202" s="36"/>
      <c r="AU202" s="36"/>
      <c r="AV202" s="36"/>
      <c r="AW202" s="36"/>
      <c r="AX202" s="36"/>
      <c r="AY202" s="36"/>
      <c r="AZ202" s="36"/>
      <c r="BA202" s="36"/>
      <c r="BB202" s="36"/>
      <c r="BC202" s="36"/>
      <c r="BD202" s="36"/>
      <c r="BE202" s="36"/>
      <c r="BF202" s="36"/>
      <c r="BG202" s="36"/>
      <c r="BH202" s="36"/>
      <c r="BI202" s="36"/>
      <c r="BJ202" s="36"/>
      <c r="BK202" s="36"/>
      <c r="BL202" s="36"/>
      <c r="BM202" s="36"/>
      <c r="BN202" s="36"/>
      <c r="BO202" s="36"/>
      <c r="BP202" s="36"/>
      <c r="BQ202" s="36"/>
      <c r="BR202" s="36"/>
      <c r="BS202" s="36"/>
      <c r="BT202" s="36"/>
      <c r="BU202" s="36"/>
      <c r="BV202" s="36"/>
      <c r="BW202" s="36"/>
      <c r="BX202" s="36"/>
      <c r="BY202" s="36"/>
      <c r="BZ202" s="36"/>
      <c r="CA202" s="36"/>
      <c r="CB202" s="36"/>
      <c r="CC202" s="36"/>
      <c r="CD202" s="36"/>
      <c r="CE202" s="36"/>
      <c r="CF202" s="36"/>
      <c r="CG202" s="36"/>
      <c r="CH202" s="36"/>
      <c r="CI202" s="36"/>
      <c r="CJ202" s="36"/>
      <c r="CK202" s="36"/>
      <c r="CL202" s="36"/>
      <c r="CM202" s="36"/>
      <c r="CN202" s="36"/>
      <c r="CO202" s="36"/>
      <c r="CP202" s="36"/>
      <c r="CQ202" s="36"/>
      <c r="CR202" s="36"/>
      <c r="CS202" s="36"/>
      <c r="CT202" s="36"/>
      <c r="CU202" s="36"/>
      <c r="CV202" s="36"/>
      <c r="CW202" s="36"/>
      <c r="CX202" s="36"/>
      <c r="CY202" s="36"/>
      <c r="CZ202" s="36"/>
      <c r="DA202" s="36"/>
      <c r="DB202" s="36"/>
      <c r="DC202" s="36"/>
      <c r="DD202" s="36"/>
      <c r="DE202" s="36"/>
      <c r="DF202" s="36"/>
      <c r="DG202" s="36"/>
      <c r="DH202" s="36"/>
      <c r="DI202" s="36"/>
      <c r="DJ202" s="36"/>
      <c r="DK202" s="36"/>
      <c r="DL202" s="36"/>
      <c r="DM202" s="36"/>
      <c r="DN202" s="36"/>
      <c r="DO202" s="36"/>
      <c r="DP202" s="36"/>
      <c r="DQ202" s="36"/>
      <c r="DR202" s="36"/>
      <c r="DS202" s="36"/>
      <c r="DT202" s="36"/>
      <c r="DU202" s="36"/>
      <c r="DV202" s="36"/>
      <c r="DW202" s="36"/>
      <c r="DX202" s="36"/>
      <c r="DY202" s="36"/>
      <c r="DZ202" s="36"/>
      <c r="EA202" s="36"/>
      <c r="EB202" s="36"/>
      <c r="EC202" s="36"/>
      <c r="ED202" s="36"/>
      <c r="EE202" s="36"/>
      <c r="EF202" s="36"/>
      <c r="EG202" s="36"/>
      <c r="EH202" s="36"/>
      <c r="EI202" s="36"/>
      <c r="EJ202" s="36"/>
      <c r="EK202" s="36"/>
      <c r="EL202" s="36"/>
      <c r="EM202" s="36"/>
      <c r="EN202" s="36"/>
      <c r="EO202" s="36"/>
      <c r="EP202" s="36"/>
      <c r="EQ202" s="36"/>
      <c r="ER202" s="36"/>
      <c r="ES202" s="36"/>
      <c r="ET202" s="36"/>
      <c r="EU202" s="36"/>
      <c r="EV202" s="36"/>
      <c r="EW202" s="36"/>
      <c r="EX202" s="36"/>
      <c r="EY202" s="36"/>
      <c r="EZ202" s="36"/>
      <c r="FA202" s="36"/>
      <c r="FB202" s="36"/>
      <c r="FC202" s="36"/>
      <c r="FD202" s="36"/>
      <c r="FE202" s="36"/>
      <c r="FF202" s="36"/>
      <c r="FG202" s="36"/>
      <c r="FH202" s="36"/>
      <c r="FI202" s="36"/>
      <c r="FJ202" s="36"/>
      <c r="FK202" s="36"/>
      <c r="FL202" s="36"/>
      <c r="FM202" s="36"/>
      <c r="FN202" s="36"/>
      <c r="FO202" s="36"/>
      <c r="FP202" s="36"/>
      <c r="FQ202" s="36"/>
      <c r="FR202" s="36"/>
      <c r="FS202" s="36"/>
      <c r="FT202" s="36"/>
      <c r="FU202" s="36"/>
      <c r="FV202" s="36"/>
      <c r="FW202" s="36"/>
      <c r="FX202" s="36"/>
      <c r="FY202" s="36"/>
      <c r="FZ202" s="36"/>
      <c r="GA202" s="36"/>
      <c r="GB202" s="36"/>
      <c r="GC202" s="36"/>
      <c r="GD202" s="36"/>
      <c r="GE202" s="36"/>
      <c r="GF202" s="36"/>
      <c r="GG202" s="36"/>
      <c r="GH202" s="36"/>
      <c r="GI202" s="36"/>
      <c r="GJ202" s="36"/>
      <c r="GK202" s="36"/>
      <c r="GL202" s="36"/>
      <c r="GM202" s="36"/>
      <c r="GN202" s="36"/>
      <c r="GO202" s="36"/>
      <c r="GP202" s="36"/>
      <c r="GQ202" s="36"/>
      <c r="GR202" s="36"/>
      <c r="GS202" s="36"/>
      <c r="GT202" s="36"/>
      <c r="GU202" s="36"/>
      <c r="GV202" s="36"/>
      <c r="GW202" s="36"/>
      <c r="GX202" s="36"/>
      <c r="GY202" s="36"/>
      <c r="GZ202" s="36"/>
      <c r="HA202" s="36"/>
      <c r="HB202" s="36"/>
      <c r="HC202" s="36"/>
      <c r="HD202" s="36"/>
      <c r="HE202" s="36"/>
      <c r="HF202" s="36"/>
      <c r="HG202" s="36"/>
      <c r="HH202" s="36"/>
      <c r="HI202" s="36"/>
      <c r="HJ202" s="36"/>
      <c r="HK202" s="36"/>
      <c r="HL202" s="36"/>
      <c r="HM202" s="36"/>
      <c r="HN202" s="36"/>
      <c r="HO202" s="36"/>
      <c r="HP202" s="36"/>
      <c r="HQ202" s="36"/>
      <c r="HR202" s="36"/>
      <c r="HS202" s="36"/>
      <c r="HT202" s="36"/>
      <c r="HU202" s="36"/>
      <c r="HV202" s="36"/>
      <c r="HW202" s="36"/>
      <c r="HX202" s="36"/>
      <c r="HY202" s="36"/>
      <c r="HZ202" s="36"/>
      <c r="IA202" s="36"/>
      <c r="IB202" s="36"/>
      <c r="IC202" s="36"/>
      <c r="ID202" s="36"/>
      <c r="IE202" s="36"/>
      <c r="IF202" s="36"/>
      <c r="IG202" s="36"/>
      <c r="IH202" s="36"/>
      <c r="II202" s="36"/>
      <c r="IJ202" s="36"/>
      <c r="IK202" s="36"/>
      <c r="IL202" s="36"/>
      <c r="IM202" s="36"/>
      <c r="IN202" s="36"/>
      <c r="IO202" s="36"/>
      <c r="IP202" s="36"/>
      <c r="IQ202" s="36"/>
      <c r="IR202" s="36"/>
      <c r="IS202" s="36"/>
      <c r="IT202" s="36"/>
      <c r="IU202" s="36"/>
      <c r="IV202" s="36"/>
      <c r="IW202" s="36"/>
      <c r="IX202" s="36"/>
      <c r="IY202" s="36"/>
      <c r="IZ202" s="36"/>
      <c r="JA202" s="36"/>
      <c r="JB202" s="36"/>
      <c r="JC202" s="36"/>
      <c r="JD202" s="36"/>
      <c r="JE202" s="36"/>
      <c r="JF202" s="36"/>
      <c r="JG202" s="36"/>
      <c r="JH202" s="36"/>
      <c r="JI202" s="36"/>
      <c r="JJ202" s="36"/>
      <c r="JK202" s="36"/>
      <c r="JL202" s="36"/>
      <c r="JM202" s="36"/>
      <c r="JN202" s="36"/>
      <c r="JO202" s="36"/>
      <c r="JP202" s="36"/>
      <c r="JQ202" s="36"/>
      <c r="JR202" s="36"/>
      <c r="JS202" s="36"/>
      <c r="JT202" s="36"/>
      <c r="JU202" s="36"/>
      <c r="JV202" s="36"/>
      <c r="JW202" s="36"/>
      <c r="JX202" s="36"/>
      <c r="JY202" s="36"/>
      <c r="JZ202" s="36"/>
      <c r="KA202" s="36"/>
      <c r="KB202" s="36"/>
      <c r="KC202" s="36"/>
      <c r="KD202" s="36"/>
      <c r="KE202" s="36"/>
      <c r="KF202" s="36"/>
      <c r="KG202" s="36"/>
      <c r="KH202" s="36"/>
      <c r="KI202" s="36"/>
      <c r="KJ202" s="36"/>
      <c r="KK202" s="36"/>
      <c r="KL202" s="36"/>
      <c r="KM202" s="36"/>
      <c r="KN202" s="36"/>
      <c r="KO202" s="36"/>
      <c r="KP202" s="36"/>
      <c r="KQ202" s="36"/>
      <c r="KR202" s="36"/>
      <c r="KS202" s="36"/>
      <c r="KT202" s="36"/>
      <c r="KU202" s="36"/>
      <c r="KV202" s="36"/>
      <c r="KW202" s="36"/>
      <c r="KX202" s="36"/>
      <c r="KY202" s="36"/>
      <c r="KZ202" s="36"/>
      <c r="LA202" s="36"/>
      <c r="LB202" s="36"/>
      <c r="LC202" s="36"/>
      <c r="LD202" s="36"/>
      <c r="LE202" s="36"/>
      <c r="LF202" s="36"/>
      <c r="LG202" s="36"/>
      <c r="LH202" s="36"/>
      <c r="LI202" s="36"/>
      <c r="LJ202" s="36"/>
      <c r="LK202" s="36"/>
      <c r="LL202" s="36"/>
      <c r="LM202" s="36"/>
      <c r="LN202" s="36"/>
      <c r="LO202" s="36"/>
      <c r="LP202" s="36"/>
      <c r="LQ202" s="36"/>
      <c r="LR202" s="36"/>
      <c r="LS202" s="36"/>
      <c r="LT202" s="36"/>
      <c r="LU202" s="36"/>
      <c r="LV202" s="36"/>
      <c r="LW202" s="36"/>
      <c r="LX202" s="36"/>
      <c r="LY202" s="36"/>
      <c r="LZ202" s="36"/>
      <c r="MA202" s="36"/>
      <c r="MB202" s="36"/>
      <c r="MC202" s="36"/>
      <c r="MD202" s="36"/>
      <c r="ME202" s="36"/>
      <c r="MF202" s="36"/>
      <c r="MG202" s="36"/>
      <c r="MH202" s="36"/>
      <c r="MI202" s="36"/>
      <c r="MJ202" s="36"/>
      <c r="MK202" s="36"/>
      <c r="ML202" s="36"/>
      <c r="MM202" s="36"/>
      <c r="MN202" s="36"/>
      <c r="MO202" s="36"/>
      <c r="MP202" s="36"/>
      <c r="MQ202" s="36"/>
      <c r="MR202" s="36"/>
      <c r="MS202" s="36"/>
      <c r="MT202" s="36"/>
      <c r="MU202" s="36"/>
      <c r="MV202" s="36"/>
      <c r="MW202" s="36"/>
      <c r="MX202" s="36"/>
      <c r="MY202" s="36"/>
      <c r="MZ202" s="36"/>
      <c r="NA202" s="36"/>
      <c r="NB202" s="36"/>
      <c r="NC202" s="36"/>
      <c r="ND202" s="36"/>
      <c r="NE202" s="36"/>
      <c r="NF202" s="36"/>
      <c r="NG202" s="36"/>
      <c r="NH202" s="36"/>
      <c r="NI202" s="36"/>
      <c r="NJ202" s="36"/>
      <c r="NK202" s="36"/>
      <c r="NL202" s="36"/>
      <c r="NM202" s="36"/>
      <c r="NN202" s="36"/>
      <c r="NO202" s="36"/>
      <c r="NP202" s="36"/>
      <c r="NQ202" s="36"/>
      <c r="NR202" s="36"/>
      <c r="NS202" s="36"/>
      <c r="NT202" s="36"/>
      <c r="NU202" s="36"/>
      <c r="NV202" s="36"/>
      <c r="NW202" s="36"/>
      <c r="NX202" s="36"/>
      <c r="NY202" s="36"/>
      <c r="NZ202" s="36"/>
      <c r="OA202" s="36"/>
      <c r="OB202" s="36"/>
      <c r="OC202" s="36"/>
      <c r="OD202" s="36"/>
      <c r="OE202" s="36"/>
      <c r="OF202" s="36"/>
      <c r="OG202" s="36"/>
      <c r="OH202" s="36"/>
      <c r="OI202" s="36"/>
      <c r="OJ202" s="36"/>
      <c r="OK202" s="36"/>
      <c r="OL202" s="36"/>
      <c r="OM202" s="36"/>
      <c r="ON202" s="36"/>
      <c r="OO202" s="36"/>
      <c r="OP202" s="36"/>
      <c r="OQ202" s="36"/>
      <c r="OR202" s="36"/>
      <c r="OS202" s="36"/>
      <c r="OT202" s="36"/>
      <c r="OU202" s="36"/>
      <c r="OV202" s="36"/>
      <c r="OW202" s="36"/>
      <c r="OX202" s="36"/>
      <c r="OY202" s="36"/>
      <c r="OZ202" s="36"/>
      <c r="PA202" s="36"/>
      <c r="PB202" s="36"/>
      <c r="PC202" s="36"/>
      <c r="PD202" s="36"/>
      <c r="PE202" s="36"/>
      <c r="PF202" s="36"/>
      <c r="PG202" s="36"/>
      <c r="PH202" s="36"/>
      <c r="PI202" s="36"/>
      <c r="PJ202" s="36"/>
      <c r="PK202" s="36"/>
      <c r="PL202" s="36"/>
      <c r="PM202" s="36"/>
      <c r="PN202" s="36"/>
      <c r="PO202" s="36"/>
      <c r="PP202" s="36"/>
      <c r="PQ202" s="36"/>
      <c r="PR202" s="36"/>
      <c r="PS202" s="36"/>
      <c r="PT202" s="36"/>
      <c r="PU202" s="36"/>
      <c r="PV202" s="36"/>
      <c r="PW202" s="36"/>
      <c r="PX202" s="36"/>
      <c r="PY202" s="36"/>
      <c r="PZ202" s="36"/>
      <c r="QA202" s="36"/>
      <c r="QB202" s="36"/>
      <c r="QC202" s="36"/>
      <c r="QD202" s="36"/>
      <c r="QE202" s="36"/>
      <c r="QF202" s="36"/>
      <c r="QG202" s="36"/>
      <c r="QH202" s="36"/>
      <c r="QI202" s="36"/>
      <c r="QJ202" s="36"/>
      <c r="QK202" s="36"/>
      <c r="QL202" s="36"/>
      <c r="QM202" s="36"/>
      <c r="QN202" s="36"/>
      <c r="QO202" s="36"/>
      <c r="QP202" s="36"/>
      <c r="QQ202" s="36"/>
      <c r="QR202" s="36"/>
      <c r="QS202" s="36"/>
      <c r="QT202" s="36"/>
      <c r="QU202" s="36"/>
      <c r="QV202" s="36"/>
      <c r="QW202" s="36"/>
      <c r="QX202" s="36"/>
      <c r="QY202" s="36"/>
      <c r="QZ202" s="36"/>
      <c r="RA202" s="36"/>
      <c r="RB202" s="36"/>
      <c r="RC202" s="36"/>
      <c r="RD202" s="36"/>
      <c r="RE202" s="36"/>
      <c r="RF202" s="36"/>
      <c r="RG202" s="36"/>
      <c r="RH202" s="36"/>
      <c r="RI202" s="36"/>
      <c r="RJ202" s="36"/>
      <c r="RK202" s="36"/>
      <c r="RL202" s="36"/>
      <c r="RM202" s="36"/>
      <c r="RN202" s="36"/>
      <c r="RO202" s="36"/>
      <c r="RP202" s="36"/>
      <c r="RQ202" s="36"/>
      <c r="RR202" s="36"/>
      <c r="RS202" s="36"/>
      <c r="RT202" s="36"/>
      <c r="RU202" s="36"/>
      <c r="RV202" s="36"/>
      <c r="RW202" s="36"/>
      <c r="RX202" s="36"/>
      <c r="RY202" s="36"/>
      <c r="RZ202" s="36"/>
      <c r="SA202" s="36"/>
      <c r="SB202" s="36"/>
      <c r="SC202" s="36"/>
      <c r="SD202" s="36"/>
      <c r="SE202" s="36"/>
      <c r="SF202" s="36"/>
      <c r="SG202" s="36"/>
      <c r="SH202" s="36"/>
      <c r="SI202" s="36"/>
      <c r="SJ202" s="36"/>
      <c r="SK202" s="36"/>
      <c r="SL202" s="36"/>
      <c r="SM202" s="36"/>
      <c r="SN202" s="36"/>
      <c r="SO202" s="36"/>
      <c r="SP202" s="36"/>
      <c r="SQ202" s="36"/>
      <c r="SR202" s="36"/>
      <c r="SS202" s="36"/>
      <c r="ST202" s="36"/>
      <c r="SU202" s="36"/>
      <c r="SV202" s="36"/>
      <c r="SW202" s="36"/>
      <c r="SX202" s="36"/>
      <c r="SY202" s="36"/>
      <c r="SZ202" s="36"/>
      <c r="TA202" s="36"/>
      <c r="TB202" s="36"/>
      <c r="TC202" s="36"/>
      <c r="TD202" s="36"/>
      <c r="TE202" s="36"/>
      <c r="TF202" s="36"/>
      <c r="TG202" s="36"/>
      <c r="TH202" s="36"/>
      <c r="TI202" s="36"/>
      <c r="TJ202" s="36"/>
      <c r="TK202" s="36"/>
      <c r="TL202" s="36"/>
      <c r="TM202" s="36"/>
      <c r="TN202" s="36"/>
      <c r="TO202" s="36"/>
      <c r="TP202" s="36"/>
      <c r="TQ202" s="36"/>
      <c r="TR202" s="36"/>
      <c r="TS202" s="36"/>
      <c r="TT202" s="36"/>
      <c r="TU202" s="36"/>
      <c r="TV202" s="36"/>
      <c r="TW202" s="36"/>
      <c r="TX202" s="36"/>
      <c r="TY202" s="36"/>
      <c r="TZ202" s="36"/>
      <c r="UA202" s="36"/>
      <c r="UB202" s="36"/>
      <c r="UC202" s="36"/>
      <c r="UD202" s="36"/>
      <c r="UE202" s="36"/>
      <c r="UF202" s="36"/>
      <c r="UG202" s="36"/>
      <c r="UH202" s="36"/>
      <c r="UI202" s="36"/>
      <c r="UJ202" s="36"/>
      <c r="UK202" s="36"/>
      <c r="UL202" s="36"/>
      <c r="UM202" s="36"/>
      <c r="UN202" s="36"/>
      <c r="UO202" s="36"/>
      <c r="UP202" s="36"/>
      <c r="UQ202" s="36"/>
      <c r="UR202" s="36"/>
      <c r="US202" s="36"/>
      <c r="UT202" s="36"/>
      <c r="UU202" s="36"/>
      <c r="UV202" s="36"/>
      <c r="UW202" s="36"/>
      <c r="UX202" s="36"/>
      <c r="UY202" s="36"/>
      <c r="UZ202" s="36"/>
      <c r="VA202" s="36"/>
      <c r="VB202" s="36"/>
      <c r="VC202" s="36"/>
      <c r="VD202" s="36"/>
      <c r="VE202" s="36"/>
      <c r="VF202" s="36"/>
      <c r="VG202" s="36"/>
      <c r="VH202" s="36"/>
      <c r="VI202" s="36"/>
      <c r="VJ202" s="36"/>
      <c r="VK202" s="36"/>
      <c r="VL202" s="36"/>
      <c r="VM202" s="36"/>
      <c r="VN202" s="36"/>
      <c r="VO202" s="36"/>
      <c r="VP202" s="36"/>
      <c r="VQ202" s="36"/>
      <c r="VR202" s="36"/>
      <c r="VS202" s="36"/>
      <c r="VT202" s="36"/>
      <c r="VU202" s="36"/>
      <c r="VV202" s="36"/>
      <c r="VW202" s="36"/>
      <c r="VX202" s="36"/>
      <c r="VY202" s="36"/>
      <c r="VZ202" s="36"/>
      <c r="WA202" s="36"/>
      <c r="WB202" s="36"/>
      <c r="WC202" s="36"/>
      <c r="WD202" s="36"/>
      <c r="WE202" s="36"/>
      <c r="WF202" s="36"/>
      <c r="WG202" s="36"/>
      <c r="WH202" s="36"/>
      <c r="WI202" s="36"/>
      <c r="WJ202" s="36"/>
      <c r="WK202" s="36"/>
      <c r="WL202" s="36"/>
      <c r="WM202" s="36"/>
      <c r="WN202" s="36"/>
      <c r="WO202" s="36"/>
      <c r="WP202" s="36"/>
      <c r="WQ202" s="36"/>
      <c r="WR202" s="36"/>
      <c r="WS202" s="36"/>
      <c r="WT202" s="36"/>
      <c r="WU202" s="36"/>
      <c r="WV202" s="36"/>
      <c r="WW202" s="36"/>
      <c r="WX202" s="36"/>
      <c r="WY202" s="36"/>
      <c r="WZ202" s="36"/>
      <c r="XA202" s="36"/>
      <c r="XB202" s="36"/>
      <c r="XC202" s="36"/>
      <c r="XD202" s="36"/>
      <c r="XE202" s="36"/>
      <c r="XF202" s="36"/>
      <c r="XG202" s="36"/>
      <c r="XH202" s="36"/>
      <c r="XI202" s="36"/>
      <c r="XJ202" s="36"/>
      <c r="XK202" s="36"/>
      <c r="XL202" s="36"/>
      <c r="XM202" s="36"/>
      <c r="XN202" s="36"/>
      <c r="XO202" s="36"/>
      <c r="XP202" s="36"/>
      <c r="XQ202" s="36"/>
      <c r="XR202" s="36"/>
      <c r="XS202" s="36"/>
      <c r="XT202" s="36"/>
      <c r="XU202" s="36"/>
      <c r="XV202" s="36"/>
      <c r="XW202" s="36"/>
      <c r="XX202" s="36"/>
      <c r="XY202" s="36"/>
      <c r="XZ202" s="36"/>
      <c r="YA202" s="36"/>
      <c r="YB202" s="36"/>
      <c r="YC202" s="36"/>
      <c r="YD202" s="36"/>
      <c r="YE202" s="36"/>
      <c r="YF202" s="36"/>
      <c r="YG202" s="36"/>
      <c r="YH202" s="36"/>
      <c r="YI202" s="36"/>
      <c r="YJ202" s="36"/>
      <c r="YK202" s="36"/>
      <c r="YL202" s="36"/>
      <c r="YM202" s="36"/>
      <c r="YN202" s="36"/>
      <c r="YO202" s="36"/>
      <c r="YP202" s="36"/>
      <c r="YQ202" s="36"/>
      <c r="YR202" s="36"/>
      <c r="YS202" s="36"/>
      <c r="YT202" s="36"/>
      <c r="YU202" s="36"/>
      <c r="YV202" s="36"/>
      <c r="YW202" s="36"/>
      <c r="YX202" s="36"/>
      <c r="YY202" s="36"/>
      <c r="YZ202" s="36"/>
      <c r="ZA202" s="36"/>
      <c r="ZB202" s="36"/>
      <c r="ZC202" s="36"/>
      <c r="ZD202" s="36"/>
      <c r="ZE202" s="36"/>
      <c r="ZF202" s="36"/>
      <c r="ZG202" s="36"/>
      <c r="ZH202" s="36"/>
      <c r="ZI202" s="36"/>
      <c r="ZJ202" s="36"/>
      <c r="ZK202" s="36"/>
      <c r="ZL202" s="36"/>
      <c r="ZM202" s="36"/>
      <c r="ZN202" s="36"/>
      <c r="ZO202" s="36"/>
      <c r="ZP202" s="36"/>
      <c r="ZQ202" s="36"/>
      <c r="ZR202" s="36"/>
      <c r="ZS202" s="36"/>
      <c r="ZT202" s="36"/>
      <c r="ZU202" s="36"/>
      <c r="ZV202" s="36"/>
      <c r="ZW202" s="36"/>
      <c r="ZX202" s="36"/>
      <c r="ZY202" s="36"/>
      <c r="ZZ202" s="36"/>
      <c r="AAA202" s="36"/>
      <c r="AAB202" s="36"/>
      <c r="AAC202" s="36"/>
      <c r="AAD202" s="36"/>
      <c r="AAE202" s="36"/>
      <c r="AAF202" s="36"/>
      <c r="AAG202" s="36"/>
      <c r="AAH202" s="36"/>
      <c r="AAI202" s="36"/>
      <c r="AAJ202" s="36"/>
      <c r="AAK202" s="36"/>
      <c r="AAL202" s="36"/>
      <c r="AAM202" s="36"/>
      <c r="AAN202" s="36"/>
      <c r="AAO202" s="36"/>
      <c r="AAP202" s="36"/>
      <c r="AAQ202" s="36"/>
      <c r="AAR202" s="36"/>
      <c r="AAS202" s="36"/>
      <c r="AAT202" s="36"/>
      <c r="AAU202" s="36"/>
      <c r="AAV202" s="36"/>
      <c r="AAW202" s="36"/>
      <c r="AAX202" s="36"/>
      <c r="AAY202" s="36"/>
      <c r="AAZ202" s="36"/>
      <c r="ABA202" s="36"/>
      <c r="ABB202" s="36"/>
      <c r="ABC202" s="36"/>
      <c r="ABD202" s="36"/>
      <c r="ABE202" s="36"/>
      <c r="ABF202" s="36"/>
      <c r="ABG202" s="36"/>
      <c r="ABH202" s="36"/>
      <c r="ABI202" s="36"/>
      <c r="ABJ202" s="36"/>
      <c r="ABK202" s="36"/>
      <c r="ABL202" s="36"/>
      <c r="ABM202" s="36"/>
      <c r="ABN202" s="36"/>
      <c r="ABO202" s="36"/>
      <c r="ABP202" s="36"/>
      <c r="ABQ202" s="36"/>
      <c r="ABR202" s="36"/>
      <c r="ABS202" s="36"/>
      <c r="ABT202" s="36"/>
      <c r="ABU202" s="36"/>
      <c r="ABV202" s="36"/>
      <c r="ABW202" s="36"/>
      <c r="ABX202" s="36"/>
      <c r="ABY202" s="36"/>
      <c r="ABZ202" s="36"/>
      <c r="ACA202" s="36"/>
      <c r="ACB202" s="36"/>
      <c r="ACC202" s="36"/>
      <c r="ACD202" s="36"/>
      <c r="ACE202" s="36"/>
      <c r="ACF202" s="36"/>
      <c r="ACG202" s="36"/>
      <c r="ACH202" s="36"/>
      <c r="ACI202" s="36"/>
      <c r="ACJ202" s="36"/>
      <c r="ACK202" s="36"/>
      <c r="ACL202" s="36"/>
      <c r="ACM202" s="36"/>
      <c r="ACN202" s="36"/>
      <c r="ACO202" s="36"/>
      <c r="ACP202" s="36"/>
      <c r="ACQ202" s="36"/>
      <c r="ACR202" s="36"/>
      <c r="ACS202" s="36"/>
      <c r="ACT202" s="36"/>
      <c r="ACU202" s="36"/>
      <c r="ACV202" s="36"/>
      <c r="ACW202" s="36"/>
      <c r="ACX202" s="36"/>
      <c r="ACY202" s="36"/>
      <c r="ACZ202" s="36"/>
      <c r="ADA202" s="36"/>
      <c r="ADB202" s="36"/>
      <c r="ADC202" s="36"/>
      <c r="ADD202" s="36"/>
      <c r="ADE202" s="36"/>
      <c r="ADF202" s="36"/>
      <c r="ADG202" s="36"/>
      <c r="ADH202" s="36"/>
      <c r="ADI202" s="36"/>
      <c r="ADJ202" s="36"/>
      <c r="ADK202" s="36"/>
      <c r="ADL202" s="36"/>
      <c r="ADM202" s="36"/>
      <c r="ADN202" s="36"/>
      <c r="ADO202" s="36"/>
      <c r="ADP202" s="36"/>
      <c r="ADQ202" s="36"/>
      <c r="ADR202" s="36"/>
      <c r="ADS202" s="36"/>
      <c r="ADT202" s="36"/>
      <c r="ADU202" s="36"/>
      <c r="ADV202" s="36"/>
      <c r="ADW202" s="36"/>
      <c r="ADX202" s="36"/>
      <c r="ADY202" s="36"/>
      <c r="ADZ202" s="36"/>
      <c r="AEA202" s="36"/>
      <c r="AEB202" s="36"/>
      <c r="AEC202" s="36"/>
      <c r="AED202" s="36"/>
      <c r="AEE202" s="36"/>
      <c r="AEF202" s="36"/>
      <c r="AEG202" s="36"/>
      <c r="AEH202" s="36"/>
      <c r="AEI202" s="36"/>
      <c r="AEJ202" s="36"/>
      <c r="AEK202" s="36"/>
      <c r="AEL202" s="36"/>
      <c r="AEM202" s="36"/>
      <c r="AEN202" s="36"/>
      <c r="AEO202" s="36"/>
      <c r="AEP202" s="36"/>
      <c r="AEQ202" s="36"/>
      <c r="AER202" s="36"/>
      <c r="AES202" s="36"/>
      <c r="AET202" s="36"/>
      <c r="AEU202" s="36"/>
      <c r="AEV202" s="36"/>
      <c r="AEW202" s="36"/>
      <c r="AEX202" s="36"/>
      <c r="AEY202" s="36"/>
      <c r="AEZ202" s="36"/>
      <c r="AFA202" s="36"/>
      <c r="AFB202" s="36"/>
      <c r="AFC202" s="36"/>
      <c r="AFD202" s="36"/>
      <c r="AFE202" s="36"/>
      <c r="AFF202" s="36"/>
      <c r="AFG202" s="36"/>
      <c r="AFH202" s="36"/>
      <c r="AFI202" s="36"/>
      <c r="AFJ202" s="36"/>
      <c r="AFK202" s="36"/>
      <c r="AFL202" s="36"/>
      <c r="AFM202" s="36"/>
      <c r="AFN202" s="36"/>
      <c r="AFO202" s="36"/>
      <c r="AFP202" s="36"/>
      <c r="AFQ202" s="36"/>
      <c r="AFR202" s="36"/>
      <c r="AFS202" s="36"/>
      <c r="AFT202" s="36"/>
      <c r="AFU202" s="36"/>
      <c r="AFV202" s="36"/>
      <c r="AFW202" s="36"/>
      <c r="AFX202" s="36"/>
      <c r="AFY202" s="36"/>
      <c r="AFZ202" s="36"/>
      <c r="AGA202" s="36"/>
      <c r="AGB202" s="36"/>
      <c r="AGC202" s="36"/>
      <c r="AGD202" s="36"/>
      <c r="AGE202" s="36"/>
      <c r="AGF202" s="36"/>
      <c r="AGG202" s="36"/>
      <c r="AGH202" s="36"/>
      <c r="AGI202" s="36"/>
      <c r="AGJ202" s="36"/>
      <c r="AGK202" s="36"/>
      <c r="AGL202" s="36"/>
      <c r="AGM202" s="36"/>
      <c r="AGN202" s="36"/>
      <c r="AGO202" s="36"/>
      <c r="AGP202" s="36"/>
      <c r="AGQ202" s="36"/>
      <c r="AGR202" s="36"/>
      <c r="AGS202" s="36"/>
      <c r="AGT202" s="36"/>
      <c r="AGU202" s="36"/>
      <c r="AGV202" s="36"/>
      <c r="AGW202" s="36"/>
      <c r="AGX202" s="36"/>
      <c r="AGY202" s="36"/>
      <c r="AGZ202" s="36"/>
      <c r="AHA202" s="36"/>
      <c r="AHB202" s="36"/>
      <c r="AHC202" s="36"/>
      <c r="AHD202" s="36"/>
      <c r="AHE202" s="36"/>
      <c r="AHF202" s="36"/>
      <c r="AHG202" s="36"/>
      <c r="AHH202" s="36"/>
      <c r="AHI202" s="36"/>
      <c r="AHJ202" s="36"/>
      <c r="AHK202" s="36"/>
      <c r="AHL202" s="36"/>
      <c r="AHM202" s="36"/>
      <c r="AHN202" s="36"/>
      <c r="AHO202" s="36"/>
      <c r="AHP202" s="36"/>
      <c r="AHQ202" s="36"/>
      <c r="AHR202" s="36"/>
      <c r="AHS202" s="36"/>
      <c r="AHT202" s="36"/>
      <c r="AHU202" s="36"/>
      <c r="AHV202" s="36"/>
      <c r="AHW202" s="36"/>
      <c r="AHX202" s="36"/>
      <c r="AHY202" s="36"/>
      <c r="AHZ202" s="36"/>
      <c r="AIA202" s="36"/>
      <c r="AIB202" s="36"/>
      <c r="AIC202" s="36"/>
      <c r="AID202" s="36"/>
      <c r="AIE202" s="36"/>
      <c r="AIF202" s="36"/>
      <c r="AIG202" s="36"/>
      <c r="AIH202" s="36"/>
      <c r="AII202" s="36"/>
      <c r="AIJ202" s="36"/>
      <c r="AIK202" s="36"/>
      <c r="AIL202" s="36"/>
      <c r="AIM202" s="36"/>
      <c r="AIN202" s="36"/>
      <c r="AIO202" s="36"/>
      <c r="AIP202" s="36"/>
      <c r="AIQ202" s="36"/>
      <c r="AIR202" s="36"/>
      <c r="AIS202" s="36"/>
      <c r="AIT202" s="36"/>
      <c r="AIU202" s="36"/>
      <c r="AIV202" s="36"/>
      <c r="AIW202" s="36"/>
      <c r="AIX202" s="36"/>
      <c r="AIY202" s="36"/>
      <c r="AIZ202" s="36"/>
      <c r="AJA202" s="36"/>
      <c r="AJB202" s="36"/>
      <c r="AJC202" s="36"/>
      <c r="AJD202" s="36"/>
      <c r="AJE202" s="36"/>
      <c r="AJF202" s="36"/>
      <c r="AJG202" s="36"/>
      <c r="AJH202" s="36"/>
      <c r="AJI202" s="36"/>
      <c r="AJJ202" s="36"/>
      <c r="AJK202" s="36"/>
      <c r="AJL202" s="36"/>
      <c r="AJM202" s="36"/>
      <c r="AJN202" s="36"/>
      <c r="AJO202" s="36"/>
      <c r="AJP202" s="36"/>
      <c r="AJQ202" s="36"/>
      <c r="AJR202" s="36"/>
      <c r="AJS202" s="36"/>
      <c r="AJT202" s="36"/>
      <c r="AJU202" s="36"/>
      <c r="AJV202" s="36"/>
      <c r="AJW202" s="36"/>
      <c r="AJX202" s="36"/>
      <c r="AJY202" s="36"/>
      <c r="AJZ202" s="36"/>
      <c r="AKA202" s="36"/>
      <c r="AKB202" s="36"/>
      <c r="AKC202" s="36"/>
      <c r="AKD202" s="36"/>
      <c r="AKE202" s="36"/>
      <c r="AKF202" s="36"/>
      <c r="AKG202" s="36"/>
      <c r="AKH202" s="36"/>
      <c r="AKI202" s="36"/>
      <c r="AKJ202" s="36"/>
      <c r="AKK202" s="36"/>
      <c r="AKL202" s="36"/>
      <c r="AKM202" s="36"/>
      <c r="AKN202" s="36"/>
      <c r="AKO202" s="36"/>
      <c r="AKP202" s="36"/>
      <c r="AKQ202" s="36"/>
      <c r="AKR202" s="36"/>
      <c r="AKS202" s="36"/>
      <c r="AKT202" s="36"/>
      <c r="AKU202" s="36"/>
      <c r="AKV202" s="36"/>
      <c r="AKW202" s="36"/>
      <c r="AKX202" s="36"/>
      <c r="AKY202" s="36"/>
      <c r="AKZ202" s="36"/>
      <c r="ALA202" s="36"/>
      <c r="ALB202" s="36"/>
      <c r="ALC202" s="36"/>
      <c r="ALD202" s="36"/>
      <c r="ALE202" s="36"/>
      <c r="ALF202" s="36"/>
      <c r="ALG202" s="36"/>
      <c r="ALH202" s="36"/>
      <c r="ALI202" s="36"/>
      <c r="ALJ202" s="36"/>
      <c r="ALK202" s="36"/>
      <c r="ALL202" s="36"/>
      <c r="ALM202" s="36"/>
      <c r="ALN202" s="36"/>
      <c r="ALO202" s="36"/>
      <c r="ALP202" s="36"/>
      <c r="ALQ202" s="36"/>
      <c r="ALR202" s="36"/>
      <c r="ALS202" s="36"/>
      <c r="ALT202" s="36"/>
      <c r="ALU202" s="36"/>
      <c r="ALV202" s="36"/>
      <c r="ALW202" s="36"/>
      <c r="ALX202" s="36"/>
      <c r="ALY202" s="36"/>
      <c r="ALZ202" s="36"/>
      <c r="AMA202" s="36"/>
      <c r="AMB202" s="36"/>
      <c r="AMC202" s="36"/>
      <c r="AMD202" s="36"/>
      <c r="AME202" s="36"/>
      <c r="AMF202" s="36"/>
      <c r="AMG202" s="36"/>
      <c r="AMH202" s="36"/>
      <c r="AMI202" s="36"/>
      <c r="AMJ202" s="36"/>
      <c r="AMK202" s="36"/>
      <c r="AML202" s="36"/>
      <c r="AMM202" s="36"/>
      <c r="AMN202" s="36"/>
      <c r="AMO202" s="36"/>
      <c r="AMP202" s="36"/>
      <c r="AMQ202" s="36"/>
      <c r="AMR202" s="36"/>
      <c r="AMS202" s="36"/>
      <c r="AMT202" s="36"/>
      <c r="AMU202" s="36"/>
      <c r="AMV202" s="36"/>
      <c r="AMW202" s="36"/>
      <c r="AMX202" s="36"/>
      <c r="AMY202" s="36"/>
      <c r="AMZ202" s="36"/>
      <c r="ANA202" s="36"/>
      <c r="ANB202" s="36"/>
      <c r="ANC202" s="36"/>
      <c r="AND202" s="36"/>
      <c r="ANE202" s="36"/>
      <c r="ANF202" s="36"/>
      <c r="ANG202" s="36"/>
      <c r="ANH202" s="36"/>
      <c r="ANI202" s="36"/>
      <c r="ANJ202" s="36"/>
      <c r="ANK202" s="36"/>
      <c r="ANL202" s="36"/>
      <c r="ANM202" s="36"/>
      <c r="ANN202" s="36"/>
      <c r="ANO202" s="36"/>
      <c r="ANP202" s="36"/>
      <c r="ANQ202" s="36"/>
      <c r="ANR202" s="36"/>
      <c r="ANS202" s="36"/>
      <c r="ANT202" s="36"/>
      <c r="ANU202" s="36"/>
      <c r="ANV202" s="36"/>
      <c r="ANW202" s="36"/>
      <c r="ANX202" s="36"/>
      <c r="ANY202" s="36"/>
      <c r="ANZ202" s="36"/>
      <c r="AOA202" s="36"/>
      <c r="AOB202" s="36"/>
      <c r="AOC202" s="36"/>
      <c r="AOD202" s="36"/>
      <c r="AOE202" s="36"/>
      <c r="AOF202" s="36"/>
      <c r="AOG202" s="36"/>
      <c r="AOH202" s="36"/>
      <c r="AOI202" s="36"/>
      <c r="AOJ202" s="36"/>
      <c r="AOK202" s="36"/>
      <c r="AOL202" s="36"/>
      <c r="AOM202" s="36"/>
      <c r="AON202" s="36"/>
      <c r="AOO202" s="36"/>
      <c r="AOP202" s="36"/>
      <c r="AOQ202" s="36"/>
      <c r="AOR202" s="36"/>
      <c r="AOS202" s="36"/>
      <c r="AOT202" s="36"/>
      <c r="AOU202" s="36"/>
      <c r="AOV202" s="36"/>
      <c r="AOW202" s="36"/>
      <c r="AOX202" s="36"/>
      <c r="AOY202" s="36"/>
      <c r="AOZ202" s="36"/>
      <c r="APA202" s="36"/>
      <c r="APB202" s="36"/>
      <c r="APC202" s="36"/>
      <c r="APD202" s="36"/>
      <c r="APE202" s="36"/>
      <c r="APF202" s="36"/>
      <c r="APG202" s="36"/>
      <c r="APH202" s="36"/>
      <c r="API202" s="36"/>
      <c r="APJ202" s="36"/>
      <c r="APK202" s="36"/>
      <c r="APL202" s="36"/>
      <c r="APM202" s="36"/>
      <c r="APN202" s="36"/>
      <c r="APO202" s="36"/>
      <c r="APP202" s="36"/>
      <c r="APQ202" s="36"/>
      <c r="APR202" s="36"/>
      <c r="APS202" s="36"/>
      <c r="APT202" s="36"/>
      <c r="APU202" s="36"/>
      <c r="APV202" s="36"/>
      <c r="APW202" s="36"/>
      <c r="APX202" s="36"/>
      <c r="APY202" s="36"/>
      <c r="APZ202" s="36"/>
      <c r="AQA202" s="36"/>
      <c r="AQB202" s="36"/>
      <c r="AQC202" s="36"/>
      <c r="AQD202" s="36"/>
      <c r="AQE202" s="36"/>
      <c r="AQF202" s="36"/>
      <c r="AQG202" s="36"/>
      <c r="AQH202" s="36"/>
      <c r="AQI202" s="36"/>
      <c r="AQJ202" s="36"/>
      <c r="AQK202" s="36"/>
      <c r="AQL202" s="36"/>
      <c r="AQM202" s="36"/>
      <c r="AQN202" s="36"/>
      <c r="AQO202" s="36"/>
      <c r="AQP202" s="36"/>
      <c r="AQQ202" s="36"/>
      <c r="AQR202" s="36"/>
      <c r="AQS202" s="36"/>
      <c r="AQT202" s="36"/>
      <c r="AQU202" s="36"/>
      <c r="AQV202" s="36"/>
      <c r="AQW202" s="36"/>
      <c r="AQX202" s="36"/>
      <c r="AQY202" s="36"/>
      <c r="AQZ202" s="36"/>
      <c r="ARA202" s="36"/>
      <c r="ARB202" s="36"/>
      <c r="ARC202" s="36"/>
      <c r="ARD202" s="36"/>
      <c r="ARE202" s="36"/>
      <c r="ARF202" s="36"/>
      <c r="ARG202" s="36"/>
      <c r="ARH202" s="36"/>
      <c r="ARI202" s="36"/>
      <c r="ARJ202" s="36"/>
      <c r="ARK202" s="36"/>
      <c r="ARL202" s="36"/>
      <c r="ARM202" s="36"/>
      <c r="ARN202" s="36"/>
      <c r="ARO202" s="36"/>
      <c r="ARP202" s="36"/>
      <c r="ARQ202" s="36"/>
      <c r="ARR202" s="36"/>
      <c r="ARS202" s="36"/>
      <c r="ART202" s="36"/>
      <c r="ARU202" s="36"/>
      <c r="ARV202" s="36"/>
      <c r="ARW202" s="36"/>
      <c r="ARX202" s="36"/>
      <c r="ARY202" s="36"/>
      <c r="ARZ202" s="36"/>
      <c r="ASA202" s="36"/>
      <c r="ASB202" s="36"/>
      <c r="ASC202" s="36"/>
      <c r="ASD202" s="36"/>
      <c r="ASE202" s="36"/>
      <c r="ASF202" s="36"/>
      <c r="ASG202" s="36"/>
      <c r="ASH202" s="36"/>
      <c r="ASI202" s="36"/>
      <c r="ASJ202" s="36"/>
      <c r="ASK202" s="36"/>
      <c r="ASL202" s="36"/>
      <c r="ASM202" s="36"/>
      <c r="ASN202" s="36"/>
      <c r="ASO202" s="36"/>
      <c r="ASP202" s="36"/>
      <c r="ASQ202" s="36"/>
      <c r="ASR202" s="36"/>
      <c r="ASS202" s="36"/>
      <c r="AST202" s="36"/>
      <c r="ASU202" s="36"/>
      <c r="ASV202" s="36"/>
      <c r="ASW202" s="36"/>
      <c r="ASX202" s="36"/>
      <c r="ASY202" s="36"/>
      <c r="ASZ202" s="36"/>
      <c r="ATA202" s="36"/>
      <c r="ATB202" s="36"/>
      <c r="ATC202" s="36"/>
      <c r="ATD202" s="36"/>
      <c r="ATE202" s="36"/>
      <c r="ATF202" s="36"/>
      <c r="ATG202" s="36"/>
      <c r="ATH202" s="36"/>
      <c r="ATI202" s="36"/>
      <c r="ATJ202" s="36"/>
      <c r="ATK202" s="36"/>
      <c r="ATL202" s="36"/>
      <c r="ATM202" s="36"/>
      <c r="ATN202" s="36"/>
      <c r="ATO202" s="36"/>
      <c r="ATP202" s="36"/>
      <c r="ATQ202" s="36"/>
      <c r="ATR202" s="36"/>
      <c r="ATS202" s="36"/>
      <c r="ATT202" s="36"/>
      <c r="ATU202" s="36"/>
      <c r="ATV202" s="36"/>
      <c r="ATW202" s="36"/>
      <c r="ATX202" s="36"/>
      <c r="ATY202" s="36"/>
      <c r="ATZ202" s="36"/>
      <c r="AUA202" s="36"/>
      <c r="AUB202" s="36"/>
      <c r="AUC202" s="36"/>
      <c r="AUD202" s="36"/>
      <c r="AUE202" s="36"/>
      <c r="AUF202" s="36"/>
      <c r="AUG202" s="36"/>
      <c r="AUH202" s="36"/>
      <c r="AUI202" s="36"/>
      <c r="AUJ202" s="36"/>
      <c r="AUK202" s="36"/>
      <c r="AUL202" s="36"/>
      <c r="AUM202" s="36"/>
      <c r="AUN202" s="36"/>
      <c r="AUO202" s="36"/>
      <c r="AUP202" s="36"/>
      <c r="AUQ202" s="36"/>
      <c r="AUR202" s="36"/>
      <c r="AUS202" s="36"/>
      <c r="AUT202" s="36"/>
      <c r="AUU202" s="36"/>
      <c r="AUV202" s="36"/>
      <c r="AUW202" s="36"/>
      <c r="AUX202" s="36"/>
      <c r="AUY202" s="36"/>
      <c r="AUZ202" s="36"/>
      <c r="AVA202" s="36"/>
      <c r="AVB202" s="36"/>
      <c r="AVC202" s="36"/>
      <c r="AVD202" s="36"/>
      <c r="AVE202" s="36"/>
      <c r="AVF202" s="36"/>
      <c r="AVG202" s="36"/>
      <c r="AVH202" s="36"/>
      <c r="AVI202" s="36"/>
      <c r="AVJ202" s="36"/>
      <c r="AVK202" s="36"/>
      <c r="AVL202" s="36"/>
      <c r="AVM202" s="36"/>
      <c r="AVN202" s="36"/>
      <c r="AVO202" s="36"/>
      <c r="AVP202" s="36"/>
      <c r="AVQ202" s="36"/>
      <c r="AVR202" s="36"/>
      <c r="AVS202" s="36"/>
      <c r="AVT202" s="36"/>
      <c r="AVU202" s="36"/>
      <c r="AVV202" s="36"/>
      <c r="AVW202" s="36"/>
      <c r="AVX202" s="36"/>
      <c r="AVY202" s="36"/>
      <c r="AVZ202" s="36"/>
      <c r="AWA202" s="36"/>
      <c r="AWB202" s="36"/>
      <c r="AWC202" s="36"/>
      <c r="AWD202" s="36"/>
      <c r="AWE202" s="36"/>
      <c r="AWF202" s="36"/>
      <c r="AWG202" s="36"/>
      <c r="AWH202" s="36"/>
      <c r="AWI202" s="36"/>
      <c r="AWJ202" s="36"/>
      <c r="AWK202" s="36"/>
      <c r="AWL202" s="36"/>
      <c r="AWM202" s="36"/>
      <c r="AWN202" s="36"/>
      <c r="AWO202" s="36"/>
      <c r="AWP202" s="36"/>
      <c r="AWQ202" s="36"/>
      <c r="AWR202" s="36"/>
      <c r="AWS202" s="36"/>
      <c r="AWT202" s="36"/>
      <c r="AWU202" s="36"/>
      <c r="AWV202" s="36"/>
      <c r="AWW202" s="36"/>
      <c r="AWX202" s="36"/>
      <c r="AWY202" s="36"/>
      <c r="AWZ202" s="36"/>
      <c r="AXA202" s="36"/>
      <c r="AXB202" s="36"/>
      <c r="AXC202" s="36"/>
      <c r="AXD202" s="36"/>
      <c r="AXE202" s="36"/>
      <c r="AXF202" s="36"/>
      <c r="AXG202" s="36"/>
      <c r="AXH202" s="36"/>
      <c r="AXI202" s="36"/>
      <c r="AXJ202" s="36"/>
      <c r="AXK202" s="36"/>
      <c r="AXL202" s="36"/>
      <c r="AXM202" s="36"/>
      <c r="AXN202" s="36"/>
      <c r="AXO202" s="36"/>
      <c r="AXP202" s="36"/>
      <c r="AXQ202" s="36"/>
      <c r="AXR202" s="36"/>
      <c r="AXS202" s="36"/>
      <c r="AXT202" s="36"/>
      <c r="AXU202" s="36"/>
      <c r="AXV202" s="36"/>
      <c r="AXW202" s="36"/>
      <c r="AXX202" s="36"/>
      <c r="AXY202" s="36"/>
      <c r="AXZ202" s="36"/>
      <c r="AYA202" s="36"/>
      <c r="AYB202" s="36"/>
      <c r="AYC202" s="36"/>
      <c r="AYD202" s="36"/>
      <c r="AYE202" s="36"/>
      <c r="AYF202" s="36"/>
      <c r="AYG202" s="36"/>
      <c r="AYH202" s="36"/>
      <c r="AYI202" s="36"/>
      <c r="AYJ202" s="36"/>
      <c r="AYK202" s="36"/>
      <c r="AYL202" s="36"/>
      <c r="AYM202" s="36"/>
      <c r="AYN202" s="36"/>
      <c r="AYO202" s="36"/>
      <c r="AYP202" s="36"/>
      <c r="AYQ202" s="36"/>
      <c r="AYR202" s="36"/>
      <c r="AYS202" s="36"/>
      <c r="AYT202" s="36"/>
      <c r="AYU202" s="36"/>
      <c r="AYV202" s="36"/>
      <c r="AYW202" s="36"/>
      <c r="AYX202" s="36"/>
      <c r="AYY202" s="36"/>
      <c r="AYZ202" s="36"/>
      <c r="AZA202" s="36"/>
      <c r="AZB202" s="36"/>
      <c r="AZC202" s="36"/>
      <c r="AZD202" s="36"/>
      <c r="AZE202" s="36"/>
      <c r="AZF202" s="36"/>
      <c r="AZG202" s="36"/>
      <c r="AZH202" s="36"/>
      <c r="AZI202" s="36"/>
      <c r="AZJ202" s="36"/>
      <c r="AZK202" s="36"/>
      <c r="AZL202" s="36"/>
      <c r="AZM202" s="36"/>
      <c r="AZN202" s="36"/>
      <c r="AZO202" s="36"/>
      <c r="AZP202" s="36"/>
      <c r="AZQ202" s="36"/>
      <c r="AZR202" s="36"/>
      <c r="AZS202" s="36"/>
      <c r="AZT202" s="36"/>
      <c r="AZU202" s="36"/>
      <c r="AZV202" s="36"/>
      <c r="AZW202" s="36"/>
      <c r="AZX202" s="36"/>
      <c r="AZY202" s="36"/>
      <c r="AZZ202" s="36"/>
      <c r="BAA202" s="36"/>
      <c r="BAB202" s="36"/>
      <c r="BAC202" s="36"/>
      <c r="BAD202" s="36"/>
      <c r="BAE202" s="36"/>
      <c r="BAF202" s="36"/>
      <c r="BAG202" s="36"/>
      <c r="BAH202" s="36"/>
      <c r="BAI202" s="36"/>
      <c r="BAJ202" s="36"/>
      <c r="BAK202" s="36"/>
      <c r="BAL202" s="36"/>
      <c r="BAM202" s="36"/>
      <c r="BAN202" s="36"/>
      <c r="BAO202" s="36"/>
      <c r="BAP202" s="36"/>
      <c r="BAQ202" s="36"/>
      <c r="BAR202" s="36"/>
      <c r="BAS202" s="36"/>
      <c r="BAT202" s="36"/>
      <c r="BAU202" s="36"/>
      <c r="BAV202" s="36"/>
      <c r="BAW202" s="36"/>
      <c r="BAX202" s="36"/>
      <c r="BAY202" s="36"/>
      <c r="BAZ202" s="36"/>
      <c r="BBA202" s="36"/>
      <c r="BBB202" s="36"/>
      <c r="BBC202" s="36"/>
      <c r="BBD202" s="36"/>
      <c r="BBE202" s="36"/>
      <c r="BBF202" s="36"/>
      <c r="BBG202" s="36"/>
      <c r="BBH202" s="36"/>
      <c r="BBI202" s="36"/>
      <c r="BBJ202" s="36"/>
      <c r="BBK202" s="36"/>
      <c r="BBL202" s="36"/>
      <c r="BBM202" s="36"/>
      <c r="BBN202" s="36"/>
      <c r="BBO202" s="36"/>
      <c r="BBP202" s="36"/>
      <c r="BBQ202" s="36"/>
      <c r="BBR202" s="36"/>
      <c r="BBS202" s="36"/>
      <c r="BBT202" s="36"/>
      <c r="BBU202" s="36"/>
      <c r="BBV202" s="36"/>
      <c r="BBW202" s="36"/>
      <c r="BBX202" s="36"/>
      <c r="BBY202" s="36"/>
      <c r="BBZ202" s="36"/>
      <c r="BCA202" s="36"/>
      <c r="BCB202" s="36"/>
      <c r="BCC202" s="36"/>
      <c r="BCD202" s="36"/>
      <c r="BCE202" s="36"/>
      <c r="BCF202" s="36"/>
      <c r="BCG202" s="36"/>
      <c r="BCH202" s="36"/>
      <c r="BCI202" s="36"/>
      <c r="BCJ202" s="36"/>
      <c r="BCK202" s="36"/>
      <c r="BCL202" s="36"/>
      <c r="BCM202" s="36"/>
      <c r="BCN202" s="36"/>
      <c r="BCO202" s="36"/>
      <c r="BCP202" s="36"/>
      <c r="BCQ202" s="36"/>
      <c r="BCR202" s="36"/>
      <c r="BCS202" s="36"/>
      <c r="BCT202" s="36"/>
      <c r="BCU202" s="36"/>
      <c r="BCV202" s="36"/>
      <c r="BCW202" s="36"/>
      <c r="BCX202" s="36"/>
      <c r="BCY202" s="36"/>
      <c r="BCZ202" s="36"/>
      <c r="BDA202" s="36"/>
      <c r="BDB202" s="36"/>
      <c r="BDC202" s="36"/>
      <c r="BDD202" s="36"/>
      <c r="BDE202" s="36"/>
      <c r="BDF202" s="36"/>
      <c r="BDG202" s="36"/>
      <c r="BDH202" s="36"/>
      <c r="BDI202" s="36"/>
      <c r="BDJ202" s="36"/>
      <c r="BDK202" s="36"/>
      <c r="BDL202" s="36"/>
      <c r="BDM202" s="36"/>
      <c r="BDN202" s="36"/>
      <c r="BDO202" s="36"/>
      <c r="BDP202" s="36"/>
      <c r="BDQ202" s="36"/>
      <c r="BDR202" s="36"/>
      <c r="BDS202" s="36"/>
      <c r="BDT202" s="36"/>
      <c r="BDU202" s="36"/>
      <c r="BDV202" s="36"/>
      <c r="BDW202" s="36"/>
      <c r="BDX202" s="36"/>
      <c r="BDY202" s="36"/>
      <c r="BDZ202" s="36"/>
      <c r="BEA202" s="36"/>
      <c r="BEB202" s="36"/>
      <c r="BEC202" s="36"/>
      <c r="BED202" s="36"/>
      <c r="BEE202" s="36"/>
      <c r="BEF202" s="36"/>
      <c r="BEG202" s="36"/>
      <c r="BEH202" s="36"/>
      <c r="BEI202" s="36"/>
      <c r="BEJ202" s="36"/>
      <c r="BEK202" s="36"/>
      <c r="BEL202" s="36"/>
      <c r="BEM202" s="36"/>
      <c r="BEN202" s="36"/>
      <c r="BEO202" s="36"/>
      <c r="BEP202" s="36"/>
      <c r="BEQ202" s="36"/>
      <c r="BER202" s="36"/>
      <c r="BES202" s="36"/>
      <c r="BET202" s="36"/>
      <c r="BEU202" s="36"/>
      <c r="BEV202" s="36"/>
      <c r="BEW202" s="36"/>
      <c r="BEX202" s="36"/>
      <c r="BEY202" s="36"/>
      <c r="BEZ202" s="36"/>
      <c r="BFA202" s="36"/>
      <c r="BFB202" s="36"/>
      <c r="BFC202" s="36"/>
      <c r="BFD202" s="36"/>
      <c r="BFE202" s="36"/>
      <c r="BFF202" s="36"/>
      <c r="BFG202" s="36"/>
      <c r="BFH202" s="36"/>
      <c r="BFI202" s="36"/>
      <c r="BFJ202" s="36"/>
      <c r="BFK202" s="36"/>
      <c r="BFL202" s="36"/>
      <c r="BFM202" s="36"/>
      <c r="BFN202" s="36"/>
      <c r="BFO202" s="36"/>
      <c r="BFP202" s="36"/>
      <c r="BFQ202" s="36"/>
      <c r="BFR202" s="36"/>
      <c r="BFS202" s="36"/>
      <c r="BFT202" s="36"/>
      <c r="BFU202" s="36"/>
      <c r="BFV202" s="36"/>
      <c r="BFW202" s="36"/>
      <c r="BFX202" s="36"/>
      <c r="BFY202" s="36"/>
      <c r="BFZ202" s="36"/>
      <c r="BGA202" s="36"/>
      <c r="BGB202" s="36"/>
      <c r="BGC202" s="36"/>
      <c r="BGD202" s="36"/>
      <c r="BGE202" s="36"/>
      <c r="BGF202" s="36"/>
      <c r="BGG202" s="36"/>
      <c r="BGH202" s="36"/>
      <c r="BGI202" s="36"/>
      <c r="BGJ202" s="36"/>
      <c r="BGK202" s="36"/>
      <c r="BGL202" s="36"/>
      <c r="BGM202" s="36"/>
      <c r="BGN202" s="36"/>
      <c r="BGO202" s="36"/>
      <c r="BGP202" s="36"/>
      <c r="BGQ202" s="36"/>
      <c r="BGR202" s="36"/>
      <c r="BGS202" s="36"/>
      <c r="BGT202" s="36"/>
      <c r="BGU202" s="36"/>
      <c r="BGV202" s="36"/>
      <c r="BGW202" s="36"/>
      <c r="BGX202" s="36"/>
      <c r="BGY202" s="36"/>
      <c r="BGZ202" s="36"/>
      <c r="BHA202" s="36"/>
      <c r="BHB202" s="36"/>
      <c r="BHC202" s="36"/>
      <c r="BHD202" s="36"/>
      <c r="BHE202" s="36"/>
      <c r="BHF202" s="36"/>
      <c r="BHG202" s="36"/>
      <c r="BHH202" s="36"/>
      <c r="BHI202" s="36"/>
      <c r="BHJ202" s="36"/>
      <c r="BHK202" s="36"/>
      <c r="BHL202" s="36"/>
      <c r="BHM202" s="36"/>
      <c r="BHN202" s="36"/>
      <c r="BHO202" s="36"/>
      <c r="BHP202" s="36"/>
      <c r="BHQ202" s="36"/>
      <c r="BHR202" s="36"/>
      <c r="BHS202" s="36"/>
      <c r="BHT202" s="36"/>
      <c r="BHU202" s="36"/>
      <c r="BHV202" s="36"/>
      <c r="BHW202" s="36"/>
      <c r="BHX202" s="36"/>
      <c r="BHY202" s="36"/>
      <c r="BHZ202" s="36"/>
      <c r="BIA202" s="36"/>
      <c r="BIB202" s="36"/>
      <c r="BIC202" s="36"/>
      <c r="BID202" s="36"/>
      <c r="BIE202" s="36"/>
      <c r="BIF202" s="36"/>
      <c r="BIG202" s="36"/>
      <c r="BIH202" s="36"/>
      <c r="BII202" s="36"/>
      <c r="BIJ202" s="36"/>
      <c r="BIK202" s="36"/>
      <c r="BIL202" s="36"/>
      <c r="BIM202" s="36"/>
      <c r="BIN202" s="36"/>
      <c r="BIO202" s="36"/>
      <c r="BIP202" s="36"/>
      <c r="BIQ202" s="36"/>
      <c r="BIR202" s="36"/>
      <c r="BIS202" s="36"/>
      <c r="BIT202" s="36"/>
      <c r="BIU202" s="36"/>
      <c r="BIV202" s="36"/>
      <c r="BIW202" s="36"/>
      <c r="BIX202" s="36"/>
      <c r="BIY202" s="36"/>
      <c r="BIZ202" s="36"/>
      <c r="BJA202" s="36"/>
      <c r="BJB202" s="36"/>
      <c r="BJC202" s="36"/>
      <c r="BJD202" s="36"/>
      <c r="BJE202" s="36"/>
      <c r="BJF202" s="36"/>
      <c r="BJG202" s="36"/>
      <c r="BJH202" s="36"/>
      <c r="BJI202" s="36"/>
      <c r="BJJ202" s="36"/>
      <c r="BJK202" s="36"/>
      <c r="BJL202" s="36"/>
      <c r="BJM202" s="36"/>
      <c r="BJN202" s="36"/>
      <c r="BJO202" s="36"/>
      <c r="BJP202" s="36"/>
      <c r="BJQ202" s="36"/>
      <c r="BJR202" s="36"/>
      <c r="BJS202" s="36"/>
      <c r="BJT202" s="36"/>
      <c r="BJU202" s="36"/>
      <c r="BJV202" s="36"/>
      <c r="BJW202" s="36"/>
      <c r="BJX202" s="36"/>
      <c r="BJY202" s="36"/>
      <c r="BJZ202" s="36"/>
      <c r="BKA202" s="36"/>
      <c r="BKB202" s="36"/>
      <c r="BKC202" s="36"/>
      <c r="BKD202" s="36"/>
      <c r="BKE202" s="36"/>
      <c r="BKF202" s="36"/>
      <c r="BKG202" s="36"/>
      <c r="BKH202" s="36"/>
      <c r="BKI202" s="36"/>
      <c r="BKJ202" s="36"/>
      <c r="BKK202" s="36"/>
      <c r="BKL202" s="36"/>
      <c r="BKM202" s="36"/>
      <c r="BKN202" s="36"/>
      <c r="BKO202" s="36"/>
      <c r="BKP202" s="36"/>
      <c r="BKQ202" s="36"/>
      <c r="BKR202" s="36"/>
      <c r="BKS202" s="36"/>
      <c r="BKT202" s="36"/>
      <c r="BKU202" s="36"/>
      <c r="BKV202" s="36"/>
      <c r="BKW202" s="36"/>
      <c r="BKX202" s="36"/>
      <c r="BKY202" s="36"/>
      <c r="BKZ202" s="36"/>
      <c r="BLA202" s="36"/>
      <c r="BLB202" s="36"/>
      <c r="BLC202" s="36"/>
      <c r="BLD202" s="36"/>
      <c r="BLE202" s="36"/>
      <c r="BLF202" s="36"/>
      <c r="BLG202" s="36"/>
      <c r="BLH202" s="36"/>
      <c r="BLI202" s="36"/>
      <c r="BLJ202" s="36"/>
      <c r="BLK202" s="36"/>
      <c r="BLL202" s="36"/>
      <c r="BLM202" s="36"/>
      <c r="BLN202" s="36"/>
      <c r="BLO202" s="36"/>
      <c r="BLP202" s="36"/>
      <c r="BLQ202" s="36"/>
      <c r="BLR202" s="36"/>
      <c r="BLS202" s="36"/>
      <c r="BLT202" s="36"/>
      <c r="BLU202" s="36"/>
      <c r="BLV202" s="36"/>
      <c r="BLW202" s="36"/>
      <c r="BLX202" s="36"/>
      <c r="BLY202" s="36"/>
      <c r="BLZ202" s="36"/>
      <c r="BMA202" s="36"/>
      <c r="BMB202" s="36"/>
      <c r="BMC202" s="36"/>
      <c r="BMD202" s="36"/>
      <c r="BME202" s="36"/>
      <c r="BMF202" s="36"/>
      <c r="BMG202" s="36"/>
      <c r="BMH202" s="36"/>
      <c r="BMI202" s="36"/>
      <c r="BMJ202" s="36"/>
      <c r="BMK202" s="36"/>
      <c r="BML202" s="36"/>
      <c r="BMM202" s="36"/>
      <c r="BMN202" s="36"/>
      <c r="BMO202" s="36"/>
      <c r="BMP202" s="36"/>
      <c r="BMQ202" s="36"/>
      <c r="BMR202" s="36"/>
      <c r="BMS202" s="36"/>
      <c r="BMT202" s="36"/>
      <c r="BMU202" s="36"/>
      <c r="BMV202" s="36"/>
      <c r="BMW202" s="36"/>
      <c r="BMX202" s="36"/>
      <c r="BMY202" s="36"/>
      <c r="BMZ202" s="36"/>
      <c r="BNA202" s="36"/>
      <c r="BNB202" s="36"/>
      <c r="BNC202" s="36"/>
      <c r="BND202" s="36"/>
      <c r="BNE202" s="36"/>
      <c r="BNF202" s="36"/>
      <c r="BNG202" s="36"/>
      <c r="BNH202" s="36"/>
      <c r="BNI202" s="36"/>
      <c r="BNJ202" s="36"/>
      <c r="BNK202" s="36"/>
      <c r="BNL202" s="36"/>
      <c r="BNM202" s="36"/>
      <c r="BNN202" s="36"/>
      <c r="BNO202" s="36"/>
      <c r="BNP202" s="36"/>
      <c r="BNQ202" s="36"/>
      <c r="BNR202" s="36"/>
      <c r="BNS202" s="36"/>
      <c r="BNT202" s="36"/>
      <c r="BNU202" s="36"/>
      <c r="BNV202" s="36"/>
      <c r="BNW202" s="36"/>
      <c r="BNX202" s="36"/>
      <c r="BNY202" s="36"/>
      <c r="BNZ202" s="36"/>
      <c r="BOA202" s="36"/>
      <c r="BOB202" s="36"/>
      <c r="BOC202" s="36"/>
      <c r="BOD202" s="36"/>
      <c r="BOE202" s="36"/>
      <c r="BOF202" s="36"/>
      <c r="BOG202" s="36"/>
      <c r="BOH202" s="36"/>
      <c r="BOI202" s="36"/>
      <c r="BOJ202" s="36"/>
      <c r="BOK202" s="36"/>
      <c r="BOL202" s="36"/>
      <c r="BOM202" s="36"/>
      <c r="BON202" s="36"/>
      <c r="BOO202" s="36"/>
      <c r="BOP202" s="36"/>
      <c r="BOQ202" s="36"/>
      <c r="BOR202" s="36"/>
      <c r="BOS202" s="36"/>
      <c r="BOT202" s="36"/>
      <c r="BOU202" s="36"/>
      <c r="BOV202" s="36"/>
      <c r="BOW202" s="36"/>
      <c r="BOX202" s="36"/>
      <c r="BOY202" s="36"/>
      <c r="BOZ202" s="36"/>
      <c r="BPA202" s="36"/>
      <c r="BPB202" s="36"/>
      <c r="BPC202" s="36"/>
      <c r="BPD202" s="36"/>
      <c r="BPE202" s="36"/>
      <c r="BPF202" s="36"/>
      <c r="BPG202" s="36"/>
      <c r="BPH202" s="36"/>
      <c r="BPI202" s="36"/>
      <c r="BPJ202" s="36"/>
      <c r="BPK202" s="36"/>
      <c r="BPL202" s="36"/>
      <c r="BPM202" s="36"/>
      <c r="BPN202" s="36"/>
      <c r="BPO202" s="36"/>
      <c r="BPP202" s="36"/>
      <c r="BPQ202" s="36"/>
      <c r="BPR202" s="36"/>
      <c r="BPS202" s="36"/>
      <c r="BPT202" s="36"/>
      <c r="BPU202" s="36"/>
      <c r="BPV202" s="36"/>
      <c r="BPW202" s="36"/>
      <c r="BPX202" s="36"/>
      <c r="BPY202" s="36"/>
      <c r="BPZ202" s="36"/>
      <c r="BQA202" s="36"/>
      <c r="BQB202" s="36"/>
      <c r="BQC202" s="36"/>
      <c r="BQD202" s="36"/>
      <c r="BQE202" s="36"/>
      <c r="BQF202" s="36"/>
      <c r="BQG202" s="36"/>
      <c r="BQH202" s="36"/>
      <c r="BQI202" s="36"/>
      <c r="BQJ202" s="36"/>
      <c r="BQK202" s="36"/>
      <c r="BQL202" s="36"/>
      <c r="BQM202" s="36"/>
      <c r="BQN202" s="36"/>
      <c r="BQO202" s="36"/>
      <c r="BQP202" s="36"/>
      <c r="BQQ202" s="36"/>
      <c r="BQR202" s="36"/>
      <c r="BQS202" s="36"/>
      <c r="BQT202" s="36"/>
      <c r="BQU202" s="36"/>
      <c r="BQV202" s="36"/>
      <c r="BQW202" s="36"/>
      <c r="BQX202" s="36"/>
      <c r="BQY202" s="36"/>
      <c r="BQZ202" s="36"/>
      <c r="BRA202" s="36"/>
      <c r="BRB202" s="36"/>
      <c r="BRC202" s="36"/>
      <c r="BRD202" s="36"/>
      <c r="BRE202" s="36"/>
      <c r="BRF202" s="36"/>
      <c r="BRG202" s="36"/>
      <c r="BRH202" s="36"/>
      <c r="BRI202" s="36"/>
      <c r="BRJ202" s="36"/>
      <c r="BRK202" s="36"/>
      <c r="BRL202" s="36"/>
      <c r="BRM202" s="36"/>
      <c r="BRN202" s="36"/>
      <c r="BRO202" s="36"/>
      <c r="BRP202" s="36"/>
      <c r="BRQ202" s="36"/>
      <c r="BRR202" s="36"/>
      <c r="BRS202" s="36"/>
      <c r="BRT202" s="36"/>
      <c r="BRU202" s="36"/>
      <c r="BRV202" s="36"/>
      <c r="BRW202" s="36"/>
      <c r="BRX202" s="36"/>
      <c r="BRY202" s="36"/>
      <c r="BRZ202" s="36"/>
      <c r="BSA202" s="36"/>
      <c r="BSB202" s="36"/>
      <c r="BSC202" s="36"/>
      <c r="BSD202" s="36"/>
      <c r="BSE202" s="36"/>
      <c r="BSF202" s="36"/>
      <c r="BSG202" s="36"/>
      <c r="BSH202" s="36"/>
      <c r="BSI202" s="36"/>
      <c r="BSJ202" s="36"/>
      <c r="BSK202" s="36"/>
      <c r="BSL202" s="36"/>
      <c r="BSM202" s="36"/>
      <c r="BSN202" s="36"/>
      <c r="BSO202" s="36"/>
      <c r="BSP202" s="36"/>
      <c r="BSQ202" s="36"/>
      <c r="BSR202" s="36"/>
      <c r="BSS202" s="36"/>
      <c r="BST202" s="36"/>
      <c r="BSU202" s="36"/>
      <c r="BSV202" s="36"/>
      <c r="BSW202" s="36"/>
      <c r="BSX202" s="36"/>
      <c r="BSY202" s="36"/>
      <c r="BSZ202" s="36"/>
      <c r="BTA202" s="36"/>
      <c r="BTB202" s="36"/>
      <c r="BTC202" s="36"/>
      <c r="BTD202" s="36"/>
      <c r="BTE202" s="36"/>
      <c r="BTF202" s="36"/>
      <c r="BTG202" s="36"/>
      <c r="BTH202" s="36"/>
      <c r="BTI202" s="36"/>
      <c r="BTJ202" s="36"/>
      <c r="BTK202" s="36"/>
      <c r="BTL202" s="36"/>
      <c r="BTM202" s="36"/>
      <c r="BTN202" s="36"/>
      <c r="BTO202" s="36"/>
      <c r="BTP202" s="36"/>
      <c r="BTQ202" s="36"/>
      <c r="BTR202" s="36"/>
      <c r="BTS202" s="36"/>
      <c r="BTT202" s="36"/>
      <c r="BTU202" s="36"/>
      <c r="BTV202" s="36"/>
      <c r="BTW202" s="36"/>
      <c r="BTX202" s="36"/>
      <c r="BTY202" s="36"/>
      <c r="BTZ202" s="36"/>
      <c r="BUA202" s="36"/>
      <c r="BUB202" s="36"/>
      <c r="BUC202" s="36"/>
      <c r="BUD202" s="36"/>
      <c r="BUE202" s="36"/>
      <c r="BUF202" s="36"/>
      <c r="BUG202" s="36"/>
      <c r="BUH202" s="36"/>
      <c r="BUI202" s="36"/>
      <c r="BUJ202" s="36"/>
      <c r="BUK202" s="36"/>
      <c r="BUL202" s="36"/>
      <c r="BUM202" s="36"/>
      <c r="BUN202" s="36"/>
      <c r="BUO202" s="36"/>
      <c r="BUP202" s="36"/>
      <c r="BUQ202" s="36"/>
      <c r="BUR202" s="36"/>
      <c r="BUS202" s="36"/>
      <c r="BUT202" s="36"/>
      <c r="BUU202" s="36"/>
      <c r="BUV202" s="36"/>
      <c r="BUW202" s="36"/>
      <c r="BUX202" s="36"/>
      <c r="BUY202" s="36"/>
      <c r="BUZ202" s="36"/>
      <c r="BVA202" s="36"/>
      <c r="BVB202" s="36"/>
      <c r="BVC202" s="36"/>
      <c r="BVD202" s="36"/>
      <c r="BVE202" s="36"/>
      <c r="BVF202" s="36"/>
      <c r="BVG202" s="36"/>
      <c r="BVH202" s="36"/>
      <c r="BVI202" s="36"/>
      <c r="BVJ202" s="36"/>
      <c r="BVK202" s="36"/>
      <c r="BVL202" s="36"/>
      <c r="BVM202" s="36"/>
      <c r="BVN202" s="36"/>
      <c r="BVO202" s="36"/>
      <c r="BVP202" s="36"/>
      <c r="BVQ202" s="36"/>
      <c r="BVR202" s="36"/>
      <c r="BVS202" s="36"/>
      <c r="BVT202" s="36"/>
      <c r="BVU202" s="36"/>
      <c r="BVV202" s="36"/>
      <c r="BVW202" s="36"/>
      <c r="BVX202" s="36"/>
      <c r="BVY202" s="36"/>
      <c r="BVZ202" s="36"/>
      <c r="BWA202" s="36"/>
      <c r="BWB202" s="36"/>
      <c r="BWC202" s="36"/>
      <c r="BWD202" s="36"/>
      <c r="BWE202" s="36"/>
      <c r="BWF202" s="36"/>
      <c r="BWG202" s="36"/>
      <c r="BWH202" s="36"/>
      <c r="BWI202" s="36"/>
      <c r="BWJ202" s="36"/>
      <c r="BWK202" s="36"/>
      <c r="BWL202" s="36"/>
      <c r="BWM202" s="36"/>
      <c r="BWN202" s="36"/>
      <c r="BWO202" s="36"/>
      <c r="BWP202" s="36"/>
      <c r="BWQ202" s="36"/>
      <c r="BWR202" s="36"/>
      <c r="BWS202" s="36"/>
      <c r="BWT202" s="36"/>
      <c r="BWU202" s="36"/>
      <c r="BWV202" s="36"/>
      <c r="BWW202" s="36"/>
      <c r="BWX202" s="36"/>
      <c r="BWY202" s="36"/>
      <c r="BWZ202" s="36"/>
      <c r="BXA202" s="36"/>
      <c r="BXB202" s="36"/>
      <c r="BXC202" s="36"/>
      <c r="BXD202" s="36"/>
      <c r="BXE202" s="36"/>
      <c r="BXF202" s="36"/>
      <c r="BXG202" s="36"/>
      <c r="BXH202" s="36"/>
      <c r="BXI202" s="36"/>
      <c r="BXJ202" s="36"/>
      <c r="BXK202" s="36"/>
      <c r="BXL202" s="36"/>
      <c r="BXM202" s="36"/>
      <c r="BXN202" s="36"/>
      <c r="BXO202" s="36"/>
      <c r="BXP202" s="36"/>
      <c r="BXQ202" s="36"/>
      <c r="BXR202" s="36"/>
      <c r="BXS202" s="36"/>
      <c r="BXT202" s="36"/>
      <c r="BXU202" s="36"/>
      <c r="BXV202" s="36"/>
      <c r="BXW202" s="36"/>
      <c r="BXX202" s="36"/>
      <c r="BXY202" s="36"/>
      <c r="BXZ202" s="36"/>
      <c r="BYA202" s="36"/>
      <c r="BYB202" s="36"/>
      <c r="BYC202" s="36"/>
      <c r="BYD202" s="36"/>
      <c r="BYE202" s="36"/>
      <c r="BYF202" s="36"/>
      <c r="BYG202" s="36"/>
      <c r="BYH202" s="36"/>
      <c r="BYI202" s="36"/>
      <c r="BYJ202" s="36"/>
      <c r="BYK202" s="36"/>
      <c r="BYL202" s="36"/>
      <c r="BYM202" s="36"/>
      <c r="BYN202" s="36"/>
      <c r="BYO202" s="36"/>
      <c r="BYP202" s="36"/>
      <c r="BYQ202" s="36"/>
      <c r="BYR202" s="36"/>
      <c r="BYS202" s="36"/>
      <c r="BYT202" s="36"/>
      <c r="BYU202" s="36"/>
      <c r="BYV202" s="36"/>
      <c r="BYW202" s="36"/>
      <c r="BYX202" s="36"/>
      <c r="BYY202" s="36"/>
      <c r="BYZ202" s="36"/>
      <c r="BZA202" s="36"/>
      <c r="BZB202" s="36"/>
      <c r="BZC202" s="36"/>
      <c r="BZD202" s="36"/>
      <c r="BZE202" s="36"/>
      <c r="BZF202" s="36"/>
      <c r="BZG202" s="36"/>
      <c r="BZH202" s="36"/>
      <c r="BZI202" s="36"/>
      <c r="BZJ202" s="36"/>
      <c r="BZK202" s="36"/>
      <c r="BZL202" s="36"/>
      <c r="BZM202" s="36"/>
      <c r="BZN202" s="36"/>
      <c r="BZO202" s="36"/>
      <c r="BZP202" s="36"/>
      <c r="BZQ202" s="36"/>
      <c r="BZR202" s="36"/>
      <c r="BZS202" s="36"/>
      <c r="BZT202" s="36"/>
      <c r="BZU202" s="36"/>
      <c r="BZV202" s="36"/>
      <c r="BZW202" s="36"/>
      <c r="BZX202" s="36"/>
      <c r="BZY202" s="36"/>
      <c r="BZZ202" s="36"/>
      <c r="CAA202" s="36"/>
      <c r="CAB202" s="36"/>
      <c r="CAC202" s="36"/>
      <c r="CAD202" s="36"/>
      <c r="CAE202" s="36"/>
      <c r="CAF202" s="36"/>
      <c r="CAG202" s="36"/>
      <c r="CAH202" s="36"/>
      <c r="CAI202" s="36"/>
      <c r="CAJ202" s="36"/>
      <c r="CAK202" s="36"/>
      <c r="CAL202" s="36"/>
      <c r="CAM202" s="36"/>
      <c r="CAN202" s="36"/>
      <c r="CAO202" s="36"/>
      <c r="CAP202" s="36"/>
      <c r="CAQ202" s="36"/>
      <c r="CAR202" s="36"/>
      <c r="CAS202" s="36"/>
      <c r="CAT202" s="36"/>
      <c r="CAU202" s="36"/>
      <c r="CAV202" s="36"/>
      <c r="CAW202" s="36"/>
      <c r="CAX202" s="36"/>
      <c r="CAY202" s="36"/>
      <c r="CAZ202" s="36"/>
      <c r="CBA202" s="36"/>
      <c r="CBB202" s="36"/>
      <c r="CBC202" s="36"/>
      <c r="CBD202" s="36"/>
      <c r="CBE202" s="36"/>
      <c r="CBF202" s="36"/>
      <c r="CBG202" s="36"/>
      <c r="CBH202" s="36"/>
      <c r="CBI202" s="36"/>
      <c r="CBJ202" s="36"/>
      <c r="CBK202" s="36"/>
      <c r="CBL202" s="36"/>
      <c r="CBM202" s="36"/>
      <c r="CBN202" s="36"/>
      <c r="CBO202" s="36"/>
      <c r="CBP202" s="36"/>
      <c r="CBQ202" s="36"/>
      <c r="CBR202" s="36"/>
      <c r="CBS202" s="36"/>
      <c r="CBT202" s="36"/>
      <c r="CBU202" s="36"/>
      <c r="CBV202" s="36"/>
      <c r="CBW202" s="36"/>
      <c r="CBX202" s="36"/>
      <c r="CBY202" s="36"/>
      <c r="CBZ202" s="36"/>
      <c r="CCA202" s="36"/>
      <c r="CCB202" s="36"/>
      <c r="CCC202" s="36"/>
      <c r="CCD202" s="36"/>
      <c r="CCE202" s="36"/>
      <c r="CCF202" s="36"/>
      <c r="CCG202" s="36"/>
      <c r="CCH202" s="36"/>
      <c r="CCI202" s="36"/>
      <c r="CCJ202" s="36"/>
      <c r="CCK202" s="36"/>
      <c r="CCL202" s="36"/>
      <c r="CCM202" s="36"/>
      <c r="CCN202" s="36"/>
      <c r="CCO202" s="36"/>
      <c r="CCP202" s="36"/>
      <c r="CCQ202" s="36"/>
      <c r="CCR202" s="36"/>
      <c r="CCS202" s="36"/>
      <c r="CCT202" s="36"/>
      <c r="CCU202" s="36"/>
      <c r="CCV202" s="36"/>
      <c r="CCW202" s="36"/>
      <c r="CCX202" s="36"/>
      <c r="CCY202" s="36"/>
      <c r="CCZ202" s="36"/>
      <c r="CDA202" s="36"/>
      <c r="CDB202" s="36"/>
      <c r="CDC202" s="36"/>
      <c r="CDD202" s="36"/>
      <c r="CDE202" s="36"/>
      <c r="CDF202" s="36"/>
      <c r="CDG202" s="36"/>
      <c r="CDH202" s="36"/>
      <c r="CDI202" s="36"/>
      <c r="CDJ202" s="36"/>
      <c r="CDK202" s="36"/>
      <c r="CDL202" s="36"/>
      <c r="CDM202" s="36"/>
      <c r="CDN202" s="36"/>
      <c r="CDO202" s="36"/>
      <c r="CDP202" s="36"/>
      <c r="CDQ202" s="36"/>
      <c r="CDR202" s="36"/>
      <c r="CDS202" s="36"/>
      <c r="CDT202" s="36"/>
      <c r="CDU202" s="36"/>
      <c r="CDV202" s="36"/>
      <c r="CDW202" s="36"/>
      <c r="CDX202" s="36"/>
      <c r="CDY202" s="36"/>
      <c r="CDZ202" s="36"/>
      <c r="CEA202" s="36"/>
      <c r="CEB202" s="36"/>
      <c r="CEC202" s="36"/>
      <c r="CED202" s="36"/>
      <c r="CEE202" s="36"/>
      <c r="CEF202" s="36"/>
      <c r="CEG202" s="36"/>
      <c r="CEH202" s="36"/>
      <c r="CEI202" s="36"/>
      <c r="CEJ202" s="36"/>
      <c r="CEK202" s="36"/>
      <c r="CEL202" s="36"/>
      <c r="CEM202" s="36"/>
      <c r="CEN202" s="36"/>
      <c r="CEO202" s="36"/>
      <c r="CEP202" s="36"/>
      <c r="CEQ202" s="36"/>
      <c r="CER202" s="36"/>
      <c r="CES202" s="36"/>
      <c r="CET202" s="36"/>
      <c r="CEU202" s="36"/>
      <c r="CEV202" s="36"/>
      <c r="CEW202" s="36"/>
      <c r="CEX202" s="36"/>
      <c r="CEY202" s="36"/>
      <c r="CEZ202" s="36"/>
      <c r="CFA202" s="36"/>
      <c r="CFB202" s="36"/>
      <c r="CFC202" s="36"/>
      <c r="CFD202" s="36"/>
      <c r="CFE202" s="36"/>
      <c r="CFF202" s="36"/>
      <c r="CFG202" s="36"/>
      <c r="CFH202" s="36"/>
      <c r="CFI202" s="36"/>
      <c r="CFJ202" s="36"/>
      <c r="CFK202" s="36"/>
      <c r="CFL202" s="36"/>
      <c r="CFM202" s="36"/>
      <c r="CFN202" s="36"/>
      <c r="CFO202" s="36"/>
      <c r="CFP202" s="36"/>
      <c r="CFQ202" s="36"/>
      <c r="CFR202" s="36"/>
      <c r="CFS202" s="36"/>
      <c r="CFT202" s="36"/>
      <c r="CFU202" s="36"/>
      <c r="CFV202" s="36"/>
      <c r="CFW202" s="36"/>
      <c r="CFX202" s="36"/>
      <c r="CFY202" s="36"/>
      <c r="CFZ202" s="36"/>
      <c r="CGA202" s="36"/>
      <c r="CGB202" s="36"/>
      <c r="CGC202" s="36"/>
      <c r="CGD202" s="36"/>
      <c r="CGE202" s="36"/>
      <c r="CGF202" s="36"/>
      <c r="CGG202" s="36"/>
      <c r="CGH202" s="36"/>
      <c r="CGI202" s="36"/>
      <c r="CGJ202" s="36"/>
      <c r="CGK202" s="36"/>
      <c r="CGL202" s="36"/>
      <c r="CGM202" s="36"/>
      <c r="CGN202" s="36"/>
      <c r="CGO202" s="36"/>
      <c r="CGP202" s="36"/>
      <c r="CGQ202" s="36"/>
      <c r="CGR202" s="36"/>
      <c r="CGS202" s="36"/>
      <c r="CGT202" s="36"/>
      <c r="CGU202" s="36"/>
      <c r="CGV202" s="36"/>
      <c r="CGW202" s="36"/>
      <c r="CGX202" s="36"/>
      <c r="CGY202" s="36"/>
      <c r="CGZ202" s="36"/>
      <c r="CHA202" s="36"/>
      <c r="CHB202" s="36"/>
      <c r="CHC202" s="36"/>
      <c r="CHD202" s="36"/>
      <c r="CHE202" s="36"/>
      <c r="CHF202" s="36"/>
      <c r="CHG202" s="36"/>
      <c r="CHH202" s="36"/>
      <c r="CHI202" s="36"/>
      <c r="CHJ202" s="36"/>
      <c r="CHK202" s="36"/>
      <c r="CHL202" s="36"/>
      <c r="CHM202" s="36"/>
      <c r="CHN202" s="36"/>
      <c r="CHO202" s="36"/>
      <c r="CHP202" s="36"/>
      <c r="CHQ202" s="36"/>
      <c r="CHR202" s="36"/>
      <c r="CHS202" s="36"/>
      <c r="CHT202" s="36"/>
      <c r="CHU202" s="36"/>
      <c r="CHV202" s="36"/>
      <c r="CHW202" s="36"/>
      <c r="CHX202" s="36"/>
      <c r="CHY202" s="36"/>
      <c r="CHZ202" s="36"/>
      <c r="CIA202" s="36"/>
      <c r="CIB202" s="36"/>
      <c r="CIC202" s="36"/>
      <c r="CID202" s="36"/>
      <c r="CIE202" s="36"/>
      <c r="CIF202" s="36"/>
      <c r="CIG202" s="36"/>
      <c r="CIH202" s="36"/>
      <c r="CII202" s="36"/>
      <c r="CIJ202" s="36"/>
      <c r="CIK202" s="36"/>
      <c r="CIL202" s="36"/>
      <c r="CIM202" s="36"/>
      <c r="CIN202" s="36"/>
      <c r="CIO202" s="36"/>
      <c r="CIP202" s="36"/>
      <c r="CIQ202" s="36"/>
      <c r="CIR202" s="36"/>
      <c r="CIS202" s="36"/>
      <c r="CIT202" s="36"/>
      <c r="CIU202" s="36"/>
      <c r="CIV202" s="36"/>
      <c r="CIW202" s="36"/>
      <c r="CIX202" s="36"/>
      <c r="CIY202" s="36"/>
      <c r="CIZ202" s="36"/>
      <c r="CJA202" s="36"/>
      <c r="CJB202" s="36"/>
      <c r="CJC202" s="36"/>
      <c r="CJD202" s="36"/>
      <c r="CJE202" s="36"/>
      <c r="CJF202" s="36"/>
      <c r="CJG202" s="36"/>
      <c r="CJH202" s="36"/>
      <c r="CJI202" s="36"/>
      <c r="CJJ202" s="36"/>
      <c r="CJK202" s="36"/>
      <c r="CJL202" s="36"/>
      <c r="CJM202" s="36"/>
      <c r="CJN202" s="36"/>
      <c r="CJO202" s="36"/>
      <c r="CJP202" s="36"/>
      <c r="CJQ202" s="36"/>
      <c r="CJR202" s="36"/>
      <c r="CJS202" s="36"/>
      <c r="CJT202" s="36"/>
      <c r="CJU202" s="36"/>
      <c r="CJV202" s="36"/>
      <c r="CJW202" s="36"/>
      <c r="CJX202" s="36"/>
      <c r="CJY202" s="36"/>
      <c r="CJZ202" s="36"/>
      <c r="CKA202" s="36"/>
      <c r="CKB202" s="36"/>
      <c r="CKC202" s="36"/>
      <c r="CKD202" s="36"/>
      <c r="CKE202" s="36"/>
      <c r="CKF202" s="36"/>
      <c r="CKG202" s="36"/>
      <c r="CKH202" s="36"/>
      <c r="CKI202" s="36"/>
      <c r="CKJ202" s="36"/>
      <c r="CKK202" s="36"/>
      <c r="CKL202" s="36"/>
      <c r="CKM202" s="36"/>
      <c r="CKN202" s="36"/>
      <c r="CKO202" s="36"/>
      <c r="CKP202" s="36"/>
      <c r="CKQ202" s="36"/>
      <c r="CKR202" s="36"/>
      <c r="CKS202" s="36"/>
      <c r="CKT202" s="36"/>
      <c r="CKU202" s="36"/>
      <c r="CKV202" s="36"/>
      <c r="CKW202" s="36"/>
      <c r="CKX202" s="36"/>
      <c r="CKY202" s="36"/>
      <c r="CKZ202" s="36"/>
      <c r="CLA202" s="36"/>
      <c r="CLB202" s="36"/>
      <c r="CLC202" s="36"/>
      <c r="CLD202" s="36"/>
      <c r="CLE202" s="36"/>
      <c r="CLF202" s="36"/>
      <c r="CLG202" s="36"/>
      <c r="CLH202" s="36"/>
      <c r="CLI202" s="36"/>
      <c r="CLJ202" s="36"/>
      <c r="CLK202" s="36"/>
      <c r="CLL202" s="36"/>
      <c r="CLM202" s="36"/>
      <c r="CLN202" s="36"/>
      <c r="CLO202" s="36"/>
      <c r="CLP202" s="36"/>
      <c r="CLQ202" s="36"/>
      <c r="CLR202" s="36"/>
      <c r="CLS202" s="36"/>
      <c r="CLT202" s="36"/>
      <c r="CLU202" s="36"/>
      <c r="CLV202" s="36"/>
      <c r="CLW202" s="36"/>
      <c r="CLX202" s="36"/>
      <c r="CLY202" s="36"/>
      <c r="CLZ202" s="36"/>
      <c r="CMA202" s="36"/>
      <c r="CMB202" s="36"/>
      <c r="CMC202" s="36"/>
      <c r="CMD202" s="36"/>
      <c r="CME202" s="36"/>
      <c r="CMF202" s="36"/>
      <c r="CMG202" s="36"/>
      <c r="CMH202" s="36"/>
      <c r="CMI202" s="36"/>
      <c r="CMJ202" s="36"/>
      <c r="CMK202" s="36"/>
      <c r="CML202" s="36"/>
      <c r="CMM202" s="36"/>
      <c r="CMN202" s="36"/>
      <c r="CMO202" s="36"/>
      <c r="CMP202" s="36"/>
      <c r="CMQ202" s="36"/>
      <c r="CMR202" s="36"/>
      <c r="CMS202" s="36"/>
      <c r="CMT202" s="36"/>
      <c r="CMU202" s="36"/>
      <c r="CMV202" s="36"/>
      <c r="CMW202" s="36"/>
      <c r="CMX202" s="36"/>
      <c r="CMY202" s="36"/>
      <c r="CMZ202" s="36"/>
      <c r="CNA202" s="36"/>
      <c r="CNB202" s="36"/>
      <c r="CNC202" s="36"/>
      <c r="CND202" s="36"/>
      <c r="CNE202" s="36"/>
      <c r="CNF202" s="36"/>
      <c r="CNG202" s="36"/>
      <c r="CNH202" s="36"/>
      <c r="CNI202" s="36"/>
      <c r="CNJ202" s="36"/>
      <c r="CNK202" s="36"/>
      <c r="CNL202" s="36"/>
      <c r="CNM202" s="36"/>
      <c r="CNN202" s="36"/>
      <c r="CNO202" s="36"/>
      <c r="CNP202" s="36"/>
      <c r="CNQ202" s="36"/>
      <c r="CNR202" s="36"/>
      <c r="CNS202" s="36"/>
      <c r="CNT202" s="36"/>
      <c r="CNU202" s="36"/>
      <c r="CNV202" s="36"/>
      <c r="CNW202" s="36"/>
      <c r="CNX202" s="36"/>
      <c r="CNY202" s="36"/>
      <c r="CNZ202" s="36"/>
      <c r="COA202" s="36"/>
      <c r="COB202" s="36"/>
      <c r="COC202" s="36"/>
      <c r="COD202" s="36"/>
      <c r="COE202" s="36"/>
      <c r="COF202" s="36"/>
      <c r="COG202" s="36"/>
      <c r="COH202" s="36"/>
      <c r="COI202" s="36"/>
      <c r="COJ202" s="36"/>
      <c r="COK202" s="36"/>
      <c r="COL202" s="36"/>
      <c r="COM202" s="36"/>
      <c r="CON202" s="36"/>
      <c r="COO202" s="36"/>
      <c r="COP202" s="36"/>
      <c r="COQ202" s="36"/>
      <c r="COR202" s="36"/>
      <c r="COS202" s="36"/>
      <c r="COT202" s="36"/>
      <c r="COU202" s="36"/>
      <c r="COV202" s="36"/>
      <c r="COW202" s="36"/>
      <c r="COX202" s="36"/>
      <c r="COY202" s="36"/>
      <c r="COZ202" s="36"/>
      <c r="CPA202" s="36"/>
      <c r="CPB202" s="36"/>
      <c r="CPC202" s="36"/>
      <c r="CPD202" s="36"/>
      <c r="CPE202" s="36"/>
      <c r="CPF202" s="36"/>
      <c r="CPG202" s="36"/>
      <c r="CPH202" s="36"/>
      <c r="CPI202" s="36"/>
      <c r="CPJ202" s="36"/>
      <c r="CPK202" s="36"/>
      <c r="CPL202" s="36"/>
      <c r="CPM202" s="36"/>
      <c r="CPN202" s="36"/>
      <c r="CPO202" s="36"/>
      <c r="CPP202" s="36"/>
      <c r="CPQ202" s="36"/>
      <c r="CPR202" s="36"/>
      <c r="CPS202" s="36"/>
      <c r="CPT202" s="36"/>
      <c r="CPU202" s="36"/>
      <c r="CPV202" s="36"/>
      <c r="CPW202" s="36"/>
      <c r="CPX202" s="36"/>
      <c r="CPY202" s="36"/>
      <c r="CPZ202" s="36"/>
      <c r="CQA202" s="36"/>
      <c r="CQB202" s="36"/>
      <c r="CQC202" s="36"/>
      <c r="CQD202" s="36"/>
      <c r="CQE202" s="36"/>
      <c r="CQF202" s="36"/>
      <c r="CQG202" s="36"/>
      <c r="CQH202" s="36"/>
      <c r="CQI202" s="36"/>
      <c r="CQJ202" s="36"/>
      <c r="CQK202" s="36"/>
      <c r="CQL202" s="36"/>
      <c r="CQM202" s="36"/>
      <c r="CQN202" s="36"/>
      <c r="CQO202" s="36"/>
      <c r="CQP202" s="36"/>
      <c r="CQQ202" s="36"/>
      <c r="CQR202" s="36"/>
      <c r="CQS202" s="36"/>
      <c r="CQT202" s="36"/>
      <c r="CQU202" s="36"/>
      <c r="CQV202" s="36"/>
      <c r="CQW202" s="36"/>
      <c r="CQX202" s="36"/>
      <c r="CQY202" s="36"/>
      <c r="CQZ202" s="36"/>
      <c r="CRA202" s="36"/>
      <c r="CRB202" s="36"/>
      <c r="CRC202" s="36"/>
      <c r="CRD202" s="36"/>
      <c r="CRE202" s="36"/>
      <c r="CRF202" s="36"/>
      <c r="CRG202" s="36"/>
      <c r="CRH202" s="36"/>
      <c r="CRI202" s="36"/>
      <c r="CRJ202" s="36"/>
      <c r="CRK202" s="36"/>
      <c r="CRL202" s="36"/>
      <c r="CRM202" s="36"/>
      <c r="CRN202" s="36"/>
      <c r="CRO202" s="36"/>
      <c r="CRP202" s="36"/>
      <c r="CRQ202" s="36"/>
      <c r="CRR202" s="36"/>
      <c r="CRS202" s="36"/>
      <c r="CRT202" s="36"/>
      <c r="CRU202" s="36"/>
      <c r="CRV202" s="36"/>
      <c r="CRW202" s="36"/>
      <c r="CRX202" s="36"/>
      <c r="CRY202" s="36"/>
      <c r="CRZ202" s="36"/>
      <c r="CSA202" s="36"/>
      <c r="CSB202" s="36"/>
      <c r="CSC202" s="36"/>
      <c r="CSD202" s="36"/>
      <c r="CSE202" s="36"/>
      <c r="CSF202" s="36"/>
      <c r="CSG202" s="36"/>
      <c r="CSH202" s="36"/>
      <c r="CSI202" s="36"/>
      <c r="CSJ202" s="36"/>
      <c r="CSK202" s="36"/>
      <c r="CSL202" s="36"/>
      <c r="CSM202" s="36"/>
      <c r="CSN202" s="36"/>
      <c r="CSO202" s="36"/>
      <c r="CSP202" s="36"/>
      <c r="CSQ202" s="36"/>
      <c r="CSR202" s="36"/>
      <c r="CSS202" s="36"/>
      <c r="CST202" s="36"/>
      <c r="CSU202" s="36"/>
      <c r="CSV202" s="36"/>
      <c r="CSW202" s="36"/>
      <c r="CSX202" s="36"/>
      <c r="CSY202" s="36"/>
      <c r="CSZ202" s="36"/>
      <c r="CTA202" s="36"/>
      <c r="CTB202" s="36"/>
      <c r="CTC202" s="36"/>
      <c r="CTD202" s="36"/>
      <c r="CTE202" s="36"/>
      <c r="CTF202" s="36"/>
      <c r="CTG202" s="36"/>
      <c r="CTH202" s="36"/>
      <c r="CTI202" s="36"/>
      <c r="CTJ202" s="36"/>
      <c r="CTK202" s="36"/>
      <c r="CTL202" s="36"/>
      <c r="CTM202" s="36"/>
      <c r="CTN202" s="36"/>
      <c r="CTO202" s="36"/>
      <c r="CTP202" s="36"/>
      <c r="CTQ202" s="36"/>
      <c r="CTR202" s="36"/>
      <c r="CTS202" s="36"/>
      <c r="CTT202" s="36"/>
      <c r="CTU202" s="36"/>
      <c r="CTV202" s="36"/>
      <c r="CTW202" s="36"/>
      <c r="CTX202" s="36"/>
      <c r="CTY202" s="36"/>
      <c r="CTZ202" s="36"/>
      <c r="CUA202" s="36"/>
      <c r="CUB202" s="36"/>
      <c r="CUC202" s="36"/>
      <c r="CUD202" s="36"/>
      <c r="CUE202" s="36"/>
      <c r="CUF202" s="36"/>
      <c r="CUG202" s="36"/>
      <c r="CUH202" s="36"/>
      <c r="CUI202" s="36"/>
      <c r="CUJ202" s="36"/>
      <c r="CUK202" s="36"/>
      <c r="CUL202" s="36"/>
      <c r="CUM202" s="36"/>
      <c r="CUN202" s="36"/>
      <c r="CUO202" s="36"/>
      <c r="CUP202" s="36"/>
      <c r="CUQ202" s="36"/>
      <c r="CUR202" s="36"/>
      <c r="CUS202" s="36"/>
      <c r="CUT202" s="36"/>
      <c r="CUU202" s="36"/>
      <c r="CUV202" s="36"/>
      <c r="CUW202" s="36"/>
      <c r="CUX202" s="36"/>
      <c r="CUY202" s="36"/>
      <c r="CUZ202" s="36"/>
      <c r="CVA202" s="36"/>
      <c r="CVB202" s="36"/>
      <c r="CVC202" s="36"/>
      <c r="CVD202" s="36"/>
      <c r="CVE202" s="36"/>
      <c r="CVF202" s="36"/>
      <c r="CVG202" s="36"/>
      <c r="CVH202" s="36"/>
      <c r="CVI202" s="36"/>
      <c r="CVJ202" s="36"/>
      <c r="CVK202" s="36"/>
      <c r="CVL202" s="36"/>
      <c r="CVM202" s="36"/>
      <c r="CVN202" s="36"/>
      <c r="CVO202" s="36"/>
      <c r="CVP202" s="36"/>
      <c r="CVQ202" s="36"/>
      <c r="CVR202" s="36"/>
      <c r="CVS202" s="36"/>
      <c r="CVT202" s="36"/>
      <c r="CVU202" s="36"/>
      <c r="CVV202" s="36"/>
      <c r="CVW202" s="36"/>
      <c r="CVX202" s="36"/>
      <c r="CVY202" s="36"/>
      <c r="CVZ202" s="36"/>
      <c r="CWA202" s="36"/>
      <c r="CWB202" s="36"/>
      <c r="CWC202" s="36"/>
      <c r="CWD202" s="36"/>
      <c r="CWE202" s="36"/>
      <c r="CWF202" s="36"/>
      <c r="CWG202" s="36"/>
      <c r="CWH202" s="36"/>
      <c r="CWI202" s="36"/>
      <c r="CWJ202" s="36"/>
      <c r="CWK202" s="36"/>
      <c r="CWL202" s="36"/>
      <c r="CWM202" s="36"/>
      <c r="CWN202" s="36"/>
      <c r="CWO202" s="36"/>
      <c r="CWP202" s="36"/>
      <c r="CWQ202" s="36"/>
      <c r="CWR202" s="36"/>
      <c r="CWS202" s="36"/>
      <c r="CWT202" s="36"/>
      <c r="CWU202" s="36"/>
      <c r="CWV202" s="36"/>
      <c r="CWW202" s="36"/>
      <c r="CWX202" s="36"/>
      <c r="CWY202" s="36"/>
      <c r="CWZ202" s="36"/>
      <c r="CXA202" s="36"/>
      <c r="CXB202" s="36"/>
      <c r="CXC202" s="36"/>
      <c r="CXD202" s="36"/>
      <c r="CXE202" s="36"/>
      <c r="CXF202" s="36"/>
      <c r="CXG202" s="36"/>
      <c r="CXH202" s="36"/>
      <c r="CXI202" s="36"/>
      <c r="CXJ202" s="36"/>
      <c r="CXK202" s="36"/>
      <c r="CXL202" s="36"/>
      <c r="CXM202" s="36"/>
      <c r="CXN202" s="36"/>
      <c r="CXO202" s="36"/>
      <c r="CXP202" s="36"/>
      <c r="CXQ202" s="36"/>
      <c r="CXR202" s="36"/>
      <c r="CXS202" s="36"/>
      <c r="CXT202" s="36"/>
      <c r="CXU202" s="36"/>
      <c r="CXV202" s="36"/>
      <c r="CXW202" s="36"/>
      <c r="CXX202" s="36"/>
      <c r="CXY202" s="36"/>
      <c r="CXZ202" s="36"/>
      <c r="CYA202" s="36"/>
      <c r="CYB202" s="36"/>
      <c r="CYC202" s="36"/>
      <c r="CYD202" s="36"/>
      <c r="CYE202" s="36"/>
      <c r="CYF202" s="36"/>
      <c r="CYG202" s="36"/>
      <c r="CYH202" s="36"/>
      <c r="CYI202" s="36"/>
      <c r="CYJ202" s="36"/>
      <c r="CYK202" s="36"/>
      <c r="CYL202" s="36"/>
      <c r="CYM202" s="36"/>
      <c r="CYN202" s="36"/>
      <c r="CYO202" s="36"/>
      <c r="CYP202" s="36"/>
      <c r="CYQ202" s="36"/>
      <c r="CYR202" s="36"/>
      <c r="CYS202" s="36"/>
      <c r="CYT202" s="36"/>
      <c r="CYU202" s="36"/>
      <c r="CYV202" s="36"/>
      <c r="CYW202" s="36"/>
      <c r="CYX202" s="36"/>
      <c r="CYY202" s="36"/>
      <c r="CYZ202" s="36"/>
      <c r="CZA202" s="36"/>
      <c r="CZB202" s="36"/>
      <c r="CZC202" s="36"/>
      <c r="CZD202" s="36"/>
      <c r="CZE202" s="36"/>
      <c r="CZF202" s="36"/>
      <c r="CZG202" s="36"/>
      <c r="CZH202" s="36"/>
      <c r="CZI202" s="36"/>
      <c r="CZJ202" s="36"/>
      <c r="CZK202" s="36"/>
      <c r="CZL202" s="36"/>
      <c r="CZM202" s="36"/>
      <c r="CZN202" s="36"/>
      <c r="CZO202" s="36"/>
      <c r="CZP202" s="36"/>
      <c r="CZQ202" s="36"/>
      <c r="CZR202" s="36"/>
      <c r="CZS202" s="36"/>
      <c r="CZT202" s="36"/>
      <c r="CZU202" s="36"/>
      <c r="CZV202" s="36"/>
      <c r="CZW202" s="36"/>
      <c r="CZX202" s="36"/>
      <c r="CZY202" s="36"/>
      <c r="CZZ202" s="36"/>
      <c r="DAA202" s="36"/>
      <c r="DAB202" s="36"/>
      <c r="DAC202" s="36"/>
      <c r="DAD202" s="36"/>
      <c r="DAE202" s="36"/>
      <c r="DAF202" s="36"/>
      <c r="DAG202" s="36"/>
      <c r="DAH202" s="36"/>
      <c r="DAI202" s="36"/>
      <c r="DAJ202" s="36"/>
      <c r="DAK202" s="36"/>
      <c r="DAL202" s="36"/>
      <c r="DAM202" s="36"/>
      <c r="DAN202" s="36"/>
      <c r="DAO202" s="36"/>
      <c r="DAP202" s="36"/>
      <c r="DAQ202" s="36"/>
      <c r="DAR202" s="36"/>
      <c r="DAS202" s="36"/>
      <c r="DAT202" s="36"/>
      <c r="DAU202" s="36"/>
      <c r="DAV202" s="36"/>
      <c r="DAW202" s="36"/>
      <c r="DAX202" s="36"/>
      <c r="DAY202" s="36"/>
      <c r="DAZ202" s="36"/>
      <c r="DBA202" s="36"/>
      <c r="DBB202" s="36"/>
      <c r="DBC202" s="36"/>
      <c r="DBD202" s="36"/>
      <c r="DBE202" s="36"/>
      <c r="DBF202" s="36"/>
      <c r="DBG202" s="36"/>
      <c r="DBH202" s="36"/>
      <c r="DBI202" s="36"/>
      <c r="DBJ202" s="36"/>
      <c r="DBK202" s="36"/>
      <c r="DBL202" s="36"/>
      <c r="DBM202" s="36"/>
      <c r="DBN202" s="36"/>
      <c r="DBO202" s="36"/>
      <c r="DBP202" s="36"/>
      <c r="DBQ202" s="36"/>
      <c r="DBR202" s="36"/>
      <c r="DBS202" s="36"/>
      <c r="DBT202" s="36"/>
      <c r="DBU202" s="36"/>
      <c r="DBV202" s="36"/>
      <c r="DBW202" s="36"/>
      <c r="DBX202" s="36"/>
      <c r="DBY202" s="36"/>
      <c r="DBZ202" s="36"/>
      <c r="DCA202" s="36"/>
      <c r="DCB202" s="36"/>
      <c r="DCC202" s="36"/>
      <c r="DCD202" s="36"/>
      <c r="DCE202" s="36"/>
      <c r="DCF202" s="36"/>
      <c r="DCG202" s="36"/>
      <c r="DCH202" s="36"/>
      <c r="DCI202" s="36"/>
      <c r="DCJ202" s="36"/>
      <c r="DCK202" s="36"/>
      <c r="DCL202" s="36"/>
      <c r="DCM202" s="36"/>
      <c r="DCN202" s="36"/>
      <c r="DCO202" s="36"/>
      <c r="DCP202" s="36"/>
      <c r="DCQ202" s="36"/>
      <c r="DCR202" s="36"/>
      <c r="DCS202" s="36"/>
      <c r="DCT202" s="36"/>
      <c r="DCU202" s="36"/>
      <c r="DCV202" s="36"/>
      <c r="DCW202" s="36"/>
      <c r="DCX202" s="36"/>
      <c r="DCY202" s="36"/>
      <c r="DCZ202" s="36"/>
      <c r="DDA202" s="36"/>
      <c r="DDB202" s="36"/>
      <c r="DDC202" s="36"/>
      <c r="DDD202" s="36"/>
      <c r="DDE202" s="36"/>
      <c r="DDF202" s="36"/>
      <c r="DDG202" s="36"/>
      <c r="DDH202" s="36"/>
      <c r="DDI202" s="36"/>
      <c r="DDJ202" s="36"/>
      <c r="DDK202" s="36"/>
      <c r="DDL202" s="36"/>
      <c r="DDM202" s="36"/>
      <c r="DDN202" s="36"/>
      <c r="DDO202" s="36"/>
      <c r="DDP202" s="36"/>
      <c r="DDQ202" s="36"/>
      <c r="DDR202" s="36"/>
      <c r="DDS202" s="36"/>
      <c r="DDT202" s="36"/>
      <c r="DDU202" s="36"/>
      <c r="DDV202" s="36"/>
      <c r="DDW202" s="36"/>
      <c r="DDX202" s="36"/>
      <c r="DDY202" s="36"/>
      <c r="DDZ202" s="36"/>
      <c r="DEA202" s="36"/>
      <c r="DEB202" s="36"/>
      <c r="DEC202" s="36"/>
      <c r="DED202" s="36"/>
      <c r="DEE202" s="36"/>
      <c r="DEF202" s="36"/>
      <c r="DEG202" s="36"/>
      <c r="DEH202" s="36"/>
      <c r="DEI202" s="36"/>
      <c r="DEJ202" s="36"/>
      <c r="DEK202" s="36"/>
      <c r="DEL202" s="36"/>
      <c r="DEM202" s="36"/>
      <c r="DEN202" s="36"/>
      <c r="DEO202" s="36"/>
      <c r="DEP202" s="36"/>
      <c r="DEQ202" s="36"/>
      <c r="DER202" s="36"/>
      <c r="DES202" s="36"/>
      <c r="DET202" s="36"/>
      <c r="DEU202" s="36"/>
      <c r="DEV202" s="36"/>
      <c r="DEW202" s="36"/>
      <c r="DEX202" s="36"/>
      <c r="DEY202" s="36"/>
      <c r="DEZ202" s="36"/>
      <c r="DFA202" s="36"/>
      <c r="DFB202" s="36"/>
      <c r="DFC202" s="36"/>
      <c r="DFD202" s="36"/>
      <c r="DFE202" s="36"/>
      <c r="DFF202" s="36"/>
      <c r="DFG202" s="36"/>
      <c r="DFH202" s="36"/>
      <c r="DFI202" s="36"/>
      <c r="DFJ202" s="36"/>
      <c r="DFK202" s="36"/>
      <c r="DFL202" s="36"/>
      <c r="DFM202" s="36"/>
      <c r="DFN202" s="36"/>
      <c r="DFO202" s="36"/>
      <c r="DFP202" s="36"/>
      <c r="DFQ202" s="36"/>
      <c r="DFR202" s="36"/>
      <c r="DFS202" s="36"/>
      <c r="DFT202" s="36"/>
      <c r="DFU202" s="36"/>
      <c r="DFV202" s="36"/>
      <c r="DFW202" s="36"/>
      <c r="DFX202" s="36"/>
      <c r="DFY202" s="36"/>
      <c r="DFZ202" s="36"/>
      <c r="DGA202" s="36"/>
      <c r="DGB202" s="36"/>
      <c r="DGC202" s="36"/>
      <c r="DGD202" s="36"/>
      <c r="DGE202" s="36"/>
      <c r="DGF202" s="36"/>
      <c r="DGG202" s="36"/>
      <c r="DGH202" s="36"/>
      <c r="DGI202" s="36"/>
      <c r="DGJ202" s="36"/>
      <c r="DGK202" s="36"/>
      <c r="DGL202" s="36"/>
      <c r="DGM202" s="36"/>
      <c r="DGN202" s="36"/>
      <c r="DGO202" s="36"/>
      <c r="DGP202" s="36"/>
      <c r="DGQ202" s="36"/>
      <c r="DGR202" s="36"/>
      <c r="DGS202" s="36"/>
      <c r="DGT202" s="36"/>
      <c r="DGU202" s="36"/>
      <c r="DGV202" s="36"/>
      <c r="DGW202" s="36"/>
      <c r="DGX202" s="36"/>
      <c r="DGY202" s="36"/>
      <c r="DGZ202" s="36"/>
      <c r="DHA202" s="36"/>
      <c r="DHB202" s="36"/>
      <c r="DHC202" s="36"/>
      <c r="DHD202" s="36"/>
      <c r="DHE202" s="36"/>
      <c r="DHF202" s="36"/>
      <c r="DHG202" s="36"/>
      <c r="DHH202" s="36"/>
      <c r="DHI202" s="36"/>
      <c r="DHJ202" s="36"/>
      <c r="DHK202" s="36"/>
      <c r="DHL202" s="36"/>
      <c r="DHM202" s="36"/>
      <c r="DHN202" s="36"/>
      <c r="DHO202" s="36"/>
      <c r="DHP202" s="36"/>
      <c r="DHQ202" s="36"/>
      <c r="DHR202" s="36"/>
      <c r="DHS202" s="36"/>
      <c r="DHT202" s="36"/>
      <c r="DHU202" s="36"/>
      <c r="DHV202" s="36"/>
      <c r="DHW202" s="36"/>
      <c r="DHX202" s="36"/>
      <c r="DHY202" s="36"/>
      <c r="DHZ202" s="36"/>
      <c r="DIA202" s="36"/>
      <c r="DIB202" s="36"/>
      <c r="DIC202" s="36"/>
      <c r="DID202" s="36"/>
      <c r="DIE202" s="36"/>
      <c r="DIF202" s="36"/>
      <c r="DIG202" s="36"/>
      <c r="DIH202" s="36"/>
      <c r="DII202" s="36"/>
      <c r="DIJ202" s="36"/>
      <c r="DIK202" s="36"/>
      <c r="DIL202" s="36"/>
      <c r="DIM202" s="36"/>
      <c r="DIN202" s="36"/>
      <c r="DIO202" s="36"/>
      <c r="DIP202" s="36"/>
      <c r="DIQ202" s="36"/>
      <c r="DIR202" s="36"/>
      <c r="DIS202" s="36"/>
      <c r="DIT202" s="36"/>
      <c r="DIU202" s="36"/>
      <c r="DIV202" s="36"/>
      <c r="DIW202" s="36"/>
      <c r="DIX202" s="36"/>
      <c r="DIY202" s="36"/>
      <c r="DIZ202" s="36"/>
      <c r="DJA202" s="36"/>
      <c r="DJB202" s="36"/>
      <c r="DJC202" s="36"/>
      <c r="DJD202" s="36"/>
      <c r="DJE202" s="36"/>
      <c r="DJF202" s="36"/>
      <c r="DJG202" s="36"/>
      <c r="DJH202" s="36"/>
      <c r="DJI202" s="36"/>
      <c r="DJJ202" s="36"/>
      <c r="DJK202" s="36"/>
      <c r="DJL202" s="36"/>
      <c r="DJM202" s="36"/>
      <c r="DJN202" s="36"/>
      <c r="DJO202" s="36"/>
      <c r="DJP202" s="36"/>
      <c r="DJQ202" s="36"/>
      <c r="DJR202" s="36"/>
      <c r="DJS202" s="36"/>
      <c r="DJT202" s="36"/>
      <c r="DJU202" s="36"/>
      <c r="DJV202" s="36"/>
      <c r="DJW202" s="36"/>
      <c r="DJX202" s="36"/>
      <c r="DJY202" s="36"/>
      <c r="DJZ202" s="36"/>
      <c r="DKA202" s="36"/>
      <c r="DKB202" s="36"/>
      <c r="DKC202" s="36"/>
      <c r="DKD202" s="36"/>
      <c r="DKE202" s="36"/>
      <c r="DKF202" s="36"/>
      <c r="DKG202" s="36"/>
      <c r="DKH202" s="36"/>
      <c r="DKI202" s="36"/>
      <c r="DKJ202" s="36"/>
      <c r="DKK202" s="36"/>
      <c r="DKL202" s="36"/>
      <c r="DKM202" s="36"/>
      <c r="DKN202" s="36"/>
      <c r="DKO202" s="36"/>
      <c r="DKP202" s="36"/>
      <c r="DKQ202" s="36"/>
      <c r="DKR202" s="36"/>
      <c r="DKS202" s="36"/>
      <c r="DKT202" s="36"/>
      <c r="DKU202" s="36"/>
      <c r="DKV202" s="36"/>
      <c r="DKW202" s="36"/>
      <c r="DKX202" s="36"/>
      <c r="DKY202" s="36"/>
      <c r="DKZ202" s="36"/>
      <c r="DLA202" s="36"/>
      <c r="DLB202" s="36"/>
      <c r="DLC202" s="36"/>
      <c r="DLD202" s="36"/>
      <c r="DLE202" s="36"/>
      <c r="DLF202" s="36"/>
      <c r="DLG202" s="36"/>
      <c r="DLH202" s="36"/>
      <c r="DLI202" s="36"/>
      <c r="DLJ202" s="36"/>
      <c r="DLK202" s="36"/>
      <c r="DLL202" s="36"/>
      <c r="DLM202" s="36"/>
      <c r="DLN202" s="36"/>
      <c r="DLO202" s="36"/>
      <c r="DLP202" s="36"/>
      <c r="DLQ202" s="36"/>
      <c r="DLR202" s="36"/>
      <c r="DLS202" s="36"/>
      <c r="DLT202" s="36"/>
      <c r="DLU202" s="36"/>
      <c r="DLV202" s="36"/>
      <c r="DLW202" s="36"/>
      <c r="DLX202" s="36"/>
      <c r="DLY202" s="36"/>
      <c r="DLZ202" s="36"/>
      <c r="DMA202" s="36"/>
      <c r="DMB202" s="36"/>
      <c r="DMC202" s="36"/>
      <c r="DMD202" s="36"/>
      <c r="DME202" s="36"/>
      <c r="DMF202" s="36"/>
      <c r="DMG202" s="36"/>
      <c r="DMH202" s="36"/>
      <c r="DMI202" s="36"/>
      <c r="DMJ202" s="36"/>
      <c r="DMK202" s="36"/>
      <c r="DML202" s="36"/>
      <c r="DMM202" s="36"/>
      <c r="DMN202" s="36"/>
      <c r="DMO202" s="36"/>
      <c r="DMP202" s="36"/>
      <c r="DMQ202" s="36"/>
      <c r="DMR202" s="36"/>
      <c r="DMS202" s="36"/>
      <c r="DMT202" s="36"/>
      <c r="DMU202" s="36"/>
      <c r="DMV202" s="36"/>
      <c r="DMW202" s="36"/>
      <c r="DMX202" s="36"/>
      <c r="DMY202" s="36"/>
      <c r="DMZ202" s="36"/>
      <c r="DNA202" s="36"/>
      <c r="DNB202" s="36"/>
      <c r="DNC202" s="36"/>
      <c r="DND202" s="36"/>
      <c r="DNE202" s="36"/>
      <c r="DNF202" s="36"/>
      <c r="DNG202" s="36"/>
      <c r="DNH202" s="36"/>
      <c r="DNI202" s="36"/>
      <c r="DNJ202" s="36"/>
      <c r="DNK202" s="36"/>
      <c r="DNL202" s="36"/>
      <c r="DNM202" s="36"/>
      <c r="DNN202" s="36"/>
      <c r="DNO202" s="36"/>
      <c r="DNP202" s="36"/>
      <c r="DNQ202" s="36"/>
      <c r="DNR202" s="36"/>
      <c r="DNS202" s="36"/>
      <c r="DNT202" s="36"/>
      <c r="DNU202" s="36"/>
      <c r="DNV202" s="36"/>
      <c r="DNW202" s="36"/>
      <c r="DNX202" s="36"/>
      <c r="DNY202" s="36"/>
      <c r="DNZ202" s="36"/>
      <c r="DOA202" s="36"/>
      <c r="DOB202" s="36"/>
      <c r="DOC202" s="36"/>
      <c r="DOD202" s="36"/>
      <c r="DOE202" s="36"/>
      <c r="DOF202" s="36"/>
      <c r="DOG202" s="36"/>
      <c r="DOH202" s="36"/>
      <c r="DOI202" s="36"/>
      <c r="DOJ202" s="36"/>
      <c r="DOK202" s="36"/>
      <c r="DOL202" s="36"/>
      <c r="DOM202" s="36"/>
      <c r="DON202" s="36"/>
      <c r="DOO202" s="36"/>
      <c r="DOP202" s="36"/>
      <c r="DOQ202" s="36"/>
      <c r="DOR202" s="36"/>
      <c r="DOS202" s="36"/>
      <c r="DOT202" s="36"/>
      <c r="DOU202" s="36"/>
      <c r="DOV202" s="36"/>
      <c r="DOW202" s="36"/>
      <c r="DOX202" s="36"/>
      <c r="DOY202" s="36"/>
      <c r="DOZ202" s="36"/>
      <c r="DPA202" s="36"/>
      <c r="DPB202" s="36"/>
      <c r="DPC202" s="36"/>
      <c r="DPD202" s="36"/>
      <c r="DPE202" s="36"/>
      <c r="DPF202" s="36"/>
      <c r="DPG202" s="36"/>
      <c r="DPH202" s="36"/>
      <c r="DPI202" s="36"/>
      <c r="DPJ202" s="36"/>
      <c r="DPK202" s="36"/>
      <c r="DPL202" s="36"/>
      <c r="DPM202" s="36"/>
      <c r="DPN202" s="36"/>
      <c r="DPO202" s="36"/>
      <c r="DPP202" s="36"/>
      <c r="DPQ202" s="36"/>
      <c r="DPR202" s="36"/>
      <c r="DPS202" s="36"/>
      <c r="DPT202" s="36"/>
      <c r="DPU202" s="36"/>
      <c r="DPV202" s="36"/>
      <c r="DPW202" s="36"/>
      <c r="DPX202" s="36"/>
      <c r="DPY202" s="36"/>
      <c r="DPZ202" s="36"/>
      <c r="DQA202" s="36"/>
      <c r="DQB202" s="36"/>
      <c r="DQC202" s="36"/>
      <c r="DQD202" s="36"/>
      <c r="DQE202" s="36"/>
      <c r="DQF202" s="36"/>
      <c r="DQG202" s="36"/>
      <c r="DQH202" s="36"/>
      <c r="DQI202" s="36"/>
      <c r="DQJ202" s="36"/>
      <c r="DQK202" s="36"/>
      <c r="DQL202" s="36"/>
      <c r="DQM202" s="36"/>
      <c r="DQN202" s="36"/>
      <c r="DQO202" s="36"/>
      <c r="DQP202" s="36"/>
      <c r="DQQ202" s="36"/>
      <c r="DQR202" s="36"/>
      <c r="DQS202" s="36"/>
      <c r="DQT202" s="36"/>
      <c r="DQU202" s="36"/>
      <c r="DQV202" s="36"/>
      <c r="DQW202" s="36"/>
      <c r="DQX202" s="36"/>
      <c r="DQY202" s="36"/>
      <c r="DQZ202" s="36"/>
      <c r="DRA202" s="36"/>
      <c r="DRB202" s="36"/>
      <c r="DRC202" s="36"/>
      <c r="DRD202" s="36"/>
      <c r="DRE202" s="36"/>
      <c r="DRF202" s="36"/>
      <c r="DRG202" s="36"/>
      <c r="DRH202" s="36"/>
      <c r="DRI202" s="36"/>
      <c r="DRJ202" s="36"/>
      <c r="DRK202" s="36"/>
      <c r="DRL202" s="36"/>
      <c r="DRM202" s="36"/>
      <c r="DRN202" s="36"/>
      <c r="DRO202" s="36"/>
      <c r="DRP202" s="36"/>
      <c r="DRQ202" s="36"/>
      <c r="DRR202" s="36"/>
      <c r="DRS202" s="36"/>
      <c r="DRT202" s="36"/>
      <c r="DRU202" s="36"/>
      <c r="DRV202" s="36"/>
      <c r="DRW202" s="36"/>
      <c r="DRX202" s="36"/>
      <c r="DRY202" s="36"/>
      <c r="DRZ202" s="36"/>
      <c r="DSA202" s="36"/>
      <c r="DSB202" s="36"/>
      <c r="DSC202" s="36"/>
      <c r="DSD202" s="36"/>
      <c r="DSE202" s="36"/>
      <c r="DSF202" s="36"/>
      <c r="DSG202" s="36"/>
      <c r="DSH202" s="36"/>
      <c r="DSI202" s="36"/>
      <c r="DSJ202" s="36"/>
      <c r="DSK202" s="36"/>
      <c r="DSL202" s="36"/>
      <c r="DSM202" s="36"/>
      <c r="DSN202" s="36"/>
      <c r="DSO202" s="36"/>
      <c r="DSP202" s="36"/>
      <c r="DSQ202" s="36"/>
      <c r="DSR202" s="36"/>
      <c r="DSS202" s="36"/>
      <c r="DST202" s="36"/>
      <c r="DSU202" s="36"/>
      <c r="DSV202" s="36"/>
      <c r="DSW202" s="36"/>
      <c r="DSX202" s="36"/>
      <c r="DSY202" s="36"/>
      <c r="DSZ202" s="36"/>
      <c r="DTA202" s="36"/>
      <c r="DTB202" s="36"/>
      <c r="DTC202" s="36"/>
      <c r="DTD202" s="36"/>
      <c r="DTE202" s="36"/>
      <c r="DTF202" s="36"/>
      <c r="DTG202" s="36"/>
      <c r="DTH202" s="36"/>
      <c r="DTI202" s="36"/>
      <c r="DTJ202" s="36"/>
      <c r="DTK202" s="36"/>
      <c r="DTL202" s="36"/>
      <c r="DTM202" s="36"/>
      <c r="DTN202" s="36"/>
      <c r="DTO202" s="36"/>
      <c r="DTP202" s="36"/>
      <c r="DTQ202" s="36"/>
      <c r="DTR202" s="36"/>
      <c r="DTS202" s="36"/>
      <c r="DTT202" s="36"/>
      <c r="DTU202" s="36"/>
      <c r="DTV202" s="36"/>
      <c r="DTW202" s="36"/>
      <c r="DTX202" s="36"/>
      <c r="DTY202" s="36"/>
      <c r="DTZ202" s="36"/>
      <c r="DUA202" s="36"/>
      <c r="DUB202" s="36"/>
      <c r="DUC202" s="36"/>
      <c r="DUD202" s="36"/>
      <c r="DUE202" s="36"/>
      <c r="DUF202" s="36"/>
      <c r="DUG202" s="36"/>
      <c r="DUH202" s="36"/>
      <c r="DUI202" s="36"/>
      <c r="DUJ202" s="36"/>
      <c r="DUK202" s="36"/>
      <c r="DUL202" s="36"/>
      <c r="DUM202" s="36"/>
      <c r="DUN202" s="36"/>
      <c r="DUO202" s="36"/>
      <c r="DUP202" s="36"/>
      <c r="DUQ202" s="36"/>
      <c r="DUR202" s="36"/>
      <c r="DUS202" s="36"/>
      <c r="DUT202" s="36"/>
      <c r="DUU202" s="36"/>
      <c r="DUV202" s="36"/>
      <c r="DUW202" s="36"/>
      <c r="DUX202" s="36"/>
      <c r="DUY202" s="36"/>
      <c r="DUZ202" s="36"/>
      <c r="DVA202" s="36"/>
      <c r="DVB202" s="36"/>
      <c r="DVC202" s="36"/>
      <c r="DVD202" s="36"/>
      <c r="DVE202" s="36"/>
      <c r="DVF202" s="36"/>
      <c r="DVG202" s="36"/>
      <c r="DVH202" s="36"/>
      <c r="DVI202" s="36"/>
      <c r="DVJ202" s="36"/>
      <c r="DVK202" s="36"/>
      <c r="DVL202" s="36"/>
      <c r="DVM202" s="36"/>
      <c r="DVN202" s="36"/>
      <c r="DVO202" s="36"/>
      <c r="DVP202" s="36"/>
      <c r="DVQ202" s="36"/>
      <c r="DVR202" s="36"/>
      <c r="DVS202" s="36"/>
      <c r="DVT202" s="36"/>
      <c r="DVU202" s="36"/>
      <c r="DVV202" s="36"/>
      <c r="DVW202" s="36"/>
      <c r="DVX202" s="36"/>
      <c r="DVY202" s="36"/>
      <c r="DVZ202" s="36"/>
      <c r="DWA202" s="36"/>
      <c r="DWB202" s="36"/>
      <c r="DWC202" s="36"/>
      <c r="DWD202" s="36"/>
      <c r="DWE202" s="36"/>
      <c r="DWF202" s="36"/>
      <c r="DWG202" s="36"/>
      <c r="DWH202" s="36"/>
      <c r="DWI202" s="36"/>
      <c r="DWJ202" s="36"/>
      <c r="DWK202" s="36"/>
      <c r="DWL202" s="36"/>
      <c r="DWM202" s="36"/>
      <c r="DWN202" s="36"/>
      <c r="DWO202" s="36"/>
      <c r="DWP202" s="36"/>
      <c r="DWQ202" s="36"/>
      <c r="DWR202" s="36"/>
      <c r="DWS202" s="36"/>
      <c r="DWT202" s="36"/>
      <c r="DWU202" s="36"/>
      <c r="DWV202" s="36"/>
      <c r="DWW202" s="36"/>
      <c r="DWX202" s="36"/>
      <c r="DWY202" s="36"/>
      <c r="DWZ202" s="36"/>
      <c r="DXA202" s="36"/>
      <c r="DXB202" s="36"/>
      <c r="DXC202" s="36"/>
      <c r="DXD202" s="36"/>
      <c r="DXE202" s="36"/>
      <c r="DXF202" s="36"/>
      <c r="DXG202" s="36"/>
      <c r="DXH202" s="36"/>
      <c r="DXI202" s="36"/>
      <c r="DXJ202" s="36"/>
      <c r="DXK202" s="36"/>
      <c r="DXL202" s="36"/>
      <c r="DXM202" s="36"/>
      <c r="DXN202" s="36"/>
      <c r="DXO202" s="36"/>
      <c r="DXP202" s="36"/>
      <c r="DXQ202" s="36"/>
      <c r="DXR202" s="36"/>
      <c r="DXS202" s="36"/>
      <c r="DXT202" s="36"/>
      <c r="DXU202" s="36"/>
      <c r="DXV202" s="36"/>
      <c r="DXW202" s="36"/>
      <c r="DXX202" s="36"/>
      <c r="DXY202" s="36"/>
      <c r="DXZ202" s="36"/>
      <c r="DYA202" s="36"/>
      <c r="DYB202" s="36"/>
      <c r="DYC202" s="36"/>
      <c r="DYD202" s="36"/>
      <c r="DYE202" s="36"/>
      <c r="DYF202" s="36"/>
      <c r="DYG202" s="36"/>
      <c r="DYH202" s="36"/>
      <c r="DYI202" s="36"/>
      <c r="DYJ202" s="36"/>
      <c r="DYK202" s="36"/>
      <c r="DYL202" s="36"/>
      <c r="DYM202" s="36"/>
      <c r="DYN202" s="36"/>
      <c r="DYO202" s="36"/>
      <c r="DYP202" s="36"/>
      <c r="DYQ202" s="36"/>
      <c r="DYR202" s="36"/>
      <c r="DYS202" s="36"/>
      <c r="DYT202" s="36"/>
      <c r="DYU202" s="36"/>
      <c r="DYV202" s="36"/>
      <c r="DYW202" s="36"/>
      <c r="DYX202" s="36"/>
      <c r="DYY202" s="36"/>
      <c r="DYZ202" s="36"/>
      <c r="DZA202" s="36"/>
      <c r="DZB202" s="36"/>
      <c r="DZC202" s="36"/>
      <c r="DZD202" s="36"/>
      <c r="DZE202" s="36"/>
      <c r="DZF202" s="36"/>
      <c r="DZG202" s="36"/>
      <c r="DZH202" s="36"/>
      <c r="DZI202" s="36"/>
      <c r="DZJ202" s="36"/>
      <c r="DZK202" s="36"/>
      <c r="DZL202" s="36"/>
      <c r="DZM202" s="36"/>
      <c r="DZN202" s="36"/>
      <c r="DZO202" s="36"/>
      <c r="DZP202" s="36"/>
      <c r="DZQ202" s="36"/>
      <c r="DZR202" s="36"/>
      <c r="DZS202" s="36"/>
      <c r="DZT202" s="36"/>
      <c r="DZU202" s="36"/>
      <c r="DZV202" s="36"/>
      <c r="DZW202" s="36"/>
      <c r="DZX202" s="36"/>
      <c r="DZY202" s="36"/>
      <c r="DZZ202" s="36"/>
      <c r="EAA202" s="36"/>
      <c r="EAB202" s="36"/>
      <c r="EAC202" s="36"/>
      <c r="EAD202" s="36"/>
      <c r="EAE202" s="36"/>
      <c r="EAF202" s="36"/>
      <c r="EAG202" s="36"/>
      <c r="EAH202" s="36"/>
      <c r="EAI202" s="36"/>
      <c r="EAJ202" s="36"/>
      <c r="EAK202" s="36"/>
      <c r="EAL202" s="36"/>
      <c r="EAM202" s="36"/>
      <c r="EAN202" s="36"/>
      <c r="EAO202" s="36"/>
      <c r="EAP202" s="36"/>
      <c r="EAQ202" s="36"/>
      <c r="EAR202" s="36"/>
      <c r="EAS202" s="36"/>
      <c r="EAT202" s="36"/>
      <c r="EAU202" s="36"/>
      <c r="EAV202" s="36"/>
      <c r="EAW202" s="36"/>
      <c r="EAX202" s="36"/>
      <c r="EAY202" s="36"/>
      <c r="EAZ202" s="36"/>
      <c r="EBA202" s="36"/>
      <c r="EBB202" s="36"/>
      <c r="EBC202" s="36"/>
      <c r="EBD202" s="36"/>
      <c r="EBE202" s="36"/>
      <c r="EBF202" s="36"/>
      <c r="EBG202" s="36"/>
      <c r="EBH202" s="36"/>
      <c r="EBI202" s="36"/>
      <c r="EBJ202" s="36"/>
      <c r="EBK202" s="36"/>
      <c r="EBL202" s="36"/>
      <c r="EBM202" s="36"/>
      <c r="EBN202" s="36"/>
      <c r="EBO202" s="36"/>
      <c r="EBP202" s="36"/>
      <c r="EBQ202" s="36"/>
      <c r="EBR202" s="36"/>
      <c r="EBS202" s="36"/>
      <c r="EBT202" s="36"/>
      <c r="EBU202" s="36"/>
      <c r="EBV202" s="36"/>
      <c r="EBW202" s="36"/>
      <c r="EBX202" s="36"/>
      <c r="EBY202" s="36"/>
      <c r="EBZ202" s="36"/>
      <c r="ECA202" s="36"/>
      <c r="ECB202" s="36"/>
      <c r="ECC202" s="36"/>
      <c r="ECD202" s="36"/>
      <c r="ECE202" s="36"/>
      <c r="ECF202" s="36"/>
      <c r="ECG202" s="36"/>
      <c r="ECH202" s="36"/>
      <c r="ECI202" s="36"/>
      <c r="ECJ202" s="36"/>
      <c r="ECK202" s="36"/>
      <c r="ECL202" s="36"/>
      <c r="ECM202" s="36"/>
      <c r="ECN202" s="36"/>
      <c r="ECO202" s="36"/>
      <c r="ECP202" s="36"/>
      <c r="ECQ202" s="36"/>
      <c r="ECR202" s="36"/>
      <c r="ECS202" s="36"/>
      <c r="ECT202" s="36"/>
      <c r="ECU202" s="36"/>
      <c r="ECV202" s="36"/>
      <c r="ECW202" s="36"/>
      <c r="ECX202" s="36"/>
      <c r="ECY202" s="36"/>
      <c r="ECZ202" s="36"/>
      <c r="EDA202" s="36"/>
      <c r="EDB202" s="36"/>
      <c r="EDC202" s="36"/>
      <c r="EDD202" s="36"/>
      <c r="EDE202" s="36"/>
      <c r="EDF202" s="36"/>
      <c r="EDG202" s="36"/>
      <c r="EDH202" s="36"/>
      <c r="EDI202" s="36"/>
      <c r="EDJ202" s="36"/>
      <c r="EDK202" s="36"/>
      <c r="EDL202" s="36"/>
      <c r="EDM202" s="36"/>
      <c r="EDN202" s="36"/>
      <c r="EDO202" s="36"/>
      <c r="EDP202" s="36"/>
      <c r="EDQ202" s="36"/>
      <c r="EDR202" s="36"/>
      <c r="EDS202" s="36"/>
      <c r="EDT202" s="36"/>
      <c r="EDU202" s="36"/>
      <c r="EDV202" s="36"/>
      <c r="EDW202" s="36"/>
      <c r="EDX202" s="36"/>
      <c r="EDY202" s="36"/>
      <c r="EDZ202" s="36"/>
      <c r="EEA202" s="36"/>
      <c r="EEB202" s="36"/>
      <c r="EEC202" s="36"/>
      <c r="EED202" s="36"/>
      <c r="EEE202" s="36"/>
      <c r="EEF202" s="36"/>
      <c r="EEG202" s="36"/>
      <c r="EEH202" s="36"/>
      <c r="EEI202" s="36"/>
      <c r="EEJ202" s="36"/>
      <c r="EEK202" s="36"/>
      <c r="EEL202" s="36"/>
      <c r="EEM202" s="36"/>
      <c r="EEN202" s="36"/>
      <c r="EEO202" s="36"/>
      <c r="EEP202" s="36"/>
      <c r="EEQ202" s="36"/>
      <c r="EER202" s="36"/>
      <c r="EES202" s="36"/>
      <c r="EET202" s="36"/>
      <c r="EEU202" s="36"/>
      <c r="EEV202" s="36"/>
      <c r="EEW202" s="36"/>
      <c r="EEX202" s="36"/>
      <c r="EEY202" s="36"/>
      <c r="EEZ202" s="36"/>
      <c r="EFA202" s="36"/>
      <c r="EFB202" s="36"/>
      <c r="EFC202" s="36"/>
      <c r="EFD202" s="36"/>
      <c r="EFE202" s="36"/>
      <c r="EFF202" s="36"/>
      <c r="EFG202" s="36"/>
      <c r="EFH202" s="36"/>
      <c r="EFI202" s="36"/>
      <c r="EFJ202" s="36"/>
      <c r="EFK202" s="36"/>
      <c r="EFL202" s="36"/>
      <c r="EFM202" s="36"/>
      <c r="EFN202" s="36"/>
      <c r="EFO202" s="36"/>
      <c r="EFP202" s="36"/>
      <c r="EFQ202" s="36"/>
      <c r="EFR202" s="36"/>
      <c r="EFS202" s="36"/>
      <c r="EFT202" s="36"/>
      <c r="EFU202" s="36"/>
      <c r="EFV202" s="36"/>
      <c r="EFW202" s="36"/>
      <c r="EFX202" s="36"/>
      <c r="EFY202" s="36"/>
      <c r="EFZ202" s="36"/>
      <c r="EGA202" s="36"/>
      <c r="EGB202" s="36"/>
      <c r="EGC202" s="36"/>
      <c r="EGD202" s="36"/>
      <c r="EGE202" s="36"/>
      <c r="EGF202" s="36"/>
      <c r="EGG202" s="36"/>
      <c r="EGH202" s="36"/>
      <c r="EGI202" s="36"/>
      <c r="EGJ202" s="36"/>
      <c r="EGK202" s="36"/>
      <c r="EGL202" s="36"/>
      <c r="EGM202" s="36"/>
      <c r="EGN202" s="36"/>
      <c r="EGO202" s="36"/>
      <c r="EGP202" s="36"/>
      <c r="EGQ202" s="36"/>
      <c r="EGR202" s="36"/>
      <c r="EGS202" s="36"/>
      <c r="EGT202" s="36"/>
      <c r="EGU202" s="36"/>
      <c r="EGV202" s="36"/>
      <c r="EGW202" s="36"/>
      <c r="EGX202" s="36"/>
      <c r="EGY202" s="36"/>
      <c r="EGZ202" s="36"/>
      <c r="EHA202" s="36"/>
      <c r="EHB202" s="36"/>
      <c r="EHC202" s="36"/>
      <c r="EHD202" s="36"/>
      <c r="EHE202" s="36"/>
      <c r="EHF202" s="36"/>
      <c r="EHG202" s="36"/>
      <c r="EHH202" s="36"/>
      <c r="EHI202" s="36"/>
      <c r="EHJ202" s="36"/>
      <c r="EHK202" s="36"/>
      <c r="EHL202" s="36"/>
      <c r="EHM202" s="36"/>
      <c r="EHN202" s="36"/>
      <c r="EHO202" s="36"/>
      <c r="EHP202" s="36"/>
      <c r="EHQ202" s="36"/>
      <c r="EHR202" s="36"/>
      <c r="EHS202" s="36"/>
      <c r="EHT202" s="36"/>
      <c r="EHU202" s="36"/>
      <c r="EHV202" s="36"/>
      <c r="EHW202" s="36"/>
      <c r="EHX202" s="36"/>
      <c r="EHY202" s="36"/>
      <c r="EHZ202" s="36"/>
      <c r="EIA202" s="36"/>
      <c r="EIB202" s="36"/>
      <c r="EIC202" s="36"/>
      <c r="EID202" s="36"/>
      <c r="EIE202" s="36"/>
      <c r="EIF202" s="36"/>
      <c r="EIG202" s="36"/>
      <c r="EIH202" s="36"/>
      <c r="EII202" s="36"/>
      <c r="EIJ202" s="36"/>
      <c r="EIK202" s="36"/>
      <c r="EIL202" s="36"/>
      <c r="EIM202" s="36"/>
      <c r="EIN202" s="36"/>
      <c r="EIO202" s="36"/>
      <c r="EIP202" s="36"/>
      <c r="EIQ202" s="36"/>
      <c r="EIR202" s="36"/>
      <c r="EIS202" s="36"/>
      <c r="EIT202" s="36"/>
      <c r="EIU202" s="36"/>
      <c r="EIV202" s="36"/>
      <c r="EIW202" s="36"/>
      <c r="EIX202" s="36"/>
      <c r="EIY202" s="36"/>
      <c r="EIZ202" s="36"/>
      <c r="EJA202" s="36"/>
      <c r="EJB202" s="36"/>
      <c r="EJC202" s="36"/>
      <c r="EJD202" s="36"/>
      <c r="EJE202" s="36"/>
      <c r="EJF202" s="36"/>
      <c r="EJG202" s="36"/>
      <c r="EJH202" s="36"/>
      <c r="EJI202" s="36"/>
      <c r="EJJ202" s="36"/>
      <c r="EJK202" s="36"/>
      <c r="EJL202" s="36"/>
      <c r="EJM202" s="36"/>
      <c r="EJN202" s="36"/>
      <c r="EJO202" s="36"/>
      <c r="EJP202" s="36"/>
      <c r="EJQ202" s="36"/>
      <c r="EJR202" s="36"/>
      <c r="EJS202" s="36"/>
      <c r="EJT202" s="36"/>
      <c r="EJU202" s="36"/>
      <c r="EJV202" s="36"/>
      <c r="EJW202" s="36"/>
      <c r="EJX202" s="36"/>
      <c r="EJY202" s="36"/>
      <c r="EJZ202" s="36"/>
      <c r="EKA202" s="36"/>
      <c r="EKB202" s="36"/>
      <c r="EKC202" s="36"/>
      <c r="EKD202" s="36"/>
      <c r="EKE202" s="36"/>
      <c r="EKF202" s="36"/>
      <c r="EKG202" s="36"/>
      <c r="EKH202" s="36"/>
      <c r="EKI202" s="36"/>
      <c r="EKJ202" s="36"/>
      <c r="EKK202" s="36"/>
      <c r="EKL202" s="36"/>
      <c r="EKM202" s="36"/>
      <c r="EKN202" s="36"/>
      <c r="EKO202" s="36"/>
      <c r="EKP202" s="36"/>
      <c r="EKQ202" s="36"/>
      <c r="EKR202" s="36"/>
      <c r="EKS202" s="36"/>
      <c r="EKT202" s="36"/>
      <c r="EKU202" s="36"/>
      <c r="EKV202" s="36"/>
      <c r="EKW202" s="36"/>
      <c r="EKX202" s="36"/>
      <c r="EKY202" s="36"/>
      <c r="EKZ202" s="36"/>
      <c r="ELA202" s="36"/>
      <c r="ELB202" s="36"/>
      <c r="ELC202" s="36"/>
      <c r="ELD202" s="36"/>
      <c r="ELE202" s="36"/>
      <c r="ELF202" s="36"/>
      <c r="ELG202" s="36"/>
      <c r="ELH202" s="36"/>
      <c r="ELI202" s="36"/>
      <c r="ELJ202" s="36"/>
      <c r="ELK202" s="36"/>
      <c r="ELL202" s="36"/>
      <c r="ELM202" s="36"/>
      <c r="ELN202" s="36"/>
      <c r="ELO202" s="36"/>
      <c r="ELP202" s="36"/>
      <c r="ELQ202" s="36"/>
      <c r="ELR202" s="36"/>
      <c r="ELS202" s="36"/>
      <c r="ELT202" s="36"/>
      <c r="ELU202" s="36"/>
      <c r="ELV202" s="36"/>
      <c r="ELW202" s="36"/>
      <c r="ELX202" s="36"/>
      <c r="ELY202" s="36"/>
      <c r="ELZ202" s="36"/>
      <c r="EMA202" s="36"/>
      <c r="EMB202" s="36"/>
      <c r="EMC202" s="36"/>
      <c r="EMD202" s="36"/>
      <c r="EME202" s="36"/>
      <c r="EMF202" s="36"/>
      <c r="EMG202" s="36"/>
      <c r="EMH202" s="36"/>
      <c r="EMI202" s="36"/>
      <c r="EMJ202" s="36"/>
      <c r="EMK202" s="36"/>
      <c r="EML202" s="36"/>
      <c r="EMM202" s="36"/>
      <c r="EMN202" s="36"/>
      <c r="EMO202" s="36"/>
      <c r="EMP202" s="36"/>
      <c r="EMQ202" s="36"/>
      <c r="EMR202" s="36"/>
      <c r="EMS202" s="36"/>
      <c r="EMT202" s="36"/>
      <c r="EMU202" s="36"/>
      <c r="EMV202" s="36"/>
      <c r="EMW202" s="36"/>
      <c r="EMX202" s="36"/>
      <c r="EMY202" s="36"/>
      <c r="EMZ202" s="36"/>
      <c r="ENA202" s="36"/>
      <c r="ENB202" s="36"/>
      <c r="ENC202" s="36"/>
      <c r="END202" s="36"/>
      <c r="ENE202" s="36"/>
      <c r="ENF202" s="36"/>
      <c r="ENG202" s="36"/>
      <c r="ENH202" s="36"/>
      <c r="ENI202" s="36"/>
      <c r="ENJ202" s="36"/>
      <c r="ENK202" s="36"/>
      <c r="ENL202" s="36"/>
      <c r="ENM202" s="36"/>
      <c r="ENN202" s="36"/>
      <c r="ENO202" s="36"/>
      <c r="ENP202" s="36"/>
      <c r="ENQ202" s="36"/>
      <c r="ENR202" s="36"/>
      <c r="ENS202" s="36"/>
      <c r="ENT202" s="36"/>
      <c r="ENU202" s="36"/>
      <c r="ENV202" s="36"/>
      <c r="ENW202" s="36"/>
      <c r="ENX202" s="36"/>
      <c r="ENY202" s="36"/>
      <c r="ENZ202" s="36"/>
      <c r="EOA202" s="36"/>
      <c r="EOB202" s="36"/>
      <c r="EOC202" s="36"/>
      <c r="EOD202" s="36"/>
      <c r="EOE202" s="36"/>
      <c r="EOF202" s="36"/>
      <c r="EOG202" s="36"/>
      <c r="EOH202" s="36"/>
      <c r="EOI202" s="36"/>
      <c r="EOJ202" s="36"/>
      <c r="EOK202" s="36"/>
      <c r="EOL202" s="36"/>
      <c r="EOM202" s="36"/>
      <c r="EON202" s="36"/>
      <c r="EOO202" s="36"/>
      <c r="EOP202" s="36"/>
      <c r="EOQ202" s="36"/>
      <c r="EOR202" s="36"/>
      <c r="EOS202" s="36"/>
      <c r="EOT202" s="36"/>
      <c r="EOU202" s="36"/>
      <c r="EOV202" s="36"/>
      <c r="EOW202" s="36"/>
      <c r="EOX202" s="36"/>
      <c r="EOY202" s="36"/>
      <c r="EOZ202" s="36"/>
      <c r="EPA202" s="36"/>
      <c r="EPB202" s="36"/>
      <c r="EPC202" s="36"/>
      <c r="EPD202" s="36"/>
      <c r="EPE202" s="36"/>
      <c r="EPF202" s="36"/>
      <c r="EPG202" s="36"/>
      <c r="EPH202" s="36"/>
      <c r="EPI202" s="36"/>
      <c r="EPJ202" s="36"/>
      <c r="EPK202" s="36"/>
      <c r="EPL202" s="36"/>
      <c r="EPM202" s="36"/>
      <c r="EPN202" s="36"/>
      <c r="EPO202" s="36"/>
      <c r="EPP202" s="36"/>
      <c r="EPQ202" s="36"/>
      <c r="EPR202" s="36"/>
      <c r="EPS202" s="36"/>
      <c r="EPT202" s="36"/>
      <c r="EPU202" s="36"/>
      <c r="EPV202" s="36"/>
      <c r="EPW202" s="36"/>
      <c r="EPX202" s="36"/>
      <c r="EPY202" s="36"/>
      <c r="EPZ202" s="36"/>
      <c r="EQA202" s="36"/>
      <c r="EQB202" s="36"/>
      <c r="EQC202" s="36"/>
      <c r="EQD202" s="36"/>
      <c r="EQE202" s="36"/>
      <c r="EQF202" s="36"/>
      <c r="EQG202" s="36"/>
      <c r="EQH202" s="36"/>
      <c r="EQI202" s="36"/>
      <c r="EQJ202" s="36"/>
      <c r="EQK202" s="36"/>
      <c r="EQL202" s="36"/>
      <c r="EQM202" s="36"/>
      <c r="EQN202" s="36"/>
      <c r="EQO202" s="36"/>
      <c r="EQP202" s="36"/>
      <c r="EQQ202" s="36"/>
      <c r="EQR202" s="36"/>
      <c r="EQS202" s="36"/>
      <c r="EQT202" s="36"/>
      <c r="EQU202" s="36"/>
      <c r="EQV202" s="36"/>
      <c r="EQW202" s="36"/>
      <c r="EQX202" s="36"/>
      <c r="EQY202" s="36"/>
      <c r="EQZ202" s="36"/>
      <c r="ERA202" s="36"/>
      <c r="ERB202" s="36"/>
      <c r="ERC202" s="36"/>
      <c r="ERD202" s="36"/>
      <c r="ERE202" s="36"/>
      <c r="ERF202" s="36"/>
      <c r="ERG202" s="36"/>
      <c r="ERH202" s="36"/>
      <c r="ERI202" s="36"/>
      <c r="ERJ202" s="36"/>
      <c r="ERK202" s="36"/>
      <c r="ERL202" s="36"/>
      <c r="ERM202" s="36"/>
      <c r="ERN202" s="36"/>
      <c r="ERO202" s="36"/>
      <c r="ERP202" s="36"/>
      <c r="ERQ202" s="36"/>
      <c r="ERR202" s="36"/>
      <c r="ERS202" s="36"/>
      <c r="ERT202" s="36"/>
      <c r="ERU202" s="36"/>
      <c r="ERV202" s="36"/>
      <c r="ERW202" s="36"/>
      <c r="ERX202" s="36"/>
      <c r="ERY202" s="36"/>
      <c r="ERZ202" s="36"/>
      <c r="ESA202" s="36"/>
      <c r="ESB202" s="36"/>
      <c r="ESC202" s="36"/>
      <c r="ESD202" s="36"/>
      <c r="ESE202" s="36"/>
      <c r="ESF202" s="36"/>
      <c r="ESG202" s="36"/>
      <c r="ESH202" s="36"/>
      <c r="ESI202" s="36"/>
      <c r="ESJ202" s="36"/>
      <c r="ESK202" s="36"/>
      <c r="ESL202" s="36"/>
      <c r="ESM202" s="36"/>
      <c r="ESN202" s="36"/>
      <c r="ESO202" s="36"/>
      <c r="ESP202" s="36"/>
      <c r="ESQ202" s="36"/>
      <c r="ESR202" s="36"/>
      <c r="ESS202" s="36"/>
      <c r="EST202" s="36"/>
      <c r="ESU202" s="36"/>
      <c r="ESV202" s="36"/>
      <c r="ESW202" s="36"/>
      <c r="ESX202" s="36"/>
      <c r="ESY202" s="36"/>
      <c r="ESZ202" s="36"/>
      <c r="ETA202" s="36"/>
      <c r="ETB202" s="36"/>
      <c r="ETC202" s="36"/>
      <c r="ETD202" s="36"/>
      <c r="ETE202" s="36"/>
      <c r="ETF202" s="36"/>
      <c r="ETG202" s="36"/>
      <c r="ETH202" s="36"/>
      <c r="ETI202" s="36"/>
      <c r="ETJ202" s="36"/>
      <c r="ETK202" s="36"/>
      <c r="ETL202" s="36"/>
      <c r="ETM202" s="36"/>
      <c r="ETN202" s="36"/>
      <c r="ETO202" s="36"/>
      <c r="ETP202" s="36"/>
      <c r="ETQ202" s="36"/>
      <c r="ETR202" s="36"/>
      <c r="ETS202" s="36"/>
      <c r="ETT202" s="36"/>
      <c r="ETU202" s="36"/>
      <c r="ETV202" s="36"/>
      <c r="ETW202" s="36"/>
      <c r="ETX202" s="36"/>
      <c r="ETY202" s="36"/>
      <c r="ETZ202" s="36"/>
      <c r="EUA202" s="36"/>
      <c r="EUB202" s="36"/>
      <c r="EUC202" s="36"/>
      <c r="EUD202" s="36"/>
      <c r="EUE202" s="36"/>
      <c r="EUF202" s="36"/>
      <c r="EUG202" s="36"/>
      <c r="EUH202" s="36"/>
      <c r="EUI202" s="36"/>
      <c r="EUJ202" s="36"/>
      <c r="EUK202" s="36"/>
      <c r="EUL202" s="36"/>
      <c r="EUM202" s="36"/>
      <c r="EUN202" s="36"/>
      <c r="EUO202" s="36"/>
      <c r="EUP202" s="36"/>
      <c r="EUQ202" s="36"/>
      <c r="EUR202" s="36"/>
      <c r="EUS202" s="36"/>
      <c r="EUT202" s="36"/>
      <c r="EUU202" s="36"/>
      <c r="EUV202" s="36"/>
      <c r="EUW202" s="36"/>
      <c r="EUX202" s="36"/>
      <c r="EUY202" s="36"/>
      <c r="EUZ202" s="36"/>
      <c r="EVA202" s="36"/>
      <c r="EVB202" s="36"/>
      <c r="EVC202" s="36"/>
      <c r="EVD202" s="36"/>
      <c r="EVE202" s="36"/>
      <c r="EVF202" s="36"/>
      <c r="EVG202" s="36"/>
      <c r="EVH202" s="36"/>
      <c r="EVI202" s="36"/>
      <c r="EVJ202" s="36"/>
      <c r="EVK202" s="36"/>
      <c r="EVL202" s="36"/>
      <c r="EVM202" s="36"/>
      <c r="EVN202" s="36"/>
      <c r="EVO202" s="36"/>
      <c r="EVP202" s="36"/>
      <c r="EVQ202" s="36"/>
      <c r="EVR202" s="36"/>
      <c r="EVS202" s="36"/>
      <c r="EVT202" s="36"/>
      <c r="EVU202" s="36"/>
      <c r="EVV202" s="36"/>
      <c r="EVW202" s="36"/>
      <c r="EVX202" s="36"/>
      <c r="EVY202" s="36"/>
      <c r="EVZ202" s="36"/>
      <c r="EWA202" s="36"/>
      <c r="EWB202" s="36"/>
      <c r="EWC202" s="36"/>
      <c r="EWD202" s="36"/>
      <c r="EWE202" s="36"/>
      <c r="EWF202" s="36"/>
      <c r="EWG202" s="36"/>
      <c r="EWH202" s="36"/>
      <c r="EWI202" s="36"/>
      <c r="EWJ202" s="36"/>
      <c r="EWK202" s="36"/>
      <c r="EWL202" s="36"/>
      <c r="EWM202" s="36"/>
      <c r="EWN202" s="36"/>
      <c r="EWO202" s="36"/>
      <c r="EWP202" s="36"/>
      <c r="EWQ202" s="36"/>
      <c r="EWR202" s="36"/>
      <c r="EWS202" s="36"/>
      <c r="EWT202" s="36"/>
      <c r="EWU202" s="36"/>
      <c r="EWV202" s="36"/>
      <c r="EWW202" s="36"/>
      <c r="EWX202" s="36"/>
      <c r="EWY202" s="36"/>
      <c r="EWZ202" s="36"/>
      <c r="EXA202" s="36"/>
      <c r="EXB202" s="36"/>
      <c r="EXC202" s="36"/>
      <c r="EXD202" s="36"/>
      <c r="EXE202" s="36"/>
      <c r="EXF202" s="36"/>
      <c r="EXG202" s="36"/>
      <c r="EXH202" s="36"/>
      <c r="EXI202" s="36"/>
      <c r="EXJ202" s="36"/>
      <c r="EXK202" s="36"/>
      <c r="EXL202" s="36"/>
      <c r="EXM202" s="36"/>
      <c r="EXN202" s="36"/>
      <c r="EXO202" s="36"/>
      <c r="EXP202" s="36"/>
      <c r="EXQ202" s="36"/>
      <c r="EXR202" s="36"/>
      <c r="EXS202" s="36"/>
      <c r="EXT202" s="36"/>
      <c r="EXU202" s="36"/>
      <c r="EXV202" s="36"/>
      <c r="EXW202" s="36"/>
      <c r="EXX202" s="36"/>
      <c r="EXY202" s="36"/>
      <c r="EXZ202" s="36"/>
      <c r="EYA202" s="36"/>
      <c r="EYB202" s="36"/>
      <c r="EYC202" s="36"/>
      <c r="EYD202" s="36"/>
      <c r="EYE202" s="36"/>
      <c r="EYF202" s="36"/>
      <c r="EYG202" s="36"/>
      <c r="EYH202" s="36"/>
      <c r="EYI202" s="36"/>
      <c r="EYJ202" s="36"/>
      <c r="EYK202" s="36"/>
      <c r="EYL202" s="36"/>
      <c r="EYM202" s="36"/>
      <c r="EYN202" s="36"/>
      <c r="EYO202" s="36"/>
      <c r="EYP202" s="36"/>
      <c r="EYQ202" s="36"/>
      <c r="EYR202" s="36"/>
      <c r="EYS202" s="36"/>
      <c r="EYT202" s="36"/>
      <c r="EYU202" s="36"/>
      <c r="EYV202" s="36"/>
      <c r="EYW202" s="36"/>
      <c r="EYX202" s="36"/>
      <c r="EYY202" s="36"/>
      <c r="EYZ202" s="36"/>
      <c r="EZA202" s="36"/>
      <c r="EZB202" s="36"/>
      <c r="EZC202" s="36"/>
      <c r="EZD202" s="36"/>
      <c r="EZE202" s="36"/>
      <c r="EZF202" s="36"/>
      <c r="EZG202" s="36"/>
      <c r="EZH202" s="36"/>
      <c r="EZI202" s="36"/>
      <c r="EZJ202" s="36"/>
      <c r="EZK202" s="36"/>
      <c r="EZL202" s="36"/>
      <c r="EZM202" s="36"/>
      <c r="EZN202" s="36"/>
      <c r="EZO202" s="36"/>
      <c r="EZP202" s="36"/>
      <c r="EZQ202" s="36"/>
      <c r="EZR202" s="36"/>
      <c r="EZS202" s="36"/>
      <c r="EZT202" s="36"/>
      <c r="EZU202" s="36"/>
      <c r="EZV202" s="36"/>
      <c r="EZW202" s="36"/>
      <c r="EZX202" s="36"/>
      <c r="EZY202" s="36"/>
      <c r="EZZ202" s="36"/>
      <c r="FAA202" s="36"/>
      <c r="FAB202" s="36"/>
      <c r="FAC202" s="36"/>
      <c r="FAD202" s="36"/>
      <c r="FAE202" s="36"/>
      <c r="FAF202" s="36"/>
      <c r="FAG202" s="36"/>
      <c r="FAH202" s="36"/>
      <c r="FAI202" s="36"/>
      <c r="FAJ202" s="36"/>
      <c r="FAK202" s="36"/>
      <c r="FAL202" s="36"/>
      <c r="FAM202" s="36"/>
      <c r="FAN202" s="36"/>
      <c r="FAO202" s="36"/>
      <c r="FAP202" s="36"/>
      <c r="FAQ202" s="36"/>
      <c r="FAR202" s="36"/>
      <c r="FAS202" s="36"/>
      <c r="FAT202" s="36"/>
      <c r="FAU202" s="36"/>
      <c r="FAV202" s="36"/>
      <c r="FAW202" s="36"/>
      <c r="FAX202" s="36"/>
      <c r="FAY202" s="36"/>
      <c r="FAZ202" s="36"/>
      <c r="FBA202" s="36"/>
      <c r="FBB202" s="36"/>
      <c r="FBC202" s="36"/>
      <c r="FBD202" s="36"/>
      <c r="FBE202" s="36"/>
      <c r="FBF202" s="36"/>
      <c r="FBG202" s="36"/>
      <c r="FBH202" s="36"/>
      <c r="FBI202" s="36"/>
      <c r="FBJ202" s="36"/>
      <c r="FBK202" s="36"/>
      <c r="FBL202" s="36"/>
      <c r="FBM202" s="36"/>
      <c r="FBN202" s="36"/>
      <c r="FBO202" s="36"/>
      <c r="FBP202" s="36"/>
      <c r="FBQ202" s="36"/>
      <c r="FBR202" s="36"/>
      <c r="FBS202" s="36"/>
      <c r="FBT202" s="36"/>
      <c r="FBU202" s="36"/>
      <c r="FBV202" s="36"/>
      <c r="FBW202" s="36"/>
      <c r="FBX202" s="36"/>
      <c r="FBY202" s="36"/>
      <c r="FBZ202" s="36"/>
      <c r="FCA202" s="36"/>
      <c r="FCB202" s="36"/>
      <c r="FCC202" s="36"/>
      <c r="FCD202" s="36"/>
      <c r="FCE202" s="36"/>
      <c r="FCF202" s="36"/>
      <c r="FCG202" s="36"/>
      <c r="FCH202" s="36"/>
      <c r="FCI202" s="36"/>
      <c r="FCJ202" s="36"/>
      <c r="FCK202" s="36"/>
      <c r="FCL202" s="36"/>
      <c r="FCM202" s="36"/>
      <c r="FCN202" s="36"/>
      <c r="FCO202" s="36"/>
      <c r="FCP202" s="36"/>
      <c r="FCQ202" s="36"/>
      <c r="FCR202" s="36"/>
      <c r="FCS202" s="36"/>
      <c r="FCT202" s="36"/>
      <c r="FCU202" s="36"/>
      <c r="FCV202" s="36"/>
      <c r="FCW202" s="36"/>
      <c r="FCX202" s="36"/>
      <c r="FCY202" s="36"/>
      <c r="FCZ202" s="36"/>
      <c r="FDA202" s="36"/>
      <c r="FDB202" s="36"/>
      <c r="FDC202" s="36"/>
      <c r="FDD202" s="36"/>
      <c r="FDE202" s="36"/>
      <c r="FDF202" s="36"/>
      <c r="FDG202" s="36"/>
      <c r="FDH202" s="36"/>
      <c r="FDI202" s="36"/>
      <c r="FDJ202" s="36"/>
      <c r="FDK202" s="36"/>
      <c r="FDL202" s="36"/>
      <c r="FDM202" s="36"/>
      <c r="FDN202" s="36"/>
      <c r="FDO202" s="36"/>
      <c r="FDP202" s="36"/>
      <c r="FDQ202" s="36"/>
      <c r="FDR202" s="36"/>
      <c r="FDS202" s="36"/>
      <c r="FDT202" s="36"/>
      <c r="FDU202" s="36"/>
      <c r="FDV202" s="36"/>
      <c r="FDW202" s="36"/>
      <c r="FDX202" s="36"/>
      <c r="FDY202" s="36"/>
      <c r="FDZ202" s="36"/>
      <c r="FEA202" s="36"/>
      <c r="FEB202" s="36"/>
      <c r="FEC202" s="36"/>
      <c r="FED202" s="36"/>
      <c r="FEE202" s="36"/>
      <c r="FEF202" s="36"/>
      <c r="FEG202" s="36"/>
      <c r="FEH202" s="36"/>
      <c r="FEI202" s="36"/>
      <c r="FEJ202" s="36"/>
      <c r="FEK202" s="36"/>
      <c r="FEL202" s="36"/>
      <c r="FEM202" s="36"/>
      <c r="FEN202" s="36"/>
      <c r="FEO202" s="36"/>
      <c r="FEP202" s="36"/>
      <c r="FEQ202" s="36"/>
      <c r="FER202" s="36"/>
      <c r="FES202" s="36"/>
      <c r="FET202" s="36"/>
      <c r="FEU202" s="36"/>
      <c r="FEV202" s="36"/>
      <c r="FEW202" s="36"/>
      <c r="FEX202" s="36"/>
      <c r="FEY202" s="36"/>
      <c r="FEZ202" s="36"/>
      <c r="FFA202" s="36"/>
      <c r="FFB202" s="36"/>
      <c r="FFC202" s="36"/>
      <c r="FFD202" s="36"/>
      <c r="FFE202" s="36"/>
      <c r="FFF202" s="36"/>
      <c r="FFG202" s="36"/>
      <c r="FFH202" s="36"/>
      <c r="FFI202" s="36"/>
      <c r="FFJ202" s="36"/>
      <c r="FFK202" s="36"/>
      <c r="FFL202" s="36"/>
      <c r="FFM202" s="36"/>
      <c r="FFN202" s="36"/>
      <c r="FFO202" s="36"/>
      <c r="FFP202" s="36"/>
      <c r="FFQ202" s="36"/>
      <c r="FFR202" s="36"/>
      <c r="FFS202" s="36"/>
      <c r="FFT202" s="36"/>
      <c r="FFU202" s="36"/>
      <c r="FFV202" s="36"/>
      <c r="FFW202" s="36"/>
      <c r="FFX202" s="36"/>
      <c r="FFY202" s="36"/>
      <c r="FFZ202" s="36"/>
      <c r="FGA202" s="36"/>
      <c r="FGB202" s="36"/>
      <c r="FGC202" s="36"/>
      <c r="FGD202" s="36"/>
      <c r="FGE202" s="36"/>
      <c r="FGF202" s="36"/>
      <c r="FGG202" s="36"/>
      <c r="FGH202" s="36"/>
      <c r="FGI202" s="36"/>
      <c r="FGJ202" s="36"/>
      <c r="FGK202" s="36"/>
      <c r="FGL202" s="36"/>
      <c r="FGM202" s="36"/>
      <c r="FGN202" s="36"/>
      <c r="FGO202" s="36"/>
      <c r="FGP202" s="36"/>
      <c r="FGQ202" s="36"/>
      <c r="FGR202" s="36"/>
      <c r="FGS202" s="36"/>
      <c r="FGT202" s="36"/>
      <c r="FGU202" s="36"/>
      <c r="FGV202" s="36"/>
      <c r="FGW202" s="36"/>
      <c r="FGX202" s="36"/>
      <c r="FGY202" s="36"/>
      <c r="FGZ202" s="36"/>
      <c r="FHA202" s="36"/>
      <c r="FHB202" s="36"/>
      <c r="FHC202" s="36"/>
      <c r="FHD202" s="36"/>
      <c r="FHE202" s="36"/>
      <c r="FHF202" s="36"/>
      <c r="FHG202" s="36"/>
      <c r="FHH202" s="36"/>
      <c r="FHI202" s="36"/>
      <c r="FHJ202" s="36"/>
      <c r="FHK202" s="36"/>
      <c r="FHL202" s="36"/>
      <c r="FHM202" s="36"/>
      <c r="FHN202" s="36"/>
      <c r="FHO202" s="36"/>
      <c r="FHP202" s="36"/>
      <c r="FHQ202" s="36"/>
      <c r="FHR202" s="36"/>
      <c r="FHS202" s="36"/>
      <c r="FHT202" s="36"/>
      <c r="FHU202" s="36"/>
      <c r="FHV202" s="36"/>
      <c r="FHW202" s="36"/>
      <c r="FHX202" s="36"/>
      <c r="FHY202" s="36"/>
      <c r="FHZ202" s="36"/>
      <c r="FIA202" s="36"/>
      <c r="FIB202" s="36"/>
      <c r="FIC202" s="36"/>
      <c r="FID202" s="36"/>
      <c r="FIE202" s="36"/>
      <c r="FIF202" s="36"/>
      <c r="FIG202" s="36"/>
      <c r="FIH202" s="36"/>
      <c r="FII202" s="36"/>
      <c r="FIJ202" s="36"/>
      <c r="FIK202" s="36"/>
      <c r="FIL202" s="36"/>
      <c r="FIM202" s="36"/>
      <c r="FIN202" s="36"/>
      <c r="FIO202" s="36"/>
      <c r="FIP202" s="36"/>
      <c r="FIQ202" s="36"/>
      <c r="FIR202" s="36"/>
      <c r="FIS202" s="36"/>
      <c r="FIT202" s="36"/>
      <c r="FIU202" s="36"/>
      <c r="FIV202" s="36"/>
      <c r="FIW202" s="36"/>
      <c r="FIX202" s="36"/>
      <c r="FIY202" s="36"/>
      <c r="FIZ202" s="36"/>
      <c r="FJA202" s="36"/>
      <c r="FJB202" s="36"/>
      <c r="FJC202" s="36"/>
      <c r="FJD202" s="36"/>
      <c r="FJE202" s="36"/>
      <c r="FJF202" s="36"/>
      <c r="FJG202" s="36"/>
      <c r="FJH202" s="36"/>
      <c r="FJI202" s="36"/>
      <c r="FJJ202" s="36"/>
      <c r="FJK202" s="36"/>
      <c r="FJL202" s="36"/>
      <c r="FJM202" s="36"/>
      <c r="FJN202" s="36"/>
      <c r="FJO202" s="36"/>
      <c r="FJP202" s="36"/>
      <c r="FJQ202" s="36"/>
      <c r="FJR202" s="36"/>
      <c r="FJS202" s="36"/>
      <c r="FJT202" s="36"/>
      <c r="FJU202" s="36"/>
      <c r="FJV202" s="36"/>
      <c r="FJW202" s="36"/>
      <c r="FJX202" s="36"/>
      <c r="FJY202" s="36"/>
      <c r="FJZ202" s="36"/>
      <c r="FKA202" s="36"/>
      <c r="FKB202" s="36"/>
      <c r="FKC202" s="36"/>
      <c r="FKD202" s="36"/>
      <c r="FKE202" s="36"/>
      <c r="FKF202" s="36"/>
      <c r="FKG202" s="36"/>
      <c r="FKH202" s="36"/>
      <c r="FKI202" s="36"/>
      <c r="FKJ202" s="36"/>
      <c r="FKK202" s="36"/>
      <c r="FKL202" s="36"/>
      <c r="FKM202" s="36"/>
      <c r="FKN202" s="36"/>
      <c r="FKO202" s="36"/>
      <c r="FKP202" s="36"/>
      <c r="FKQ202" s="36"/>
      <c r="FKR202" s="36"/>
      <c r="FKS202" s="36"/>
      <c r="FKT202" s="36"/>
      <c r="FKU202" s="36"/>
      <c r="FKV202" s="36"/>
      <c r="FKW202" s="36"/>
      <c r="FKX202" s="36"/>
      <c r="FKY202" s="36"/>
      <c r="FKZ202" s="36"/>
      <c r="FLA202" s="36"/>
      <c r="FLB202" s="36"/>
      <c r="FLC202" s="36"/>
      <c r="FLD202" s="36"/>
      <c r="FLE202" s="36"/>
      <c r="FLF202" s="36"/>
      <c r="FLG202" s="36"/>
      <c r="FLH202" s="36"/>
      <c r="FLI202" s="36"/>
      <c r="FLJ202" s="36"/>
      <c r="FLK202" s="36"/>
      <c r="FLL202" s="36"/>
      <c r="FLM202" s="36"/>
      <c r="FLN202" s="36"/>
      <c r="FLO202" s="36"/>
      <c r="FLP202" s="36"/>
      <c r="FLQ202" s="36"/>
      <c r="FLR202" s="36"/>
      <c r="FLS202" s="36"/>
      <c r="FLT202" s="36"/>
      <c r="FLU202" s="36"/>
      <c r="FLV202" s="36"/>
      <c r="FLW202" s="36"/>
      <c r="FLX202" s="36"/>
      <c r="FLY202" s="36"/>
      <c r="FLZ202" s="36"/>
      <c r="FMA202" s="36"/>
      <c r="FMB202" s="36"/>
      <c r="FMC202" s="36"/>
      <c r="FMD202" s="36"/>
      <c r="FME202" s="36"/>
      <c r="FMF202" s="36"/>
      <c r="FMG202" s="36"/>
      <c r="FMH202" s="36"/>
      <c r="FMI202" s="36"/>
      <c r="FMJ202" s="36"/>
      <c r="FMK202" s="36"/>
      <c r="FML202" s="36"/>
      <c r="FMM202" s="36"/>
      <c r="FMN202" s="36"/>
      <c r="FMO202" s="36"/>
      <c r="FMP202" s="36"/>
      <c r="FMQ202" s="36"/>
      <c r="FMR202" s="36"/>
      <c r="FMS202" s="36"/>
      <c r="FMT202" s="36"/>
      <c r="FMU202" s="36"/>
      <c r="FMV202" s="36"/>
      <c r="FMW202" s="36"/>
      <c r="FMX202" s="36"/>
      <c r="FMY202" s="36"/>
      <c r="FMZ202" s="36"/>
      <c r="FNA202" s="36"/>
      <c r="FNB202" s="36"/>
      <c r="FNC202" s="36"/>
      <c r="FND202" s="36"/>
      <c r="FNE202" s="36"/>
      <c r="FNF202" s="36"/>
      <c r="FNG202" s="36"/>
      <c r="FNH202" s="36"/>
      <c r="FNI202" s="36"/>
      <c r="FNJ202" s="36"/>
      <c r="FNK202" s="36"/>
      <c r="FNL202" s="36"/>
      <c r="FNM202" s="36"/>
      <c r="FNN202" s="36"/>
      <c r="FNO202" s="36"/>
      <c r="FNP202" s="36"/>
      <c r="FNQ202" s="36"/>
      <c r="FNR202" s="36"/>
      <c r="FNS202" s="36"/>
      <c r="FNT202" s="36"/>
      <c r="FNU202" s="36"/>
      <c r="FNV202" s="36"/>
      <c r="FNW202" s="36"/>
      <c r="FNX202" s="36"/>
      <c r="FNY202" s="36"/>
      <c r="FNZ202" s="36"/>
      <c r="FOA202" s="36"/>
      <c r="FOB202" s="36"/>
      <c r="FOC202" s="36"/>
      <c r="FOD202" s="36"/>
      <c r="FOE202" s="36"/>
      <c r="FOF202" s="36"/>
      <c r="FOG202" s="36"/>
      <c r="FOH202" s="36"/>
      <c r="FOI202" s="36"/>
      <c r="FOJ202" s="36"/>
      <c r="FOK202" s="36"/>
      <c r="FOL202" s="36"/>
      <c r="FOM202" s="36"/>
      <c r="FON202" s="36"/>
      <c r="FOO202" s="36"/>
      <c r="FOP202" s="36"/>
      <c r="FOQ202" s="36"/>
      <c r="FOR202" s="36"/>
      <c r="FOS202" s="36"/>
      <c r="FOT202" s="36"/>
      <c r="FOU202" s="36"/>
      <c r="FOV202" s="36"/>
      <c r="FOW202" s="36"/>
      <c r="FOX202" s="36"/>
      <c r="FOY202" s="36"/>
      <c r="FOZ202" s="36"/>
      <c r="FPA202" s="36"/>
      <c r="FPB202" s="36"/>
      <c r="FPC202" s="36"/>
      <c r="FPD202" s="36"/>
      <c r="FPE202" s="36"/>
      <c r="FPF202" s="36"/>
      <c r="FPG202" s="36"/>
      <c r="FPH202" s="36"/>
      <c r="FPI202" s="36"/>
      <c r="FPJ202" s="36"/>
      <c r="FPK202" s="36"/>
      <c r="FPL202" s="36"/>
      <c r="FPM202" s="36"/>
      <c r="FPN202" s="36"/>
      <c r="FPO202" s="36"/>
      <c r="FPP202" s="36"/>
      <c r="FPQ202" s="36"/>
      <c r="FPR202" s="36"/>
      <c r="FPS202" s="36"/>
      <c r="FPT202" s="36"/>
      <c r="FPU202" s="36"/>
      <c r="FPV202" s="36"/>
      <c r="FPW202" s="36"/>
      <c r="FPX202" s="36"/>
      <c r="FPY202" s="36"/>
      <c r="FPZ202" s="36"/>
      <c r="FQA202" s="36"/>
      <c r="FQB202" s="36"/>
      <c r="FQC202" s="36"/>
      <c r="FQD202" s="36"/>
      <c r="FQE202" s="36"/>
      <c r="FQF202" s="36"/>
      <c r="FQG202" s="36"/>
      <c r="FQH202" s="36"/>
      <c r="FQI202" s="36"/>
      <c r="FQJ202" s="36"/>
      <c r="FQK202" s="36"/>
      <c r="FQL202" s="36"/>
      <c r="FQM202" s="36"/>
      <c r="FQN202" s="36"/>
      <c r="FQO202" s="36"/>
      <c r="FQP202" s="36"/>
      <c r="FQQ202" s="36"/>
      <c r="FQR202" s="36"/>
      <c r="FQS202" s="36"/>
      <c r="FQT202" s="36"/>
      <c r="FQU202" s="36"/>
      <c r="FQV202" s="36"/>
      <c r="FQW202" s="36"/>
      <c r="FQX202" s="36"/>
      <c r="FQY202" s="36"/>
      <c r="FQZ202" s="36"/>
      <c r="FRA202" s="36"/>
      <c r="FRB202" s="36"/>
      <c r="FRC202" s="36"/>
      <c r="FRD202" s="36"/>
      <c r="FRE202" s="36"/>
      <c r="FRF202" s="36"/>
      <c r="FRG202" s="36"/>
      <c r="FRH202" s="36"/>
      <c r="FRI202" s="36"/>
      <c r="FRJ202" s="36"/>
      <c r="FRK202" s="36"/>
      <c r="FRL202" s="36"/>
      <c r="FRM202" s="36"/>
      <c r="FRN202" s="36"/>
      <c r="FRO202" s="36"/>
      <c r="FRP202" s="36"/>
      <c r="FRQ202" s="36"/>
      <c r="FRR202" s="36"/>
      <c r="FRS202" s="36"/>
      <c r="FRT202" s="36"/>
      <c r="FRU202" s="36"/>
      <c r="FRV202" s="36"/>
      <c r="FRW202" s="36"/>
      <c r="FRX202" s="36"/>
      <c r="FRY202" s="36"/>
      <c r="FRZ202" s="36"/>
      <c r="FSA202" s="36"/>
      <c r="FSB202" s="36"/>
      <c r="FSC202" s="36"/>
      <c r="FSD202" s="36"/>
      <c r="FSE202" s="36"/>
      <c r="FSF202" s="36"/>
      <c r="FSG202" s="36"/>
      <c r="FSH202" s="36"/>
      <c r="FSI202" s="36"/>
      <c r="FSJ202" s="36"/>
      <c r="FSK202" s="36"/>
      <c r="FSL202" s="36"/>
      <c r="FSM202" s="36"/>
      <c r="FSN202" s="36"/>
      <c r="FSO202" s="36"/>
      <c r="FSP202" s="36"/>
      <c r="FSQ202" s="36"/>
      <c r="FSR202" s="36"/>
      <c r="FSS202" s="36"/>
      <c r="FST202" s="36"/>
      <c r="FSU202" s="36"/>
      <c r="FSV202" s="36"/>
      <c r="FSW202" s="36"/>
      <c r="FSX202" s="36"/>
      <c r="FSY202" s="36"/>
      <c r="FSZ202" s="36"/>
      <c r="FTA202" s="36"/>
      <c r="FTB202" s="36"/>
      <c r="FTC202" s="36"/>
      <c r="FTD202" s="36"/>
      <c r="FTE202" s="36"/>
      <c r="FTF202" s="36"/>
      <c r="FTG202" s="36"/>
      <c r="FTH202" s="36"/>
      <c r="FTI202" s="36"/>
      <c r="FTJ202" s="36"/>
      <c r="FTK202" s="36"/>
      <c r="FTL202" s="36"/>
      <c r="FTM202" s="36"/>
      <c r="FTN202" s="36"/>
      <c r="FTO202" s="36"/>
      <c r="FTP202" s="36"/>
      <c r="FTQ202" s="36"/>
      <c r="FTR202" s="36"/>
      <c r="FTS202" s="36"/>
      <c r="FTT202" s="36"/>
      <c r="FTU202" s="36"/>
      <c r="FTV202" s="36"/>
      <c r="FTW202" s="36"/>
      <c r="FTX202" s="36"/>
      <c r="FTY202" s="36"/>
      <c r="FTZ202" s="36"/>
      <c r="FUA202" s="36"/>
      <c r="FUB202" s="36"/>
      <c r="FUC202" s="36"/>
      <c r="FUD202" s="36"/>
      <c r="FUE202" s="36"/>
      <c r="FUF202" s="36"/>
      <c r="FUG202" s="36"/>
      <c r="FUH202" s="36"/>
      <c r="FUI202" s="36"/>
      <c r="FUJ202" s="36"/>
      <c r="FUK202" s="36"/>
      <c r="FUL202" s="36"/>
      <c r="FUM202" s="36"/>
      <c r="FUN202" s="36"/>
      <c r="FUO202" s="36"/>
      <c r="FUP202" s="36"/>
      <c r="FUQ202" s="36"/>
      <c r="FUR202" s="36"/>
      <c r="FUS202" s="36"/>
      <c r="FUT202" s="36"/>
      <c r="FUU202" s="36"/>
      <c r="FUV202" s="36"/>
      <c r="FUW202" s="36"/>
      <c r="FUX202" s="36"/>
      <c r="FUY202" s="36"/>
      <c r="FUZ202" s="36"/>
      <c r="FVA202" s="36"/>
      <c r="FVB202" s="36"/>
      <c r="FVC202" s="36"/>
      <c r="FVD202" s="36"/>
      <c r="FVE202" s="36"/>
      <c r="FVF202" s="36"/>
      <c r="FVG202" s="36"/>
      <c r="FVH202" s="36"/>
      <c r="FVI202" s="36"/>
      <c r="FVJ202" s="36"/>
      <c r="FVK202" s="36"/>
      <c r="FVL202" s="36"/>
      <c r="FVM202" s="36"/>
      <c r="FVN202" s="36"/>
      <c r="FVO202" s="36"/>
      <c r="FVP202" s="36"/>
      <c r="FVQ202" s="36"/>
      <c r="FVR202" s="36"/>
      <c r="FVS202" s="36"/>
      <c r="FVT202" s="36"/>
      <c r="FVU202" s="36"/>
      <c r="FVV202" s="36"/>
      <c r="FVW202" s="36"/>
      <c r="FVX202" s="36"/>
      <c r="FVY202" s="36"/>
      <c r="FVZ202" s="36"/>
      <c r="FWA202" s="36"/>
      <c r="FWB202" s="36"/>
      <c r="FWC202" s="36"/>
      <c r="FWD202" s="36"/>
      <c r="FWE202" s="36"/>
      <c r="FWF202" s="36"/>
      <c r="FWG202" s="36"/>
      <c r="FWH202" s="36"/>
      <c r="FWI202" s="36"/>
      <c r="FWJ202" s="36"/>
      <c r="FWK202" s="36"/>
      <c r="FWL202" s="36"/>
      <c r="FWM202" s="36"/>
      <c r="FWN202" s="36"/>
      <c r="FWO202" s="36"/>
      <c r="FWP202" s="36"/>
      <c r="FWQ202" s="36"/>
      <c r="FWR202" s="36"/>
      <c r="FWS202" s="36"/>
      <c r="FWT202" s="36"/>
      <c r="FWU202" s="36"/>
      <c r="FWV202" s="36"/>
      <c r="FWW202" s="36"/>
      <c r="FWX202" s="36"/>
      <c r="FWY202" s="36"/>
      <c r="FWZ202" s="36"/>
      <c r="FXA202" s="36"/>
      <c r="FXB202" s="36"/>
      <c r="FXC202" s="36"/>
      <c r="FXD202" s="36"/>
      <c r="FXE202" s="36"/>
      <c r="FXF202" s="36"/>
      <c r="FXG202" s="36"/>
      <c r="FXH202" s="36"/>
      <c r="FXI202" s="36"/>
      <c r="FXJ202" s="36"/>
      <c r="FXK202" s="36"/>
      <c r="FXL202" s="36"/>
      <c r="FXM202" s="36"/>
      <c r="FXN202" s="36"/>
      <c r="FXO202" s="36"/>
      <c r="FXP202" s="36"/>
      <c r="FXQ202" s="36"/>
      <c r="FXR202" s="36"/>
      <c r="FXS202" s="36"/>
      <c r="FXT202" s="36"/>
      <c r="FXU202" s="36"/>
      <c r="FXV202" s="36"/>
      <c r="FXW202" s="36"/>
      <c r="FXX202" s="36"/>
      <c r="FXY202" s="36"/>
      <c r="FXZ202" s="36"/>
      <c r="FYA202" s="36"/>
      <c r="FYB202" s="36"/>
      <c r="FYC202" s="36"/>
      <c r="FYD202" s="36"/>
      <c r="FYE202" s="36"/>
      <c r="FYF202" s="36"/>
      <c r="FYG202" s="36"/>
      <c r="FYH202" s="36"/>
      <c r="FYI202" s="36"/>
      <c r="FYJ202" s="36"/>
      <c r="FYK202" s="36"/>
      <c r="FYL202" s="36"/>
      <c r="FYM202" s="36"/>
      <c r="FYN202" s="36"/>
      <c r="FYO202" s="36"/>
      <c r="FYP202" s="36"/>
      <c r="FYQ202" s="36"/>
      <c r="FYR202" s="36"/>
      <c r="FYS202" s="36"/>
      <c r="FYT202" s="36"/>
      <c r="FYU202" s="36"/>
      <c r="FYV202" s="36"/>
      <c r="FYW202" s="36"/>
      <c r="FYX202" s="36"/>
      <c r="FYY202" s="36"/>
      <c r="FYZ202" s="36"/>
      <c r="FZA202" s="36"/>
      <c r="FZB202" s="36"/>
      <c r="FZC202" s="36"/>
      <c r="FZD202" s="36"/>
      <c r="FZE202" s="36"/>
      <c r="FZF202" s="36"/>
      <c r="FZG202" s="36"/>
      <c r="FZH202" s="36"/>
      <c r="FZI202" s="36"/>
      <c r="FZJ202" s="36"/>
      <c r="FZK202" s="36"/>
      <c r="FZL202" s="36"/>
      <c r="FZM202" s="36"/>
      <c r="FZN202" s="36"/>
      <c r="FZO202" s="36"/>
      <c r="FZP202" s="36"/>
      <c r="FZQ202" s="36"/>
      <c r="FZR202" s="36"/>
      <c r="FZS202" s="36"/>
      <c r="FZT202" s="36"/>
      <c r="FZU202" s="36"/>
      <c r="FZV202" s="36"/>
      <c r="FZW202" s="36"/>
      <c r="FZX202" s="36"/>
      <c r="FZY202" s="36"/>
      <c r="FZZ202" s="36"/>
      <c r="GAA202" s="36"/>
      <c r="GAB202" s="36"/>
      <c r="GAC202" s="36"/>
      <c r="GAD202" s="36"/>
      <c r="GAE202" s="36"/>
      <c r="GAF202" s="36"/>
      <c r="GAG202" s="36"/>
      <c r="GAH202" s="36"/>
      <c r="GAI202" s="36"/>
      <c r="GAJ202" s="36"/>
      <c r="GAK202" s="36"/>
      <c r="GAL202" s="36"/>
      <c r="GAM202" s="36"/>
      <c r="GAN202" s="36"/>
      <c r="GAO202" s="36"/>
      <c r="GAP202" s="36"/>
      <c r="GAQ202" s="36"/>
      <c r="GAR202" s="36"/>
      <c r="GAS202" s="36"/>
      <c r="GAT202" s="36"/>
      <c r="GAU202" s="36"/>
      <c r="GAV202" s="36"/>
      <c r="GAW202" s="36"/>
      <c r="GAX202" s="36"/>
      <c r="GAY202" s="36"/>
      <c r="GAZ202" s="36"/>
      <c r="GBA202" s="36"/>
      <c r="GBB202" s="36"/>
      <c r="GBC202" s="36"/>
      <c r="GBD202" s="36"/>
      <c r="GBE202" s="36"/>
      <c r="GBF202" s="36"/>
      <c r="GBG202" s="36"/>
      <c r="GBH202" s="36"/>
      <c r="GBI202" s="36"/>
      <c r="GBJ202" s="36"/>
      <c r="GBK202" s="36"/>
      <c r="GBL202" s="36"/>
      <c r="GBM202" s="36"/>
      <c r="GBN202" s="36"/>
      <c r="GBO202" s="36"/>
      <c r="GBP202" s="36"/>
      <c r="GBQ202" s="36"/>
      <c r="GBR202" s="36"/>
      <c r="GBS202" s="36"/>
      <c r="GBT202" s="36"/>
      <c r="GBU202" s="36"/>
      <c r="GBV202" s="36"/>
      <c r="GBW202" s="36"/>
      <c r="GBX202" s="36"/>
      <c r="GBY202" s="36"/>
      <c r="GBZ202" s="36"/>
      <c r="GCA202" s="36"/>
      <c r="GCB202" s="36"/>
      <c r="GCC202" s="36"/>
      <c r="GCD202" s="36"/>
      <c r="GCE202" s="36"/>
      <c r="GCF202" s="36"/>
      <c r="GCG202" s="36"/>
      <c r="GCH202" s="36"/>
      <c r="GCI202" s="36"/>
      <c r="GCJ202" s="36"/>
      <c r="GCK202" s="36"/>
      <c r="GCL202" s="36"/>
      <c r="GCM202" s="36"/>
      <c r="GCN202" s="36"/>
      <c r="GCO202" s="36"/>
      <c r="GCP202" s="36"/>
      <c r="GCQ202" s="36"/>
      <c r="GCR202" s="36"/>
      <c r="GCS202" s="36"/>
      <c r="GCT202" s="36"/>
      <c r="GCU202" s="36"/>
      <c r="GCV202" s="36"/>
      <c r="GCW202" s="36"/>
      <c r="GCX202" s="36"/>
      <c r="GCY202" s="36"/>
      <c r="GCZ202" s="36"/>
      <c r="GDA202" s="36"/>
      <c r="GDB202" s="36"/>
      <c r="GDC202" s="36"/>
      <c r="GDD202" s="36"/>
      <c r="GDE202" s="36"/>
      <c r="GDF202" s="36"/>
      <c r="GDG202" s="36"/>
      <c r="GDH202" s="36"/>
      <c r="GDI202" s="36"/>
      <c r="GDJ202" s="36"/>
      <c r="GDK202" s="36"/>
      <c r="GDL202" s="36"/>
      <c r="GDM202" s="36"/>
      <c r="GDN202" s="36"/>
      <c r="GDO202" s="36"/>
      <c r="GDP202" s="36"/>
      <c r="GDQ202" s="36"/>
      <c r="GDR202" s="36"/>
      <c r="GDS202" s="36"/>
      <c r="GDT202" s="36"/>
      <c r="GDU202" s="36"/>
      <c r="GDV202" s="36"/>
      <c r="GDW202" s="36"/>
      <c r="GDX202" s="36"/>
      <c r="GDY202" s="36"/>
      <c r="GDZ202" s="36"/>
      <c r="GEA202" s="36"/>
      <c r="GEB202" s="36"/>
      <c r="GEC202" s="36"/>
      <c r="GED202" s="36"/>
      <c r="GEE202" s="36"/>
      <c r="GEF202" s="36"/>
      <c r="GEG202" s="36"/>
      <c r="GEH202" s="36"/>
      <c r="GEI202" s="36"/>
      <c r="GEJ202" s="36"/>
      <c r="GEK202" s="36"/>
      <c r="GEL202" s="36"/>
      <c r="GEM202" s="36"/>
      <c r="GEN202" s="36"/>
      <c r="GEO202" s="36"/>
      <c r="GEP202" s="36"/>
      <c r="GEQ202" s="36"/>
      <c r="GER202" s="36"/>
      <c r="GES202" s="36"/>
      <c r="GET202" s="36"/>
      <c r="GEU202" s="36"/>
      <c r="GEV202" s="36"/>
      <c r="GEW202" s="36"/>
      <c r="GEX202" s="36"/>
      <c r="GEY202" s="36"/>
      <c r="GEZ202" s="36"/>
      <c r="GFA202" s="36"/>
      <c r="GFB202" s="36"/>
      <c r="GFC202" s="36"/>
      <c r="GFD202" s="36"/>
      <c r="GFE202" s="36"/>
      <c r="GFF202" s="36"/>
      <c r="GFG202" s="36"/>
      <c r="GFH202" s="36"/>
      <c r="GFI202" s="36"/>
      <c r="GFJ202" s="36"/>
      <c r="GFK202" s="36"/>
      <c r="GFL202" s="36"/>
      <c r="GFM202" s="36"/>
      <c r="GFN202" s="36"/>
      <c r="GFO202" s="36"/>
      <c r="GFP202" s="36"/>
      <c r="GFQ202" s="36"/>
      <c r="GFR202" s="36"/>
      <c r="GFS202" s="36"/>
      <c r="GFT202" s="36"/>
      <c r="GFU202" s="36"/>
      <c r="GFV202" s="36"/>
      <c r="GFW202" s="36"/>
      <c r="GFX202" s="36"/>
      <c r="GFY202" s="36"/>
      <c r="GFZ202" s="36"/>
      <c r="GGA202" s="36"/>
      <c r="GGB202" s="36"/>
      <c r="GGC202" s="36"/>
      <c r="GGD202" s="36"/>
      <c r="GGE202" s="36"/>
      <c r="GGF202" s="36"/>
      <c r="GGG202" s="36"/>
      <c r="GGH202" s="36"/>
      <c r="GGI202" s="36"/>
      <c r="GGJ202" s="36"/>
      <c r="GGK202" s="36"/>
      <c r="GGL202" s="36"/>
      <c r="GGM202" s="36"/>
      <c r="GGN202" s="36"/>
      <c r="GGO202" s="36"/>
      <c r="GGP202" s="36"/>
      <c r="GGQ202" s="36"/>
      <c r="GGR202" s="36"/>
      <c r="GGS202" s="36"/>
      <c r="GGT202" s="36"/>
      <c r="GGU202" s="36"/>
      <c r="GGV202" s="36"/>
      <c r="GGW202" s="36"/>
      <c r="GGX202" s="36"/>
      <c r="GGY202" s="36"/>
      <c r="GGZ202" s="36"/>
      <c r="GHA202" s="36"/>
      <c r="GHB202" s="36"/>
      <c r="GHC202" s="36"/>
      <c r="GHD202" s="36"/>
      <c r="GHE202" s="36"/>
      <c r="GHF202" s="36"/>
      <c r="GHG202" s="36"/>
      <c r="GHH202" s="36"/>
      <c r="GHI202" s="36"/>
      <c r="GHJ202" s="36"/>
      <c r="GHK202" s="36"/>
      <c r="GHL202" s="36"/>
      <c r="GHM202" s="36"/>
      <c r="GHN202" s="36"/>
      <c r="GHO202" s="36"/>
      <c r="GHP202" s="36"/>
      <c r="GHQ202" s="36"/>
      <c r="GHR202" s="36"/>
      <c r="GHS202" s="36"/>
      <c r="GHT202" s="36"/>
      <c r="GHU202" s="36"/>
      <c r="GHV202" s="36"/>
      <c r="GHW202" s="36"/>
      <c r="GHX202" s="36"/>
      <c r="GHY202" s="36"/>
      <c r="GHZ202" s="36"/>
      <c r="GIA202" s="36"/>
      <c r="GIB202" s="36"/>
      <c r="GIC202" s="36"/>
      <c r="GID202" s="36"/>
      <c r="GIE202" s="36"/>
      <c r="GIF202" s="36"/>
      <c r="GIG202" s="36"/>
      <c r="GIH202" s="36"/>
      <c r="GII202" s="36"/>
      <c r="GIJ202" s="36"/>
      <c r="GIK202" s="36"/>
      <c r="GIL202" s="36"/>
      <c r="GIM202" s="36"/>
      <c r="GIN202" s="36"/>
      <c r="GIO202" s="36"/>
      <c r="GIP202" s="36"/>
      <c r="GIQ202" s="36"/>
      <c r="GIR202" s="36"/>
      <c r="GIS202" s="36"/>
      <c r="GIT202" s="36"/>
      <c r="GIU202" s="36"/>
      <c r="GIV202" s="36"/>
      <c r="GIW202" s="36"/>
      <c r="GIX202" s="36"/>
      <c r="GIY202" s="36"/>
      <c r="GIZ202" s="36"/>
      <c r="GJA202" s="36"/>
      <c r="GJB202" s="36"/>
      <c r="GJC202" s="36"/>
      <c r="GJD202" s="36"/>
      <c r="GJE202" s="36"/>
      <c r="GJF202" s="36"/>
      <c r="GJG202" s="36"/>
      <c r="GJH202" s="36"/>
      <c r="GJI202" s="36"/>
      <c r="GJJ202" s="36"/>
      <c r="GJK202" s="36"/>
      <c r="GJL202" s="36"/>
      <c r="GJM202" s="36"/>
      <c r="GJN202" s="36"/>
      <c r="GJO202" s="36"/>
      <c r="GJP202" s="36"/>
      <c r="GJQ202" s="36"/>
      <c r="GJR202" s="36"/>
      <c r="GJS202" s="36"/>
      <c r="GJT202" s="36"/>
      <c r="GJU202" s="36"/>
      <c r="GJV202" s="36"/>
      <c r="GJW202" s="36"/>
      <c r="GJX202" s="36"/>
      <c r="GJY202" s="36"/>
      <c r="GJZ202" s="36"/>
      <c r="GKA202" s="36"/>
      <c r="GKB202" s="36"/>
      <c r="GKC202" s="36"/>
      <c r="GKD202" s="36"/>
      <c r="GKE202" s="36"/>
      <c r="GKF202" s="36"/>
      <c r="GKG202" s="36"/>
      <c r="GKH202" s="36"/>
      <c r="GKI202" s="36"/>
      <c r="GKJ202" s="36"/>
      <c r="GKK202" s="36"/>
      <c r="GKL202" s="36"/>
      <c r="GKM202" s="36"/>
      <c r="GKN202" s="36"/>
      <c r="GKO202" s="36"/>
      <c r="GKP202" s="36"/>
      <c r="GKQ202" s="36"/>
      <c r="GKR202" s="36"/>
      <c r="GKS202" s="36"/>
      <c r="GKT202" s="36"/>
      <c r="GKU202" s="36"/>
      <c r="GKV202" s="36"/>
      <c r="GKW202" s="36"/>
      <c r="GKX202" s="36"/>
      <c r="GKY202" s="36"/>
      <c r="GKZ202" s="36"/>
      <c r="GLA202" s="36"/>
      <c r="GLB202" s="36"/>
      <c r="GLC202" s="36"/>
      <c r="GLD202" s="36"/>
      <c r="GLE202" s="36"/>
      <c r="GLF202" s="36"/>
      <c r="GLG202" s="36"/>
      <c r="GLH202" s="36"/>
      <c r="GLI202" s="36"/>
      <c r="GLJ202" s="36"/>
      <c r="GLK202" s="36"/>
      <c r="GLL202" s="36"/>
      <c r="GLM202" s="36"/>
      <c r="GLN202" s="36"/>
      <c r="GLO202" s="36"/>
      <c r="GLP202" s="36"/>
      <c r="GLQ202" s="36"/>
      <c r="GLR202" s="36"/>
      <c r="GLS202" s="36"/>
      <c r="GLT202" s="36"/>
      <c r="GLU202" s="36"/>
      <c r="GLV202" s="36"/>
      <c r="GLW202" s="36"/>
      <c r="GLX202" s="36"/>
      <c r="GLY202" s="36"/>
      <c r="GLZ202" s="36"/>
      <c r="GMA202" s="36"/>
      <c r="GMB202" s="36"/>
      <c r="GMC202" s="36"/>
      <c r="GMD202" s="36"/>
      <c r="GME202" s="36"/>
      <c r="GMF202" s="36"/>
      <c r="GMG202" s="36"/>
      <c r="GMH202" s="36"/>
      <c r="GMI202" s="36"/>
      <c r="GMJ202" s="36"/>
      <c r="GMK202" s="36"/>
      <c r="GML202" s="36"/>
      <c r="GMM202" s="36"/>
      <c r="GMN202" s="36"/>
      <c r="GMO202" s="36"/>
      <c r="GMP202" s="36"/>
      <c r="GMQ202" s="36"/>
      <c r="GMR202" s="36"/>
      <c r="GMS202" s="36"/>
      <c r="GMT202" s="36"/>
      <c r="GMU202" s="36"/>
      <c r="GMV202" s="36"/>
      <c r="GMW202" s="36"/>
      <c r="GMX202" s="36"/>
      <c r="GMY202" s="36"/>
      <c r="GMZ202" s="36"/>
      <c r="GNA202" s="36"/>
      <c r="GNB202" s="36"/>
      <c r="GNC202" s="36"/>
      <c r="GND202" s="36"/>
      <c r="GNE202" s="36"/>
      <c r="GNF202" s="36"/>
      <c r="GNG202" s="36"/>
      <c r="GNH202" s="36"/>
      <c r="GNI202" s="36"/>
      <c r="GNJ202" s="36"/>
      <c r="GNK202" s="36"/>
      <c r="GNL202" s="36"/>
      <c r="GNM202" s="36"/>
      <c r="GNN202" s="36"/>
      <c r="GNO202" s="36"/>
      <c r="GNP202" s="36"/>
      <c r="GNQ202" s="36"/>
      <c r="GNR202" s="36"/>
      <c r="GNS202" s="36"/>
      <c r="GNT202" s="36"/>
      <c r="GNU202" s="36"/>
      <c r="GNV202" s="36"/>
      <c r="GNW202" s="36"/>
      <c r="GNX202" s="36"/>
      <c r="GNY202" s="36"/>
      <c r="GNZ202" s="36"/>
      <c r="GOA202" s="36"/>
      <c r="GOB202" s="36"/>
      <c r="GOC202" s="36"/>
      <c r="GOD202" s="36"/>
      <c r="GOE202" s="36"/>
      <c r="GOF202" s="36"/>
      <c r="GOG202" s="36"/>
      <c r="GOH202" s="36"/>
      <c r="GOI202" s="36"/>
      <c r="GOJ202" s="36"/>
      <c r="GOK202" s="36"/>
      <c r="GOL202" s="36"/>
      <c r="GOM202" s="36"/>
      <c r="GON202" s="36"/>
      <c r="GOO202" s="36"/>
      <c r="GOP202" s="36"/>
      <c r="GOQ202" s="36"/>
      <c r="GOR202" s="36"/>
      <c r="GOS202" s="36"/>
      <c r="GOT202" s="36"/>
      <c r="GOU202" s="36"/>
      <c r="GOV202" s="36"/>
      <c r="GOW202" s="36"/>
      <c r="GOX202" s="36"/>
      <c r="GOY202" s="36"/>
      <c r="GOZ202" s="36"/>
      <c r="GPA202" s="36"/>
      <c r="GPB202" s="36"/>
      <c r="GPC202" s="36"/>
      <c r="GPD202" s="36"/>
      <c r="GPE202" s="36"/>
      <c r="GPF202" s="36"/>
      <c r="GPG202" s="36"/>
      <c r="GPH202" s="36"/>
      <c r="GPI202" s="36"/>
      <c r="GPJ202" s="36"/>
      <c r="GPK202" s="36"/>
      <c r="GPL202" s="36"/>
      <c r="GPM202" s="36"/>
      <c r="GPN202" s="36"/>
      <c r="GPO202" s="36"/>
      <c r="GPP202" s="36"/>
      <c r="GPQ202" s="36"/>
      <c r="GPR202" s="36"/>
      <c r="GPS202" s="36"/>
      <c r="GPT202" s="36"/>
      <c r="GPU202" s="36"/>
      <c r="GPV202" s="36"/>
      <c r="GPW202" s="36"/>
      <c r="GPX202" s="36"/>
      <c r="GPY202" s="36"/>
      <c r="GPZ202" s="36"/>
      <c r="GQA202" s="36"/>
      <c r="GQB202" s="36"/>
      <c r="GQC202" s="36"/>
      <c r="GQD202" s="36"/>
      <c r="GQE202" s="36"/>
      <c r="GQF202" s="36"/>
      <c r="GQG202" s="36"/>
      <c r="GQH202" s="36"/>
      <c r="GQI202" s="36"/>
      <c r="GQJ202" s="36"/>
      <c r="GQK202" s="36"/>
      <c r="GQL202" s="36"/>
      <c r="GQM202" s="36"/>
      <c r="GQN202" s="36"/>
      <c r="GQO202" s="36"/>
      <c r="GQP202" s="36"/>
      <c r="GQQ202" s="36"/>
      <c r="GQR202" s="36"/>
      <c r="GQS202" s="36"/>
      <c r="GQT202" s="36"/>
      <c r="GQU202" s="36"/>
      <c r="GQV202" s="36"/>
      <c r="GQW202" s="36"/>
      <c r="GQX202" s="36"/>
      <c r="GQY202" s="36"/>
      <c r="GQZ202" s="36"/>
      <c r="GRA202" s="36"/>
      <c r="GRB202" s="36"/>
      <c r="GRC202" s="36"/>
      <c r="GRD202" s="36"/>
      <c r="GRE202" s="36"/>
      <c r="GRF202" s="36"/>
      <c r="GRG202" s="36"/>
      <c r="GRH202" s="36"/>
      <c r="GRI202" s="36"/>
      <c r="GRJ202" s="36"/>
      <c r="GRK202" s="36"/>
      <c r="GRL202" s="36"/>
      <c r="GRM202" s="36"/>
      <c r="GRN202" s="36"/>
      <c r="GRO202" s="36"/>
      <c r="GRP202" s="36"/>
      <c r="GRQ202" s="36"/>
      <c r="GRR202" s="36"/>
      <c r="GRS202" s="36"/>
      <c r="GRT202" s="36"/>
      <c r="GRU202" s="36"/>
      <c r="GRV202" s="36"/>
      <c r="GRW202" s="36"/>
      <c r="GRX202" s="36"/>
      <c r="GRY202" s="36"/>
      <c r="GRZ202" s="36"/>
      <c r="GSA202" s="36"/>
      <c r="GSB202" s="36"/>
      <c r="GSC202" s="36"/>
      <c r="GSD202" s="36"/>
      <c r="GSE202" s="36"/>
      <c r="GSF202" s="36"/>
      <c r="GSG202" s="36"/>
      <c r="GSH202" s="36"/>
      <c r="GSI202" s="36"/>
      <c r="GSJ202" s="36"/>
      <c r="GSK202" s="36"/>
      <c r="GSL202" s="36"/>
      <c r="GSM202" s="36"/>
      <c r="GSN202" s="36"/>
      <c r="GSO202" s="36"/>
      <c r="GSP202" s="36"/>
      <c r="GSQ202" s="36"/>
      <c r="GSR202" s="36"/>
      <c r="GSS202" s="36"/>
      <c r="GST202" s="36"/>
      <c r="GSU202" s="36"/>
      <c r="GSV202" s="36"/>
      <c r="GSW202" s="36"/>
      <c r="GSX202" s="36"/>
      <c r="GSY202" s="36"/>
      <c r="GSZ202" s="36"/>
      <c r="GTA202" s="36"/>
      <c r="GTB202" s="36"/>
      <c r="GTC202" s="36"/>
      <c r="GTD202" s="36"/>
      <c r="GTE202" s="36"/>
      <c r="GTF202" s="36"/>
      <c r="GTG202" s="36"/>
      <c r="GTH202" s="36"/>
      <c r="GTI202" s="36"/>
      <c r="GTJ202" s="36"/>
      <c r="GTK202" s="36"/>
      <c r="GTL202" s="36"/>
      <c r="GTM202" s="36"/>
      <c r="GTN202" s="36"/>
      <c r="GTO202" s="36"/>
      <c r="GTP202" s="36"/>
      <c r="GTQ202" s="36"/>
      <c r="GTR202" s="36"/>
      <c r="GTS202" s="36"/>
      <c r="GTT202" s="36"/>
      <c r="GTU202" s="36"/>
      <c r="GTV202" s="36"/>
      <c r="GTW202" s="36"/>
      <c r="GTX202" s="36"/>
      <c r="GTY202" s="36"/>
      <c r="GTZ202" s="36"/>
      <c r="GUA202" s="36"/>
      <c r="GUB202" s="36"/>
      <c r="GUC202" s="36"/>
      <c r="GUD202" s="36"/>
      <c r="GUE202" s="36"/>
      <c r="GUF202" s="36"/>
      <c r="GUG202" s="36"/>
      <c r="GUH202" s="36"/>
      <c r="GUI202" s="36"/>
      <c r="GUJ202" s="36"/>
      <c r="GUK202" s="36"/>
      <c r="GUL202" s="36"/>
      <c r="GUM202" s="36"/>
      <c r="GUN202" s="36"/>
      <c r="GUO202" s="36"/>
      <c r="GUP202" s="36"/>
      <c r="GUQ202" s="36"/>
      <c r="GUR202" s="36"/>
      <c r="GUS202" s="36"/>
      <c r="GUT202" s="36"/>
      <c r="GUU202" s="36"/>
      <c r="GUV202" s="36"/>
      <c r="GUW202" s="36"/>
      <c r="GUX202" s="36"/>
      <c r="GUY202" s="36"/>
      <c r="GUZ202" s="36"/>
      <c r="GVA202" s="36"/>
      <c r="GVB202" s="36"/>
      <c r="GVC202" s="36"/>
      <c r="GVD202" s="36"/>
      <c r="GVE202" s="36"/>
      <c r="GVF202" s="36"/>
      <c r="GVG202" s="36"/>
      <c r="GVH202" s="36"/>
      <c r="GVI202" s="36"/>
      <c r="GVJ202" s="36"/>
      <c r="GVK202" s="36"/>
      <c r="GVL202" s="36"/>
      <c r="GVM202" s="36"/>
      <c r="GVN202" s="36"/>
      <c r="GVO202" s="36"/>
      <c r="GVP202" s="36"/>
      <c r="GVQ202" s="36"/>
      <c r="GVR202" s="36"/>
      <c r="GVS202" s="36"/>
      <c r="GVT202" s="36"/>
      <c r="GVU202" s="36"/>
      <c r="GVV202" s="36"/>
      <c r="GVW202" s="36"/>
      <c r="GVX202" s="36"/>
      <c r="GVY202" s="36"/>
      <c r="GVZ202" s="36"/>
      <c r="GWA202" s="36"/>
      <c r="GWB202" s="36"/>
      <c r="GWC202" s="36"/>
      <c r="GWD202" s="36"/>
      <c r="GWE202" s="36"/>
      <c r="GWF202" s="36"/>
      <c r="GWG202" s="36"/>
      <c r="GWH202" s="36"/>
      <c r="GWI202" s="36"/>
      <c r="GWJ202" s="36"/>
      <c r="GWK202" s="36"/>
      <c r="GWL202" s="36"/>
      <c r="GWM202" s="36"/>
      <c r="GWN202" s="36"/>
      <c r="GWO202" s="36"/>
      <c r="GWP202" s="36"/>
      <c r="GWQ202" s="36"/>
      <c r="GWR202" s="36"/>
      <c r="GWS202" s="36"/>
      <c r="GWT202" s="36"/>
      <c r="GWU202" s="36"/>
      <c r="GWV202" s="36"/>
      <c r="GWW202" s="36"/>
      <c r="GWX202" s="36"/>
      <c r="GWY202" s="36"/>
      <c r="GWZ202" s="36"/>
      <c r="GXA202" s="36"/>
      <c r="GXB202" s="36"/>
      <c r="GXC202" s="36"/>
      <c r="GXD202" s="36"/>
      <c r="GXE202" s="36"/>
      <c r="GXF202" s="36"/>
      <c r="GXG202" s="36"/>
      <c r="GXH202" s="36"/>
      <c r="GXI202" s="36"/>
      <c r="GXJ202" s="36"/>
      <c r="GXK202" s="36"/>
      <c r="GXL202" s="36"/>
      <c r="GXM202" s="36"/>
      <c r="GXN202" s="36"/>
      <c r="GXO202" s="36"/>
      <c r="GXP202" s="36"/>
      <c r="GXQ202" s="36"/>
      <c r="GXR202" s="36"/>
      <c r="GXS202" s="36"/>
      <c r="GXT202" s="36"/>
      <c r="GXU202" s="36"/>
      <c r="GXV202" s="36"/>
      <c r="GXW202" s="36"/>
      <c r="GXX202" s="36"/>
      <c r="GXY202" s="36"/>
      <c r="GXZ202" s="36"/>
      <c r="GYA202" s="36"/>
      <c r="GYB202" s="36"/>
      <c r="GYC202" s="36"/>
      <c r="GYD202" s="36"/>
      <c r="GYE202" s="36"/>
      <c r="GYF202" s="36"/>
      <c r="GYG202" s="36"/>
      <c r="GYH202" s="36"/>
      <c r="GYI202" s="36"/>
      <c r="GYJ202" s="36"/>
      <c r="GYK202" s="36"/>
      <c r="GYL202" s="36"/>
      <c r="GYM202" s="36"/>
      <c r="GYN202" s="36"/>
      <c r="GYO202" s="36"/>
      <c r="GYP202" s="36"/>
      <c r="GYQ202" s="36"/>
      <c r="GYR202" s="36"/>
      <c r="GYS202" s="36"/>
      <c r="GYT202" s="36"/>
      <c r="GYU202" s="36"/>
      <c r="GYV202" s="36"/>
      <c r="GYW202" s="36"/>
      <c r="GYX202" s="36"/>
      <c r="GYY202" s="36"/>
      <c r="GYZ202" s="36"/>
      <c r="GZA202" s="36"/>
      <c r="GZB202" s="36"/>
      <c r="GZC202" s="36"/>
      <c r="GZD202" s="36"/>
      <c r="GZE202" s="36"/>
      <c r="GZF202" s="36"/>
      <c r="GZG202" s="36"/>
      <c r="GZH202" s="36"/>
      <c r="GZI202" s="36"/>
      <c r="GZJ202" s="36"/>
      <c r="GZK202" s="36"/>
      <c r="GZL202" s="36"/>
      <c r="GZM202" s="36"/>
      <c r="GZN202" s="36"/>
      <c r="GZO202" s="36"/>
      <c r="GZP202" s="36"/>
      <c r="GZQ202" s="36"/>
      <c r="GZR202" s="36"/>
      <c r="GZS202" s="36"/>
      <c r="GZT202" s="36"/>
      <c r="GZU202" s="36"/>
      <c r="GZV202" s="36"/>
      <c r="GZW202" s="36"/>
      <c r="GZX202" s="36"/>
      <c r="GZY202" s="36"/>
      <c r="GZZ202" s="36"/>
      <c r="HAA202" s="36"/>
      <c r="HAB202" s="36"/>
      <c r="HAC202" s="36"/>
      <c r="HAD202" s="36"/>
      <c r="HAE202" s="36"/>
      <c r="HAF202" s="36"/>
      <c r="HAG202" s="36"/>
      <c r="HAH202" s="36"/>
      <c r="HAI202" s="36"/>
      <c r="HAJ202" s="36"/>
      <c r="HAK202" s="36"/>
      <c r="HAL202" s="36"/>
      <c r="HAM202" s="36"/>
      <c r="HAN202" s="36"/>
      <c r="HAO202" s="36"/>
      <c r="HAP202" s="36"/>
      <c r="HAQ202" s="36"/>
      <c r="HAR202" s="36"/>
      <c r="HAS202" s="36"/>
      <c r="HAT202" s="36"/>
      <c r="HAU202" s="36"/>
      <c r="HAV202" s="36"/>
      <c r="HAW202" s="36"/>
      <c r="HAX202" s="36"/>
      <c r="HAY202" s="36"/>
      <c r="HAZ202" s="36"/>
      <c r="HBA202" s="36"/>
      <c r="HBB202" s="36"/>
      <c r="HBC202" s="36"/>
      <c r="HBD202" s="36"/>
      <c r="HBE202" s="36"/>
      <c r="HBF202" s="36"/>
      <c r="HBG202" s="36"/>
      <c r="HBH202" s="36"/>
      <c r="HBI202" s="36"/>
      <c r="HBJ202" s="36"/>
      <c r="HBK202" s="36"/>
      <c r="HBL202" s="36"/>
      <c r="HBM202" s="36"/>
      <c r="HBN202" s="36"/>
      <c r="HBO202" s="36"/>
      <c r="HBP202" s="36"/>
      <c r="HBQ202" s="36"/>
      <c r="HBR202" s="36"/>
      <c r="HBS202" s="36"/>
      <c r="HBT202" s="36"/>
      <c r="HBU202" s="36"/>
      <c r="HBV202" s="36"/>
      <c r="HBW202" s="36"/>
      <c r="HBX202" s="36"/>
      <c r="HBY202" s="36"/>
      <c r="HBZ202" s="36"/>
      <c r="HCA202" s="36"/>
      <c r="HCB202" s="36"/>
      <c r="HCC202" s="36"/>
      <c r="HCD202" s="36"/>
      <c r="HCE202" s="36"/>
      <c r="HCF202" s="36"/>
      <c r="HCG202" s="36"/>
      <c r="HCH202" s="36"/>
      <c r="HCI202" s="36"/>
      <c r="HCJ202" s="36"/>
      <c r="HCK202" s="36"/>
      <c r="HCL202" s="36"/>
      <c r="HCM202" s="36"/>
      <c r="HCN202" s="36"/>
      <c r="HCO202" s="36"/>
      <c r="HCP202" s="36"/>
      <c r="HCQ202" s="36"/>
      <c r="HCR202" s="36"/>
      <c r="HCS202" s="36"/>
      <c r="HCT202" s="36"/>
      <c r="HCU202" s="36"/>
      <c r="HCV202" s="36"/>
      <c r="HCW202" s="36"/>
      <c r="HCX202" s="36"/>
      <c r="HCY202" s="36"/>
      <c r="HCZ202" s="36"/>
      <c r="HDA202" s="36"/>
      <c r="HDB202" s="36"/>
      <c r="HDC202" s="36"/>
      <c r="HDD202" s="36"/>
      <c r="HDE202" s="36"/>
      <c r="HDF202" s="36"/>
      <c r="HDG202" s="36"/>
      <c r="HDH202" s="36"/>
      <c r="HDI202" s="36"/>
      <c r="HDJ202" s="36"/>
      <c r="HDK202" s="36"/>
      <c r="HDL202" s="36"/>
      <c r="HDM202" s="36"/>
      <c r="HDN202" s="36"/>
      <c r="HDO202" s="36"/>
      <c r="HDP202" s="36"/>
      <c r="HDQ202" s="36"/>
      <c r="HDR202" s="36"/>
      <c r="HDS202" s="36"/>
      <c r="HDT202" s="36"/>
      <c r="HDU202" s="36"/>
      <c r="HDV202" s="36"/>
      <c r="HDW202" s="36"/>
      <c r="HDX202" s="36"/>
      <c r="HDY202" s="36"/>
      <c r="HDZ202" s="36"/>
      <c r="HEA202" s="36"/>
      <c r="HEB202" s="36"/>
      <c r="HEC202" s="36"/>
      <c r="HED202" s="36"/>
      <c r="HEE202" s="36"/>
      <c r="HEF202" s="36"/>
      <c r="HEG202" s="36"/>
      <c r="HEH202" s="36"/>
      <c r="HEI202" s="36"/>
      <c r="HEJ202" s="36"/>
      <c r="HEK202" s="36"/>
      <c r="HEL202" s="36"/>
      <c r="HEM202" s="36"/>
      <c r="HEN202" s="36"/>
      <c r="HEO202" s="36"/>
      <c r="HEP202" s="36"/>
      <c r="HEQ202" s="36"/>
      <c r="HER202" s="36"/>
      <c r="HES202" s="36"/>
      <c r="HET202" s="36"/>
      <c r="HEU202" s="36"/>
      <c r="HEV202" s="36"/>
      <c r="HEW202" s="36"/>
      <c r="HEX202" s="36"/>
      <c r="HEY202" s="36"/>
      <c r="HEZ202" s="36"/>
      <c r="HFA202" s="36"/>
      <c r="HFB202" s="36"/>
      <c r="HFC202" s="36"/>
      <c r="HFD202" s="36"/>
      <c r="HFE202" s="36"/>
      <c r="HFF202" s="36"/>
      <c r="HFG202" s="36"/>
      <c r="HFH202" s="36"/>
      <c r="HFI202" s="36"/>
      <c r="HFJ202" s="36"/>
      <c r="HFK202" s="36"/>
      <c r="HFL202" s="36"/>
      <c r="HFM202" s="36"/>
      <c r="HFN202" s="36"/>
      <c r="HFO202" s="36"/>
      <c r="HFP202" s="36"/>
      <c r="HFQ202" s="36"/>
      <c r="HFR202" s="36"/>
      <c r="HFS202" s="36"/>
      <c r="HFT202" s="36"/>
      <c r="HFU202" s="36"/>
      <c r="HFV202" s="36"/>
      <c r="HFW202" s="36"/>
      <c r="HFX202" s="36"/>
      <c r="HFY202" s="36"/>
      <c r="HFZ202" s="36"/>
      <c r="HGA202" s="36"/>
      <c r="HGB202" s="36"/>
      <c r="HGC202" s="36"/>
      <c r="HGD202" s="36"/>
      <c r="HGE202" s="36"/>
      <c r="HGF202" s="36"/>
      <c r="HGG202" s="36"/>
      <c r="HGH202" s="36"/>
      <c r="HGI202" s="36"/>
      <c r="HGJ202" s="36"/>
      <c r="HGK202" s="36"/>
      <c r="HGL202" s="36"/>
      <c r="HGM202" s="36"/>
      <c r="HGN202" s="36"/>
      <c r="HGO202" s="36"/>
      <c r="HGP202" s="36"/>
      <c r="HGQ202" s="36"/>
      <c r="HGR202" s="36"/>
      <c r="HGS202" s="36"/>
      <c r="HGT202" s="36"/>
      <c r="HGU202" s="36"/>
      <c r="HGV202" s="36"/>
      <c r="HGW202" s="36"/>
      <c r="HGX202" s="36"/>
      <c r="HGY202" s="36"/>
      <c r="HGZ202" s="36"/>
      <c r="HHA202" s="36"/>
      <c r="HHB202" s="36"/>
      <c r="HHC202" s="36"/>
      <c r="HHD202" s="36"/>
      <c r="HHE202" s="36"/>
      <c r="HHF202" s="36"/>
      <c r="HHG202" s="36"/>
      <c r="HHH202" s="36"/>
      <c r="HHI202" s="36"/>
      <c r="HHJ202" s="36"/>
      <c r="HHK202" s="36"/>
      <c r="HHL202" s="36"/>
      <c r="HHM202" s="36"/>
      <c r="HHN202" s="36"/>
      <c r="HHO202" s="36"/>
      <c r="HHP202" s="36"/>
      <c r="HHQ202" s="36"/>
      <c r="HHR202" s="36"/>
      <c r="HHS202" s="36"/>
      <c r="HHT202" s="36"/>
      <c r="HHU202" s="36"/>
      <c r="HHV202" s="36"/>
      <c r="HHW202" s="36"/>
      <c r="HHX202" s="36"/>
      <c r="HHY202" s="36"/>
      <c r="HHZ202" s="36"/>
      <c r="HIA202" s="36"/>
      <c r="HIB202" s="36"/>
      <c r="HIC202" s="36"/>
      <c r="HID202" s="36"/>
      <c r="HIE202" s="36"/>
      <c r="HIF202" s="36"/>
      <c r="HIG202" s="36"/>
      <c r="HIH202" s="36"/>
      <c r="HII202" s="36"/>
      <c r="HIJ202" s="36"/>
      <c r="HIK202" s="36"/>
      <c r="HIL202" s="36"/>
      <c r="HIM202" s="36"/>
      <c r="HIN202" s="36"/>
      <c r="HIO202" s="36"/>
      <c r="HIP202" s="36"/>
      <c r="HIQ202" s="36"/>
      <c r="HIR202" s="36"/>
      <c r="HIS202" s="36"/>
      <c r="HIT202" s="36"/>
      <c r="HIU202" s="36"/>
      <c r="HIV202" s="36"/>
      <c r="HIW202" s="36"/>
      <c r="HIX202" s="36"/>
      <c r="HIY202" s="36"/>
      <c r="HIZ202" s="36"/>
      <c r="HJA202" s="36"/>
      <c r="HJB202" s="36"/>
      <c r="HJC202" s="36"/>
      <c r="HJD202" s="36"/>
      <c r="HJE202" s="36"/>
      <c r="HJF202" s="36"/>
      <c r="HJG202" s="36"/>
      <c r="HJH202" s="36"/>
      <c r="HJI202" s="36"/>
      <c r="HJJ202" s="36"/>
      <c r="HJK202" s="36"/>
      <c r="HJL202" s="36"/>
      <c r="HJM202" s="36"/>
      <c r="HJN202" s="36"/>
      <c r="HJO202" s="36"/>
      <c r="HJP202" s="36"/>
      <c r="HJQ202" s="36"/>
      <c r="HJR202" s="36"/>
      <c r="HJS202" s="36"/>
      <c r="HJT202" s="36"/>
      <c r="HJU202" s="36"/>
      <c r="HJV202" s="36"/>
      <c r="HJW202" s="36"/>
      <c r="HJX202" s="36"/>
      <c r="HJY202" s="36"/>
      <c r="HJZ202" s="36"/>
      <c r="HKA202" s="36"/>
      <c r="HKB202" s="36"/>
      <c r="HKC202" s="36"/>
      <c r="HKD202" s="36"/>
      <c r="HKE202" s="36"/>
      <c r="HKF202" s="36"/>
      <c r="HKG202" s="36"/>
      <c r="HKH202" s="36"/>
      <c r="HKI202" s="36"/>
      <c r="HKJ202" s="36"/>
      <c r="HKK202" s="36"/>
      <c r="HKL202" s="36"/>
      <c r="HKM202" s="36"/>
      <c r="HKN202" s="36"/>
      <c r="HKO202" s="36"/>
      <c r="HKP202" s="36"/>
      <c r="HKQ202" s="36"/>
      <c r="HKR202" s="36"/>
      <c r="HKS202" s="36"/>
      <c r="HKT202" s="36"/>
      <c r="HKU202" s="36"/>
      <c r="HKV202" s="36"/>
      <c r="HKW202" s="36"/>
      <c r="HKX202" s="36"/>
      <c r="HKY202" s="36"/>
      <c r="HKZ202" s="36"/>
      <c r="HLA202" s="36"/>
      <c r="HLB202" s="36"/>
      <c r="HLC202" s="36"/>
      <c r="HLD202" s="36"/>
      <c r="HLE202" s="36"/>
      <c r="HLF202" s="36"/>
      <c r="HLG202" s="36"/>
      <c r="HLH202" s="36"/>
      <c r="HLI202" s="36"/>
      <c r="HLJ202" s="36"/>
      <c r="HLK202" s="36"/>
      <c r="HLL202" s="36"/>
      <c r="HLM202" s="36"/>
      <c r="HLN202" s="36"/>
      <c r="HLO202" s="36"/>
      <c r="HLP202" s="36"/>
      <c r="HLQ202" s="36"/>
      <c r="HLR202" s="36"/>
      <c r="HLS202" s="36"/>
      <c r="HLT202" s="36"/>
      <c r="HLU202" s="36"/>
      <c r="HLV202" s="36"/>
      <c r="HLW202" s="36"/>
      <c r="HLX202" s="36"/>
      <c r="HLY202" s="36"/>
      <c r="HLZ202" s="36"/>
      <c r="HMA202" s="36"/>
      <c r="HMB202" s="36"/>
      <c r="HMC202" s="36"/>
      <c r="HMD202" s="36"/>
      <c r="HME202" s="36"/>
      <c r="HMF202" s="36"/>
      <c r="HMG202" s="36"/>
      <c r="HMH202" s="36"/>
      <c r="HMI202" s="36"/>
      <c r="HMJ202" s="36"/>
      <c r="HMK202" s="36"/>
      <c r="HML202" s="36"/>
      <c r="HMM202" s="36"/>
      <c r="HMN202" s="36"/>
      <c r="HMO202" s="36"/>
      <c r="HMP202" s="36"/>
      <c r="HMQ202" s="36"/>
      <c r="HMR202" s="36"/>
      <c r="HMS202" s="36"/>
      <c r="HMT202" s="36"/>
      <c r="HMU202" s="36"/>
      <c r="HMV202" s="36"/>
      <c r="HMW202" s="36"/>
      <c r="HMX202" s="36"/>
      <c r="HMY202" s="36"/>
      <c r="HMZ202" s="36"/>
      <c r="HNA202" s="36"/>
      <c r="HNB202" s="36"/>
      <c r="HNC202" s="36"/>
      <c r="HND202" s="36"/>
      <c r="HNE202" s="36"/>
      <c r="HNF202" s="36"/>
      <c r="HNG202" s="36"/>
      <c r="HNH202" s="36"/>
      <c r="HNI202" s="36"/>
      <c r="HNJ202" s="36"/>
      <c r="HNK202" s="36"/>
      <c r="HNL202" s="36"/>
      <c r="HNM202" s="36"/>
      <c r="HNN202" s="36"/>
      <c r="HNO202" s="36"/>
      <c r="HNP202" s="36"/>
      <c r="HNQ202" s="36"/>
      <c r="HNR202" s="36"/>
      <c r="HNS202" s="36"/>
      <c r="HNT202" s="36"/>
      <c r="HNU202" s="36"/>
      <c r="HNV202" s="36"/>
      <c r="HNW202" s="36"/>
      <c r="HNX202" s="36"/>
      <c r="HNY202" s="36"/>
      <c r="HNZ202" s="36"/>
      <c r="HOA202" s="36"/>
      <c r="HOB202" s="36"/>
      <c r="HOC202" s="36"/>
      <c r="HOD202" s="36"/>
      <c r="HOE202" s="36"/>
      <c r="HOF202" s="36"/>
      <c r="HOG202" s="36"/>
      <c r="HOH202" s="36"/>
      <c r="HOI202" s="36"/>
      <c r="HOJ202" s="36"/>
      <c r="HOK202" s="36"/>
      <c r="HOL202" s="36"/>
      <c r="HOM202" s="36"/>
      <c r="HON202" s="36"/>
      <c r="HOO202" s="36"/>
      <c r="HOP202" s="36"/>
      <c r="HOQ202" s="36"/>
      <c r="HOR202" s="36"/>
      <c r="HOS202" s="36"/>
      <c r="HOT202" s="36"/>
      <c r="HOU202" s="36"/>
      <c r="HOV202" s="36"/>
      <c r="HOW202" s="36"/>
      <c r="HOX202" s="36"/>
      <c r="HOY202" s="36"/>
      <c r="HOZ202" s="36"/>
      <c r="HPA202" s="36"/>
      <c r="HPB202" s="36"/>
      <c r="HPC202" s="36"/>
      <c r="HPD202" s="36"/>
      <c r="HPE202" s="36"/>
      <c r="HPF202" s="36"/>
      <c r="HPG202" s="36"/>
      <c r="HPH202" s="36"/>
      <c r="HPI202" s="36"/>
      <c r="HPJ202" s="36"/>
      <c r="HPK202" s="36"/>
      <c r="HPL202" s="36"/>
      <c r="HPM202" s="36"/>
      <c r="HPN202" s="36"/>
      <c r="HPO202" s="36"/>
      <c r="HPP202" s="36"/>
      <c r="HPQ202" s="36"/>
      <c r="HPR202" s="36"/>
      <c r="HPS202" s="36"/>
      <c r="HPT202" s="36"/>
      <c r="HPU202" s="36"/>
      <c r="HPV202" s="36"/>
      <c r="HPW202" s="36"/>
      <c r="HPX202" s="36"/>
      <c r="HPY202" s="36"/>
      <c r="HPZ202" s="36"/>
      <c r="HQA202" s="36"/>
      <c r="HQB202" s="36"/>
      <c r="HQC202" s="36"/>
      <c r="HQD202" s="36"/>
      <c r="HQE202" s="36"/>
      <c r="HQF202" s="36"/>
      <c r="HQG202" s="36"/>
      <c r="HQH202" s="36"/>
      <c r="HQI202" s="36"/>
      <c r="HQJ202" s="36"/>
      <c r="HQK202" s="36"/>
      <c r="HQL202" s="36"/>
      <c r="HQM202" s="36"/>
      <c r="HQN202" s="36"/>
      <c r="HQO202" s="36"/>
      <c r="HQP202" s="36"/>
      <c r="HQQ202" s="36"/>
      <c r="HQR202" s="36"/>
      <c r="HQS202" s="36"/>
      <c r="HQT202" s="36"/>
      <c r="HQU202" s="36"/>
      <c r="HQV202" s="36"/>
      <c r="HQW202" s="36"/>
      <c r="HQX202" s="36"/>
      <c r="HQY202" s="36"/>
      <c r="HQZ202" s="36"/>
      <c r="HRA202" s="36"/>
      <c r="HRB202" s="36"/>
      <c r="HRC202" s="36"/>
      <c r="HRD202" s="36"/>
      <c r="HRE202" s="36"/>
      <c r="HRF202" s="36"/>
      <c r="HRG202" s="36"/>
      <c r="HRH202" s="36"/>
      <c r="HRI202" s="36"/>
      <c r="HRJ202" s="36"/>
      <c r="HRK202" s="36"/>
      <c r="HRL202" s="36"/>
      <c r="HRM202" s="36"/>
      <c r="HRN202" s="36"/>
      <c r="HRO202" s="36"/>
      <c r="HRP202" s="36"/>
      <c r="HRQ202" s="36"/>
      <c r="HRR202" s="36"/>
      <c r="HRS202" s="36"/>
      <c r="HRT202" s="36"/>
      <c r="HRU202" s="36"/>
      <c r="HRV202" s="36"/>
      <c r="HRW202" s="36"/>
      <c r="HRX202" s="36"/>
      <c r="HRY202" s="36"/>
      <c r="HRZ202" s="36"/>
      <c r="HSA202" s="36"/>
      <c r="HSB202" s="36"/>
      <c r="HSC202" s="36"/>
      <c r="HSD202" s="36"/>
      <c r="HSE202" s="36"/>
      <c r="HSF202" s="36"/>
      <c r="HSG202" s="36"/>
      <c r="HSH202" s="36"/>
      <c r="HSI202" s="36"/>
      <c r="HSJ202" s="36"/>
      <c r="HSK202" s="36"/>
      <c r="HSL202" s="36"/>
      <c r="HSM202" s="36"/>
      <c r="HSN202" s="36"/>
      <c r="HSO202" s="36"/>
      <c r="HSP202" s="36"/>
      <c r="HSQ202" s="36"/>
      <c r="HSR202" s="36"/>
      <c r="HSS202" s="36"/>
      <c r="HST202" s="36"/>
      <c r="HSU202" s="36"/>
      <c r="HSV202" s="36"/>
      <c r="HSW202" s="36"/>
      <c r="HSX202" s="36"/>
      <c r="HSY202" s="36"/>
      <c r="HSZ202" s="36"/>
      <c r="HTA202" s="36"/>
      <c r="HTB202" s="36"/>
      <c r="HTC202" s="36"/>
      <c r="HTD202" s="36"/>
      <c r="HTE202" s="36"/>
      <c r="HTF202" s="36"/>
      <c r="HTG202" s="36"/>
      <c r="HTH202" s="36"/>
      <c r="HTI202" s="36"/>
      <c r="HTJ202" s="36"/>
      <c r="HTK202" s="36"/>
      <c r="HTL202" s="36"/>
      <c r="HTM202" s="36"/>
      <c r="HTN202" s="36"/>
      <c r="HTO202" s="36"/>
      <c r="HTP202" s="36"/>
      <c r="HTQ202" s="36"/>
      <c r="HTR202" s="36"/>
      <c r="HTS202" s="36"/>
      <c r="HTT202" s="36"/>
      <c r="HTU202" s="36"/>
      <c r="HTV202" s="36"/>
      <c r="HTW202" s="36"/>
      <c r="HTX202" s="36"/>
      <c r="HTY202" s="36"/>
      <c r="HTZ202" s="36"/>
      <c r="HUA202" s="36"/>
      <c r="HUB202" s="36"/>
      <c r="HUC202" s="36"/>
      <c r="HUD202" s="36"/>
      <c r="HUE202" s="36"/>
      <c r="HUF202" s="36"/>
      <c r="HUG202" s="36"/>
      <c r="HUH202" s="36"/>
      <c r="HUI202" s="36"/>
      <c r="HUJ202" s="36"/>
      <c r="HUK202" s="36"/>
      <c r="HUL202" s="36"/>
      <c r="HUM202" s="36"/>
      <c r="HUN202" s="36"/>
      <c r="HUO202" s="36"/>
      <c r="HUP202" s="36"/>
      <c r="HUQ202" s="36"/>
      <c r="HUR202" s="36"/>
      <c r="HUS202" s="36"/>
      <c r="HUT202" s="36"/>
      <c r="HUU202" s="36"/>
      <c r="HUV202" s="36"/>
      <c r="HUW202" s="36"/>
      <c r="HUX202" s="36"/>
      <c r="HUY202" s="36"/>
      <c r="HUZ202" s="36"/>
      <c r="HVA202" s="36"/>
      <c r="HVB202" s="36"/>
      <c r="HVC202" s="36"/>
      <c r="HVD202" s="36"/>
      <c r="HVE202" s="36"/>
      <c r="HVF202" s="36"/>
      <c r="HVG202" s="36"/>
      <c r="HVH202" s="36"/>
      <c r="HVI202" s="36"/>
      <c r="HVJ202" s="36"/>
      <c r="HVK202" s="36"/>
      <c r="HVL202" s="36"/>
      <c r="HVM202" s="36"/>
      <c r="HVN202" s="36"/>
      <c r="HVO202" s="36"/>
      <c r="HVP202" s="36"/>
      <c r="HVQ202" s="36"/>
      <c r="HVR202" s="36"/>
      <c r="HVS202" s="36"/>
      <c r="HVT202" s="36"/>
      <c r="HVU202" s="36"/>
      <c r="HVV202" s="36"/>
      <c r="HVW202" s="36"/>
      <c r="HVX202" s="36"/>
      <c r="HVY202" s="36"/>
      <c r="HVZ202" s="36"/>
      <c r="HWA202" s="36"/>
      <c r="HWB202" s="36"/>
      <c r="HWC202" s="36"/>
      <c r="HWD202" s="36"/>
      <c r="HWE202" s="36"/>
      <c r="HWF202" s="36"/>
      <c r="HWG202" s="36"/>
      <c r="HWH202" s="36"/>
      <c r="HWI202" s="36"/>
      <c r="HWJ202" s="36"/>
      <c r="HWK202" s="36"/>
      <c r="HWL202" s="36"/>
      <c r="HWM202" s="36"/>
      <c r="HWN202" s="36"/>
      <c r="HWO202" s="36"/>
      <c r="HWP202" s="36"/>
      <c r="HWQ202" s="36"/>
      <c r="HWR202" s="36"/>
      <c r="HWS202" s="36"/>
      <c r="HWT202" s="36"/>
      <c r="HWU202" s="36"/>
      <c r="HWV202" s="36"/>
      <c r="HWW202" s="36"/>
      <c r="HWX202" s="36"/>
      <c r="HWY202" s="36"/>
      <c r="HWZ202" s="36"/>
      <c r="HXA202" s="36"/>
      <c r="HXB202" s="36"/>
      <c r="HXC202" s="36"/>
      <c r="HXD202" s="36"/>
      <c r="HXE202" s="36"/>
      <c r="HXF202" s="36"/>
      <c r="HXG202" s="36"/>
      <c r="HXH202" s="36"/>
      <c r="HXI202" s="36"/>
      <c r="HXJ202" s="36"/>
      <c r="HXK202" s="36"/>
      <c r="HXL202" s="36"/>
      <c r="HXM202" s="36"/>
      <c r="HXN202" s="36"/>
      <c r="HXO202" s="36"/>
      <c r="HXP202" s="36"/>
      <c r="HXQ202" s="36"/>
      <c r="HXR202" s="36"/>
      <c r="HXS202" s="36"/>
      <c r="HXT202" s="36"/>
      <c r="HXU202" s="36"/>
      <c r="HXV202" s="36"/>
      <c r="HXW202" s="36"/>
      <c r="HXX202" s="36"/>
      <c r="HXY202" s="36"/>
      <c r="HXZ202" s="36"/>
      <c r="HYA202" s="36"/>
      <c r="HYB202" s="36"/>
      <c r="HYC202" s="36"/>
      <c r="HYD202" s="36"/>
      <c r="HYE202" s="36"/>
      <c r="HYF202" s="36"/>
      <c r="HYG202" s="36"/>
      <c r="HYH202" s="36"/>
      <c r="HYI202" s="36"/>
      <c r="HYJ202" s="36"/>
      <c r="HYK202" s="36"/>
      <c r="HYL202" s="36"/>
      <c r="HYM202" s="36"/>
      <c r="HYN202" s="36"/>
      <c r="HYO202" s="36"/>
      <c r="HYP202" s="36"/>
      <c r="HYQ202" s="36"/>
      <c r="HYR202" s="36"/>
      <c r="HYS202" s="36"/>
      <c r="HYT202" s="36"/>
      <c r="HYU202" s="36"/>
      <c r="HYV202" s="36"/>
      <c r="HYW202" s="36"/>
      <c r="HYX202" s="36"/>
      <c r="HYY202" s="36"/>
      <c r="HYZ202" s="36"/>
      <c r="HZA202" s="36"/>
      <c r="HZB202" s="36"/>
      <c r="HZC202" s="36"/>
      <c r="HZD202" s="36"/>
      <c r="HZE202" s="36"/>
      <c r="HZF202" s="36"/>
      <c r="HZG202" s="36"/>
      <c r="HZH202" s="36"/>
      <c r="HZI202" s="36"/>
      <c r="HZJ202" s="36"/>
      <c r="HZK202" s="36"/>
      <c r="HZL202" s="36"/>
      <c r="HZM202" s="36"/>
      <c r="HZN202" s="36"/>
      <c r="HZO202" s="36"/>
      <c r="HZP202" s="36"/>
      <c r="HZQ202" s="36"/>
      <c r="HZR202" s="36"/>
      <c r="HZS202" s="36"/>
      <c r="HZT202" s="36"/>
      <c r="HZU202" s="36"/>
      <c r="HZV202" s="36"/>
      <c r="HZW202" s="36"/>
      <c r="HZX202" s="36"/>
      <c r="HZY202" s="36"/>
      <c r="HZZ202" s="36"/>
      <c r="IAA202" s="36"/>
      <c r="IAB202" s="36"/>
      <c r="IAC202" s="36"/>
      <c r="IAD202" s="36"/>
      <c r="IAE202" s="36"/>
      <c r="IAF202" s="36"/>
      <c r="IAG202" s="36"/>
      <c r="IAH202" s="36"/>
      <c r="IAI202" s="36"/>
      <c r="IAJ202" s="36"/>
      <c r="IAK202" s="36"/>
      <c r="IAL202" s="36"/>
      <c r="IAM202" s="36"/>
      <c r="IAN202" s="36"/>
      <c r="IAO202" s="36"/>
      <c r="IAP202" s="36"/>
      <c r="IAQ202" s="36"/>
      <c r="IAR202" s="36"/>
      <c r="IAS202" s="36"/>
      <c r="IAT202" s="36"/>
      <c r="IAU202" s="36"/>
      <c r="IAV202" s="36"/>
      <c r="IAW202" s="36"/>
      <c r="IAX202" s="36"/>
      <c r="IAY202" s="36"/>
      <c r="IAZ202" s="36"/>
      <c r="IBA202" s="36"/>
      <c r="IBB202" s="36"/>
      <c r="IBC202" s="36"/>
      <c r="IBD202" s="36"/>
      <c r="IBE202" s="36"/>
      <c r="IBF202" s="36"/>
      <c r="IBG202" s="36"/>
      <c r="IBH202" s="36"/>
      <c r="IBI202" s="36"/>
      <c r="IBJ202" s="36"/>
      <c r="IBK202" s="36"/>
      <c r="IBL202" s="36"/>
      <c r="IBM202" s="36"/>
      <c r="IBN202" s="36"/>
      <c r="IBO202" s="36"/>
      <c r="IBP202" s="36"/>
      <c r="IBQ202" s="36"/>
      <c r="IBR202" s="36"/>
      <c r="IBS202" s="36"/>
      <c r="IBT202" s="36"/>
      <c r="IBU202" s="36"/>
      <c r="IBV202" s="36"/>
      <c r="IBW202" s="36"/>
      <c r="IBX202" s="36"/>
      <c r="IBY202" s="36"/>
      <c r="IBZ202" s="36"/>
      <c r="ICA202" s="36"/>
      <c r="ICB202" s="36"/>
      <c r="ICC202" s="36"/>
      <c r="ICD202" s="36"/>
      <c r="ICE202" s="36"/>
      <c r="ICF202" s="36"/>
      <c r="ICG202" s="36"/>
      <c r="ICH202" s="36"/>
      <c r="ICI202" s="36"/>
      <c r="ICJ202" s="36"/>
      <c r="ICK202" s="36"/>
      <c r="ICL202" s="36"/>
      <c r="ICM202" s="36"/>
      <c r="ICN202" s="36"/>
      <c r="ICO202" s="36"/>
      <c r="ICP202" s="36"/>
      <c r="ICQ202" s="36"/>
      <c r="ICR202" s="36"/>
      <c r="ICS202" s="36"/>
      <c r="ICT202" s="36"/>
      <c r="ICU202" s="36"/>
      <c r="ICV202" s="36"/>
      <c r="ICW202" s="36"/>
      <c r="ICX202" s="36"/>
      <c r="ICY202" s="36"/>
      <c r="ICZ202" s="36"/>
      <c r="IDA202" s="36"/>
      <c r="IDB202" s="36"/>
      <c r="IDC202" s="36"/>
      <c r="IDD202" s="36"/>
      <c r="IDE202" s="36"/>
      <c r="IDF202" s="36"/>
      <c r="IDG202" s="36"/>
      <c r="IDH202" s="36"/>
      <c r="IDI202" s="36"/>
      <c r="IDJ202" s="36"/>
      <c r="IDK202" s="36"/>
      <c r="IDL202" s="36"/>
      <c r="IDM202" s="36"/>
      <c r="IDN202" s="36"/>
      <c r="IDO202" s="36"/>
      <c r="IDP202" s="36"/>
      <c r="IDQ202" s="36"/>
      <c r="IDR202" s="36"/>
      <c r="IDS202" s="36"/>
      <c r="IDT202" s="36"/>
      <c r="IDU202" s="36"/>
      <c r="IDV202" s="36"/>
      <c r="IDW202" s="36"/>
      <c r="IDX202" s="36"/>
      <c r="IDY202" s="36"/>
      <c r="IDZ202" s="36"/>
      <c r="IEA202" s="36"/>
      <c r="IEB202" s="36"/>
      <c r="IEC202" s="36"/>
      <c r="IED202" s="36"/>
      <c r="IEE202" s="36"/>
      <c r="IEF202" s="36"/>
      <c r="IEG202" s="36"/>
      <c r="IEH202" s="36"/>
      <c r="IEI202" s="36"/>
      <c r="IEJ202" s="36"/>
      <c r="IEK202" s="36"/>
      <c r="IEL202" s="36"/>
      <c r="IEM202" s="36"/>
      <c r="IEN202" s="36"/>
      <c r="IEO202" s="36"/>
      <c r="IEP202" s="36"/>
      <c r="IEQ202" s="36"/>
      <c r="IER202" s="36"/>
      <c r="IES202" s="36"/>
      <c r="IET202" s="36"/>
      <c r="IEU202" s="36"/>
      <c r="IEV202" s="36"/>
      <c r="IEW202" s="36"/>
      <c r="IEX202" s="36"/>
      <c r="IEY202" s="36"/>
      <c r="IEZ202" s="36"/>
      <c r="IFA202" s="36"/>
      <c r="IFB202" s="36"/>
      <c r="IFC202" s="36"/>
      <c r="IFD202" s="36"/>
      <c r="IFE202" s="36"/>
      <c r="IFF202" s="36"/>
      <c r="IFG202" s="36"/>
      <c r="IFH202" s="36"/>
      <c r="IFI202" s="36"/>
      <c r="IFJ202" s="36"/>
      <c r="IFK202" s="36"/>
      <c r="IFL202" s="36"/>
      <c r="IFM202" s="36"/>
      <c r="IFN202" s="36"/>
      <c r="IFO202" s="36"/>
      <c r="IFP202" s="36"/>
      <c r="IFQ202" s="36"/>
      <c r="IFR202" s="36"/>
      <c r="IFS202" s="36"/>
      <c r="IFT202" s="36"/>
      <c r="IFU202" s="36"/>
      <c r="IFV202" s="36"/>
      <c r="IFW202" s="36"/>
      <c r="IFX202" s="36"/>
      <c r="IFY202" s="36"/>
      <c r="IFZ202" s="36"/>
      <c r="IGA202" s="36"/>
      <c r="IGB202" s="36"/>
      <c r="IGC202" s="36"/>
      <c r="IGD202" s="36"/>
      <c r="IGE202" s="36"/>
      <c r="IGF202" s="36"/>
      <c r="IGG202" s="36"/>
      <c r="IGH202" s="36"/>
      <c r="IGI202" s="36"/>
      <c r="IGJ202" s="36"/>
      <c r="IGK202" s="36"/>
      <c r="IGL202" s="36"/>
      <c r="IGM202" s="36"/>
      <c r="IGN202" s="36"/>
      <c r="IGO202" s="36"/>
      <c r="IGP202" s="36"/>
      <c r="IGQ202" s="36"/>
      <c r="IGR202" s="36"/>
      <c r="IGS202" s="36"/>
      <c r="IGT202" s="36"/>
      <c r="IGU202" s="36"/>
      <c r="IGV202" s="36"/>
      <c r="IGW202" s="36"/>
      <c r="IGX202" s="36"/>
      <c r="IGY202" s="36"/>
      <c r="IGZ202" s="36"/>
      <c r="IHA202" s="36"/>
      <c r="IHB202" s="36"/>
      <c r="IHC202" s="36"/>
      <c r="IHD202" s="36"/>
      <c r="IHE202" s="36"/>
      <c r="IHF202" s="36"/>
      <c r="IHG202" s="36"/>
      <c r="IHH202" s="36"/>
      <c r="IHI202" s="36"/>
      <c r="IHJ202" s="36"/>
      <c r="IHK202" s="36"/>
      <c r="IHL202" s="36"/>
      <c r="IHM202" s="36"/>
      <c r="IHN202" s="36"/>
      <c r="IHO202" s="36"/>
      <c r="IHP202" s="36"/>
      <c r="IHQ202" s="36"/>
      <c r="IHR202" s="36"/>
      <c r="IHS202" s="36"/>
      <c r="IHT202" s="36"/>
      <c r="IHU202" s="36"/>
      <c r="IHV202" s="36"/>
      <c r="IHW202" s="36"/>
      <c r="IHX202" s="36"/>
      <c r="IHY202" s="36"/>
      <c r="IHZ202" s="36"/>
      <c r="IIA202" s="36"/>
      <c r="IIB202" s="36"/>
      <c r="IIC202" s="36"/>
      <c r="IID202" s="36"/>
      <c r="IIE202" s="36"/>
      <c r="IIF202" s="36"/>
      <c r="IIG202" s="36"/>
      <c r="IIH202" s="36"/>
      <c r="III202" s="36"/>
      <c r="IIJ202" s="36"/>
      <c r="IIK202" s="36"/>
      <c r="IIL202" s="36"/>
      <c r="IIM202" s="36"/>
      <c r="IIN202" s="36"/>
      <c r="IIO202" s="36"/>
      <c r="IIP202" s="36"/>
      <c r="IIQ202" s="36"/>
      <c r="IIR202" s="36"/>
      <c r="IIS202" s="36"/>
      <c r="IIT202" s="36"/>
      <c r="IIU202" s="36"/>
      <c r="IIV202" s="36"/>
      <c r="IIW202" s="36"/>
      <c r="IIX202" s="36"/>
      <c r="IIY202" s="36"/>
      <c r="IIZ202" s="36"/>
      <c r="IJA202" s="36"/>
      <c r="IJB202" s="36"/>
      <c r="IJC202" s="36"/>
      <c r="IJD202" s="36"/>
      <c r="IJE202" s="36"/>
      <c r="IJF202" s="36"/>
      <c r="IJG202" s="36"/>
      <c r="IJH202" s="36"/>
      <c r="IJI202" s="36"/>
      <c r="IJJ202" s="36"/>
      <c r="IJK202" s="36"/>
      <c r="IJL202" s="36"/>
      <c r="IJM202" s="36"/>
      <c r="IJN202" s="36"/>
      <c r="IJO202" s="36"/>
      <c r="IJP202" s="36"/>
      <c r="IJQ202" s="36"/>
      <c r="IJR202" s="36"/>
      <c r="IJS202" s="36"/>
      <c r="IJT202" s="36"/>
      <c r="IJU202" s="36"/>
      <c r="IJV202" s="36"/>
      <c r="IJW202" s="36"/>
      <c r="IJX202" s="36"/>
      <c r="IJY202" s="36"/>
      <c r="IJZ202" s="36"/>
      <c r="IKA202" s="36"/>
      <c r="IKB202" s="36"/>
      <c r="IKC202" s="36"/>
      <c r="IKD202" s="36"/>
      <c r="IKE202" s="36"/>
      <c r="IKF202" s="36"/>
      <c r="IKG202" s="36"/>
      <c r="IKH202" s="36"/>
      <c r="IKI202" s="36"/>
      <c r="IKJ202" s="36"/>
      <c r="IKK202" s="36"/>
      <c r="IKL202" s="36"/>
      <c r="IKM202" s="36"/>
      <c r="IKN202" s="36"/>
      <c r="IKO202" s="36"/>
      <c r="IKP202" s="36"/>
      <c r="IKQ202" s="36"/>
      <c r="IKR202" s="36"/>
      <c r="IKS202" s="36"/>
      <c r="IKT202" s="36"/>
      <c r="IKU202" s="36"/>
      <c r="IKV202" s="36"/>
      <c r="IKW202" s="36"/>
      <c r="IKX202" s="36"/>
      <c r="IKY202" s="36"/>
      <c r="IKZ202" s="36"/>
      <c r="ILA202" s="36"/>
      <c r="ILB202" s="36"/>
      <c r="ILC202" s="36"/>
      <c r="ILD202" s="36"/>
      <c r="ILE202" s="36"/>
      <c r="ILF202" s="36"/>
      <c r="ILG202" s="36"/>
      <c r="ILH202" s="36"/>
      <c r="ILI202" s="36"/>
      <c r="ILJ202" s="36"/>
      <c r="ILK202" s="36"/>
      <c r="ILL202" s="36"/>
      <c r="ILM202" s="36"/>
      <c r="ILN202" s="36"/>
      <c r="ILO202" s="36"/>
      <c r="ILP202" s="36"/>
      <c r="ILQ202" s="36"/>
      <c r="ILR202" s="36"/>
      <c r="ILS202" s="36"/>
      <c r="ILT202" s="36"/>
      <c r="ILU202" s="36"/>
      <c r="ILV202" s="36"/>
      <c r="ILW202" s="36"/>
      <c r="ILX202" s="36"/>
      <c r="ILY202" s="36"/>
      <c r="ILZ202" s="36"/>
      <c r="IMA202" s="36"/>
      <c r="IMB202" s="36"/>
      <c r="IMC202" s="36"/>
      <c r="IMD202" s="36"/>
      <c r="IME202" s="36"/>
      <c r="IMF202" s="36"/>
      <c r="IMG202" s="36"/>
      <c r="IMH202" s="36"/>
      <c r="IMI202" s="36"/>
      <c r="IMJ202" s="36"/>
      <c r="IMK202" s="36"/>
      <c r="IML202" s="36"/>
      <c r="IMM202" s="36"/>
      <c r="IMN202" s="36"/>
      <c r="IMO202" s="36"/>
      <c r="IMP202" s="36"/>
      <c r="IMQ202" s="36"/>
      <c r="IMR202" s="36"/>
      <c r="IMS202" s="36"/>
      <c r="IMT202" s="36"/>
      <c r="IMU202" s="36"/>
      <c r="IMV202" s="36"/>
      <c r="IMW202" s="36"/>
      <c r="IMX202" s="36"/>
      <c r="IMY202" s="36"/>
      <c r="IMZ202" s="36"/>
      <c r="INA202" s="36"/>
      <c r="INB202" s="36"/>
      <c r="INC202" s="36"/>
      <c r="IND202" s="36"/>
      <c r="INE202" s="36"/>
      <c r="INF202" s="36"/>
      <c r="ING202" s="36"/>
      <c r="INH202" s="36"/>
      <c r="INI202" s="36"/>
      <c r="INJ202" s="36"/>
      <c r="INK202" s="36"/>
      <c r="INL202" s="36"/>
      <c r="INM202" s="36"/>
      <c r="INN202" s="36"/>
      <c r="INO202" s="36"/>
      <c r="INP202" s="36"/>
      <c r="INQ202" s="36"/>
      <c r="INR202" s="36"/>
      <c r="INS202" s="36"/>
      <c r="INT202" s="36"/>
      <c r="INU202" s="36"/>
      <c r="INV202" s="36"/>
      <c r="INW202" s="36"/>
      <c r="INX202" s="36"/>
      <c r="INY202" s="36"/>
      <c r="INZ202" s="36"/>
      <c r="IOA202" s="36"/>
      <c r="IOB202" s="36"/>
      <c r="IOC202" s="36"/>
      <c r="IOD202" s="36"/>
      <c r="IOE202" s="36"/>
      <c r="IOF202" s="36"/>
      <c r="IOG202" s="36"/>
      <c r="IOH202" s="36"/>
      <c r="IOI202" s="36"/>
      <c r="IOJ202" s="36"/>
      <c r="IOK202" s="36"/>
      <c r="IOL202" s="36"/>
      <c r="IOM202" s="36"/>
      <c r="ION202" s="36"/>
      <c r="IOO202" s="36"/>
      <c r="IOP202" s="36"/>
      <c r="IOQ202" s="36"/>
      <c r="IOR202" s="36"/>
      <c r="IOS202" s="36"/>
      <c r="IOT202" s="36"/>
      <c r="IOU202" s="36"/>
      <c r="IOV202" s="36"/>
      <c r="IOW202" s="36"/>
      <c r="IOX202" s="36"/>
      <c r="IOY202" s="36"/>
      <c r="IOZ202" s="36"/>
      <c r="IPA202" s="36"/>
      <c r="IPB202" s="36"/>
      <c r="IPC202" s="36"/>
      <c r="IPD202" s="36"/>
      <c r="IPE202" s="36"/>
      <c r="IPF202" s="36"/>
      <c r="IPG202" s="36"/>
      <c r="IPH202" s="36"/>
      <c r="IPI202" s="36"/>
      <c r="IPJ202" s="36"/>
      <c r="IPK202" s="36"/>
      <c r="IPL202" s="36"/>
      <c r="IPM202" s="36"/>
      <c r="IPN202" s="36"/>
      <c r="IPO202" s="36"/>
      <c r="IPP202" s="36"/>
      <c r="IPQ202" s="36"/>
      <c r="IPR202" s="36"/>
      <c r="IPS202" s="36"/>
      <c r="IPT202" s="36"/>
      <c r="IPU202" s="36"/>
      <c r="IPV202" s="36"/>
      <c r="IPW202" s="36"/>
      <c r="IPX202" s="36"/>
      <c r="IPY202" s="36"/>
      <c r="IPZ202" s="36"/>
      <c r="IQA202" s="36"/>
      <c r="IQB202" s="36"/>
      <c r="IQC202" s="36"/>
      <c r="IQD202" s="36"/>
      <c r="IQE202" s="36"/>
      <c r="IQF202" s="36"/>
      <c r="IQG202" s="36"/>
      <c r="IQH202" s="36"/>
      <c r="IQI202" s="36"/>
      <c r="IQJ202" s="36"/>
      <c r="IQK202" s="36"/>
      <c r="IQL202" s="36"/>
      <c r="IQM202" s="36"/>
      <c r="IQN202" s="36"/>
      <c r="IQO202" s="36"/>
      <c r="IQP202" s="36"/>
      <c r="IQQ202" s="36"/>
      <c r="IQR202" s="36"/>
      <c r="IQS202" s="36"/>
      <c r="IQT202" s="36"/>
      <c r="IQU202" s="36"/>
      <c r="IQV202" s="36"/>
      <c r="IQW202" s="36"/>
      <c r="IQX202" s="36"/>
      <c r="IQY202" s="36"/>
      <c r="IQZ202" s="36"/>
      <c r="IRA202" s="36"/>
      <c r="IRB202" s="36"/>
      <c r="IRC202" s="36"/>
      <c r="IRD202" s="36"/>
      <c r="IRE202" s="36"/>
      <c r="IRF202" s="36"/>
      <c r="IRG202" s="36"/>
      <c r="IRH202" s="36"/>
      <c r="IRI202" s="36"/>
      <c r="IRJ202" s="36"/>
      <c r="IRK202" s="36"/>
      <c r="IRL202" s="36"/>
      <c r="IRM202" s="36"/>
      <c r="IRN202" s="36"/>
      <c r="IRO202" s="36"/>
      <c r="IRP202" s="36"/>
      <c r="IRQ202" s="36"/>
      <c r="IRR202" s="36"/>
      <c r="IRS202" s="36"/>
      <c r="IRT202" s="36"/>
      <c r="IRU202" s="36"/>
      <c r="IRV202" s="36"/>
      <c r="IRW202" s="36"/>
      <c r="IRX202" s="36"/>
      <c r="IRY202" s="36"/>
      <c r="IRZ202" s="36"/>
      <c r="ISA202" s="36"/>
      <c r="ISB202" s="36"/>
      <c r="ISC202" s="36"/>
      <c r="ISD202" s="36"/>
      <c r="ISE202" s="36"/>
      <c r="ISF202" s="36"/>
      <c r="ISG202" s="36"/>
      <c r="ISH202" s="36"/>
      <c r="ISI202" s="36"/>
      <c r="ISJ202" s="36"/>
      <c r="ISK202" s="36"/>
      <c r="ISL202" s="36"/>
      <c r="ISM202" s="36"/>
      <c r="ISN202" s="36"/>
      <c r="ISO202" s="36"/>
      <c r="ISP202" s="36"/>
      <c r="ISQ202" s="36"/>
      <c r="ISR202" s="36"/>
      <c r="ISS202" s="36"/>
      <c r="IST202" s="36"/>
      <c r="ISU202" s="36"/>
      <c r="ISV202" s="36"/>
      <c r="ISW202" s="36"/>
      <c r="ISX202" s="36"/>
      <c r="ISY202" s="36"/>
      <c r="ISZ202" s="36"/>
      <c r="ITA202" s="36"/>
      <c r="ITB202" s="36"/>
      <c r="ITC202" s="36"/>
      <c r="ITD202" s="36"/>
      <c r="ITE202" s="36"/>
      <c r="ITF202" s="36"/>
      <c r="ITG202" s="36"/>
      <c r="ITH202" s="36"/>
      <c r="ITI202" s="36"/>
      <c r="ITJ202" s="36"/>
      <c r="ITK202" s="36"/>
      <c r="ITL202" s="36"/>
      <c r="ITM202" s="36"/>
      <c r="ITN202" s="36"/>
      <c r="ITO202" s="36"/>
      <c r="ITP202" s="36"/>
      <c r="ITQ202" s="36"/>
      <c r="ITR202" s="36"/>
      <c r="ITS202" s="36"/>
      <c r="ITT202" s="36"/>
      <c r="ITU202" s="36"/>
      <c r="ITV202" s="36"/>
      <c r="ITW202" s="36"/>
      <c r="ITX202" s="36"/>
      <c r="ITY202" s="36"/>
      <c r="ITZ202" s="36"/>
      <c r="IUA202" s="36"/>
      <c r="IUB202" s="36"/>
      <c r="IUC202" s="36"/>
      <c r="IUD202" s="36"/>
      <c r="IUE202" s="36"/>
      <c r="IUF202" s="36"/>
      <c r="IUG202" s="36"/>
      <c r="IUH202" s="36"/>
      <c r="IUI202" s="36"/>
      <c r="IUJ202" s="36"/>
      <c r="IUK202" s="36"/>
      <c r="IUL202" s="36"/>
      <c r="IUM202" s="36"/>
      <c r="IUN202" s="36"/>
      <c r="IUO202" s="36"/>
      <c r="IUP202" s="36"/>
      <c r="IUQ202" s="36"/>
      <c r="IUR202" s="36"/>
      <c r="IUS202" s="36"/>
      <c r="IUT202" s="36"/>
      <c r="IUU202" s="36"/>
      <c r="IUV202" s="36"/>
      <c r="IUW202" s="36"/>
      <c r="IUX202" s="36"/>
      <c r="IUY202" s="36"/>
      <c r="IUZ202" s="36"/>
      <c r="IVA202" s="36"/>
      <c r="IVB202" s="36"/>
      <c r="IVC202" s="36"/>
      <c r="IVD202" s="36"/>
      <c r="IVE202" s="36"/>
      <c r="IVF202" s="36"/>
      <c r="IVG202" s="36"/>
      <c r="IVH202" s="36"/>
      <c r="IVI202" s="36"/>
      <c r="IVJ202" s="36"/>
      <c r="IVK202" s="36"/>
      <c r="IVL202" s="36"/>
      <c r="IVM202" s="36"/>
      <c r="IVN202" s="36"/>
      <c r="IVO202" s="36"/>
      <c r="IVP202" s="36"/>
      <c r="IVQ202" s="36"/>
      <c r="IVR202" s="36"/>
      <c r="IVS202" s="36"/>
      <c r="IVT202" s="36"/>
      <c r="IVU202" s="36"/>
      <c r="IVV202" s="36"/>
      <c r="IVW202" s="36"/>
      <c r="IVX202" s="36"/>
      <c r="IVY202" s="36"/>
      <c r="IVZ202" s="36"/>
      <c r="IWA202" s="36"/>
      <c r="IWB202" s="36"/>
      <c r="IWC202" s="36"/>
      <c r="IWD202" s="36"/>
      <c r="IWE202" s="36"/>
      <c r="IWF202" s="36"/>
      <c r="IWG202" s="36"/>
      <c r="IWH202" s="36"/>
      <c r="IWI202" s="36"/>
      <c r="IWJ202" s="36"/>
      <c r="IWK202" s="36"/>
      <c r="IWL202" s="36"/>
      <c r="IWM202" s="36"/>
      <c r="IWN202" s="36"/>
      <c r="IWO202" s="36"/>
      <c r="IWP202" s="36"/>
      <c r="IWQ202" s="36"/>
      <c r="IWR202" s="36"/>
      <c r="IWS202" s="36"/>
      <c r="IWT202" s="36"/>
      <c r="IWU202" s="36"/>
      <c r="IWV202" s="36"/>
      <c r="IWW202" s="36"/>
      <c r="IWX202" s="36"/>
      <c r="IWY202" s="36"/>
      <c r="IWZ202" s="36"/>
      <c r="IXA202" s="36"/>
      <c r="IXB202" s="36"/>
      <c r="IXC202" s="36"/>
      <c r="IXD202" s="36"/>
      <c r="IXE202" s="36"/>
      <c r="IXF202" s="36"/>
      <c r="IXG202" s="36"/>
      <c r="IXH202" s="36"/>
      <c r="IXI202" s="36"/>
      <c r="IXJ202" s="36"/>
      <c r="IXK202" s="36"/>
      <c r="IXL202" s="36"/>
      <c r="IXM202" s="36"/>
      <c r="IXN202" s="36"/>
      <c r="IXO202" s="36"/>
      <c r="IXP202" s="36"/>
      <c r="IXQ202" s="36"/>
      <c r="IXR202" s="36"/>
      <c r="IXS202" s="36"/>
      <c r="IXT202" s="36"/>
      <c r="IXU202" s="36"/>
      <c r="IXV202" s="36"/>
      <c r="IXW202" s="36"/>
      <c r="IXX202" s="36"/>
      <c r="IXY202" s="36"/>
      <c r="IXZ202" s="36"/>
      <c r="IYA202" s="36"/>
      <c r="IYB202" s="36"/>
      <c r="IYC202" s="36"/>
      <c r="IYD202" s="36"/>
      <c r="IYE202" s="36"/>
      <c r="IYF202" s="36"/>
      <c r="IYG202" s="36"/>
      <c r="IYH202" s="36"/>
      <c r="IYI202" s="36"/>
      <c r="IYJ202" s="36"/>
      <c r="IYK202" s="36"/>
      <c r="IYL202" s="36"/>
      <c r="IYM202" s="36"/>
      <c r="IYN202" s="36"/>
      <c r="IYO202" s="36"/>
      <c r="IYP202" s="36"/>
      <c r="IYQ202" s="36"/>
      <c r="IYR202" s="36"/>
      <c r="IYS202" s="36"/>
      <c r="IYT202" s="36"/>
      <c r="IYU202" s="36"/>
      <c r="IYV202" s="36"/>
      <c r="IYW202" s="36"/>
      <c r="IYX202" s="36"/>
      <c r="IYY202" s="36"/>
      <c r="IYZ202" s="36"/>
      <c r="IZA202" s="36"/>
      <c r="IZB202" s="36"/>
      <c r="IZC202" s="36"/>
      <c r="IZD202" s="36"/>
      <c r="IZE202" s="36"/>
      <c r="IZF202" s="36"/>
      <c r="IZG202" s="36"/>
      <c r="IZH202" s="36"/>
      <c r="IZI202" s="36"/>
      <c r="IZJ202" s="36"/>
      <c r="IZK202" s="36"/>
      <c r="IZL202" s="36"/>
      <c r="IZM202" s="36"/>
      <c r="IZN202" s="36"/>
      <c r="IZO202" s="36"/>
      <c r="IZP202" s="36"/>
      <c r="IZQ202" s="36"/>
      <c r="IZR202" s="36"/>
      <c r="IZS202" s="36"/>
      <c r="IZT202" s="36"/>
      <c r="IZU202" s="36"/>
      <c r="IZV202" s="36"/>
      <c r="IZW202" s="36"/>
      <c r="IZX202" s="36"/>
      <c r="IZY202" s="36"/>
      <c r="IZZ202" s="36"/>
      <c r="JAA202" s="36"/>
      <c r="JAB202" s="36"/>
      <c r="JAC202" s="36"/>
      <c r="JAD202" s="36"/>
      <c r="JAE202" s="36"/>
      <c r="JAF202" s="36"/>
      <c r="JAG202" s="36"/>
      <c r="JAH202" s="36"/>
      <c r="JAI202" s="36"/>
      <c r="JAJ202" s="36"/>
      <c r="JAK202" s="36"/>
      <c r="JAL202" s="36"/>
      <c r="JAM202" s="36"/>
      <c r="JAN202" s="36"/>
      <c r="JAO202" s="36"/>
      <c r="JAP202" s="36"/>
      <c r="JAQ202" s="36"/>
      <c r="JAR202" s="36"/>
      <c r="JAS202" s="36"/>
      <c r="JAT202" s="36"/>
      <c r="JAU202" s="36"/>
      <c r="JAV202" s="36"/>
      <c r="JAW202" s="36"/>
      <c r="JAX202" s="36"/>
      <c r="JAY202" s="36"/>
      <c r="JAZ202" s="36"/>
      <c r="JBA202" s="36"/>
      <c r="JBB202" s="36"/>
      <c r="JBC202" s="36"/>
      <c r="JBD202" s="36"/>
      <c r="JBE202" s="36"/>
      <c r="JBF202" s="36"/>
      <c r="JBG202" s="36"/>
      <c r="JBH202" s="36"/>
      <c r="JBI202" s="36"/>
      <c r="JBJ202" s="36"/>
      <c r="JBK202" s="36"/>
      <c r="JBL202" s="36"/>
      <c r="JBM202" s="36"/>
      <c r="JBN202" s="36"/>
      <c r="JBO202" s="36"/>
      <c r="JBP202" s="36"/>
      <c r="JBQ202" s="36"/>
      <c r="JBR202" s="36"/>
      <c r="JBS202" s="36"/>
      <c r="JBT202" s="36"/>
      <c r="JBU202" s="36"/>
      <c r="JBV202" s="36"/>
      <c r="JBW202" s="36"/>
      <c r="JBX202" s="36"/>
      <c r="JBY202" s="36"/>
      <c r="JBZ202" s="36"/>
      <c r="JCA202" s="36"/>
      <c r="JCB202" s="36"/>
      <c r="JCC202" s="36"/>
      <c r="JCD202" s="36"/>
      <c r="JCE202" s="36"/>
      <c r="JCF202" s="36"/>
      <c r="JCG202" s="36"/>
      <c r="JCH202" s="36"/>
      <c r="JCI202" s="36"/>
      <c r="JCJ202" s="36"/>
      <c r="JCK202" s="36"/>
      <c r="JCL202" s="36"/>
      <c r="JCM202" s="36"/>
      <c r="JCN202" s="36"/>
      <c r="JCO202" s="36"/>
      <c r="JCP202" s="36"/>
      <c r="JCQ202" s="36"/>
      <c r="JCR202" s="36"/>
      <c r="JCS202" s="36"/>
      <c r="JCT202" s="36"/>
      <c r="JCU202" s="36"/>
      <c r="JCV202" s="36"/>
      <c r="JCW202" s="36"/>
      <c r="JCX202" s="36"/>
      <c r="JCY202" s="36"/>
      <c r="JCZ202" s="36"/>
      <c r="JDA202" s="36"/>
      <c r="JDB202" s="36"/>
      <c r="JDC202" s="36"/>
      <c r="JDD202" s="36"/>
      <c r="JDE202" s="36"/>
      <c r="JDF202" s="36"/>
      <c r="JDG202" s="36"/>
      <c r="JDH202" s="36"/>
      <c r="JDI202" s="36"/>
      <c r="JDJ202" s="36"/>
      <c r="JDK202" s="36"/>
      <c r="JDL202" s="36"/>
      <c r="JDM202" s="36"/>
      <c r="JDN202" s="36"/>
      <c r="JDO202" s="36"/>
      <c r="JDP202" s="36"/>
      <c r="JDQ202" s="36"/>
      <c r="JDR202" s="36"/>
      <c r="JDS202" s="36"/>
      <c r="JDT202" s="36"/>
      <c r="JDU202" s="36"/>
      <c r="JDV202" s="36"/>
      <c r="JDW202" s="36"/>
      <c r="JDX202" s="36"/>
      <c r="JDY202" s="36"/>
      <c r="JDZ202" s="36"/>
      <c r="JEA202" s="36"/>
      <c r="JEB202" s="36"/>
      <c r="JEC202" s="36"/>
      <c r="JED202" s="36"/>
      <c r="JEE202" s="36"/>
      <c r="JEF202" s="36"/>
      <c r="JEG202" s="36"/>
      <c r="JEH202" s="36"/>
      <c r="JEI202" s="36"/>
      <c r="JEJ202" s="36"/>
      <c r="JEK202" s="36"/>
      <c r="JEL202" s="36"/>
      <c r="JEM202" s="36"/>
      <c r="JEN202" s="36"/>
      <c r="JEO202" s="36"/>
      <c r="JEP202" s="36"/>
      <c r="JEQ202" s="36"/>
      <c r="JER202" s="36"/>
      <c r="JES202" s="36"/>
      <c r="JET202" s="36"/>
      <c r="JEU202" s="36"/>
      <c r="JEV202" s="36"/>
      <c r="JEW202" s="36"/>
      <c r="JEX202" s="36"/>
      <c r="JEY202" s="36"/>
      <c r="JEZ202" s="36"/>
      <c r="JFA202" s="36"/>
      <c r="JFB202" s="36"/>
      <c r="JFC202" s="36"/>
      <c r="JFD202" s="36"/>
      <c r="JFE202" s="36"/>
      <c r="JFF202" s="36"/>
      <c r="JFG202" s="36"/>
      <c r="JFH202" s="36"/>
      <c r="JFI202" s="36"/>
      <c r="JFJ202" s="36"/>
      <c r="JFK202" s="36"/>
      <c r="JFL202" s="36"/>
      <c r="JFM202" s="36"/>
      <c r="JFN202" s="36"/>
      <c r="JFO202" s="36"/>
      <c r="JFP202" s="36"/>
      <c r="JFQ202" s="36"/>
      <c r="JFR202" s="36"/>
      <c r="JFS202" s="36"/>
      <c r="JFT202" s="36"/>
      <c r="JFU202" s="36"/>
      <c r="JFV202" s="36"/>
      <c r="JFW202" s="36"/>
      <c r="JFX202" s="36"/>
      <c r="JFY202" s="36"/>
      <c r="JFZ202" s="36"/>
      <c r="JGA202" s="36"/>
      <c r="JGB202" s="36"/>
      <c r="JGC202" s="36"/>
      <c r="JGD202" s="36"/>
      <c r="JGE202" s="36"/>
      <c r="JGF202" s="36"/>
      <c r="JGG202" s="36"/>
      <c r="JGH202" s="36"/>
      <c r="JGI202" s="36"/>
      <c r="JGJ202" s="36"/>
      <c r="JGK202" s="36"/>
      <c r="JGL202" s="36"/>
      <c r="JGM202" s="36"/>
      <c r="JGN202" s="36"/>
      <c r="JGO202" s="36"/>
      <c r="JGP202" s="36"/>
      <c r="JGQ202" s="36"/>
      <c r="JGR202" s="36"/>
      <c r="JGS202" s="36"/>
      <c r="JGT202" s="36"/>
      <c r="JGU202" s="36"/>
      <c r="JGV202" s="36"/>
      <c r="JGW202" s="36"/>
      <c r="JGX202" s="36"/>
      <c r="JGY202" s="36"/>
      <c r="JGZ202" s="36"/>
      <c r="JHA202" s="36"/>
      <c r="JHB202" s="36"/>
      <c r="JHC202" s="36"/>
      <c r="JHD202" s="36"/>
      <c r="JHE202" s="36"/>
      <c r="JHF202" s="36"/>
      <c r="JHG202" s="36"/>
      <c r="JHH202" s="36"/>
      <c r="JHI202" s="36"/>
      <c r="JHJ202" s="36"/>
      <c r="JHK202" s="36"/>
      <c r="JHL202" s="36"/>
      <c r="JHM202" s="36"/>
      <c r="JHN202" s="36"/>
      <c r="JHO202" s="36"/>
      <c r="JHP202" s="36"/>
      <c r="JHQ202" s="36"/>
      <c r="JHR202" s="36"/>
      <c r="JHS202" s="36"/>
      <c r="JHT202" s="36"/>
      <c r="JHU202" s="36"/>
      <c r="JHV202" s="36"/>
      <c r="JHW202" s="36"/>
      <c r="JHX202" s="36"/>
      <c r="JHY202" s="36"/>
      <c r="JHZ202" s="36"/>
      <c r="JIA202" s="36"/>
      <c r="JIB202" s="36"/>
      <c r="JIC202" s="36"/>
      <c r="JID202" s="36"/>
      <c r="JIE202" s="36"/>
      <c r="JIF202" s="36"/>
      <c r="JIG202" s="36"/>
      <c r="JIH202" s="36"/>
      <c r="JII202" s="36"/>
      <c r="JIJ202" s="36"/>
      <c r="JIK202" s="36"/>
      <c r="JIL202" s="36"/>
      <c r="JIM202" s="36"/>
      <c r="JIN202" s="36"/>
      <c r="JIO202" s="36"/>
      <c r="JIP202" s="36"/>
      <c r="JIQ202" s="36"/>
      <c r="JIR202" s="36"/>
      <c r="JIS202" s="36"/>
      <c r="JIT202" s="36"/>
      <c r="JIU202" s="36"/>
      <c r="JIV202" s="36"/>
      <c r="JIW202" s="36"/>
      <c r="JIX202" s="36"/>
      <c r="JIY202" s="36"/>
      <c r="JIZ202" s="36"/>
      <c r="JJA202" s="36"/>
      <c r="JJB202" s="36"/>
      <c r="JJC202" s="36"/>
      <c r="JJD202" s="36"/>
      <c r="JJE202" s="36"/>
      <c r="JJF202" s="36"/>
      <c r="JJG202" s="36"/>
      <c r="JJH202" s="36"/>
      <c r="JJI202" s="36"/>
      <c r="JJJ202" s="36"/>
      <c r="JJK202" s="36"/>
      <c r="JJL202" s="36"/>
      <c r="JJM202" s="36"/>
      <c r="JJN202" s="36"/>
      <c r="JJO202" s="36"/>
      <c r="JJP202" s="36"/>
      <c r="JJQ202" s="36"/>
      <c r="JJR202" s="36"/>
      <c r="JJS202" s="36"/>
      <c r="JJT202" s="36"/>
      <c r="JJU202" s="36"/>
      <c r="JJV202" s="36"/>
      <c r="JJW202" s="36"/>
      <c r="JJX202" s="36"/>
      <c r="JJY202" s="36"/>
      <c r="JJZ202" s="36"/>
      <c r="JKA202" s="36"/>
      <c r="JKB202" s="36"/>
      <c r="JKC202" s="36"/>
      <c r="JKD202" s="36"/>
      <c r="JKE202" s="36"/>
      <c r="JKF202" s="36"/>
      <c r="JKG202" s="36"/>
      <c r="JKH202" s="36"/>
      <c r="JKI202" s="36"/>
      <c r="JKJ202" s="36"/>
      <c r="JKK202" s="36"/>
      <c r="JKL202" s="36"/>
      <c r="JKM202" s="36"/>
      <c r="JKN202" s="36"/>
      <c r="JKO202" s="36"/>
      <c r="JKP202" s="36"/>
      <c r="JKQ202" s="36"/>
      <c r="JKR202" s="36"/>
      <c r="JKS202" s="36"/>
      <c r="JKT202" s="36"/>
      <c r="JKU202" s="36"/>
      <c r="JKV202" s="36"/>
      <c r="JKW202" s="36"/>
      <c r="JKX202" s="36"/>
      <c r="JKY202" s="36"/>
      <c r="JKZ202" s="36"/>
      <c r="JLA202" s="36"/>
      <c r="JLB202" s="36"/>
      <c r="JLC202" s="36"/>
      <c r="JLD202" s="36"/>
      <c r="JLE202" s="36"/>
      <c r="JLF202" s="36"/>
      <c r="JLG202" s="36"/>
      <c r="JLH202" s="36"/>
      <c r="JLI202" s="36"/>
      <c r="JLJ202" s="36"/>
      <c r="JLK202" s="36"/>
      <c r="JLL202" s="36"/>
      <c r="JLM202" s="36"/>
      <c r="JLN202" s="36"/>
      <c r="JLO202" s="36"/>
      <c r="JLP202" s="36"/>
      <c r="JLQ202" s="36"/>
      <c r="JLR202" s="36"/>
      <c r="JLS202" s="36"/>
      <c r="JLT202" s="36"/>
      <c r="JLU202" s="36"/>
      <c r="JLV202" s="36"/>
      <c r="JLW202" s="36"/>
      <c r="JLX202" s="36"/>
      <c r="JLY202" s="36"/>
      <c r="JLZ202" s="36"/>
      <c r="JMA202" s="36"/>
      <c r="JMB202" s="36"/>
      <c r="JMC202" s="36"/>
      <c r="JMD202" s="36"/>
      <c r="JME202" s="36"/>
      <c r="JMF202" s="36"/>
      <c r="JMG202" s="36"/>
      <c r="JMH202" s="36"/>
      <c r="JMI202" s="36"/>
      <c r="JMJ202" s="36"/>
      <c r="JMK202" s="36"/>
      <c r="JML202" s="36"/>
      <c r="JMM202" s="36"/>
      <c r="JMN202" s="36"/>
      <c r="JMO202" s="36"/>
      <c r="JMP202" s="36"/>
      <c r="JMQ202" s="36"/>
      <c r="JMR202" s="36"/>
      <c r="JMS202" s="36"/>
      <c r="JMT202" s="36"/>
      <c r="JMU202" s="36"/>
      <c r="JMV202" s="36"/>
      <c r="JMW202" s="36"/>
      <c r="JMX202" s="36"/>
      <c r="JMY202" s="36"/>
      <c r="JMZ202" s="36"/>
      <c r="JNA202" s="36"/>
      <c r="JNB202" s="36"/>
      <c r="JNC202" s="36"/>
      <c r="JND202" s="36"/>
      <c r="JNE202" s="36"/>
      <c r="JNF202" s="36"/>
      <c r="JNG202" s="36"/>
      <c r="JNH202" s="36"/>
      <c r="JNI202" s="36"/>
      <c r="JNJ202" s="36"/>
      <c r="JNK202" s="36"/>
      <c r="JNL202" s="36"/>
      <c r="JNM202" s="36"/>
      <c r="JNN202" s="36"/>
      <c r="JNO202" s="36"/>
      <c r="JNP202" s="36"/>
      <c r="JNQ202" s="36"/>
      <c r="JNR202" s="36"/>
      <c r="JNS202" s="36"/>
      <c r="JNT202" s="36"/>
      <c r="JNU202" s="36"/>
      <c r="JNV202" s="36"/>
      <c r="JNW202" s="36"/>
      <c r="JNX202" s="36"/>
      <c r="JNY202" s="36"/>
      <c r="JNZ202" s="36"/>
      <c r="JOA202" s="36"/>
      <c r="JOB202" s="36"/>
      <c r="JOC202" s="36"/>
      <c r="JOD202" s="36"/>
      <c r="JOE202" s="36"/>
      <c r="JOF202" s="36"/>
      <c r="JOG202" s="36"/>
      <c r="JOH202" s="36"/>
      <c r="JOI202" s="36"/>
      <c r="JOJ202" s="36"/>
      <c r="JOK202" s="36"/>
      <c r="JOL202" s="36"/>
      <c r="JOM202" s="36"/>
      <c r="JON202" s="36"/>
      <c r="JOO202" s="36"/>
      <c r="JOP202" s="36"/>
      <c r="JOQ202" s="36"/>
      <c r="JOR202" s="36"/>
      <c r="JOS202" s="36"/>
      <c r="JOT202" s="36"/>
      <c r="JOU202" s="36"/>
      <c r="JOV202" s="36"/>
      <c r="JOW202" s="36"/>
      <c r="JOX202" s="36"/>
      <c r="JOY202" s="36"/>
      <c r="JOZ202" s="36"/>
      <c r="JPA202" s="36"/>
      <c r="JPB202" s="36"/>
      <c r="JPC202" s="36"/>
      <c r="JPD202" s="36"/>
      <c r="JPE202" s="36"/>
      <c r="JPF202" s="36"/>
      <c r="JPG202" s="36"/>
      <c r="JPH202" s="36"/>
      <c r="JPI202" s="36"/>
      <c r="JPJ202" s="36"/>
      <c r="JPK202" s="36"/>
      <c r="JPL202" s="36"/>
      <c r="JPM202" s="36"/>
      <c r="JPN202" s="36"/>
      <c r="JPO202" s="36"/>
      <c r="JPP202" s="36"/>
      <c r="JPQ202" s="36"/>
      <c r="JPR202" s="36"/>
      <c r="JPS202" s="36"/>
      <c r="JPT202" s="36"/>
      <c r="JPU202" s="36"/>
      <c r="JPV202" s="36"/>
      <c r="JPW202" s="36"/>
      <c r="JPX202" s="36"/>
      <c r="JPY202" s="36"/>
      <c r="JPZ202" s="36"/>
      <c r="JQA202" s="36"/>
      <c r="JQB202" s="36"/>
      <c r="JQC202" s="36"/>
      <c r="JQD202" s="36"/>
      <c r="JQE202" s="36"/>
      <c r="JQF202" s="36"/>
      <c r="JQG202" s="36"/>
      <c r="JQH202" s="36"/>
      <c r="JQI202" s="36"/>
      <c r="JQJ202" s="36"/>
      <c r="JQK202" s="36"/>
      <c r="JQL202" s="36"/>
      <c r="JQM202" s="36"/>
      <c r="JQN202" s="36"/>
      <c r="JQO202" s="36"/>
      <c r="JQP202" s="36"/>
      <c r="JQQ202" s="36"/>
      <c r="JQR202" s="36"/>
      <c r="JQS202" s="36"/>
      <c r="JQT202" s="36"/>
      <c r="JQU202" s="36"/>
      <c r="JQV202" s="36"/>
      <c r="JQW202" s="36"/>
      <c r="JQX202" s="36"/>
      <c r="JQY202" s="36"/>
      <c r="JQZ202" s="36"/>
      <c r="JRA202" s="36"/>
      <c r="JRB202" s="36"/>
      <c r="JRC202" s="36"/>
      <c r="JRD202" s="36"/>
      <c r="JRE202" s="36"/>
      <c r="JRF202" s="36"/>
      <c r="JRG202" s="36"/>
      <c r="JRH202" s="36"/>
      <c r="JRI202" s="36"/>
      <c r="JRJ202" s="36"/>
      <c r="JRK202" s="36"/>
      <c r="JRL202" s="36"/>
      <c r="JRM202" s="36"/>
      <c r="JRN202" s="36"/>
      <c r="JRO202" s="36"/>
      <c r="JRP202" s="36"/>
      <c r="JRQ202" s="36"/>
      <c r="JRR202" s="36"/>
      <c r="JRS202" s="36"/>
      <c r="JRT202" s="36"/>
      <c r="JRU202" s="36"/>
      <c r="JRV202" s="36"/>
      <c r="JRW202" s="36"/>
      <c r="JRX202" s="36"/>
      <c r="JRY202" s="36"/>
      <c r="JRZ202" s="36"/>
      <c r="JSA202" s="36"/>
      <c r="JSB202" s="36"/>
      <c r="JSC202" s="36"/>
      <c r="JSD202" s="36"/>
      <c r="JSE202" s="36"/>
      <c r="JSF202" s="36"/>
      <c r="JSG202" s="36"/>
      <c r="JSH202" s="36"/>
      <c r="JSI202" s="36"/>
      <c r="JSJ202" s="36"/>
      <c r="JSK202" s="36"/>
      <c r="JSL202" s="36"/>
      <c r="JSM202" s="36"/>
      <c r="JSN202" s="36"/>
      <c r="JSO202" s="36"/>
      <c r="JSP202" s="36"/>
      <c r="JSQ202" s="36"/>
      <c r="JSR202" s="36"/>
      <c r="JSS202" s="36"/>
      <c r="JST202" s="36"/>
      <c r="JSU202" s="36"/>
      <c r="JSV202" s="36"/>
      <c r="JSW202" s="36"/>
      <c r="JSX202" s="36"/>
      <c r="JSY202" s="36"/>
      <c r="JSZ202" s="36"/>
      <c r="JTA202" s="36"/>
      <c r="JTB202" s="36"/>
      <c r="JTC202" s="36"/>
      <c r="JTD202" s="36"/>
      <c r="JTE202" s="36"/>
      <c r="JTF202" s="36"/>
      <c r="JTG202" s="36"/>
      <c r="JTH202" s="36"/>
      <c r="JTI202" s="36"/>
      <c r="JTJ202" s="36"/>
      <c r="JTK202" s="36"/>
      <c r="JTL202" s="36"/>
      <c r="JTM202" s="36"/>
      <c r="JTN202" s="36"/>
      <c r="JTO202" s="36"/>
      <c r="JTP202" s="36"/>
      <c r="JTQ202" s="36"/>
      <c r="JTR202" s="36"/>
      <c r="JTS202" s="36"/>
      <c r="JTT202" s="36"/>
      <c r="JTU202" s="36"/>
      <c r="JTV202" s="36"/>
      <c r="JTW202" s="36"/>
      <c r="JTX202" s="36"/>
      <c r="JTY202" s="36"/>
      <c r="JTZ202" s="36"/>
      <c r="JUA202" s="36"/>
      <c r="JUB202" s="36"/>
      <c r="JUC202" s="36"/>
      <c r="JUD202" s="36"/>
      <c r="JUE202" s="36"/>
      <c r="JUF202" s="36"/>
      <c r="JUG202" s="36"/>
      <c r="JUH202" s="36"/>
      <c r="JUI202" s="36"/>
      <c r="JUJ202" s="36"/>
      <c r="JUK202" s="36"/>
      <c r="JUL202" s="36"/>
      <c r="JUM202" s="36"/>
      <c r="JUN202" s="36"/>
      <c r="JUO202" s="36"/>
      <c r="JUP202" s="36"/>
      <c r="JUQ202" s="36"/>
      <c r="JUR202" s="36"/>
      <c r="JUS202" s="36"/>
      <c r="JUT202" s="36"/>
      <c r="JUU202" s="36"/>
      <c r="JUV202" s="36"/>
      <c r="JUW202" s="36"/>
      <c r="JUX202" s="36"/>
      <c r="JUY202" s="36"/>
      <c r="JUZ202" s="36"/>
      <c r="JVA202" s="36"/>
      <c r="JVB202" s="36"/>
      <c r="JVC202" s="36"/>
      <c r="JVD202" s="36"/>
      <c r="JVE202" s="36"/>
      <c r="JVF202" s="36"/>
      <c r="JVG202" s="36"/>
      <c r="JVH202" s="36"/>
      <c r="JVI202" s="36"/>
      <c r="JVJ202" s="36"/>
      <c r="JVK202" s="36"/>
      <c r="JVL202" s="36"/>
      <c r="JVM202" s="36"/>
      <c r="JVN202" s="36"/>
      <c r="JVO202" s="36"/>
      <c r="JVP202" s="36"/>
      <c r="JVQ202" s="36"/>
      <c r="JVR202" s="36"/>
      <c r="JVS202" s="36"/>
      <c r="JVT202" s="36"/>
      <c r="JVU202" s="36"/>
      <c r="JVV202" s="36"/>
      <c r="JVW202" s="36"/>
      <c r="JVX202" s="36"/>
      <c r="JVY202" s="36"/>
      <c r="JVZ202" s="36"/>
      <c r="JWA202" s="36"/>
      <c r="JWB202" s="36"/>
      <c r="JWC202" s="36"/>
      <c r="JWD202" s="36"/>
      <c r="JWE202" s="36"/>
      <c r="JWF202" s="36"/>
      <c r="JWG202" s="36"/>
      <c r="JWH202" s="36"/>
      <c r="JWI202" s="36"/>
      <c r="JWJ202" s="36"/>
      <c r="JWK202" s="36"/>
      <c r="JWL202" s="36"/>
      <c r="JWM202" s="36"/>
      <c r="JWN202" s="36"/>
      <c r="JWO202" s="36"/>
      <c r="JWP202" s="36"/>
      <c r="JWQ202" s="36"/>
      <c r="JWR202" s="36"/>
      <c r="JWS202" s="36"/>
      <c r="JWT202" s="36"/>
      <c r="JWU202" s="36"/>
      <c r="JWV202" s="36"/>
      <c r="JWW202" s="36"/>
      <c r="JWX202" s="36"/>
      <c r="JWY202" s="36"/>
      <c r="JWZ202" s="36"/>
      <c r="JXA202" s="36"/>
      <c r="JXB202" s="36"/>
      <c r="JXC202" s="36"/>
      <c r="JXD202" s="36"/>
      <c r="JXE202" s="36"/>
      <c r="JXF202" s="36"/>
      <c r="JXG202" s="36"/>
      <c r="JXH202" s="36"/>
      <c r="JXI202" s="36"/>
      <c r="JXJ202" s="36"/>
      <c r="JXK202" s="36"/>
      <c r="JXL202" s="36"/>
      <c r="JXM202" s="36"/>
      <c r="JXN202" s="36"/>
      <c r="JXO202" s="36"/>
      <c r="JXP202" s="36"/>
      <c r="JXQ202" s="36"/>
      <c r="JXR202" s="36"/>
      <c r="JXS202" s="36"/>
      <c r="JXT202" s="36"/>
      <c r="JXU202" s="36"/>
      <c r="JXV202" s="36"/>
      <c r="JXW202" s="36"/>
      <c r="JXX202" s="36"/>
      <c r="JXY202" s="36"/>
      <c r="JXZ202" s="36"/>
      <c r="JYA202" s="36"/>
      <c r="JYB202" s="36"/>
      <c r="JYC202" s="36"/>
      <c r="JYD202" s="36"/>
      <c r="JYE202" s="36"/>
      <c r="JYF202" s="36"/>
      <c r="JYG202" s="36"/>
      <c r="JYH202" s="36"/>
      <c r="JYI202" s="36"/>
      <c r="JYJ202" s="36"/>
      <c r="JYK202" s="36"/>
      <c r="JYL202" s="36"/>
      <c r="JYM202" s="36"/>
      <c r="JYN202" s="36"/>
      <c r="JYO202" s="36"/>
      <c r="JYP202" s="36"/>
      <c r="JYQ202" s="36"/>
      <c r="JYR202" s="36"/>
      <c r="JYS202" s="36"/>
      <c r="JYT202" s="36"/>
      <c r="JYU202" s="36"/>
      <c r="JYV202" s="36"/>
      <c r="JYW202" s="36"/>
      <c r="JYX202" s="36"/>
      <c r="JYY202" s="36"/>
      <c r="JYZ202" s="36"/>
      <c r="JZA202" s="36"/>
      <c r="JZB202" s="36"/>
      <c r="JZC202" s="36"/>
      <c r="JZD202" s="36"/>
      <c r="JZE202" s="36"/>
      <c r="JZF202" s="36"/>
      <c r="JZG202" s="36"/>
      <c r="JZH202" s="36"/>
      <c r="JZI202" s="36"/>
      <c r="JZJ202" s="36"/>
      <c r="JZK202" s="36"/>
      <c r="JZL202" s="36"/>
      <c r="JZM202" s="36"/>
      <c r="JZN202" s="36"/>
      <c r="JZO202" s="36"/>
      <c r="JZP202" s="36"/>
      <c r="JZQ202" s="36"/>
      <c r="JZR202" s="36"/>
      <c r="JZS202" s="36"/>
      <c r="JZT202" s="36"/>
      <c r="JZU202" s="36"/>
      <c r="JZV202" s="36"/>
      <c r="JZW202" s="36"/>
      <c r="JZX202" s="36"/>
      <c r="JZY202" s="36"/>
      <c r="JZZ202" s="36"/>
      <c r="KAA202" s="36"/>
      <c r="KAB202" s="36"/>
      <c r="KAC202" s="36"/>
      <c r="KAD202" s="36"/>
      <c r="KAE202" s="36"/>
      <c r="KAF202" s="36"/>
      <c r="KAG202" s="36"/>
      <c r="KAH202" s="36"/>
      <c r="KAI202" s="36"/>
      <c r="KAJ202" s="36"/>
      <c r="KAK202" s="36"/>
      <c r="KAL202" s="36"/>
      <c r="KAM202" s="36"/>
      <c r="KAN202" s="36"/>
      <c r="KAO202" s="36"/>
      <c r="KAP202" s="36"/>
      <c r="KAQ202" s="36"/>
      <c r="KAR202" s="36"/>
      <c r="KAS202" s="36"/>
      <c r="KAT202" s="36"/>
      <c r="KAU202" s="36"/>
      <c r="KAV202" s="36"/>
      <c r="KAW202" s="36"/>
      <c r="KAX202" s="36"/>
      <c r="KAY202" s="36"/>
      <c r="KAZ202" s="36"/>
      <c r="KBA202" s="36"/>
      <c r="KBB202" s="36"/>
      <c r="KBC202" s="36"/>
      <c r="KBD202" s="36"/>
      <c r="KBE202" s="36"/>
      <c r="KBF202" s="36"/>
      <c r="KBG202" s="36"/>
      <c r="KBH202" s="36"/>
      <c r="KBI202" s="36"/>
      <c r="KBJ202" s="36"/>
      <c r="KBK202" s="36"/>
      <c r="KBL202" s="36"/>
      <c r="KBM202" s="36"/>
      <c r="KBN202" s="36"/>
      <c r="KBO202" s="36"/>
      <c r="KBP202" s="36"/>
      <c r="KBQ202" s="36"/>
      <c r="KBR202" s="36"/>
      <c r="KBS202" s="36"/>
      <c r="KBT202" s="36"/>
      <c r="KBU202" s="36"/>
      <c r="KBV202" s="36"/>
      <c r="KBW202" s="36"/>
      <c r="KBX202" s="36"/>
      <c r="KBY202" s="36"/>
      <c r="KBZ202" s="36"/>
      <c r="KCA202" s="36"/>
      <c r="KCB202" s="36"/>
      <c r="KCC202" s="36"/>
      <c r="KCD202" s="36"/>
      <c r="KCE202" s="36"/>
      <c r="KCF202" s="36"/>
      <c r="KCG202" s="36"/>
      <c r="KCH202" s="36"/>
      <c r="KCI202" s="36"/>
      <c r="KCJ202" s="36"/>
      <c r="KCK202" s="36"/>
      <c r="KCL202" s="36"/>
      <c r="KCM202" s="36"/>
      <c r="KCN202" s="36"/>
      <c r="KCO202" s="36"/>
      <c r="KCP202" s="36"/>
      <c r="KCQ202" s="36"/>
      <c r="KCR202" s="36"/>
      <c r="KCS202" s="36"/>
      <c r="KCT202" s="36"/>
      <c r="KCU202" s="36"/>
      <c r="KCV202" s="36"/>
      <c r="KCW202" s="36"/>
      <c r="KCX202" s="36"/>
      <c r="KCY202" s="36"/>
      <c r="KCZ202" s="36"/>
      <c r="KDA202" s="36"/>
      <c r="KDB202" s="36"/>
      <c r="KDC202" s="36"/>
      <c r="KDD202" s="36"/>
      <c r="KDE202" s="36"/>
      <c r="KDF202" s="36"/>
      <c r="KDG202" s="36"/>
      <c r="KDH202" s="36"/>
      <c r="KDI202" s="36"/>
      <c r="KDJ202" s="36"/>
      <c r="KDK202" s="36"/>
      <c r="KDL202" s="36"/>
      <c r="KDM202" s="36"/>
      <c r="KDN202" s="36"/>
      <c r="KDO202" s="36"/>
      <c r="KDP202" s="36"/>
      <c r="KDQ202" s="36"/>
      <c r="KDR202" s="36"/>
      <c r="KDS202" s="36"/>
      <c r="KDT202" s="36"/>
      <c r="KDU202" s="36"/>
      <c r="KDV202" s="36"/>
      <c r="KDW202" s="36"/>
      <c r="KDX202" s="36"/>
      <c r="KDY202" s="36"/>
      <c r="KDZ202" s="36"/>
      <c r="KEA202" s="36"/>
      <c r="KEB202" s="36"/>
      <c r="KEC202" s="36"/>
      <c r="KED202" s="36"/>
      <c r="KEE202" s="36"/>
      <c r="KEF202" s="36"/>
      <c r="KEG202" s="36"/>
      <c r="KEH202" s="36"/>
      <c r="KEI202" s="36"/>
      <c r="KEJ202" s="36"/>
      <c r="KEK202" s="36"/>
      <c r="KEL202" s="36"/>
      <c r="KEM202" s="36"/>
      <c r="KEN202" s="36"/>
      <c r="KEO202" s="36"/>
      <c r="KEP202" s="36"/>
      <c r="KEQ202" s="36"/>
      <c r="KER202" s="36"/>
      <c r="KES202" s="36"/>
      <c r="KET202" s="36"/>
      <c r="KEU202" s="36"/>
      <c r="KEV202" s="36"/>
      <c r="KEW202" s="36"/>
      <c r="KEX202" s="36"/>
      <c r="KEY202" s="36"/>
      <c r="KEZ202" s="36"/>
      <c r="KFA202" s="36"/>
      <c r="KFB202" s="36"/>
      <c r="KFC202" s="36"/>
      <c r="KFD202" s="36"/>
      <c r="KFE202" s="36"/>
      <c r="KFF202" s="36"/>
      <c r="KFG202" s="36"/>
      <c r="KFH202" s="36"/>
      <c r="KFI202" s="36"/>
      <c r="KFJ202" s="36"/>
      <c r="KFK202" s="36"/>
      <c r="KFL202" s="36"/>
      <c r="KFM202" s="36"/>
      <c r="KFN202" s="36"/>
      <c r="KFO202" s="36"/>
      <c r="KFP202" s="36"/>
      <c r="KFQ202" s="36"/>
      <c r="KFR202" s="36"/>
      <c r="KFS202" s="36"/>
      <c r="KFT202" s="36"/>
      <c r="KFU202" s="36"/>
      <c r="KFV202" s="36"/>
      <c r="KFW202" s="36"/>
      <c r="KFX202" s="36"/>
      <c r="KFY202" s="36"/>
      <c r="KFZ202" s="36"/>
      <c r="KGA202" s="36"/>
      <c r="KGB202" s="36"/>
      <c r="KGC202" s="36"/>
      <c r="KGD202" s="36"/>
      <c r="KGE202" s="36"/>
      <c r="KGF202" s="36"/>
      <c r="KGG202" s="36"/>
      <c r="KGH202" s="36"/>
      <c r="KGI202" s="36"/>
      <c r="KGJ202" s="36"/>
      <c r="KGK202" s="36"/>
      <c r="KGL202" s="36"/>
      <c r="KGM202" s="36"/>
      <c r="KGN202" s="36"/>
      <c r="KGO202" s="36"/>
      <c r="KGP202" s="36"/>
      <c r="KGQ202" s="36"/>
      <c r="KGR202" s="36"/>
      <c r="KGS202" s="36"/>
      <c r="KGT202" s="36"/>
      <c r="KGU202" s="36"/>
      <c r="KGV202" s="36"/>
      <c r="KGW202" s="36"/>
      <c r="KGX202" s="36"/>
      <c r="KGY202" s="36"/>
      <c r="KGZ202" s="36"/>
      <c r="KHA202" s="36"/>
      <c r="KHB202" s="36"/>
      <c r="KHC202" s="36"/>
      <c r="KHD202" s="36"/>
      <c r="KHE202" s="36"/>
      <c r="KHF202" s="36"/>
      <c r="KHG202" s="36"/>
      <c r="KHH202" s="36"/>
      <c r="KHI202" s="36"/>
      <c r="KHJ202" s="36"/>
      <c r="KHK202" s="36"/>
      <c r="KHL202" s="36"/>
      <c r="KHM202" s="36"/>
      <c r="KHN202" s="36"/>
      <c r="KHO202" s="36"/>
      <c r="KHP202" s="36"/>
      <c r="KHQ202" s="36"/>
      <c r="KHR202" s="36"/>
      <c r="KHS202" s="36"/>
      <c r="KHT202" s="36"/>
      <c r="KHU202" s="36"/>
      <c r="KHV202" s="36"/>
      <c r="KHW202" s="36"/>
      <c r="KHX202" s="36"/>
      <c r="KHY202" s="36"/>
      <c r="KHZ202" s="36"/>
      <c r="KIA202" s="36"/>
      <c r="KIB202" s="36"/>
      <c r="KIC202" s="36"/>
      <c r="KID202" s="36"/>
      <c r="KIE202" s="36"/>
      <c r="KIF202" s="36"/>
      <c r="KIG202" s="36"/>
      <c r="KIH202" s="36"/>
      <c r="KII202" s="36"/>
      <c r="KIJ202" s="36"/>
      <c r="KIK202" s="36"/>
      <c r="KIL202" s="36"/>
      <c r="KIM202" s="36"/>
      <c r="KIN202" s="36"/>
      <c r="KIO202" s="36"/>
      <c r="KIP202" s="36"/>
      <c r="KIQ202" s="36"/>
      <c r="KIR202" s="36"/>
      <c r="KIS202" s="36"/>
      <c r="KIT202" s="36"/>
      <c r="KIU202" s="36"/>
      <c r="KIV202" s="36"/>
      <c r="KIW202" s="36"/>
      <c r="KIX202" s="36"/>
      <c r="KIY202" s="36"/>
      <c r="KIZ202" s="36"/>
      <c r="KJA202" s="36"/>
      <c r="KJB202" s="36"/>
      <c r="KJC202" s="36"/>
      <c r="KJD202" s="36"/>
      <c r="KJE202" s="36"/>
      <c r="KJF202" s="36"/>
      <c r="KJG202" s="36"/>
      <c r="KJH202" s="36"/>
      <c r="KJI202" s="36"/>
      <c r="KJJ202" s="36"/>
      <c r="KJK202" s="36"/>
      <c r="KJL202" s="36"/>
      <c r="KJM202" s="36"/>
      <c r="KJN202" s="36"/>
      <c r="KJO202" s="36"/>
      <c r="KJP202" s="36"/>
      <c r="KJQ202" s="36"/>
      <c r="KJR202" s="36"/>
      <c r="KJS202" s="36"/>
      <c r="KJT202" s="36"/>
      <c r="KJU202" s="36"/>
      <c r="KJV202" s="36"/>
      <c r="KJW202" s="36"/>
      <c r="KJX202" s="36"/>
      <c r="KJY202" s="36"/>
      <c r="KJZ202" s="36"/>
      <c r="KKA202" s="36"/>
      <c r="KKB202" s="36"/>
      <c r="KKC202" s="36"/>
      <c r="KKD202" s="36"/>
      <c r="KKE202" s="36"/>
      <c r="KKF202" s="36"/>
      <c r="KKG202" s="36"/>
      <c r="KKH202" s="36"/>
      <c r="KKI202" s="36"/>
      <c r="KKJ202" s="36"/>
      <c r="KKK202" s="36"/>
      <c r="KKL202" s="36"/>
      <c r="KKM202" s="36"/>
      <c r="KKN202" s="36"/>
      <c r="KKO202" s="36"/>
      <c r="KKP202" s="36"/>
      <c r="KKQ202" s="36"/>
      <c r="KKR202" s="36"/>
      <c r="KKS202" s="36"/>
      <c r="KKT202" s="36"/>
      <c r="KKU202" s="36"/>
      <c r="KKV202" s="36"/>
      <c r="KKW202" s="36"/>
      <c r="KKX202" s="36"/>
      <c r="KKY202" s="36"/>
      <c r="KKZ202" s="36"/>
      <c r="KLA202" s="36"/>
      <c r="KLB202" s="36"/>
      <c r="KLC202" s="36"/>
      <c r="KLD202" s="36"/>
      <c r="KLE202" s="36"/>
      <c r="KLF202" s="36"/>
      <c r="KLG202" s="36"/>
      <c r="KLH202" s="36"/>
      <c r="KLI202" s="36"/>
      <c r="KLJ202" s="36"/>
      <c r="KLK202" s="36"/>
      <c r="KLL202" s="36"/>
      <c r="KLM202" s="36"/>
      <c r="KLN202" s="36"/>
      <c r="KLO202" s="36"/>
      <c r="KLP202" s="36"/>
      <c r="KLQ202" s="36"/>
      <c r="KLR202" s="36"/>
      <c r="KLS202" s="36"/>
      <c r="KLT202" s="36"/>
      <c r="KLU202" s="36"/>
      <c r="KLV202" s="36"/>
      <c r="KLW202" s="36"/>
      <c r="KLX202" s="36"/>
      <c r="KLY202" s="36"/>
      <c r="KLZ202" s="36"/>
      <c r="KMA202" s="36"/>
      <c r="KMB202" s="36"/>
      <c r="KMC202" s="36"/>
      <c r="KMD202" s="36"/>
      <c r="KME202" s="36"/>
      <c r="KMF202" s="36"/>
      <c r="KMG202" s="36"/>
      <c r="KMH202" s="36"/>
      <c r="KMI202" s="36"/>
      <c r="KMJ202" s="36"/>
      <c r="KMK202" s="36"/>
      <c r="KML202" s="36"/>
      <c r="KMM202" s="36"/>
      <c r="KMN202" s="36"/>
      <c r="KMO202" s="36"/>
      <c r="KMP202" s="36"/>
      <c r="KMQ202" s="36"/>
      <c r="KMR202" s="36"/>
      <c r="KMS202" s="36"/>
      <c r="KMT202" s="36"/>
      <c r="KMU202" s="36"/>
      <c r="KMV202" s="36"/>
      <c r="KMW202" s="36"/>
      <c r="KMX202" s="36"/>
      <c r="KMY202" s="36"/>
      <c r="KMZ202" s="36"/>
      <c r="KNA202" s="36"/>
      <c r="KNB202" s="36"/>
      <c r="KNC202" s="36"/>
      <c r="KND202" s="36"/>
      <c r="KNE202" s="36"/>
      <c r="KNF202" s="36"/>
      <c r="KNG202" s="36"/>
      <c r="KNH202" s="36"/>
      <c r="KNI202" s="36"/>
      <c r="KNJ202" s="36"/>
      <c r="KNK202" s="36"/>
      <c r="KNL202" s="36"/>
      <c r="KNM202" s="36"/>
      <c r="KNN202" s="36"/>
      <c r="KNO202" s="36"/>
      <c r="KNP202" s="36"/>
      <c r="KNQ202" s="36"/>
      <c r="KNR202" s="36"/>
      <c r="KNS202" s="36"/>
      <c r="KNT202" s="36"/>
      <c r="KNU202" s="36"/>
      <c r="KNV202" s="36"/>
      <c r="KNW202" s="36"/>
      <c r="KNX202" s="36"/>
      <c r="KNY202" s="36"/>
      <c r="KNZ202" s="36"/>
      <c r="KOA202" s="36"/>
      <c r="KOB202" s="36"/>
      <c r="KOC202" s="36"/>
      <c r="KOD202" s="36"/>
      <c r="KOE202" s="36"/>
      <c r="KOF202" s="36"/>
      <c r="KOG202" s="36"/>
      <c r="KOH202" s="36"/>
      <c r="KOI202" s="36"/>
      <c r="KOJ202" s="36"/>
      <c r="KOK202" s="36"/>
      <c r="KOL202" s="36"/>
      <c r="KOM202" s="36"/>
      <c r="KON202" s="36"/>
      <c r="KOO202" s="36"/>
      <c r="KOP202" s="36"/>
      <c r="KOQ202" s="36"/>
      <c r="KOR202" s="36"/>
      <c r="KOS202" s="36"/>
      <c r="KOT202" s="36"/>
      <c r="KOU202" s="36"/>
      <c r="KOV202" s="36"/>
      <c r="KOW202" s="36"/>
      <c r="KOX202" s="36"/>
      <c r="KOY202" s="36"/>
      <c r="KOZ202" s="36"/>
      <c r="KPA202" s="36"/>
      <c r="KPB202" s="36"/>
      <c r="KPC202" s="36"/>
      <c r="KPD202" s="36"/>
      <c r="KPE202" s="36"/>
      <c r="KPF202" s="36"/>
      <c r="KPG202" s="36"/>
      <c r="KPH202" s="36"/>
      <c r="KPI202" s="36"/>
      <c r="KPJ202" s="36"/>
      <c r="KPK202" s="36"/>
      <c r="KPL202" s="36"/>
      <c r="KPM202" s="36"/>
      <c r="KPN202" s="36"/>
      <c r="KPO202" s="36"/>
      <c r="KPP202" s="36"/>
      <c r="KPQ202" s="36"/>
      <c r="KPR202" s="36"/>
      <c r="KPS202" s="36"/>
      <c r="KPT202" s="36"/>
      <c r="KPU202" s="36"/>
      <c r="KPV202" s="36"/>
      <c r="KPW202" s="36"/>
      <c r="KPX202" s="36"/>
      <c r="KPY202" s="36"/>
      <c r="KPZ202" s="36"/>
      <c r="KQA202" s="36"/>
      <c r="KQB202" s="36"/>
      <c r="KQC202" s="36"/>
      <c r="KQD202" s="36"/>
      <c r="KQE202" s="36"/>
      <c r="KQF202" s="36"/>
      <c r="KQG202" s="36"/>
      <c r="KQH202" s="36"/>
      <c r="KQI202" s="36"/>
      <c r="KQJ202" s="36"/>
      <c r="KQK202" s="36"/>
      <c r="KQL202" s="36"/>
      <c r="KQM202" s="36"/>
      <c r="KQN202" s="36"/>
      <c r="KQO202" s="36"/>
      <c r="KQP202" s="36"/>
      <c r="KQQ202" s="36"/>
      <c r="KQR202" s="36"/>
      <c r="KQS202" s="36"/>
      <c r="KQT202" s="36"/>
      <c r="KQU202" s="36"/>
      <c r="KQV202" s="36"/>
      <c r="KQW202" s="36"/>
      <c r="KQX202" s="36"/>
      <c r="KQY202" s="36"/>
      <c r="KQZ202" s="36"/>
      <c r="KRA202" s="36"/>
      <c r="KRB202" s="36"/>
      <c r="KRC202" s="36"/>
      <c r="KRD202" s="36"/>
      <c r="KRE202" s="36"/>
      <c r="KRF202" s="36"/>
      <c r="KRG202" s="36"/>
      <c r="KRH202" s="36"/>
      <c r="KRI202" s="36"/>
      <c r="KRJ202" s="36"/>
      <c r="KRK202" s="36"/>
      <c r="KRL202" s="36"/>
      <c r="KRM202" s="36"/>
      <c r="KRN202" s="36"/>
      <c r="KRO202" s="36"/>
      <c r="KRP202" s="36"/>
      <c r="KRQ202" s="36"/>
      <c r="KRR202" s="36"/>
      <c r="KRS202" s="36"/>
      <c r="KRT202" s="36"/>
      <c r="KRU202" s="36"/>
      <c r="KRV202" s="36"/>
      <c r="KRW202" s="36"/>
      <c r="KRX202" s="36"/>
      <c r="KRY202" s="36"/>
      <c r="KRZ202" s="36"/>
      <c r="KSA202" s="36"/>
      <c r="KSB202" s="36"/>
      <c r="KSC202" s="36"/>
      <c r="KSD202" s="36"/>
      <c r="KSE202" s="36"/>
      <c r="KSF202" s="36"/>
      <c r="KSG202" s="36"/>
      <c r="KSH202" s="36"/>
      <c r="KSI202" s="36"/>
      <c r="KSJ202" s="36"/>
      <c r="KSK202" s="36"/>
      <c r="KSL202" s="36"/>
      <c r="KSM202" s="36"/>
      <c r="KSN202" s="36"/>
      <c r="KSO202" s="36"/>
      <c r="KSP202" s="36"/>
      <c r="KSQ202" s="36"/>
      <c r="KSR202" s="36"/>
      <c r="KSS202" s="36"/>
      <c r="KST202" s="36"/>
      <c r="KSU202" s="36"/>
      <c r="KSV202" s="36"/>
      <c r="KSW202" s="36"/>
      <c r="KSX202" s="36"/>
      <c r="KSY202" s="36"/>
      <c r="KSZ202" s="36"/>
      <c r="KTA202" s="36"/>
      <c r="KTB202" s="36"/>
      <c r="KTC202" s="36"/>
      <c r="KTD202" s="36"/>
      <c r="KTE202" s="36"/>
      <c r="KTF202" s="36"/>
      <c r="KTG202" s="36"/>
      <c r="KTH202" s="36"/>
      <c r="KTI202" s="36"/>
      <c r="KTJ202" s="36"/>
      <c r="KTK202" s="36"/>
      <c r="KTL202" s="36"/>
      <c r="KTM202" s="36"/>
      <c r="KTN202" s="36"/>
      <c r="KTO202" s="36"/>
      <c r="KTP202" s="36"/>
      <c r="KTQ202" s="36"/>
      <c r="KTR202" s="36"/>
      <c r="KTS202" s="36"/>
      <c r="KTT202" s="36"/>
      <c r="KTU202" s="36"/>
      <c r="KTV202" s="36"/>
      <c r="KTW202" s="36"/>
      <c r="KTX202" s="36"/>
      <c r="KTY202" s="36"/>
      <c r="KTZ202" s="36"/>
      <c r="KUA202" s="36"/>
      <c r="KUB202" s="36"/>
      <c r="KUC202" s="36"/>
      <c r="KUD202" s="36"/>
      <c r="KUE202" s="36"/>
      <c r="KUF202" s="36"/>
      <c r="KUG202" s="36"/>
      <c r="KUH202" s="36"/>
      <c r="KUI202" s="36"/>
      <c r="KUJ202" s="36"/>
      <c r="KUK202" s="36"/>
      <c r="KUL202" s="36"/>
      <c r="KUM202" s="36"/>
      <c r="KUN202" s="36"/>
      <c r="KUO202" s="36"/>
      <c r="KUP202" s="36"/>
      <c r="KUQ202" s="36"/>
      <c r="KUR202" s="36"/>
      <c r="KUS202" s="36"/>
      <c r="KUT202" s="36"/>
      <c r="KUU202" s="36"/>
      <c r="KUV202" s="36"/>
      <c r="KUW202" s="36"/>
      <c r="KUX202" s="36"/>
      <c r="KUY202" s="36"/>
      <c r="KUZ202" s="36"/>
      <c r="KVA202" s="36"/>
      <c r="KVB202" s="36"/>
      <c r="KVC202" s="36"/>
      <c r="KVD202" s="36"/>
      <c r="KVE202" s="36"/>
      <c r="KVF202" s="36"/>
      <c r="KVG202" s="36"/>
      <c r="KVH202" s="36"/>
      <c r="KVI202" s="36"/>
      <c r="KVJ202" s="36"/>
      <c r="KVK202" s="36"/>
      <c r="KVL202" s="36"/>
      <c r="KVM202" s="36"/>
      <c r="KVN202" s="36"/>
      <c r="KVO202" s="36"/>
      <c r="KVP202" s="36"/>
      <c r="KVQ202" s="36"/>
      <c r="KVR202" s="36"/>
      <c r="KVS202" s="36"/>
      <c r="KVT202" s="36"/>
      <c r="KVU202" s="36"/>
      <c r="KVV202" s="36"/>
      <c r="KVW202" s="36"/>
      <c r="KVX202" s="36"/>
      <c r="KVY202" s="36"/>
      <c r="KVZ202" s="36"/>
      <c r="KWA202" s="36"/>
      <c r="KWB202" s="36"/>
      <c r="KWC202" s="36"/>
      <c r="KWD202" s="36"/>
      <c r="KWE202" s="36"/>
      <c r="KWF202" s="36"/>
      <c r="KWG202" s="36"/>
      <c r="KWH202" s="36"/>
      <c r="KWI202" s="36"/>
      <c r="KWJ202" s="36"/>
      <c r="KWK202" s="36"/>
      <c r="KWL202" s="36"/>
      <c r="KWM202" s="36"/>
      <c r="KWN202" s="36"/>
      <c r="KWO202" s="36"/>
      <c r="KWP202" s="36"/>
      <c r="KWQ202" s="36"/>
      <c r="KWR202" s="36"/>
      <c r="KWS202" s="36"/>
      <c r="KWT202" s="36"/>
      <c r="KWU202" s="36"/>
      <c r="KWV202" s="36"/>
      <c r="KWW202" s="36"/>
      <c r="KWX202" s="36"/>
      <c r="KWY202" s="36"/>
      <c r="KWZ202" s="36"/>
      <c r="KXA202" s="36"/>
      <c r="KXB202" s="36"/>
      <c r="KXC202" s="36"/>
      <c r="KXD202" s="36"/>
      <c r="KXE202" s="36"/>
      <c r="KXF202" s="36"/>
      <c r="KXG202" s="36"/>
      <c r="KXH202" s="36"/>
      <c r="KXI202" s="36"/>
      <c r="KXJ202" s="36"/>
      <c r="KXK202" s="36"/>
      <c r="KXL202" s="36"/>
      <c r="KXM202" s="36"/>
      <c r="KXN202" s="36"/>
      <c r="KXO202" s="36"/>
      <c r="KXP202" s="36"/>
      <c r="KXQ202" s="36"/>
      <c r="KXR202" s="36"/>
      <c r="KXS202" s="36"/>
      <c r="KXT202" s="36"/>
      <c r="KXU202" s="36"/>
      <c r="KXV202" s="36"/>
      <c r="KXW202" s="36"/>
      <c r="KXX202" s="36"/>
      <c r="KXY202" s="36"/>
      <c r="KXZ202" s="36"/>
      <c r="KYA202" s="36"/>
      <c r="KYB202" s="36"/>
      <c r="KYC202" s="36"/>
      <c r="KYD202" s="36"/>
      <c r="KYE202" s="36"/>
      <c r="KYF202" s="36"/>
      <c r="KYG202" s="36"/>
      <c r="KYH202" s="36"/>
      <c r="KYI202" s="36"/>
      <c r="KYJ202" s="36"/>
      <c r="KYK202" s="36"/>
      <c r="KYL202" s="36"/>
      <c r="KYM202" s="36"/>
      <c r="KYN202" s="36"/>
      <c r="KYO202" s="36"/>
      <c r="KYP202" s="36"/>
      <c r="KYQ202" s="36"/>
      <c r="KYR202" s="36"/>
      <c r="KYS202" s="36"/>
      <c r="KYT202" s="36"/>
      <c r="KYU202" s="36"/>
      <c r="KYV202" s="36"/>
      <c r="KYW202" s="36"/>
      <c r="KYX202" s="36"/>
      <c r="KYY202" s="36"/>
      <c r="KYZ202" s="36"/>
      <c r="KZA202" s="36"/>
      <c r="KZB202" s="36"/>
      <c r="KZC202" s="36"/>
      <c r="KZD202" s="36"/>
      <c r="KZE202" s="36"/>
      <c r="KZF202" s="36"/>
      <c r="KZG202" s="36"/>
      <c r="KZH202" s="36"/>
      <c r="KZI202" s="36"/>
      <c r="KZJ202" s="36"/>
      <c r="KZK202" s="36"/>
      <c r="KZL202" s="36"/>
      <c r="KZM202" s="36"/>
      <c r="KZN202" s="36"/>
      <c r="KZO202" s="36"/>
      <c r="KZP202" s="36"/>
      <c r="KZQ202" s="36"/>
      <c r="KZR202" s="36"/>
      <c r="KZS202" s="36"/>
      <c r="KZT202" s="36"/>
      <c r="KZU202" s="36"/>
      <c r="KZV202" s="36"/>
      <c r="KZW202" s="36"/>
      <c r="KZX202" s="36"/>
      <c r="KZY202" s="36"/>
      <c r="KZZ202" s="36"/>
      <c r="LAA202" s="36"/>
      <c r="LAB202" s="36"/>
      <c r="LAC202" s="36"/>
      <c r="LAD202" s="36"/>
      <c r="LAE202" s="36"/>
      <c r="LAF202" s="36"/>
      <c r="LAG202" s="36"/>
      <c r="LAH202" s="36"/>
      <c r="LAI202" s="36"/>
      <c r="LAJ202" s="36"/>
      <c r="LAK202" s="36"/>
      <c r="LAL202" s="36"/>
      <c r="LAM202" s="36"/>
      <c r="LAN202" s="36"/>
      <c r="LAO202" s="36"/>
      <c r="LAP202" s="36"/>
      <c r="LAQ202" s="36"/>
      <c r="LAR202" s="36"/>
      <c r="LAS202" s="36"/>
      <c r="LAT202" s="36"/>
      <c r="LAU202" s="36"/>
      <c r="LAV202" s="36"/>
      <c r="LAW202" s="36"/>
      <c r="LAX202" s="36"/>
      <c r="LAY202" s="36"/>
      <c r="LAZ202" s="36"/>
      <c r="LBA202" s="36"/>
      <c r="LBB202" s="36"/>
      <c r="LBC202" s="36"/>
      <c r="LBD202" s="36"/>
      <c r="LBE202" s="36"/>
      <c r="LBF202" s="36"/>
      <c r="LBG202" s="36"/>
      <c r="LBH202" s="36"/>
      <c r="LBI202" s="36"/>
      <c r="LBJ202" s="36"/>
      <c r="LBK202" s="36"/>
      <c r="LBL202" s="36"/>
      <c r="LBM202" s="36"/>
      <c r="LBN202" s="36"/>
      <c r="LBO202" s="36"/>
      <c r="LBP202" s="36"/>
      <c r="LBQ202" s="36"/>
      <c r="LBR202" s="36"/>
      <c r="LBS202" s="36"/>
      <c r="LBT202" s="36"/>
      <c r="LBU202" s="36"/>
      <c r="LBV202" s="36"/>
      <c r="LBW202" s="36"/>
      <c r="LBX202" s="36"/>
      <c r="LBY202" s="36"/>
      <c r="LBZ202" s="36"/>
      <c r="LCA202" s="36"/>
      <c r="LCB202" s="36"/>
      <c r="LCC202" s="36"/>
      <c r="LCD202" s="36"/>
      <c r="LCE202" s="36"/>
      <c r="LCF202" s="36"/>
      <c r="LCG202" s="36"/>
      <c r="LCH202" s="36"/>
      <c r="LCI202" s="36"/>
      <c r="LCJ202" s="36"/>
      <c r="LCK202" s="36"/>
      <c r="LCL202" s="36"/>
      <c r="LCM202" s="36"/>
      <c r="LCN202" s="36"/>
      <c r="LCO202" s="36"/>
      <c r="LCP202" s="36"/>
      <c r="LCQ202" s="36"/>
      <c r="LCR202" s="36"/>
      <c r="LCS202" s="36"/>
      <c r="LCT202" s="36"/>
      <c r="LCU202" s="36"/>
      <c r="LCV202" s="36"/>
      <c r="LCW202" s="36"/>
      <c r="LCX202" s="36"/>
      <c r="LCY202" s="36"/>
      <c r="LCZ202" s="36"/>
      <c r="LDA202" s="36"/>
      <c r="LDB202" s="36"/>
      <c r="LDC202" s="36"/>
      <c r="LDD202" s="36"/>
      <c r="LDE202" s="36"/>
      <c r="LDF202" s="36"/>
      <c r="LDG202" s="36"/>
      <c r="LDH202" s="36"/>
      <c r="LDI202" s="36"/>
      <c r="LDJ202" s="36"/>
      <c r="LDK202" s="36"/>
      <c r="LDL202" s="36"/>
      <c r="LDM202" s="36"/>
      <c r="LDN202" s="36"/>
      <c r="LDO202" s="36"/>
      <c r="LDP202" s="36"/>
      <c r="LDQ202" s="36"/>
      <c r="LDR202" s="36"/>
      <c r="LDS202" s="36"/>
      <c r="LDT202" s="36"/>
      <c r="LDU202" s="36"/>
      <c r="LDV202" s="36"/>
      <c r="LDW202" s="36"/>
      <c r="LDX202" s="36"/>
      <c r="LDY202" s="36"/>
      <c r="LDZ202" s="36"/>
      <c r="LEA202" s="36"/>
      <c r="LEB202" s="36"/>
      <c r="LEC202" s="36"/>
      <c r="LED202" s="36"/>
      <c r="LEE202" s="36"/>
      <c r="LEF202" s="36"/>
      <c r="LEG202" s="36"/>
      <c r="LEH202" s="36"/>
      <c r="LEI202" s="36"/>
      <c r="LEJ202" s="36"/>
      <c r="LEK202" s="36"/>
      <c r="LEL202" s="36"/>
      <c r="LEM202" s="36"/>
      <c r="LEN202" s="36"/>
      <c r="LEO202" s="36"/>
      <c r="LEP202" s="36"/>
      <c r="LEQ202" s="36"/>
      <c r="LER202" s="36"/>
      <c r="LES202" s="36"/>
      <c r="LET202" s="36"/>
      <c r="LEU202" s="36"/>
      <c r="LEV202" s="36"/>
      <c r="LEW202" s="36"/>
      <c r="LEX202" s="36"/>
      <c r="LEY202" s="36"/>
      <c r="LEZ202" s="36"/>
      <c r="LFA202" s="36"/>
      <c r="LFB202" s="36"/>
      <c r="LFC202" s="36"/>
      <c r="LFD202" s="36"/>
      <c r="LFE202" s="36"/>
      <c r="LFF202" s="36"/>
      <c r="LFG202" s="36"/>
      <c r="LFH202" s="36"/>
      <c r="LFI202" s="36"/>
      <c r="LFJ202" s="36"/>
      <c r="LFK202" s="36"/>
      <c r="LFL202" s="36"/>
      <c r="LFM202" s="36"/>
      <c r="LFN202" s="36"/>
      <c r="LFO202" s="36"/>
      <c r="LFP202" s="36"/>
      <c r="LFQ202" s="36"/>
      <c r="LFR202" s="36"/>
      <c r="LFS202" s="36"/>
      <c r="LFT202" s="36"/>
      <c r="LFU202" s="36"/>
      <c r="LFV202" s="36"/>
      <c r="LFW202" s="36"/>
      <c r="LFX202" s="36"/>
      <c r="LFY202" s="36"/>
      <c r="LFZ202" s="36"/>
      <c r="LGA202" s="36"/>
      <c r="LGB202" s="36"/>
      <c r="LGC202" s="36"/>
      <c r="LGD202" s="36"/>
      <c r="LGE202" s="36"/>
      <c r="LGF202" s="36"/>
      <c r="LGG202" s="36"/>
      <c r="LGH202" s="36"/>
      <c r="LGI202" s="36"/>
      <c r="LGJ202" s="36"/>
      <c r="LGK202" s="36"/>
      <c r="LGL202" s="36"/>
      <c r="LGM202" s="36"/>
      <c r="LGN202" s="36"/>
      <c r="LGO202" s="36"/>
      <c r="LGP202" s="36"/>
      <c r="LGQ202" s="36"/>
      <c r="LGR202" s="36"/>
      <c r="LGS202" s="36"/>
      <c r="LGT202" s="36"/>
      <c r="LGU202" s="36"/>
      <c r="LGV202" s="36"/>
      <c r="LGW202" s="36"/>
      <c r="LGX202" s="36"/>
      <c r="LGY202" s="36"/>
      <c r="LGZ202" s="36"/>
      <c r="LHA202" s="36"/>
      <c r="LHB202" s="36"/>
      <c r="LHC202" s="36"/>
      <c r="LHD202" s="36"/>
      <c r="LHE202" s="36"/>
      <c r="LHF202" s="36"/>
      <c r="LHG202" s="36"/>
      <c r="LHH202" s="36"/>
      <c r="LHI202" s="36"/>
      <c r="LHJ202" s="36"/>
      <c r="LHK202" s="36"/>
      <c r="LHL202" s="36"/>
      <c r="LHM202" s="36"/>
      <c r="LHN202" s="36"/>
      <c r="LHO202" s="36"/>
      <c r="LHP202" s="36"/>
      <c r="LHQ202" s="36"/>
      <c r="LHR202" s="36"/>
      <c r="LHS202" s="36"/>
      <c r="LHT202" s="36"/>
      <c r="LHU202" s="36"/>
      <c r="LHV202" s="36"/>
      <c r="LHW202" s="36"/>
      <c r="LHX202" s="36"/>
      <c r="LHY202" s="36"/>
      <c r="LHZ202" s="36"/>
      <c r="LIA202" s="36"/>
      <c r="LIB202" s="36"/>
      <c r="LIC202" s="36"/>
      <c r="LID202" s="36"/>
      <c r="LIE202" s="36"/>
      <c r="LIF202" s="36"/>
      <c r="LIG202" s="36"/>
      <c r="LIH202" s="36"/>
      <c r="LII202" s="36"/>
      <c r="LIJ202" s="36"/>
      <c r="LIK202" s="36"/>
      <c r="LIL202" s="36"/>
      <c r="LIM202" s="36"/>
      <c r="LIN202" s="36"/>
      <c r="LIO202" s="36"/>
      <c r="LIP202" s="36"/>
      <c r="LIQ202" s="36"/>
      <c r="LIR202" s="36"/>
      <c r="LIS202" s="36"/>
      <c r="LIT202" s="36"/>
      <c r="LIU202" s="36"/>
      <c r="LIV202" s="36"/>
      <c r="LIW202" s="36"/>
      <c r="LIX202" s="36"/>
      <c r="LIY202" s="36"/>
      <c r="LIZ202" s="36"/>
      <c r="LJA202" s="36"/>
      <c r="LJB202" s="36"/>
      <c r="LJC202" s="36"/>
      <c r="LJD202" s="36"/>
      <c r="LJE202" s="36"/>
      <c r="LJF202" s="36"/>
      <c r="LJG202" s="36"/>
      <c r="LJH202" s="36"/>
      <c r="LJI202" s="36"/>
      <c r="LJJ202" s="36"/>
      <c r="LJK202" s="36"/>
      <c r="LJL202" s="36"/>
      <c r="LJM202" s="36"/>
      <c r="LJN202" s="36"/>
      <c r="LJO202" s="36"/>
      <c r="LJP202" s="36"/>
      <c r="LJQ202" s="36"/>
      <c r="LJR202" s="36"/>
      <c r="LJS202" s="36"/>
      <c r="LJT202" s="36"/>
      <c r="LJU202" s="36"/>
      <c r="LJV202" s="36"/>
      <c r="LJW202" s="36"/>
      <c r="LJX202" s="36"/>
      <c r="LJY202" s="36"/>
      <c r="LJZ202" s="36"/>
      <c r="LKA202" s="36"/>
      <c r="LKB202" s="36"/>
      <c r="LKC202" s="36"/>
      <c r="LKD202" s="36"/>
      <c r="LKE202" s="36"/>
      <c r="LKF202" s="36"/>
      <c r="LKG202" s="36"/>
      <c r="LKH202" s="36"/>
      <c r="LKI202" s="36"/>
      <c r="LKJ202" s="36"/>
      <c r="LKK202" s="36"/>
      <c r="LKL202" s="36"/>
      <c r="LKM202" s="36"/>
      <c r="LKN202" s="36"/>
      <c r="LKO202" s="36"/>
      <c r="LKP202" s="36"/>
      <c r="LKQ202" s="36"/>
      <c r="LKR202" s="36"/>
      <c r="LKS202" s="36"/>
      <c r="LKT202" s="36"/>
      <c r="LKU202" s="36"/>
      <c r="LKV202" s="36"/>
      <c r="LKW202" s="36"/>
      <c r="LKX202" s="36"/>
      <c r="LKY202" s="36"/>
      <c r="LKZ202" s="36"/>
      <c r="LLA202" s="36"/>
      <c r="LLB202" s="36"/>
      <c r="LLC202" s="36"/>
      <c r="LLD202" s="36"/>
      <c r="LLE202" s="36"/>
      <c r="LLF202" s="36"/>
      <c r="LLG202" s="36"/>
      <c r="LLH202" s="36"/>
      <c r="LLI202" s="36"/>
      <c r="LLJ202" s="36"/>
      <c r="LLK202" s="36"/>
      <c r="LLL202" s="36"/>
      <c r="LLM202" s="36"/>
      <c r="LLN202" s="36"/>
      <c r="LLO202" s="36"/>
      <c r="LLP202" s="36"/>
      <c r="LLQ202" s="36"/>
      <c r="LLR202" s="36"/>
      <c r="LLS202" s="36"/>
      <c r="LLT202" s="36"/>
      <c r="LLU202" s="36"/>
      <c r="LLV202" s="36"/>
      <c r="LLW202" s="36"/>
      <c r="LLX202" s="36"/>
      <c r="LLY202" s="36"/>
      <c r="LLZ202" s="36"/>
      <c r="LMA202" s="36"/>
      <c r="LMB202" s="36"/>
      <c r="LMC202" s="36"/>
      <c r="LMD202" s="36"/>
      <c r="LME202" s="36"/>
      <c r="LMF202" s="36"/>
      <c r="LMG202" s="36"/>
      <c r="LMH202" s="36"/>
      <c r="LMI202" s="36"/>
      <c r="LMJ202" s="36"/>
      <c r="LMK202" s="36"/>
      <c r="LML202" s="36"/>
      <c r="LMM202" s="36"/>
      <c r="LMN202" s="36"/>
      <c r="LMO202" s="36"/>
      <c r="LMP202" s="36"/>
      <c r="LMQ202" s="36"/>
      <c r="LMR202" s="36"/>
      <c r="LMS202" s="36"/>
      <c r="LMT202" s="36"/>
      <c r="LMU202" s="36"/>
      <c r="LMV202" s="36"/>
      <c r="LMW202" s="36"/>
      <c r="LMX202" s="36"/>
      <c r="LMY202" s="36"/>
      <c r="LMZ202" s="36"/>
      <c r="LNA202" s="36"/>
      <c r="LNB202" s="36"/>
      <c r="LNC202" s="36"/>
      <c r="LND202" s="36"/>
      <c r="LNE202" s="36"/>
      <c r="LNF202" s="36"/>
      <c r="LNG202" s="36"/>
      <c r="LNH202" s="36"/>
      <c r="LNI202" s="36"/>
      <c r="LNJ202" s="36"/>
      <c r="LNK202" s="36"/>
      <c r="LNL202" s="36"/>
      <c r="LNM202" s="36"/>
      <c r="LNN202" s="36"/>
      <c r="LNO202" s="36"/>
      <c r="LNP202" s="36"/>
      <c r="LNQ202" s="36"/>
      <c r="LNR202" s="36"/>
      <c r="LNS202" s="36"/>
      <c r="LNT202" s="36"/>
      <c r="LNU202" s="36"/>
      <c r="LNV202" s="36"/>
      <c r="LNW202" s="36"/>
      <c r="LNX202" s="36"/>
      <c r="LNY202" s="36"/>
      <c r="LNZ202" s="36"/>
      <c r="LOA202" s="36"/>
      <c r="LOB202" s="36"/>
      <c r="LOC202" s="36"/>
      <c r="LOD202" s="36"/>
      <c r="LOE202" s="36"/>
      <c r="LOF202" s="36"/>
      <c r="LOG202" s="36"/>
      <c r="LOH202" s="36"/>
      <c r="LOI202" s="36"/>
      <c r="LOJ202" s="36"/>
      <c r="LOK202" s="36"/>
      <c r="LOL202" s="36"/>
      <c r="LOM202" s="36"/>
      <c r="LON202" s="36"/>
      <c r="LOO202" s="36"/>
      <c r="LOP202" s="36"/>
      <c r="LOQ202" s="36"/>
      <c r="LOR202" s="36"/>
      <c r="LOS202" s="36"/>
      <c r="LOT202" s="36"/>
      <c r="LOU202" s="36"/>
      <c r="LOV202" s="36"/>
      <c r="LOW202" s="36"/>
      <c r="LOX202" s="36"/>
      <c r="LOY202" s="36"/>
      <c r="LOZ202" s="36"/>
      <c r="LPA202" s="36"/>
      <c r="LPB202" s="36"/>
      <c r="LPC202" s="36"/>
      <c r="LPD202" s="36"/>
      <c r="LPE202" s="36"/>
      <c r="LPF202" s="36"/>
      <c r="LPG202" s="36"/>
      <c r="LPH202" s="36"/>
      <c r="LPI202" s="36"/>
      <c r="LPJ202" s="36"/>
      <c r="LPK202" s="36"/>
      <c r="LPL202" s="36"/>
      <c r="LPM202" s="36"/>
      <c r="LPN202" s="36"/>
      <c r="LPO202" s="36"/>
      <c r="LPP202" s="36"/>
      <c r="LPQ202" s="36"/>
      <c r="LPR202" s="36"/>
      <c r="LPS202" s="36"/>
      <c r="LPT202" s="36"/>
      <c r="LPU202" s="36"/>
      <c r="LPV202" s="36"/>
      <c r="LPW202" s="36"/>
      <c r="LPX202" s="36"/>
      <c r="LPY202" s="36"/>
      <c r="LPZ202" s="36"/>
      <c r="LQA202" s="36"/>
      <c r="LQB202" s="36"/>
      <c r="LQC202" s="36"/>
      <c r="LQD202" s="36"/>
      <c r="LQE202" s="36"/>
      <c r="LQF202" s="36"/>
      <c r="LQG202" s="36"/>
      <c r="LQH202" s="36"/>
      <c r="LQI202" s="36"/>
      <c r="LQJ202" s="36"/>
      <c r="LQK202" s="36"/>
      <c r="LQL202" s="36"/>
      <c r="LQM202" s="36"/>
      <c r="LQN202" s="36"/>
      <c r="LQO202" s="36"/>
      <c r="LQP202" s="36"/>
      <c r="LQQ202" s="36"/>
      <c r="LQR202" s="36"/>
      <c r="LQS202" s="36"/>
      <c r="LQT202" s="36"/>
      <c r="LQU202" s="36"/>
      <c r="LQV202" s="36"/>
      <c r="LQW202" s="36"/>
      <c r="LQX202" s="36"/>
      <c r="LQY202" s="36"/>
      <c r="LQZ202" s="36"/>
      <c r="LRA202" s="36"/>
      <c r="LRB202" s="36"/>
      <c r="LRC202" s="36"/>
      <c r="LRD202" s="36"/>
      <c r="LRE202" s="36"/>
      <c r="LRF202" s="36"/>
      <c r="LRG202" s="36"/>
      <c r="LRH202" s="36"/>
      <c r="LRI202" s="36"/>
      <c r="LRJ202" s="36"/>
      <c r="LRK202" s="36"/>
      <c r="LRL202" s="36"/>
      <c r="LRM202" s="36"/>
      <c r="LRN202" s="36"/>
      <c r="LRO202" s="36"/>
      <c r="LRP202" s="36"/>
      <c r="LRQ202" s="36"/>
      <c r="LRR202" s="36"/>
      <c r="LRS202" s="36"/>
      <c r="LRT202" s="36"/>
      <c r="LRU202" s="36"/>
      <c r="LRV202" s="36"/>
      <c r="LRW202" s="36"/>
      <c r="LRX202" s="36"/>
      <c r="LRY202" s="36"/>
      <c r="LRZ202" s="36"/>
      <c r="LSA202" s="36"/>
      <c r="LSB202" s="36"/>
      <c r="LSC202" s="36"/>
      <c r="LSD202" s="36"/>
      <c r="LSE202" s="36"/>
      <c r="LSF202" s="36"/>
      <c r="LSG202" s="36"/>
      <c r="LSH202" s="36"/>
      <c r="LSI202" s="36"/>
      <c r="LSJ202" s="36"/>
      <c r="LSK202" s="36"/>
      <c r="LSL202" s="36"/>
      <c r="LSM202" s="36"/>
      <c r="LSN202" s="36"/>
      <c r="LSO202" s="36"/>
      <c r="LSP202" s="36"/>
      <c r="LSQ202" s="36"/>
      <c r="LSR202" s="36"/>
      <c r="LSS202" s="36"/>
      <c r="LST202" s="36"/>
      <c r="LSU202" s="36"/>
      <c r="LSV202" s="36"/>
      <c r="LSW202" s="36"/>
      <c r="LSX202" s="36"/>
      <c r="LSY202" s="36"/>
      <c r="LSZ202" s="36"/>
      <c r="LTA202" s="36"/>
      <c r="LTB202" s="36"/>
      <c r="LTC202" s="36"/>
      <c r="LTD202" s="36"/>
      <c r="LTE202" s="36"/>
      <c r="LTF202" s="36"/>
      <c r="LTG202" s="36"/>
      <c r="LTH202" s="36"/>
      <c r="LTI202" s="36"/>
      <c r="LTJ202" s="36"/>
      <c r="LTK202" s="36"/>
      <c r="LTL202" s="36"/>
      <c r="LTM202" s="36"/>
      <c r="LTN202" s="36"/>
      <c r="LTO202" s="36"/>
      <c r="LTP202" s="36"/>
      <c r="LTQ202" s="36"/>
      <c r="LTR202" s="36"/>
      <c r="LTS202" s="36"/>
      <c r="LTT202" s="36"/>
      <c r="LTU202" s="36"/>
      <c r="LTV202" s="36"/>
      <c r="LTW202" s="36"/>
      <c r="LTX202" s="36"/>
      <c r="LTY202" s="36"/>
      <c r="LTZ202" s="36"/>
      <c r="LUA202" s="36"/>
      <c r="LUB202" s="36"/>
      <c r="LUC202" s="36"/>
      <c r="LUD202" s="36"/>
      <c r="LUE202" s="36"/>
      <c r="LUF202" s="36"/>
      <c r="LUG202" s="36"/>
      <c r="LUH202" s="36"/>
      <c r="LUI202" s="36"/>
      <c r="LUJ202" s="36"/>
      <c r="LUK202" s="36"/>
      <c r="LUL202" s="36"/>
      <c r="LUM202" s="36"/>
      <c r="LUN202" s="36"/>
      <c r="LUO202" s="36"/>
      <c r="LUP202" s="36"/>
      <c r="LUQ202" s="36"/>
      <c r="LUR202" s="36"/>
      <c r="LUS202" s="36"/>
      <c r="LUT202" s="36"/>
      <c r="LUU202" s="36"/>
      <c r="LUV202" s="36"/>
      <c r="LUW202" s="36"/>
      <c r="LUX202" s="36"/>
      <c r="LUY202" s="36"/>
      <c r="LUZ202" s="36"/>
      <c r="LVA202" s="36"/>
      <c r="LVB202" s="36"/>
      <c r="LVC202" s="36"/>
      <c r="LVD202" s="36"/>
      <c r="LVE202" s="36"/>
      <c r="LVF202" s="36"/>
      <c r="LVG202" s="36"/>
      <c r="LVH202" s="36"/>
      <c r="LVI202" s="36"/>
      <c r="LVJ202" s="36"/>
      <c r="LVK202" s="36"/>
      <c r="LVL202" s="36"/>
      <c r="LVM202" s="36"/>
      <c r="LVN202" s="36"/>
      <c r="LVO202" s="36"/>
      <c r="LVP202" s="36"/>
      <c r="LVQ202" s="36"/>
      <c r="LVR202" s="36"/>
      <c r="LVS202" s="36"/>
      <c r="LVT202" s="36"/>
      <c r="LVU202" s="36"/>
      <c r="LVV202" s="36"/>
      <c r="LVW202" s="36"/>
      <c r="LVX202" s="36"/>
      <c r="LVY202" s="36"/>
      <c r="LVZ202" s="36"/>
      <c r="LWA202" s="36"/>
      <c r="LWB202" s="36"/>
      <c r="LWC202" s="36"/>
      <c r="LWD202" s="36"/>
      <c r="LWE202" s="36"/>
      <c r="LWF202" s="36"/>
      <c r="LWG202" s="36"/>
      <c r="LWH202" s="36"/>
      <c r="LWI202" s="36"/>
      <c r="LWJ202" s="36"/>
      <c r="LWK202" s="36"/>
      <c r="LWL202" s="36"/>
      <c r="LWM202" s="36"/>
      <c r="LWN202" s="36"/>
      <c r="LWO202" s="36"/>
      <c r="LWP202" s="36"/>
      <c r="LWQ202" s="36"/>
      <c r="LWR202" s="36"/>
      <c r="LWS202" s="36"/>
      <c r="LWT202" s="36"/>
      <c r="LWU202" s="36"/>
      <c r="LWV202" s="36"/>
      <c r="LWW202" s="36"/>
      <c r="LWX202" s="36"/>
      <c r="LWY202" s="36"/>
      <c r="LWZ202" s="36"/>
      <c r="LXA202" s="36"/>
      <c r="LXB202" s="36"/>
      <c r="LXC202" s="36"/>
      <c r="LXD202" s="36"/>
      <c r="LXE202" s="36"/>
      <c r="LXF202" s="36"/>
      <c r="LXG202" s="36"/>
      <c r="LXH202" s="36"/>
      <c r="LXI202" s="36"/>
      <c r="LXJ202" s="36"/>
      <c r="LXK202" s="36"/>
      <c r="LXL202" s="36"/>
      <c r="LXM202" s="36"/>
      <c r="LXN202" s="36"/>
      <c r="LXO202" s="36"/>
      <c r="LXP202" s="36"/>
      <c r="LXQ202" s="36"/>
      <c r="LXR202" s="36"/>
      <c r="LXS202" s="36"/>
      <c r="LXT202" s="36"/>
      <c r="LXU202" s="36"/>
      <c r="LXV202" s="36"/>
      <c r="LXW202" s="36"/>
      <c r="LXX202" s="36"/>
      <c r="LXY202" s="36"/>
      <c r="LXZ202" s="36"/>
      <c r="LYA202" s="36"/>
      <c r="LYB202" s="36"/>
      <c r="LYC202" s="36"/>
      <c r="LYD202" s="36"/>
      <c r="LYE202" s="36"/>
      <c r="LYF202" s="36"/>
      <c r="LYG202" s="36"/>
      <c r="LYH202" s="36"/>
      <c r="LYI202" s="36"/>
      <c r="LYJ202" s="36"/>
      <c r="LYK202" s="36"/>
      <c r="LYL202" s="36"/>
      <c r="LYM202" s="36"/>
      <c r="LYN202" s="36"/>
      <c r="LYO202" s="36"/>
      <c r="LYP202" s="36"/>
      <c r="LYQ202" s="36"/>
      <c r="LYR202" s="36"/>
      <c r="LYS202" s="36"/>
      <c r="LYT202" s="36"/>
      <c r="LYU202" s="36"/>
      <c r="LYV202" s="36"/>
      <c r="LYW202" s="36"/>
      <c r="LYX202" s="36"/>
      <c r="LYY202" s="36"/>
      <c r="LYZ202" s="36"/>
      <c r="LZA202" s="36"/>
      <c r="LZB202" s="36"/>
      <c r="LZC202" s="36"/>
      <c r="LZD202" s="36"/>
      <c r="LZE202" s="36"/>
      <c r="LZF202" s="36"/>
      <c r="LZG202" s="36"/>
      <c r="LZH202" s="36"/>
      <c r="LZI202" s="36"/>
      <c r="LZJ202" s="36"/>
      <c r="LZK202" s="36"/>
      <c r="LZL202" s="36"/>
      <c r="LZM202" s="36"/>
      <c r="LZN202" s="36"/>
      <c r="LZO202" s="36"/>
      <c r="LZP202" s="36"/>
      <c r="LZQ202" s="36"/>
      <c r="LZR202" s="36"/>
      <c r="LZS202" s="36"/>
      <c r="LZT202" s="36"/>
      <c r="LZU202" s="36"/>
      <c r="LZV202" s="36"/>
      <c r="LZW202" s="36"/>
      <c r="LZX202" s="36"/>
      <c r="LZY202" s="36"/>
      <c r="LZZ202" s="36"/>
      <c r="MAA202" s="36"/>
      <c r="MAB202" s="36"/>
      <c r="MAC202" s="36"/>
      <c r="MAD202" s="36"/>
      <c r="MAE202" s="36"/>
      <c r="MAF202" s="36"/>
      <c r="MAG202" s="36"/>
      <c r="MAH202" s="36"/>
      <c r="MAI202" s="36"/>
      <c r="MAJ202" s="36"/>
      <c r="MAK202" s="36"/>
      <c r="MAL202" s="36"/>
      <c r="MAM202" s="36"/>
      <c r="MAN202" s="36"/>
      <c r="MAO202" s="36"/>
      <c r="MAP202" s="36"/>
      <c r="MAQ202" s="36"/>
      <c r="MAR202" s="36"/>
      <c r="MAS202" s="36"/>
      <c r="MAT202" s="36"/>
      <c r="MAU202" s="36"/>
      <c r="MAV202" s="36"/>
      <c r="MAW202" s="36"/>
      <c r="MAX202" s="36"/>
      <c r="MAY202" s="36"/>
      <c r="MAZ202" s="36"/>
      <c r="MBA202" s="36"/>
      <c r="MBB202" s="36"/>
      <c r="MBC202" s="36"/>
      <c r="MBD202" s="36"/>
      <c r="MBE202" s="36"/>
      <c r="MBF202" s="36"/>
      <c r="MBG202" s="36"/>
      <c r="MBH202" s="36"/>
      <c r="MBI202" s="36"/>
      <c r="MBJ202" s="36"/>
      <c r="MBK202" s="36"/>
      <c r="MBL202" s="36"/>
      <c r="MBM202" s="36"/>
      <c r="MBN202" s="36"/>
      <c r="MBO202" s="36"/>
      <c r="MBP202" s="36"/>
      <c r="MBQ202" s="36"/>
      <c r="MBR202" s="36"/>
      <c r="MBS202" s="36"/>
      <c r="MBT202" s="36"/>
      <c r="MBU202" s="36"/>
      <c r="MBV202" s="36"/>
      <c r="MBW202" s="36"/>
      <c r="MBX202" s="36"/>
      <c r="MBY202" s="36"/>
      <c r="MBZ202" s="36"/>
      <c r="MCA202" s="36"/>
      <c r="MCB202" s="36"/>
      <c r="MCC202" s="36"/>
      <c r="MCD202" s="36"/>
      <c r="MCE202" s="36"/>
      <c r="MCF202" s="36"/>
      <c r="MCG202" s="36"/>
      <c r="MCH202" s="36"/>
      <c r="MCI202" s="36"/>
      <c r="MCJ202" s="36"/>
      <c r="MCK202" s="36"/>
      <c r="MCL202" s="36"/>
      <c r="MCM202" s="36"/>
      <c r="MCN202" s="36"/>
      <c r="MCO202" s="36"/>
      <c r="MCP202" s="36"/>
      <c r="MCQ202" s="36"/>
      <c r="MCR202" s="36"/>
      <c r="MCS202" s="36"/>
      <c r="MCT202" s="36"/>
      <c r="MCU202" s="36"/>
      <c r="MCV202" s="36"/>
      <c r="MCW202" s="36"/>
      <c r="MCX202" s="36"/>
      <c r="MCY202" s="36"/>
      <c r="MCZ202" s="36"/>
      <c r="MDA202" s="36"/>
      <c r="MDB202" s="36"/>
      <c r="MDC202" s="36"/>
      <c r="MDD202" s="36"/>
      <c r="MDE202" s="36"/>
      <c r="MDF202" s="36"/>
      <c r="MDG202" s="36"/>
      <c r="MDH202" s="36"/>
      <c r="MDI202" s="36"/>
      <c r="MDJ202" s="36"/>
      <c r="MDK202" s="36"/>
      <c r="MDL202" s="36"/>
      <c r="MDM202" s="36"/>
      <c r="MDN202" s="36"/>
      <c r="MDO202" s="36"/>
      <c r="MDP202" s="36"/>
      <c r="MDQ202" s="36"/>
      <c r="MDR202" s="36"/>
      <c r="MDS202" s="36"/>
      <c r="MDT202" s="36"/>
      <c r="MDU202" s="36"/>
      <c r="MDV202" s="36"/>
      <c r="MDW202" s="36"/>
      <c r="MDX202" s="36"/>
      <c r="MDY202" s="36"/>
      <c r="MDZ202" s="36"/>
      <c r="MEA202" s="36"/>
      <c r="MEB202" s="36"/>
      <c r="MEC202" s="36"/>
      <c r="MED202" s="36"/>
      <c r="MEE202" s="36"/>
      <c r="MEF202" s="36"/>
      <c r="MEG202" s="36"/>
      <c r="MEH202" s="36"/>
      <c r="MEI202" s="36"/>
      <c r="MEJ202" s="36"/>
      <c r="MEK202" s="36"/>
      <c r="MEL202" s="36"/>
      <c r="MEM202" s="36"/>
      <c r="MEN202" s="36"/>
      <c r="MEO202" s="36"/>
      <c r="MEP202" s="36"/>
      <c r="MEQ202" s="36"/>
      <c r="MER202" s="36"/>
      <c r="MES202" s="36"/>
      <c r="MET202" s="36"/>
      <c r="MEU202" s="36"/>
      <c r="MEV202" s="36"/>
      <c r="MEW202" s="36"/>
      <c r="MEX202" s="36"/>
      <c r="MEY202" s="36"/>
      <c r="MEZ202" s="36"/>
      <c r="MFA202" s="36"/>
      <c r="MFB202" s="36"/>
      <c r="MFC202" s="36"/>
      <c r="MFD202" s="36"/>
      <c r="MFE202" s="36"/>
      <c r="MFF202" s="36"/>
      <c r="MFG202" s="36"/>
      <c r="MFH202" s="36"/>
      <c r="MFI202" s="36"/>
      <c r="MFJ202" s="36"/>
      <c r="MFK202" s="36"/>
      <c r="MFL202" s="36"/>
      <c r="MFM202" s="36"/>
      <c r="MFN202" s="36"/>
      <c r="MFO202" s="36"/>
      <c r="MFP202" s="36"/>
      <c r="MFQ202" s="36"/>
      <c r="MFR202" s="36"/>
      <c r="MFS202" s="36"/>
      <c r="MFT202" s="36"/>
      <c r="MFU202" s="36"/>
      <c r="MFV202" s="36"/>
      <c r="MFW202" s="36"/>
      <c r="MFX202" s="36"/>
      <c r="MFY202" s="36"/>
      <c r="MFZ202" s="36"/>
      <c r="MGA202" s="36"/>
      <c r="MGB202" s="36"/>
      <c r="MGC202" s="36"/>
      <c r="MGD202" s="36"/>
      <c r="MGE202" s="36"/>
      <c r="MGF202" s="36"/>
      <c r="MGG202" s="36"/>
      <c r="MGH202" s="36"/>
      <c r="MGI202" s="36"/>
      <c r="MGJ202" s="36"/>
      <c r="MGK202" s="36"/>
      <c r="MGL202" s="36"/>
      <c r="MGM202" s="36"/>
      <c r="MGN202" s="36"/>
      <c r="MGO202" s="36"/>
      <c r="MGP202" s="36"/>
      <c r="MGQ202" s="36"/>
      <c r="MGR202" s="36"/>
      <c r="MGS202" s="36"/>
      <c r="MGT202" s="36"/>
      <c r="MGU202" s="36"/>
      <c r="MGV202" s="36"/>
      <c r="MGW202" s="36"/>
      <c r="MGX202" s="36"/>
      <c r="MGY202" s="36"/>
      <c r="MGZ202" s="36"/>
      <c r="MHA202" s="36"/>
      <c r="MHB202" s="36"/>
      <c r="MHC202" s="36"/>
      <c r="MHD202" s="36"/>
      <c r="MHE202" s="36"/>
      <c r="MHF202" s="36"/>
      <c r="MHG202" s="36"/>
      <c r="MHH202" s="36"/>
      <c r="MHI202" s="36"/>
      <c r="MHJ202" s="36"/>
      <c r="MHK202" s="36"/>
      <c r="MHL202" s="36"/>
      <c r="MHM202" s="36"/>
      <c r="MHN202" s="36"/>
      <c r="MHO202" s="36"/>
      <c r="MHP202" s="36"/>
      <c r="MHQ202" s="36"/>
      <c r="MHR202" s="36"/>
      <c r="MHS202" s="36"/>
      <c r="MHT202" s="36"/>
      <c r="MHU202" s="36"/>
      <c r="MHV202" s="36"/>
      <c r="MHW202" s="36"/>
      <c r="MHX202" s="36"/>
      <c r="MHY202" s="36"/>
      <c r="MHZ202" s="36"/>
      <c r="MIA202" s="36"/>
      <c r="MIB202" s="36"/>
      <c r="MIC202" s="36"/>
      <c r="MID202" s="36"/>
      <c r="MIE202" s="36"/>
      <c r="MIF202" s="36"/>
      <c r="MIG202" s="36"/>
      <c r="MIH202" s="36"/>
      <c r="MII202" s="36"/>
      <c r="MIJ202" s="36"/>
      <c r="MIK202" s="36"/>
      <c r="MIL202" s="36"/>
      <c r="MIM202" s="36"/>
      <c r="MIN202" s="36"/>
      <c r="MIO202" s="36"/>
      <c r="MIP202" s="36"/>
      <c r="MIQ202" s="36"/>
      <c r="MIR202" s="36"/>
      <c r="MIS202" s="36"/>
      <c r="MIT202" s="36"/>
      <c r="MIU202" s="36"/>
      <c r="MIV202" s="36"/>
      <c r="MIW202" s="36"/>
      <c r="MIX202" s="36"/>
      <c r="MIY202" s="36"/>
      <c r="MIZ202" s="36"/>
      <c r="MJA202" s="36"/>
      <c r="MJB202" s="36"/>
      <c r="MJC202" s="36"/>
      <c r="MJD202" s="36"/>
      <c r="MJE202" s="36"/>
      <c r="MJF202" s="36"/>
      <c r="MJG202" s="36"/>
      <c r="MJH202" s="36"/>
      <c r="MJI202" s="36"/>
      <c r="MJJ202" s="36"/>
      <c r="MJK202" s="36"/>
      <c r="MJL202" s="36"/>
      <c r="MJM202" s="36"/>
      <c r="MJN202" s="36"/>
      <c r="MJO202" s="36"/>
      <c r="MJP202" s="36"/>
      <c r="MJQ202" s="36"/>
      <c r="MJR202" s="36"/>
      <c r="MJS202" s="36"/>
      <c r="MJT202" s="36"/>
      <c r="MJU202" s="36"/>
      <c r="MJV202" s="36"/>
      <c r="MJW202" s="36"/>
      <c r="MJX202" s="36"/>
      <c r="MJY202" s="36"/>
      <c r="MJZ202" s="36"/>
      <c r="MKA202" s="36"/>
      <c r="MKB202" s="36"/>
      <c r="MKC202" s="36"/>
      <c r="MKD202" s="36"/>
      <c r="MKE202" s="36"/>
      <c r="MKF202" s="36"/>
      <c r="MKG202" s="36"/>
      <c r="MKH202" s="36"/>
      <c r="MKI202" s="36"/>
      <c r="MKJ202" s="36"/>
      <c r="MKK202" s="36"/>
      <c r="MKL202" s="36"/>
      <c r="MKM202" s="36"/>
      <c r="MKN202" s="36"/>
      <c r="MKO202" s="36"/>
      <c r="MKP202" s="36"/>
      <c r="MKQ202" s="36"/>
      <c r="MKR202" s="36"/>
      <c r="MKS202" s="36"/>
      <c r="MKT202" s="36"/>
      <c r="MKU202" s="36"/>
      <c r="MKV202" s="36"/>
      <c r="MKW202" s="36"/>
      <c r="MKX202" s="36"/>
      <c r="MKY202" s="36"/>
      <c r="MKZ202" s="36"/>
      <c r="MLA202" s="36"/>
      <c r="MLB202" s="36"/>
      <c r="MLC202" s="36"/>
      <c r="MLD202" s="36"/>
      <c r="MLE202" s="36"/>
      <c r="MLF202" s="36"/>
      <c r="MLG202" s="36"/>
      <c r="MLH202" s="36"/>
      <c r="MLI202" s="36"/>
      <c r="MLJ202" s="36"/>
      <c r="MLK202" s="36"/>
      <c r="MLL202" s="36"/>
      <c r="MLM202" s="36"/>
      <c r="MLN202" s="36"/>
      <c r="MLO202" s="36"/>
      <c r="MLP202" s="36"/>
      <c r="MLQ202" s="36"/>
      <c r="MLR202" s="36"/>
      <c r="MLS202" s="36"/>
      <c r="MLT202" s="36"/>
      <c r="MLU202" s="36"/>
      <c r="MLV202" s="36"/>
      <c r="MLW202" s="36"/>
      <c r="MLX202" s="36"/>
      <c r="MLY202" s="36"/>
      <c r="MLZ202" s="36"/>
      <c r="MMA202" s="36"/>
      <c r="MMB202" s="36"/>
      <c r="MMC202" s="36"/>
      <c r="MMD202" s="36"/>
      <c r="MME202" s="36"/>
      <c r="MMF202" s="36"/>
      <c r="MMG202" s="36"/>
      <c r="MMH202" s="36"/>
      <c r="MMI202" s="36"/>
      <c r="MMJ202" s="36"/>
      <c r="MMK202" s="36"/>
      <c r="MML202" s="36"/>
      <c r="MMM202" s="36"/>
      <c r="MMN202" s="36"/>
      <c r="MMO202" s="36"/>
      <c r="MMP202" s="36"/>
      <c r="MMQ202" s="36"/>
      <c r="MMR202" s="36"/>
      <c r="MMS202" s="36"/>
      <c r="MMT202" s="36"/>
      <c r="MMU202" s="36"/>
      <c r="MMV202" s="36"/>
      <c r="MMW202" s="36"/>
      <c r="MMX202" s="36"/>
      <c r="MMY202" s="36"/>
      <c r="MMZ202" s="36"/>
      <c r="MNA202" s="36"/>
      <c r="MNB202" s="36"/>
      <c r="MNC202" s="36"/>
      <c r="MND202" s="36"/>
      <c r="MNE202" s="36"/>
      <c r="MNF202" s="36"/>
      <c r="MNG202" s="36"/>
      <c r="MNH202" s="36"/>
      <c r="MNI202" s="36"/>
      <c r="MNJ202" s="36"/>
      <c r="MNK202" s="36"/>
      <c r="MNL202" s="36"/>
      <c r="MNM202" s="36"/>
      <c r="MNN202" s="36"/>
      <c r="MNO202" s="36"/>
      <c r="MNP202" s="36"/>
      <c r="MNQ202" s="36"/>
      <c r="MNR202" s="36"/>
      <c r="MNS202" s="36"/>
      <c r="MNT202" s="36"/>
      <c r="MNU202" s="36"/>
      <c r="MNV202" s="36"/>
      <c r="MNW202" s="36"/>
      <c r="MNX202" s="36"/>
      <c r="MNY202" s="36"/>
      <c r="MNZ202" s="36"/>
      <c r="MOA202" s="36"/>
      <c r="MOB202" s="36"/>
      <c r="MOC202" s="36"/>
      <c r="MOD202" s="36"/>
      <c r="MOE202" s="36"/>
      <c r="MOF202" s="36"/>
      <c r="MOG202" s="36"/>
      <c r="MOH202" s="36"/>
      <c r="MOI202" s="36"/>
      <c r="MOJ202" s="36"/>
      <c r="MOK202" s="36"/>
      <c r="MOL202" s="36"/>
      <c r="MOM202" s="36"/>
      <c r="MON202" s="36"/>
      <c r="MOO202" s="36"/>
      <c r="MOP202" s="36"/>
      <c r="MOQ202" s="36"/>
      <c r="MOR202" s="36"/>
      <c r="MOS202" s="36"/>
      <c r="MOT202" s="36"/>
      <c r="MOU202" s="36"/>
      <c r="MOV202" s="36"/>
      <c r="MOW202" s="36"/>
      <c r="MOX202" s="36"/>
      <c r="MOY202" s="36"/>
      <c r="MOZ202" s="36"/>
      <c r="MPA202" s="36"/>
      <c r="MPB202" s="36"/>
      <c r="MPC202" s="36"/>
      <c r="MPD202" s="36"/>
      <c r="MPE202" s="36"/>
      <c r="MPF202" s="36"/>
      <c r="MPG202" s="36"/>
      <c r="MPH202" s="36"/>
      <c r="MPI202" s="36"/>
      <c r="MPJ202" s="36"/>
      <c r="MPK202" s="36"/>
      <c r="MPL202" s="36"/>
      <c r="MPM202" s="36"/>
      <c r="MPN202" s="36"/>
      <c r="MPO202" s="36"/>
      <c r="MPP202" s="36"/>
      <c r="MPQ202" s="36"/>
      <c r="MPR202" s="36"/>
      <c r="MPS202" s="36"/>
      <c r="MPT202" s="36"/>
      <c r="MPU202" s="36"/>
      <c r="MPV202" s="36"/>
      <c r="MPW202" s="36"/>
      <c r="MPX202" s="36"/>
      <c r="MPY202" s="36"/>
      <c r="MPZ202" s="36"/>
      <c r="MQA202" s="36"/>
      <c r="MQB202" s="36"/>
      <c r="MQC202" s="36"/>
      <c r="MQD202" s="36"/>
      <c r="MQE202" s="36"/>
      <c r="MQF202" s="36"/>
      <c r="MQG202" s="36"/>
      <c r="MQH202" s="36"/>
      <c r="MQI202" s="36"/>
      <c r="MQJ202" s="36"/>
      <c r="MQK202" s="36"/>
      <c r="MQL202" s="36"/>
      <c r="MQM202" s="36"/>
      <c r="MQN202" s="36"/>
      <c r="MQO202" s="36"/>
      <c r="MQP202" s="36"/>
      <c r="MQQ202" s="36"/>
      <c r="MQR202" s="36"/>
      <c r="MQS202" s="36"/>
      <c r="MQT202" s="36"/>
      <c r="MQU202" s="36"/>
      <c r="MQV202" s="36"/>
      <c r="MQW202" s="36"/>
      <c r="MQX202" s="36"/>
      <c r="MQY202" s="36"/>
      <c r="MQZ202" s="36"/>
      <c r="MRA202" s="36"/>
      <c r="MRB202" s="36"/>
      <c r="MRC202" s="36"/>
      <c r="MRD202" s="36"/>
      <c r="MRE202" s="36"/>
      <c r="MRF202" s="36"/>
      <c r="MRG202" s="36"/>
      <c r="MRH202" s="36"/>
      <c r="MRI202" s="36"/>
      <c r="MRJ202" s="36"/>
      <c r="MRK202" s="36"/>
      <c r="MRL202" s="36"/>
      <c r="MRM202" s="36"/>
      <c r="MRN202" s="36"/>
      <c r="MRO202" s="36"/>
      <c r="MRP202" s="36"/>
      <c r="MRQ202" s="36"/>
      <c r="MRR202" s="36"/>
      <c r="MRS202" s="36"/>
      <c r="MRT202" s="36"/>
      <c r="MRU202" s="36"/>
      <c r="MRV202" s="36"/>
      <c r="MRW202" s="36"/>
      <c r="MRX202" s="36"/>
      <c r="MRY202" s="36"/>
      <c r="MRZ202" s="36"/>
      <c r="MSA202" s="36"/>
      <c r="MSB202" s="36"/>
      <c r="MSC202" s="36"/>
      <c r="MSD202" s="36"/>
      <c r="MSE202" s="36"/>
      <c r="MSF202" s="36"/>
      <c r="MSG202" s="36"/>
      <c r="MSH202" s="36"/>
      <c r="MSI202" s="36"/>
      <c r="MSJ202" s="36"/>
      <c r="MSK202" s="36"/>
      <c r="MSL202" s="36"/>
      <c r="MSM202" s="36"/>
      <c r="MSN202" s="36"/>
      <c r="MSO202" s="36"/>
      <c r="MSP202" s="36"/>
      <c r="MSQ202" s="36"/>
      <c r="MSR202" s="36"/>
      <c r="MSS202" s="36"/>
      <c r="MST202" s="36"/>
      <c r="MSU202" s="36"/>
      <c r="MSV202" s="36"/>
      <c r="MSW202" s="36"/>
      <c r="MSX202" s="36"/>
      <c r="MSY202" s="36"/>
      <c r="MSZ202" s="36"/>
      <c r="MTA202" s="36"/>
      <c r="MTB202" s="36"/>
      <c r="MTC202" s="36"/>
      <c r="MTD202" s="36"/>
      <c r="MTE202" s="36"/>
      <c r="MTF202" s="36"/>
      <c r="MTG202" s="36"/>
      <c r="MTH202" s="36"/>
      <c r="MTI202" s="36"/>
      <c r="MTJ202" s="36"/>
      <c r="MTK202" s="36"/>
      <c r="MTL202" s="36"/>
      <c r="MTM202" s="36"/>
      <c r="MTN202" s="36"/>
      <c r="MTO202" s="36"/>
      <c r="MTP202" s="36"/>
      <c r="MTQ202" s="36"/>
      <c r="MTR202" s="36"/>
      <c r="MTS202" s="36"/>
      <c r="MTT202" s="36"/>
      <c r="MTU202" s="36"/>
      <c r="MTV202" s="36"/>
      <c r="MTW202" s="36"/>
      <c r="MTX202" s="36"/>
      <c r="MTY202" s="36"/>
      <c r="MTZ202" s="36"/>
      <c r="MUA202" s="36"/>
      <c r="MUB202" s="36"/>
      <c r="MUC202" s="36"/>
      <c r="MUD202" s="36"/>
      <c r="MUE202" s="36"/>
      <c r="MUF202" s="36"/>
      <c r="MUG202" s="36"/>
      <c r="MUH202" s="36"/>
      <c r="MUI202" s="36"/>
      <c r="MUJ202" s="36"/>
      <c r="MUK202" s="36"/>
      <c r="MUL202" s="36"/>
      <c r="MUM202" s="36"/>
      <c r="MUN202" s="36"/>
      <c r="MUO202" s="36"/>
      <c r="MUP202" s="36"/>
      <c r="MUQ202" s="36"/>
      <c r="MUR202" s="36"/>
      <c r="MUS202" s="36"/>
      <c r="MUT202" s="36"/>
      <c r="MUU202" s="36"/>
      <c r="MUV202" s="36"/>
      <c r="MUW202" s="36"/>
      <c r="MUX202" s="36"/>
      <c r="MUY202" s="36"/>
      <c r="MUZ202" s="36"/>
      <c r="MVA202" s="36"/>
      <c r="MVB202" s="36"/>
      <c r="MVC202" s="36"/>
      <c r="MVD202" s="36"/>
      <c r="MVE202" s="36"/>
      <c r="MVF202" s="36"/>
      <c r="MVG202" s="36"/>
      <c r="MVH202" s="36"/>
      <c r="MVI202" s="36"/>
      <c r="MVJ202" s="36"/>
      <c r="MVK202" s="36"/>
      <c r="MVL202" s="36"/>
      <c r="MVM202" s="36"/>
      <c r="MVN202" s="36"/>
      <c r="MVO202" s="36"/>
      <c r="MVP202" s="36"/>
      <c r="MVQ202" s="36"/>
      <c r="MVR202" s="36"/>
      <c r="MVS202" s="36"/>
      <c r="MVT202" s="36"/>
      <c r="MVU202" s="36"/>
      <c r="MVV202" s="36"/>
      <c r="MVW202" s="36"/>
      <c r="MVX202" s="36"/>
      <c r="MVY202" s="36"/>
      <c r="MVZ202" s="36"/>
      <c r="MWA202" s="36"/>
      <c r="MWB202" s="36"/>
      <c r="MWC202" s="36"/>
      <c r="MWD202" s="36"/>
      <c r="MWE202" s="36"/>
      <c r="MWF202" s="36"/>
      <c r="MWG202" s="36"/>
      <c r="MWH202" s="36"/>
      <c r="MWI202" s="36"/>
      <c r="MWJ202" s="36"/>
      <c r="MWK202" s="36"/>
      <c r="MWL202" s="36"/>
      <c r="MWM202" s="36"/>
      <c r="MWN202" s="36"/>
      <c r="MWO202" s="36"/>
      <c r="MWP202" s="36"/>
      <c r="MWQ202" s="36"/>
      <c r="MWR202" s="36"/>
      <c r="MWS202" s="36"/>
      <c r="MWT202" s="36"/>
      <c r="MWU202" s="36"/>
      <c r="MWV202" s="36"/>
      <c r="MWW202" s="36"/>
      <c r="MWX202" s="36"/>
      <c r="MWY202" s="36"/>
      <c r="MWZ202" s="36"/>
      <c r="MXA202" s="36"/>
      <c r="MXB202" s="36"/>
      <c r="MXC202" s="36"/>
      <c r="MXD202" s="36"/>
      <c r="MXE202" s="36"/>
      <c r="MXF202" s="36"/>
      <c r="MXG202" s="36"/>
      <c r="MXH202" s="36"/>
      <c r="MXI202" s="36"/>
      <c r="MXJ202" s="36"/>
      <c r="MXK202" s="36"/>
      <c r="MXL202" s="36"/>
      <c r="MXM202" s="36"/>
      <c r="MXN202" s="36"/>
      <c r="MXO202" s="36"/>
      <c r="MXP202" s="36"/>
      <c r="MXQ202" s="36"/>
      <c r="MXR202" s="36"/>
      <c r="MXS202" s="36"/>
      <c r="MXT202" s="36"/>
      <c r="MXU202" s="36"/>
      <c r="MXV202" s="36"/>
      <c r="MXW202" s="36"/>
      <c r="MXX202" s="36"/>
      <c r="MXY202" s="36"/>
      <c r="MXZ202" s="36"/>
      <c r="MYA202" s="36"/>
      <c r="MYB202" s="36"/>
      <c r="MYC202" s="36"/>
      <c r="MYD202" s="36"/>
      <c r="MYE202" s="36"/>
      <c r="MYF202" s="36"/>
      <c r="MYG202" s="36"/>
      <c r="MYH202" s="36"/>
      <c r="MYI202" s="36"/>
      <c r="MYJ202" s="36"/>
      <c r="MYK202" s="36"/>
      <c r="MYL202" s="36"/>
      <c r="MYM202" s="36"/>
      <c r="MYN202" s="36"/>
      <c r="MYO202" s="36"/>
      <c r="MYP202" s="36"/>
      <c r="MYQ202" s="36"/>
      <c r="MYR202" s="36"/>
      <c r="MYS202" s="36"/>
      <c r="MYT202" s="36"/>
      <c r="MYU202" s="36"/>
      <c r="MYV202" s="36"/>
      <c r="MYW202" s="36"/>
      <c r="MYX202" s="36"/>
      <c r="MYY202" s="36"/>
      <c r="MYZ202" s="36"/>
      <c r="MZA202" s="36"/>
      <c r="MZB202" s="36"/>
      <c r="MZC202" s="36"/>
      <c r="MZD202" s="36"/>
      <c r="MZE202" s="36"/>
      <c r="MZF202" s="36"/>
      <c r="MZG202" s="36"/>
      <c r="MZH202" s="36"/>
      <c r="MZI202" s="36"/>
      <c r="MZJ202" s="36"/>
      <c r="MZK202" s="36"/>
      <c r="MZL202" s="36"/>
      <c r="MZM202" s="36"/>
      <c r="MZN202" s="36"/>
      <c r="MZO202" s="36"/>
      <c r="MZP202" s="36"/>
      <c r="MZQ202" s="36"/>
      <c r="MZR202" s="36"/>
      <c r="MZS202" s="36"/>
      <c r="MZT202" s="36"/>
      <c r="MZU202" s="36"/>
      <c r="MZV202" s="36"/>
      <c r="MZW202" s="36"/>
      <c r="MZX202" s="36"/>
      <c r="MZY202" s="36"/>
      <c r="MZZ202" s="36"/>
      <c r="NAA202" s="36"/>
      <c r="NAB202" s="36"/>
      <c r="NAC202" s="36"/>
      <c r="NAD202" s="36"/>
      <c r="NAE202" s="36"/>
      <c r="NAF202" s="36"/>
      <c r="NAG202" s="36"/>
      <c r="NAH202" s="36"/>
      <c r="NAI202" s="36"/>
      <c r="NAJ202" s="36"/>
      <c r="NAK202" s="36"/>
      <c r="NAL202" s="36"/>
      <c r="NAM202" s="36"/>
      <c r="NAN202" s="36"/>
      <c r="NAO202" s="36"/>
      <c r="NAP202" s="36"/>
      <c r="NAQ202" s="36"/>
      <c r="NAR202" s="36"/>
      <c r="NAS202" s="36"/>
      <c r="NAT202" s="36"/>
      <c r="NAU202" s="36"/>
      <c r="NAV202" s="36"/>
      <c r="NAW202" s="36"/>
      <c r="NAX202" s="36"/>
      <c r="NAY202" s="36"/>
      <c r="NAZ202" s="36"/>
      <c r="NBA202" s="36"/>
      <c r="NBB202" s="36"/>
      <c r="NBC202" s="36"/>
      <c r="NBD202" s="36"/>
      <c r="NBE202" s="36"/>
      <c r="NBF202" s="36"/>
      <c r="NBG202" s="36"/>
      <c r="NBH202" s="36"/>
      <c r="NBI202" s="36"/>
      <c r="NBJ202" s="36"/>
      <c r="NBK202" s="36"/>
      <c r="NBL202" s="36"/>
      <c r="NBM202" s="36"/>
      <c r="NBN202" s="36"/>
      <c r="NBO202" s="36"/>
      <c r="NBP202" s="36"/>
      <c r="NBQ202" s="36"/>
      <c r="NBR202" s="36"/>
      <c r="NBS202" s="36"/>
      <c r="NBT202" s="36"/>
      <c r="NBU202" s="36"/>
      <c r="NBV202" s="36"/>
      <c r="NBW202" s="36"/>
      <c r="NBX202" s="36"/>
      <c r="NBY202" s="36"/>
      <c r="NBZ202" s="36"/>
      <c r="NCA202" s="36"/>
      <c r="NCB202" s="36"/>
      <c r="NCC202" s="36"/>
      <c r="NCD202" s="36"/>
      <c r="NCE202" s="36"/>
      <c r="NCF202" s="36"/>
      <c r="NCG202" s="36"/>
      <c r="NCH202" s="36"/>
      <c r="NCI202" s="36"/>
      <c r="NCJ202" s="36"/>
      <c r="NCK202" s="36"/>
      <c r="NCL202" s="36"/>
      <c r="NCM202" s="36"/>
      <c r="NCN202" s="36"/>
      <c r="NCO202" s="36"/>
      <c r="NCP202" s="36"/>
      <c r="NCQ202" s="36"/>
      <c r="NCR202" s="36"/>
      <c r="NCS202" s="36"/>
      <c r="NCT202" s="36"/>
      <c r="NCU202" s="36"/>
      <c r="NCV202" s="36"/>
      <c r="NCW202" s="36"/>
      <c r="NCX202" s="36"/>
      <c r="NCY202" s="36"/>
      <c r="NCZ202" s="36"/>
      <c r="NDA202" s="36"/>
      <c r="NDB202" s="36"/>
      <c r="NDC202" s="36"/>
      <c r="NDD202" s="36"/>
      <c r="NDE202" s="36"/>
      <c r="NDF202" s="36"/>
      <c r="NDG202" s="36"/>
      <c r="NDH202" s="36"/>
      <c r="NDI202" s="36"/>
      <c r="NDJ202" s="36"/>
      <c r="NDK202" s="36"/>
      <c r="NDL202" s="36"/>
      <c r="NDM202" s="36"/>
      <c r="NDN202" s="36"/>
      <c r="NDO202" s="36"/>
      <c r="NDP202" s="36"/>
      <c r="NDQ202" s="36"/>
      <c r="NDR202" s="36"/>
      <c r="NDS202" s="36"/>
      <c r="NDT202" s="36"/>
      <c r="NDU202" s="36"/>
      <c r="NDV202" s="36"/>
      <c r="NDW202" s="36"/>
      <c r="NDX202" s="36"/>
      <c r="NDY202" s="36"/>
      <c r="NDZ202" s="36"/>
      <c r="NEA202" s="36"/>
      <c r="NEB202" s="36"/>
      <c r="NEC202" s="36"/>
      <c r="NED202" s="36"/>
      <c r="NEE202" s="36"/>
      <c r="NEF202" s="36"/>
      <c r="NEG202" s="36"/>
      <c r="NEH202" s="36"/>
      <c r="NEI202" s="36"/>
      <c r="NEJ202" s="36"/>
      <c r="NEK202" s="36"/>
      <c r="NEL202" s="36"/>
      <c r="NEM202" s="36"/>
      <c r="NEN202" s="36"/>
      <c r="NEO202" s="36"/>
      <c r="NEP202" s="36"/>
      <c r="NEQ202" s="36"/>
      <c r="NER202" s="36"/>
      <c r="NES202" s="36"/>
      <c r="NET202" s="36"/>
      <c r="NEU202" s="36"/>
      <c r="NEV202" s="36"/>
      <c r="NEW202" s="36"/>
      <c r="NEX202" s="36"/>
      <c r="NEY202" s="36"/>
      <c r="NEZ202" s="36"/>
      <c r="NFA202" s="36"/>
      <c r="NFB202" s="36"/>
      <c r="NFC202" s="36"/>
      <c r="NFD202" s="36"/>
      <c r="NFE202" s="36"/>
      <c r="NFF202" s="36"/>
      <c r="NFG202" s="36"/>
      <c r="NFH202" s="36"/>
      <c r="NFI202" s="36"/>
      <c r="NFJ202" s="36"/>
      <c r="NFK202" s="36"/>
      <c r="NFL202" s="36"/>
      <c r="NFM202" s="36"/>
      <c r="NFN202" s="36"/>
      <c r="NFO202" s="36"/>
      <c r="NFP202" s="36"/>
      <c r="NFQ202" s="36"/>
      <c r="NFR202" s="36"/>
      <c r="NFS202" s="36"/>
      <c r="NFT202" s="36"/>
      <c r="NFU202" s="36"/>
      <c r="NFV202" s="36"/>
      <c r="NFW202" s="36"/>
      <c r="NFX202" s="36"/>
      <c r="NFY202" s="36"/>
      <c r="NFZ202" s="36"/>
      <c r="NGA202" s="36"/>
      <c r="NGB202" s="36"/>
      <c r="NGC202" s="36"/>
      <c r="NGD202" s="36"/>
      <c r="NGE202" s="36"/>
      <c r="NGF202" s="36"/>
      <c r="NGG202" s="36"/>
      <c r="NGH202" s="36"/>
      <c r="NGI202" s="36"/>
      <c r="NGJ202" s="36"/>
      <c r="NGK202" s="36"/>
      <c r="NGL202" s="36"/>
      <c r="NGM202" s="36"/>
      <c r="NGN202" s="36"/>
      <c r="NGO202" s="36"/>
      <c r="NGP202" s="36"/>
      <c r="NGQ202" s="36"/>
      <c r="NGR202" s="36"/>
      <c r="NGS202" s="36"/>
      <c r="NGT202" s="36"/>
      <c r="NGU202" s="36"/>
      <c r="NGV202" s="36"/>
      <c r="NGW202" s="36"/>
      <c r="NGX202" s="36"/>
      <c r="NGY202" s="36"/>
      <c r="NGZ202" s="36"/>
      <c r="NHA202" s="36"/>
      <c r="NHB202" s="36"/>
      <c r="NHC202" s="36"/>
      <c r="NHD202" s="36"/>
      <c r="NHE202" s="36"/>
      <c r="NHF202" s="36"/>
      <c r="NHG202" s="36"/>
      <c r="NHH202" s="36"/>
      <c r="NHI202" s="36"/>
      <c r="NHJ202" s="36"/>
      <c r="NHK202" s="36"/>
      <c r="NHL202" s="36"/>
      <c r="NHM202" s="36"/>
      <c r="NHN202" s="36"/>
      <c r="NHO202" s="36"/>
      <c r="NHP202" s="36"/>
      <c r="NHQ202" s="36"/>
      <c r="NHR202" s="36"/>
      <c r="NHS202" s="36"/>
      <c r="NHT202" s="36"/>
      <c r="NHU202" s="36"/>
      <c r="NHV202" s="36"/>
      <c r="NHW202" s="36"/>
      <c r="NHX202" s="36"/>
      <c r="NHY202" s="36"/>
      <c r="NHZ202" s="36"/>
      <c r="NIA202" s="36"/>
      <c r="NIB202" s="36"/>
      <c r="NIC202" s="36"/>
      <c r="NID202" s="36"/>
      <c r="NIE202" s="36"/>
      <c r="NIF202" s="36"/>
      <c r="NIG202" s="36"/>
      <c r="NIH202" s="36"/>
      <c r="NII202" s="36"/>
      <c r="NIJ202" s="36"/>
      <c r="NIK202" s="36"/>
      <c r="NIL202" s="36"/>
      <c r="NIM202" s="36"/>
      <c r="NIN202" s="36"/>
      <c r="NIO202" s="36"/>
      <c r="NIP202" s="36"/>
      <c r="NIQ202" s="36"/>
      <c r="NIR202" s="36"/>
      <c r="NIS202" s="36"/>
      <c r="NIT202" s="36"/>
      <c r="NIU202" s="36"/>
      <c r="NIV202" s="36"/>
      <c r="NIW202" s="36"/>
      <c r="NIX202" s="36"/>
      <c r="NIY202" s="36"/>
      <c r="NIZ202" s="36"/>
      <c r="NJA202" s="36"/>
      <c r="NJB202" s="36"/>
      <c r="NJC202" s="36"/>
      <c r="NJD202" s="36"/>
      <c r="NJE202" s="36"/>
      <c r="NJF202" s="36"/>
      <c r="NJG202" s="36"/>
      <c r="NJH202" s="36"/>
      <c r="NJI202" s="36"/>
      <c r="NJJ202" s="36"/>
      <c r="NJK202" s="36"/>
      <c r="NJL202" s="36"/>
      <c r="NJM202" s="36"/>
      <c r="NJN202" s="36"/>
      <c r="NJO202" s="36"/>
      <c r="NJP202" s="36"/>
      <c r="NJQ202" s="36"/>
      <c r="NJR202" s="36"/>
      <c r="NJS202" s="36"/>
      <c r="NJT202" s="36"/>
      <c r="NJU202" s="36"/>
      <c r="NJV202" s="36"/>
      <c r="NJW202" s="36"/>
      <c r="NJX202" s="36"/>
      <c r="NJY202" s="36"/>
      <c r="NJZ202" s="36"/>
      <c r="NKA202" s="36"/>
      <c r="NKB202" s="36"/>
      <c r="NKC202" s="36"/>
      <c r="NKD202" s="36"/>
      <c r="NKE202" s="36"/>
      <c r="NKF202" s="36"/>
      <c r="NKG202" s="36"/>
      <c r="NKH202" s="36"/>
      <c r="NKI202" s="36"/>
      <c r="NKJ202" s="36"/>
      <c r="NKK202" s="36"/>
      <c r="NKL202" s="36"/>
      <c r="NKM202" s="36"/>
      <c r="NKN202" s="36"/>
      <c r="NKO202" s="36"/>
      <c r="NKP202" s="36"/>
      <c r="NKQ202" s="36"/>
      <c r="NKR202" s="36"/>
      <c r="NKS202" s="36"/>
      <c r="NKT202" s="36"/>
      <c r="NKU202" s="36"/>
      <c r="NKV202" s="36"/>
      <c r="NKW202" s="36"/>
      <c r="NKX202" s="36"/>
      <c r="NKY202" s="36"/>
      <c r="NKZ202" s="36"/>
      <c r="NLA202" s="36"/>
      <c r="NLB202" s="36"/>
      <c r="NLC202" s="36"/>
      <c r="NLD202" s="36"/>
      <c r="NLE202" s="36"/>
      <c r="NLF202" s="36"/>
      <c r="NLG202" s="36"/>
      <c r="NLH202" s="36"/>
      <c r="NLI202" s="36"/>
      <c r="NLJ202" s="36"/>
      <c r="NLK202" s="36"/>
      <c r="NLL202" s="36"/>
      <c r="NLM202" s="36"/>
      <c r="NLN202" s="36"/>
      <c r="NLO202" s="36"/>
      <c r="NLP202" s="36"/>
      <c r="NLQ202" s="36"/>
      <c r="NLR202" s="36"/>
      <c r="NLS202" s="36"/>
      <c r="NLT202" s="36"/>
      <c r="NLU202" s="36"/>
      <c r="NLV202" s="36"/>
      <c r="NLW202" s="36"/>
      <c r="NLX202" s="36"/>
      <c r="NLY202" s="36"/>
      <c r="NLZ202" s="36"/>
      <c r="NMA202" s="36"/>
      <c r="NMB202" s="36"/>
      <c r="NMC202" s="36"/>
      <c r="NMD202" s="36"/>
      <c r="NME202" s="36"/>
      <c r="NMF202" s="36"/>
      <c r="NMG202" s="36"/>
      <c r="NMH202" s="36"/>
      <c r="NMI202" s="36"/>
      <c r="NMJ202" s="36"/>
      <c r="NMK202" s="36"/>
      <c r="NML202" s="36"/>
      <c r="NMM202" s="36"/>
      <c r="NMN202" s="36"/>
      <c r="NMO202" s="36"/>
      <c r="NMP202" s="36"/>
      <c r="NMQ202" s="36"/>
      <c r="NMR202" s="36"/>
      <c r="NMS202" s="36"/>
      <c r="NMT202" s="36"/>
      <c r="NMU202" s="36"/>
      <c r="NMV202" s="36"/>
      <c r="NMW202" s="36"/>
      <c r="NMX202" s="36"/>
      <c r="NMY202" s="36"/>
      <c r="NMZ202" s="36"/>
      <c r="NNA202" s="36"/>
      <c r="NNB202" s="36"/>
      <c r="NNC202" s="36"/>
      <c r="NND202" s="36"/>
      <c r="NNE202" s="36"/>
      <c r="NNF202" s="36"/>
      <c r="NNG202" s="36"/>
      <c r="NNH202" s="36"/>
      <c r="NNI202" s="36"/>
      <c r="NNJ202" s="36"/>
      <c r="NNK202" s="36"/>
      <c r="NNL202" s="36"/>
      <c r="NNM202" s="36"/>
      <c r="NNN202" s="36"/>
      <c r="NNO202" s="36"/>
      <c r="NNP202" s="36"/>
      <c r="NNQ202" s="36"/>
      <c r="NNR202" s="36"/>
      <c r="NNS202" s="36"/>
      <c r="NNT202" s="36"/>
      <c r="NNU202" s="36"/>
      <c r="NNV202" s="36"/>
      <c r="NNW202" s="36"/>
      <c r="NNX202" s="36"/>
      <c r="NNY202" s="36"/>
      <c r="NNZ202" s="36"/>
      <c r="NOA202" s="36"/>
      <c r="NOB202" s="36"/>
      <c r="NOC202" s="36"/>
      <c r="NOD202" s="36"/>
      <c r="NOE202" s="36"/>
      <c r="NOF202" s="36"/>
      <c r="NOG202" s="36"/>
      <c r="NOH202" s="36"/>
      <c r="NOI202" s="36"/>
      <c r="NOJ202" s="36"/>
      <c r="NOK202" s="36"/>
      <c r="NOL202" s="36"/>
      <c r="NOM202" s="36"/>
      <c r="NON202" s="36"/>
      <c r="NOO202" s="36"/>
      <c r="NOP202" s="36"/>
      <c r="NOQ202" s="36"/>
      <c r="NOR202" s="36"/>
      <c r="NOS202" s="36"/>
      <c r="NOT202" s="36"/>
      <c r="NOU202" s="36"/>
      <c r="NOV202" s="36"/>
      <c r="NOW202" s="36"/>
      <c r="NOX202" s="36"/>
      <c r="NOY202" s="36"/>
      <c r="NOZ202" s="36"/>
      <c r="NPA202" s="36"/>
      <c r="NPB202" s="36"/>
      <c r="NPC202" s="36"/>
      <c r="NPD202" s="36"/>
      <c r="NPE202" s="36"/>
      <c r="NPF202" s="36"/>
      <c r="NPG202" s="36"/>
      <c r="NPH202" s="36"/>
      <c r="NPI202" s="36"/>
      <c r="NPJ202" s="36"/>
      <c r="NPK202" s="36"/>
      <c r="NPL202" s="36"/>
      <c r="NPM202" s="36"/>
      <c r="NPN202" s="36"/>
      <c r="NPO202" s="36"/>
      <c r="NPP202" s="36"/>
      <c r="NPQ202" s="36"/>
      <c r="NPR202" s="36"/>
      <c r="NPS202" s="36"/>
      <c r="NPT202" s="36"/>
      <c r="NPU202" s="36"/>
      <c r="NPV202" s="36"/>
      <c r="NPW202" s="36"/>
      <c r="NPX202" s="36"/>
      <c r="NPY202" s="36"/>
      <c r="NPZ202" s="36"/>
      <c r="NQA202" s="36"/>
      <c r="NQB202" s="36"/>
      <c r="NQC202" s="36"/>
      <c r="NQD202" s="36"/>
      <c r="NQE202" s="36"/>
      <c r="NQF202" s="36"/>
      <c r="NQG202" s="36"/>
      <c r="NQH202" s="36"/>
      <c r="NQI202" s="36"/>
      <c r="NQJ202" s="36"/>
      <c r="NQK202" s="36"/>
      <c r="NQL202" s="36"/>
      <c r="NQM202" s="36"/>
      <c r="NQN202" s="36"/>
      <c r="NQO202" s="36"/>
      <c r="NQP202" s="36"/>
      <c r="NQQ202" s="36"/>
      <c r="NQR202" s="36"/>
      <c r="NQS202" s="36"/>
      <c r="NQT202" s="36"/>
      <c r="NQU202" s="36"/>
      <c r="NQV202" s="36"/>
      <c r="NQW202" s="36"/>
      <c r="NQX202" s="36"/>
      <c r="NQY202" s="36"/>
      <c r="NQZ202" s="36"/>
      <c r="NRA202" s="36"/>
      <c r="NRB202" s="36"/>
      <c r="NRC202" s="36"/>
      <c r="NRD202" s="36"/>
      <c r="NRE202" s="36"/>
      <c r="NRF202" s="36"/>
      <c r="NRG202" s="36"/>
      <c r="NRH202" s="36"/>
      <c r="NRI202" s="36"/>
      <c r="NRJ202" s="36"/>
      <c r="NRK202" s="36"/>
      <c r="NRL202" s="36"/>
      <c r="NRM202" s="36"/>
      <c r="NRN202" s="36"/>
      <c r="NRO202" s="36"/>
      <c r="NRP202" s="36"/>
      <c r="NRQ202" s="36"/>
      <c r="NRR202" s="36"/>
      <c r="NRS202" s="36"/>
      <c r="NRT202" s="36"/>
      <c r="NRU202" s="36"/>
      <c r="NRV202" s="36"/>
      <c r="NRW202" s="36"/>
      <c r="NRX202" s="36"/>
      <c r="NRY202" s="36"/>
      <c r="NRZ202" s="36"/>
      <c r="NSA202" s="36"/>
      <c r="NSB202" s="36"/>
      <c r="NSC202" s="36"/>
      <c r="NSD202" s="36"/>
      <c r="NSE202" s="36"/>
      <c r="NSF202" s="36"/>
      <c r="NSG202" s="36"/>
      <c r="NSH202" s="36"/>
      <c r="NSI202" s="36"/>
      <c r="NSJ202" s="36"/>
      <c r="NSK202" s="36"/>
      <c r="NSL202" s="36"/>
      <c r="NSM202" s="36"/>
      <c r="NSN202" s="36"/>
      <c r="NSO202" s="36"/>
      <c r="NSP202" s="36"/>
      <c r="NSQ202" s="36"/>
      <c r="NSR202" s="36"/>
      <c r="NSS202" s="36"/>
      <c r="NST202" s="36"/>
      <c r="NSU202" s="36"/>
      <c r="NSV202" s="36"/>
      <c r="NSW202" s="36"/>
      <c r="NSX202" s="36"/>
      <c r="NSY202" s="36"/>
      <c r="NSZ202" s="36"/>
      <c r="NTA202" s="36"/>
      <c r="NTB202" s="36"/>
      <c r="NTC202" s="36"/>
      <c r="NTD202" s="36"/>
      <c r="NTE202" s="36"/>
      <c r="NTF202" s="36"/>
      <c r="NTG202" s="36"/>
      <c r="NTH202" s="36"/>
      <c r="NTI202" s="36"/>
      <c r="NTJ202" s="36"/>
      <c r="NTK202" s="36"/>
      <c r="NTL202" s="36"/>
      <c r="NTM202" s="36"/>
      <c r="NTN202" s="36"/>
      <c r="NTO202" s="36"/>
      <c r="NTP202" s="36"/>
      <c r="NTQ202" s="36"/>
      <c r="NTR202" s="36"/>
      <c r="NTS202" s="36"/>
      <c r="NTT202" s="36"/>
      <c r="NTU202" s="36"/>
      <c r="NTV202" s="36"/>
      <c r="NTW202" s="36"/>
      <c r="NTX202" s="36"/>
      <c r="NTY202" s="36"/>
      <c r="NTZ202" s="36"/>
      <c r="NUA202" s="36"/>
      <c r="NUB202" s="36"/>
      <c r="NUC202" s="36"/>
      <c r="NUD202" s="36"/>
      <c r="NUE202" s="36"/>
      <c r="NUF202" s="36"/>
      <c r="NUG202" s="36"/>
      <c r="NUH202" s="36"/>
      <c r="NUI202" s="36"/>
      <c r="NUJ202" s="36"/>
      <c r="NUK202" s="36"/>
      <c r="NUL202" s="36"/>
      <c r="NUM202" s="36"/>
      <c r="NUN202" s="36"/>
      <c r="NUO202" s="36"/>
      <c r="NUP202" s="36"/>
      <c r="NUQ202" s="36"/>
      <c r="NUR202" s="36"/>
      <c r="NUS202" s="36"/>
      <c r="NUT202" s="36"/>
      <c r="NUU202" s="36"/>
      <c r="NUV202" s="36"/>
      <c r="NUW202" s="36"/>
      <c r="NUX202" s="36"/>
      <c r="NUY202" s="36"/>
      <c r="NUZ202" s="36"/>
      <c r="NVA202" s="36"/>
      <c r="NVB202" s="36"/>
      <c r="NVC202" s="36"/>
      <c r="NVD202" s="36"/>
      <c r="NVE202" s="36"/>
      <c r="NVF202" s="36"/>
      <c r="NVG202" s="36"/>
      <c r="NVH202" s="36"/>
      <c r="NVI202" s="36"/>
      <c r="NVJ202" s="36"/>
      <c r="NVK202" s="36"/>
      <c r="NVL202" s="36"/>
      <c r="NVM202" s="36"/>
      <c r="NVN202" s="36"/>
      <c r="NVO202" s="36"/>
      <c r="NVP202" s="36"/>
      <c r="NVQ202" s="36"/>
      <c r="NVR202" s="36"/>
      <c r="NVS202" s="36"/>
      <c r="NVT202" s="36"/>
      <c r="NVU202" s="36"/>
      <c r="NVV202" s="36"/>
      <c r="NVW202" s="36"/>
      <c r="NVX202" s="36"/>
      <c r="NVY202" s="36"/>
      <c r="NVZ202" s="36"/>
      <c r="NWA202" s="36"/>
      <c r="NWB202" s="36"/>
      <c r="NWC202" s="36"/>
      <c r="NWD202" s="36"/>
      <c r="NWE202" s="36"/>
      <c r="NWF202" s="36"/>
      <c r="NWG202" s="36"/>
      <c r="NWH202" s="36"/>
      <c r="NWI202" s="36"/>
      <c r="NWJ202" s="36"/>
      <c r="NWK202" s="36"/>
      <c r="NWL202" s="36"/>
      <c r="NWM202" s="36"/>
      <c r="NWN202" s="36"/>
      <c r="NWO202" s="36"/>
      <c r="NWP202" s="36"/>
      <c r="NWQ202" s="36"/>
      <c r="NWR202" s="36"/>
      <c r="NWS202" s="36"/>
      <c r="NWT202" s="36"/>
      <c r="NWU202" s="36"/>
      <c r="NWV202" s="36"/>
      <c r="NWW202" s="36"/>
      <c r="NWX202" s="36"/>
      <c r="NWY202" s="36"/>
      <c r="NWZ202" s="36"/>
      <c r="NXA202" s="36"/>
      <c r="NXB202" s="36"/>
      <c r="NXC202" s="36"/>
      <c r="NXD202" s="36"/>
      <c r="NXE202" s="36"/>
      <c r="NXF202" s="36"/>
      <c r="NXG202" s="36"/>
      <c r="NXH202" s="36"/>
      <c r="NXI202" s="36"/>
      <c r="NXJ202" s="36"/>
      <c r="NXK202" s="36"/>
      <c r="NXL202" s="36"/>
      <c r="NXM202" s="36"/>
      <c r="NXN202" s="36"/>
      <c r="NXO202" s="36"/>
      <c r="NXP202" s="36"/>
      <c r="NXQ202" s="36"/>
      <c r="NXR202" s="36"/>
      <c r="NXS202" s="36"/>
      <c r="NXT202" s="36"/>
      <c r="NXU202" s="36"/>
      <c r="NXV202" s="36"/>
      <c r="NXW202" s="36"/>
      <c r="NXX202" s="36"/>
      <c r="NXY202" s="36"/>
      <c r="NXZ202" s="36"/>
      <c r="NYA202" s="36"/>
      <c r="NYB202" s="36"/>
      <c r="NYC202" s="36"/>
      <c r="NYD202" s="36"/>
      <c r="NYE202" s="36"/>
      <c r="NYF202" s="36"/>
      <c r="NYG202" s="36"/>
      <c r="NYH202" s="36"/>
      <c r="NYI202" s="36"/>
      <c r="NYJ202" s="36"/>
      <c r="NYK202" s="36"/>
      <c r="NYL202" s="36"/>
      <c r="NYM202" s="36"/>
      <c r="NYN202" s="36"/>
      <c r="NYO202" s="36"/>
      <c r="NYP202" s="36"/>
      <c r="NYQ202" s="36"/>
      <c r="NYR202" s="36"/>
      <c r="NYS202" s="36"/>
      <c r="NYT202" s="36"/>
      <c r="NYU202" s="36"/>
      <c r="NYV202" s="36"/>
      <c r="NYW202" s="36"/>
      <c r="NYX202" s="36"/>
      <c r="NYY202" s="36"/>
      <c r="NYZ202" s="36"/>
      <c r="NZA202" s="36"/>
      <c r="NZB202" s="36"/>
      <c r="NZC202" s="36"/>
      <c r="NZD202" s="36"/>
      <c r="NZE202" s="36"/>
      <c r="NZF202" s="36"/>
      <c r="NZG202" s="36"/>
      <c r="NZH202" s="36"/>
      <c r="NZI202" s="36"/>
      <c r="NZJ202" s="36"/>
      <c r="NZK202" s="36"/>
      <c r="NZL202" s="36"/>
      <c r="NZM202" s="36"/>
      <c r="NZN202" s="36"/>
      <c r="NZO202" s="36"/>
      <c r="NZP202" s="36"/>
      <c r="NZQ202" s="36"/>
      <c r="NZR202" s="36"/>
      <c r="NZS202" s="36"/>
      <c r="NZT202" s="36"/>
      <c r="NZU202" s="36"/>
      <c r="NZV202" s="36"/>
      <c r="NZW202" s="36"/>
      <c r="NZX202" s="36"/>
      <c r="NZY202" s="36"/>
      <c r="NZZ202" s="36"/>
      <c r="OAA202" s="36"/>
      <c r="OAB202" s="36"/>
      <c r="OAC202" s="36"/>
      <c r="OAD202" s="36"/>
      <c r="OAE202" s="36"/>
      <c r="OAF202" s="36"/>
      <c r="OAG202" s="36"/>
      <c r="OAH202" s="36"/>
      <c r="OAI202" s="36"/>
      <c r="OAJ202" s="36"/>
      <c r="OAK202" s="36"/>
      <c r="OAL202" s="36"/>
      <c r="OAM202" s="36"/>
      <c r="OAN202" s="36"/>
      <c r="OAO202" s="36"/>
      <c r="OAP202" s="36"/>
      <c r="OAQ202" s="36"/>
      <c r="OAR202" s="36"/>
      <c r="OAS202" s="36"/>
      <c r="OAT202" s="36"/>
      <c r="OAU202" s="36"/>
      <c r="OAV202" s="36"/>
      <c r="OAW202" s="36"/>
      <c r="OAX202" s="36"/>
      <c r="OAY202" s="36"/>
      <c r="OAZ202" s="36"/>
      <c r="OBA202" s="36"/>
      <c r="OBB202" s="36"/>
      <c r="OBC202" s="36"/>
      <c r="OBD202" s="36"/>
      <c r="OBE202" s="36"/>
      <c r="OBF202" s="36"/>
      <c r="OBG202" s="36"/>
      <c r="OBH202" s="36"/>
      <c r="OBI202" s="36"/>
      <c r="OBJ202" s="36"/>
      <c r="OBK202" s="36"/>
      <c r="OBL202" s="36"/>
      <c r="OBM202" s="36"/>
      <c r="OBN202" s="36"/>
      <c r="OBO202" s="36"/>
      <c r="OBP202" s="36"/>
      <c r="OBQ202" s="36"/>
      <c r="OBR202" s="36"/>
      <c r="OBS202" s="36"/>
      <c r="OBT202" s="36"/>
      <c r="OBU202" s="36"/>
      <c r="OBV202" s="36"/>
      <c r="OBW202" s="36"/>
      <c r="OBX202" s="36"/>
      <c r="OBY202" s="36"/>
      <c r="OBZ202" s="36"/>
      <c r="OCA202" s="36"/>
      <c r="OCB202" s="36"/>
      <c r="OCC202" s="36"/>
      <c r="OCD202" s="36"/>
      <c r="OCE202" s="36"/>
      <c r="OCF202" s="36"/>
      <c r="OCG202" s="36"/>
      <c r="OCH202" s="36"/>
      <c r="OCI202" s="36"/>
      <c r="OCJ202" s="36"/>
      <c r="OCK202" s="36"/>
      <c r="OCL202" s="36"/>
      <c r="OCM202" s="36"/>
      <c r="OCN202" s="36"/>
      <c r="OCO202" s="36"/>
      <c r="OCP202" s="36"/>
      <c r="OCQ202" s="36"/>
      <c r="OCR202" s="36"/>
      <c r="OCS202" s="36"/>
      <c r="OCT202" s="36"/>
      <c r="OCU202" s="36"/>
      <c r="OCV202" s="36"/>
      <c r="OCW202" s="36"/>
      <c r="OCX202" s="36"/>
      <c r="OCY202" s="36"/>
      <c r="OCZ202" s="36"/>
      <c r="ODA202" s="36"/>
      <c r="ODB202" s="36"/>
      <c r="ODC202" s="36"/>
      <c r="ODD202" s="36"/>
      <c r="ODE202" s="36"/>
      <c r="ODF202" s="36"/>
      <c r="ODG202" s="36"/>
      <c r="ODH202" s="36"/>
      <c r="ODI202" s="36"/>
      <c r="ODJ202" s="36"/>
      <c r="ODK202" s="36"/>
      <c r="ODL202" s="36"/>
      <c r="ODM202" s="36"/>
      <c r="ODN202" s="36"/>
      <c r="ODO202" s="36"/>
      <c r="ODP202" s="36"/>
      <c r="ODQ202" s="36"/>
      <c r="ODR202" s="36"/>
      <c r="ODS202" s="36"/>
      <c r="ODT202" s="36"/>
      <c r="ODU202" s="36"/>
      <c r="ODV202" s="36"/>
      <c r="ODW202" s="36"/>
      <c r="ODX202" s="36"/>
      <c r="ODY202" s="36"/>
      <c r="ODZ202" s="36"/>
      <c r="OEA202" s="36"/>
      <c r="OEB202" s="36"/>
      <c r="OEC202" s="36"/>
      <c r="OED202" s="36"/>
      <c r="OEE202" s="36"/>
      <c r="OEF202" s="36"/>
      <c r="OEG202" s="36"/>
      <c r="OEH202" s="36"/>
      <c r="OEI202" s="36"/>
      <c r="OEJ202" s="36"/>
      <c r="OEK202" s="36"/>
      <c r="OEL202" s="36"/>
      <c r="OEM202" s="36"/>
      <c r="OEN202" s="36"/>
      <c r="OEO202" s="36"/>
      <c r="OEP202" s="36"/>
      <c r="OEQ202" s="36"/>
      <c r="OER202" s="36"/>
      <c r="OES202" s="36"/>
      <c r="OET202" s="36"/>
      <c r="OEU202" s="36"/>
      <c r="OEV202" s="36"/>
      <c r="OEW202" s="36"/>
      <c r="OEX202" s="36"/>
      <c r="OEY202" s="36"/>
      <c r="OEZ202" s="36"/>
      <c r="OFA202" s="36"/>
      <c r="OFB202" s="36"/>
      <c r="OFC202" s="36"/>
      <c r="OFD202" s="36"/>
      <c r="OFE202" s="36"/>
      <c r="OFF202" s="36"/>
      <c r="OFG202" s="36"/>
      <c r="OFH202" s="36"/>
      <c r="OFI202" s="36"/>
      <c r="OFJ202" s="36"/>
      <c r="OFK202" s="36"/>
      <c r="OFL202" s="36"/>
      <c r="OFM202" s="36"/>
      <c r="OFN202" s="36"/>
      <c r="OFO202" s="36"/>
      <c r="OFP202" s="36"/>
      <c r="OFQ202" s="36"/>
      <c r="OFR202" s="36"/>
      <c r="OFS202" s="36"/>
      <c r="OFT202" s="36"/>
      <c r="OFU202" s="36"/>
      <c r="OFV202" s="36"/>
      <c r="OFW202" s="36"/>
      <c r="OFX202" s="36"/>
      <c r="OFY202" s="36"/>
      <c r="OFZ202" s="36"/>
      <c r="OGA202" s="36"/>
      <c r="OGB202" s="36"/>
      <c r="OGC202" s="36"/>
      <c r="OGD202" s="36"/>
      <c r="OGE202" s="36"/>
      <c r="OGF202" s="36"/>
      <c r="OGG202" s="36"/>
      <c r="OGH202" s="36"/>
      <c r="OGI202" s="36"/>
      <c r="OGJ202" s="36"/>
      <c r="OGK202" s="36"/>
      <c r="OGL202" s="36"/>
      <c r="OGM202" s="36"/>
      <c r="OGN202" s="36"/>
      <c r="OGO202" s="36"/>
      <c r="OGP202" s="36"/>
      <c r="OGQ202" s="36"/>
      <c r="OGR202" s="36"/>
      <c r="OGS202" s="36"/>
      <c r="OGT202" s="36"/>
      <c r="OGU202" s="36"/>
      <c r="OGV202" s="36"/>
      <c r="OGW202" s="36"/>
      <c r="OGX202" s="36"/>
      <c r="OGY202" s="36"/>
      <c r="OGZ202" s="36"/>
      <c r="OHA202" s="36"/>
      <c r="OHB202" s="36"/>
      <c r="OHC202" s="36"/>
      <c r="OHD202" s="36"/>
      <c r="OHE202" s="36"/>
      <c r="OHF202" s="36"/>
      <c r="OHG202" s="36"/>
      <c r="OHH202" s="36"/>
      <c r="OHI202" s="36"/>
      <c r="OHJ202" s="36"/>
      <c r="OHK202" s="36"/>
      <c r="OHL202" s="36"/>
      <c r="OHM202" s="36"/>
      <c r="OHN202" s="36"/>
      <c r="OHO202" s="36"/>
      <c r="OHP202" s="36"/>
      <c r="OHQ202" s="36"/>
      <c r="OHR202" s="36"/>
      <c r="OHS202" s="36"/>
      <c r="OHT202" s="36"/>
      <c r="OHU202" s="36"/>
      <c r="OHV202" s="36"/>
      <c r="OHW202" s="36"/>
      <c r="OHX202" s="36"/>
      <c r="OHY202" s="36"/>
      <c r="OHZ202" s="36"/>
      <c r="OIA202" s="36"/>
      <c r="OIB202" s="36"/>
      <c r="OIC202" s="36"/>
      <c r="OID202" s="36"/>
      <c r="OIE202" s="36"/>
      <c r="OIF202" s="36"/>
      <c r="OIG202" s="36"/>
      <c r="OIH202" s="36"/>
      <c r="OII202" s="36"/>
      <c r="OIJ202" s="36"/>
      <c r="OIK202" s="36"/>
      <c r="OIL202" s="36"/>
      <c r="OIM202" s="36"/>
      <c r="OIN202" s="36"/>
      <c r="OIO202" s="36"/>
      <c r="OIP202" s="36"/>
      <c r="OIQ202" s="36"/>
      <c r="OIR202" s="36"/>
      <c r="OIS202" s="36"/>
      <c r="OIT202" s="36"/>
      <c r="OIU202" s="36"/>
      <c r="OIV202" s="36"/>
      <c r="OIW202" s="36"/>
      <c r="OIX202" s="36"/>
      <c r="OIY202" s="36"/>
      <c r="OIZ202" s="36"/>
      <c r="OJA202" s="36"/>
      <c r="OJB202" s="36"/>
      <c r="OJC202" s="36"/>
      <c r="OJD202" s="36"/>
      <c r="OJE202" s="36"/>
      <c r="OJF202" s="36"/>
      <c r="OJG202" s="36"/>
      <c r="OJH202" s="36"/>
      <c r="OJI202" s="36"/>
      <c r="OJJ202" s="36"/>
      <c r="OJK202" s="36"/>
      <c r="OJL202" s="36"/>
      <c r="OJM202" s="36"/>
      <c r="OJN202" s="36"/>
      <c r="OJO202" s="36"/>
      <c r="OJP202" s="36"/>
      <c r="OJQ202" s="36"/>
      <c r="OJR202" s="36"/>
      <c r="OJS202" s="36"/>
      <c r="OJT202" s="36"/>
      <c r="OJU202" s="36"/>
      <c r="OJV202" s="36"/>
      <c r="OJW202" s="36"/>
      <c r="OJX202" s="36"/>
      <c r="OJY202" s="36"/>
      <c r="OJZ202" s="36"/>
      <c r="OKA202" s="36"/>
      <c r="OKB202" s="36"/>
      <c r="OKC202" s="36"/>
      <c r="OKD202" s="36"/>
      <c r="OKE202" s="36"/>
      <c r="OKF202" s="36"/>
      <c r="OKG202" s="36"/>
      <c r="OKH202" s="36"/>
      <c r="OKI202" s="36"/>
      <c r="OKJ202" s="36"/>
      <c r="OKK202" s="36"/>
      <c r="OKL202" s="36"/>
      <c r="OKM202" s="36"/>
      <c r="OKN202" s="36"/>
      <c r="OKO202" s="36"/>
      <c r="OKP202" s="36"/>
      <c r="OKQ202" s="36"/>
      <c r="OKR202" s="36"/>
      <c r="OKS202" s="36"/>
      <c r="OKT202" s="36"/>
      <c r="OKU202" s="36"/>
      <c r="OKV202" s="36"/>
      <c r="OKW202" s="36"/>
      <c r="OKX202" s="36"/>
      <c r="OKY202" s="36"/>
      <c r="OKZ202" s="36"/>
      <c r="OLA202" s="36"/>
      <c r="OLB202" s="36"/>
      <c r="OLC202" s="36"/>
      <c r="OLD202" s="36"/>
      <c r="OLE202" s="36"/>
      <c r="OLF202" s="36"/>
      <c r="OLG202" s="36"/>
      <c r="OLH202" s="36"/>
      <c r="OLI202" s="36"/>
      <c r="OLJ202" s="36"/>
      <c r="OLK202" s="36"/>
      <c r="OLL202" s="36"/>
      <c r="OLM202" s="36"/>
      <c r="OLN202" s="36"/>
      <c r="OLO202" s="36"/>
      <c r="OLP202" s="36"/>
      <c r="OLQ202" s="36"/>
      <c r="OLR202" s="36"/>
      <c r="OLS202" s="36"/>
      <c r="OLT202" s="36"/>
      <c r="OLU202" s="36"/>
      <c r="OLV202" s="36"/>
      <c r="OLW202" s="36"/>
      <c r="OLX202" s="36"/>
      <c r="OLY202" s="36"/>
      <c r="OLZ202" s="36"/>
      <c r="OMA202" s="36"/>
      <c r="OMB202" s="36"/>
      <c r="OMC202" s="36"/>
      <c r="OMD202" s="36"/>
      <c r="OME202" s="36"/>
      <c r="OMF202" s="36"/>
      <c r="OMG202" s="36"/>
      <c r="OMH202" s="36"/>
      <c r="OMI202" s="36"/>
      <c r="OMJ202" s="36"/>
      <c r="OMK202" s="36"/>
      <c r="OML202" s="36"/>
      <c r="OMM202" s="36"/>
      <c r="OMN202" s="36"/>
      <c r="OMO202" s="36"/>
      <c r="OMP202" s="36"/>
      <c r="OMQ202" s="36"/>
      <c r="OMR202" s="36"/>
      <c r="OMS202" s="36"/>
      <c r="OMT202" s="36"/>
      <c r="OMU202" s="36"/>
      <c r="OMV202" s="36"/>
      <c r="OMW202" s="36"/>
      <c r="OMX202" s="36"/>
      <c r="OMY202" s="36"/>
      <c r="OMZ202" s="36"/>
      <c r="ONA202" s="36"/>
      <c r="ONB202" s="36"/>
      <c r="ONC202" s="36"/>
      <c r="OND202" s="36"/>
      <c r="ONE202" s="36"/>
      <c r="ONF202" s="36"/>
      <c r="ONG202" s="36"/>
      <c r="ONH202" s="36"/>
      <c r="ONI202" s="36"/>
      <c r="ONJ202" s="36"/>
      <c r="ONK202" s="36"/>
      <c r="ONL202" s="36"/>
      <c r="ONM202" s="36"/>
      <c r="ONN202" s="36"/>
      <c r="ONO202" s="36"/>
      <c r="ONP202" s="36"/>
      <c r="ONQ202" s="36"/>
      <c r="ONR202" s="36"/>
      <c r="ONS202" s="36"/>
      <c r="ONT202" s="36"/>
      <c r="ONU202" s="36"/>
      <c r="ONV202" s="36"/>
      <c r="ONW202" s="36"/>
      <c r="ONX202" s="36"/>
      <c r="ONY202" s="36"/>
      <c r="ONZ202" s="36"/>
      <c r="OOA202" s="36"/>
      <c r="OOB202" s="36"/>
      <c r="OOC202" s="36"/>
      <c r="OOD202" s="36"/>
      <c r="OOE202" s="36"/>
      <c r="OOF202" s="36"/>
      <c r="OOG202" s="36"/>
      <c r="OOH202" s="36"/>
      <c r="OOI202" s="36"/>
      <c r="OOJ202" s="36"/>
      <c r="OOK202" s="36"/>
      <c r="OOL202" s="36"/>
      <c r="OOM202" s="36"/>
      <c r="OON202" s="36"/>
      <c r="OOO202" s="36"/>
      <c r="OOP202" s="36"/>
      <c r="OOQ202" s="36"/>
      <c r="OOR202" s="36"/>
      <c r="OOS202" s="36"/>
      <c r="OOT202" s="36"/>
      <c r="OOU202" s="36"/>
      <c r="OOV202" s="36"/>
      <c r="OOW202" s="36"/>
      <c r="OOX202" s="36"/>
      <c r="OOY202" s="36"/>
      <c r="OOZ202" s="36"/>
      <c r="OPA202" s="36"/>
      <c r="OPB202" s="36"/>
      <c r="OPC202" s="36"/>
      <c r="OPD202" s="36"/>
      <c r="OPE202" s="36"/>
      <c r="OPF202" s="36"/>
      <c r="OPG202" s="36"/>
      <c r="OPH202" s="36"/>
      <c r="OPI202" s="36"/>
      <c r="OPJ202" s="36"/>
      <c r="OPK202" s="36"/>
      <c r="OPL202" s="36"/>
      <c r="OPM202" s="36"/>
      <c r="OPN202" s="36"/>
      <c r="OPO202" s="36"/>
      <c r="OPP202" s="36"/>
      <c r="OPQ202" s="36"/>
      <c r="OPR202" s="36"/>
      <c r="OPS202" s="36"/>
      <c r="OPT202" s="36"/>
      <c r="OPU202" s="36"/>
      <c r="OPV202" s="36"/>
      <c r="OPW202" s="36"/>
      <c r="OPX202" s="36"/>
      <c r="OPY202" s="36"/>
      <c r="OPZ202" s="36"/>
      <c r="OQA202" s="36"/>
      <c r="OQB202" s="36"/>
      <c r="OQC202" s="36"/>
      <c r="OQD202" s="36"/>
      <c r="OQE202" s="36"/>
      <c r="OQF202" s="36"/>
      <c r="OQG202" s="36"/>
      <c r="OQH202" s="36"/>
      <c r="OQI202" s="36"/>
      <c r="OQJ202" s="36"/>
      <c r="OQK202" s="36"/>
      <c r="OQL202" s="36"/>
      <c r="OQM202" s="36"/>
      <c r="OQN202" s="36"/>
      <c r="OQO202" s="36"/>
      <c r="OQP202" s="36"/>
      <c r="OQQ202" s="36"/>
      <c r="OQR202" s="36"/>
      <c r="OQS202" s="36"/>
      <c r="OQT202" s="36"/>
      <c r="OQU202" s="36"/>
      <c r="OQV202" s="36"/>
      <c r="OQW202" s="36"/>
      <c r="OQX202" s="36"/>
      <c r="OQY202" s="36"/>
      <c r="OQZ202" s="36"/>
      <c r="ORA202" s="36"/>
      <c r="ORB202" s="36"/>
      <c r="ORC202" s="36"/>
      <c r="ORD202" s="36"/>
      <c r="ORE202" s="36"/>
      <c r="ORF202" s="36"/>
      <c r="ORG202" s="36"/>
      <c r="ORH202" s="36"/>
      <c r="ORI202" s="36"/>
      <c r="ORJ202" s="36"/>
      <c r="ORK202" s="36"/>
      <c r="ORL202" s="36"/>
      <c r="ORM202" s="36"/>
      <c r="ORN202" s="36"/>
      <c r="ORO202" s="36"/>
      <c r="ORP202" s="36"/>
      <c r="ORQ202" s="36"/>
      <c r="ORR202" s="36"/>
      <c r="ORS202" s="36"/>
      <c r="ORT202" s="36"/>
      <c r="ORU202" s="36"/>
      <c r="ORV202" s="36"/>
      <c r="ORW202" s="36"/>
      <c r="ORX202" s="36"/>
      <c r="ORY202" s="36"/>
      <c r="ORZ202" s="36"/>
      <c r="OSA202" s="36"/>
      <c r="OSB202" s="36"/>
      <c r="OSC202" s="36"/>
      <c r="OSD202" s="36"/>
      <c r="OSE202" s="36"/>
      <c r="OSF202" s="36"/>
      <c r="OSG202" s="36"/>
      <c r="OSH202" s="36"/>
      <c r="OSI202" s="36"/>
      <c r="OSJ202" s="36"/>
      <c r="OSK202" s="36"/>
      <c r="OSL202" s="36"/>
      <c r="OSM202" s="36"/>
      <c r="OSN202" s="36"/>
      <c r="OSO202" s="36"/>
      <c r="OSP202" s="36"/>
      <c r="OSQ202" s="36"/>
      <c r="OSR202" s="36"/>
      <c r="OSS202" s="36"/>
      <c r="OST202" s="36"/>
      <c r="OSU202" s="36"/>
      <c r="OSV202" s="36"/>
      <c r="OSW202" s="36"/>
      <c r="OSX202" s="36"/>
      <c r="OSY202" s="36"/>
      <c r="OSZ202" s="36"/>
      <c r="OTA202" s="36"/>
      <c r="OTB202" s="36"/>
      <c r="OTC202" s="36"/>
      <c r="OTD202" s="36"/>
      <c r="OTE202" s="36"/>
      <c r="OTF202" s="36"/>
      <c r="OTG202" s="36"/>
      <c r="OTH202" s="36"/>
      <c r="OTI202" s="36"/>
      <c r="OTJ202" s="36"/>
      <c r="OTK202" s="36"/>
      <c r="OTL202" s="36"/>
      <c r="OTM202" s="36"/>
      <c r="OTN202" s="36"/>
      <c r="OTO202" s="36"/>
      <c r="OTP202" s="36"/>
      <c r="OTQ202" s="36"/>
      <c r="OTR202" s="36"/>
      <c r="OTS202" s="36"/>
      <c r="OTT202" s="36"/>
      <c r="OTU202" s="36"/>
      <c r="OTV202" s="36"/>
      <c r="OTW202" s="36"/>
      <c r="OTX202" s="36"/>
      <c r="OTY202" s="36"/>
      <c r="OTZ202" s="36"/>
      <c r="OUA202" s="36"/>
      <c r="OUB202" s="36"/>
      <c r="OUC202" s="36"/>
      <c r="OUD202" s="36"/>
      <c r="OUE202" s="36"/>
      <c r="OUF202" s="36"/>
      <c r="OUG202" s="36"/>
      <c r="OUH202" s="36"/>
      <c r="OUI202" s="36"/>
      <c r="OUJ202" s="36"/>
      <c r="OUK202" s="36"/>
      <c r="OUL202" s="36"/>
      <c r="OUM202" s="36"/>
      <c r="OUN202" s="36"/>
      <c r="OUO202" s="36"/>
      <c r="OUP202" s="36"/>
      <c r="OUQ202" s="36"/>
      <c r="OUR202" s="36"/>
      <c r="OUS202" s="36"/>
      <c r="OUT202" s="36"/>
      <c r="OUU202" s="36"/>
      <c r="OUV202" s="36"/>
      <c r="OUW202" s="36"/>
      <c r="OUX202" s="36"/>
      <c r="OUY202" s="36"/>
      <c r="OUZ202" s="36"/>
      <c r="OVA202" s="36"/>
      <c r="OVB202" s="36"/>
      <c r="OVC202" s="36"/>
      <c r="OVD202" s="36"/>
      <c r="OVE202" s="36"/>
      <c r="OVF202" s="36"/>
      <c r="OVG202" s="36"/>
      <c r="OVH202" s="36"/>
      <c r="OVI202" s="36"/>
      <c r="OVJ202" s="36"/>
      <c r="OVK202" s="36"/>
      <c r="OVL202" s="36"/>
      <c r="OVM202" s="36"/>
      <c r="OVN202" s="36"/>
      <c r="OVO202" s="36"/>
      <c r="OVP202" s="36"/>
      <c r="OVQ202" s="36"/>
      <c r="OVR202" s="36"/>
      <c r="OVS202" s="36"/>
      <c r="OVT202" s="36"/>
      <c r="OVU202" s="36"/>
      <c r="OVV202" s="36"/>
      <c r="OVW202" s="36"/>
      <c r="OVX202" s="36"/>
      <c r="OVY202" s="36"/>
      <c r="OVZ202" s="36"/>
      <c r="OWA202" s="36"/>
      <c r="OWB202" s="36"/>
      <c r="OWC202" s="36"/>
      <c r="OWD202" s="36"/>
      <c r="OWE202" s="36"/>
      <c r="OWF202" s="36"/>
      <c r="OWG202" s="36"/>
      <c r="OWH202" s="36"/>
      <c r="OWI202" s="36"/>
      <c r="OWJ202" s="36"/>
      <c r="OWK202" s="36"/>
      <c r="OWL202" s="36"/>
      <c r="OWM202" s="36"/>
      <c r="OWN202" s="36"/>
      <c r="OWO202" s="36"/>
      <c r="OWP202" s="36"/>
      <c r="OWQ202" s="36"/>
      <c r="OWR202" s="36"/>
      <c r="OWS202" s="36"/>
      <c r="OWT202" s="36"/>
      <c r="OWU202" s="36"/>
      <c r="OWV202" s="36"/>
      <c r="OWW202" s="36"/>
      <c r="OWX202" s="36"/>
      <c r="OWY202" s="36"/>
      <c r="OWZ202" s="36"/>
      <c r="OXA202" s="36"/>
      <c r="OXB202" s="36"/>
      <c r="OXC202" s="36"/>
      <c r="OXD202" s="36"/>
      <c r="OXE202" s="36"/>
      <c r="OXF202" s="36"/>
      <c r="OXG202" s="36"/>
      <c r="OXH202" s="36"/>
      <c r="OXI202" s="36"/>
      <c r="OXJ202" s="36"/>
      <c r="OXK202" s="36"/>
      <c r="OXL202" s="36"/>
      <c r="OXM202" s="36"/>
      <c r="OXN202" s="36"/>
      <c r="OXO202" s="36"/>
      <c r="OXP202" s="36"/>
      <c r="OXQ202" s="36"/>
      <c r="OXR202" s="36"/>
      <c r="OXS202" s="36"/>
      <c r="OXT202" s="36"/>
      <c r="OXU202" s="36"/>
      <c r="OXV202" s="36"/>
      <c r="OXW202" s="36"/>
      <c r="OXX202" s="36"/>
      <c r="OXY202" s="36"/>
      <c r="OXZ202" s="36"/>
      <c r="OYA202" s="36"/>
      <c r="OYB202" s="36"/>
      <c r="OYC202" s="36"/>
      <c r="OYD202" s="36"/>
      <c r="OYE202" s="36"/>
      <c r="OYF202" s="36"/>
      <c r="OYG202" s="36"/>
      <c r="OYH202" s="36"/>
      <c r="OYI202" s="36"/>
      <c r="OYJ202" s="36"/>
      <c r="OYK202" s="36"/>
      <c r="OYL202" s="36"/>
      <c r="OYM202" s="36"/>
      <c r="OYN202" s="36"/>
      <c r="OYO202" s="36"/>
      <c r="OYP202" s="36"/>
      <c r="OYQ202" s="36"/>
      <c r="OYR202" s="36"/>
      <c r="OYS202" s="36"/>
      <c r="OYT202" s="36"/>
      <c r="OYU202" s="36"/>
      <c r="OYV202" s="36"/>
      <c r="OYW202" s="36"/>
      <c r="OYX202" s="36"/>
      <c r="OYY202" s="36"/>
      <c r="OYZ202" s="36"/>
      <c r="OZA202" s="36"/>
      <c r="OZB202" s="36"/>
      <c r="OZC202" s="36"/>
      <c r="OZD202" s="36"/>
      <c r="OZE202" s="36"/>
      <c r="OZF202" s="36"/>
      <c r="OZG202" s="36"/>
      <c r="OZH202" s="36"/>
      <c r="OZI202" s="36"/>
      <c r="OZJ202" s="36"/>
      <c r="OZK202" s="36"/>
      <c r="OZL202" s="36"/>
      <c r="OZM202" s="36"/>
      <c r="OZN202" s="36"/>
      <c r="OZO202" s="36"/>
      <c r="OZP202" s="36"/>
      <c r="OZQ202" s="36"/>
      <c r="OZR202" s="36"/>
      <c r="OZS202" s="36"/>
      <c r="OZT202" s="36"/>
      <c r="OZU202" s="36"/>
      <c r="OZV202" s="36"/>
      <c r="OZW202" s="36"/>
      <c r="OZX202" s="36"/>
      <c r="OZY202" s="36"/>
      <c r="OZZ202" s="36"/>
      <c r="PAA202" s="36"/>
      <c r="PAB202" s="36"/>
      <c r="PAC202" s="36"/>
      <c r="PAD202" s="36"/>
      <c r="PAE202" s="36"/>
      <c r="PAF202" s="36"/>
      <c r="PAG202" s="36"/>
      <c r="PAH202" s="36"/>
      <c r="PAI202" s="36"/>
      <c r="PAJ202" s="36"/>
      <c r="PAK202" s="36"/>
      <c r="PAL202" s="36"/>
      <c r="PAM202" s="36"/>
      <c r="PAN202" s="36"/>
      <c r="PAO202" s="36"/>
      <c r="PAP202" s="36"/>
      <c r="PAQ202" s="36"/>
      <c r="PAR202" s="36"/>
      <c r="PAS202" s="36"/>
      <c r="PAT202" s="36"/>
      <c r="PAU202" s="36"/>
      <c r="PAV202" s="36"/>
      <c r="PAW202" s="36"/>
      <c r="PAX202" s="36"/>
      <c r="PAY202" s="36"/>
      <c r="PAZ202" s="36"/>
      <c r="PBA202" s="36"/>
      <c r="PBB202" s="36"/>
      <c r="PBC202" s="36"/>
      <c r="PBD202" s="36"/>
      <c r="PBE202" s="36"/>
      <c r="PBF202" s="36"/>
      <c r="PBG202" s="36"/>
      <c r="PBH202" s="36"/>
      <c r="PBI202" s="36"/>
      <c r="PBJ202" s="36"/>
      <c r="PBK202" s="36"/>
      <c r="PBL202" s="36"/>
      <c r="PBM202" s="36"/>
      <c r="PBN202" s="36"/>
      <c r="PBO202" s="36"/>
      <c r="PBP202" s="36"/>
      <c r="PBQ202" s="36"/>
      <c r="PBR202" s="36"/>
      <c r="PBS202" s="36"/>
      <c r="PBT202" s="36"/>
      <c r="PBU202" s="36"/>
      <c r="PBV202" s="36"/>
      <c r="PBW202" s="36"/>
      <c r="PBX202" s="36"/>
      <c r="PBY202" s="36"/>
      <c r="PBZ202" s="36"/>
      <c r="PCA202" s="36"/>
      <c r="PCB202" s="36"/>
      <c r="PCC202" s="36"/>
      <c r="PCD202" s="36"/>
      <c r="PCE202" s="36"/>
      <c r="PCF202" s="36"/>
      <c r="PCG202" s="36"/>
      <c r="PCH202" s="36"/>
      <c r="PCI202" s="36"/>
      <c r="PCJ202" s="36"/>
      <c r="PCK202" s="36"/>
      <c r="PCL202" s="36"/>
      <c r="PCM202" s="36"/>
      <c r="PCN202" s="36"/>
      <c r="PCO202" s="36"/>
      <c r="PCP202" s="36"/>
      <c r="PCQ202" s="36"/>
      <c r="PCR202" s="36"/>
      <c r="PCS202" s="36"/>
      <c r="PCT202" s="36"/>
      <c r="PCU202" s="36"/>
      <c r="PCV202" s="36"/>
      <c r="PCW202" s="36"/>
      <c r="PCX202" s="36"/>
      <c r="PCY202" s="36"/>
      <c r="PCZ202" s="36"/>
      <c r="PDA202" s="36"/>
      <c r="PDB202" s="36"/>
      <c r="PDC202" s="36"/>
      <c r="PDD202" s="36"/>
      <c r="PDE202" s="36"/>
      <c r="PDF202" s="36"/>
      <c r="PDG202" s="36"/>
      <c r="PDH202" s="36"/>
      <c r="PDI202" s="36"/>
      <c r="PDJ202" s="36"/>
      <c r="PDK202" s="36"/>
      <c r="PDL202" s="36"/>
      <c r="PDM202" s="36"/>
      <c r="PDN202" s="36"/>
      <c r="PDO202" s="36"/>
      <c r="PDP202" s="36"/>
      <c r="PDQ202" s="36"/>
      <c r="PDR202" s="36"/>
      <c r="PDS202" s="36"/>
      <c r="PDT202" s="36"/>
      <c r="PDU202" s="36"/>
      <c r="PDV202" s="36"/>
      <c r="PDW202" s="36"/>
      <c r="PDX202" s="36"/>
      <c r="PDY202" s="36"/>
      <c r="PDZ202" s="36"/>
      <c r="PEA202" s="36"/>
      <c r="PEB202" s="36"/>
      <c r="PEC202" s="36"/>
      <c r="PED202" s="36"/>
      <c r="PEE202" s="36"/>
      <c r="PEF202" s="36"/>
      <c r="PEG202" s="36"/>
      <c r="PEH202" s="36"/>
      <c r="PEI202" s="36"/>
      <c r="PEJ202" s="36"/>
      <c r="PEK202" s="36"/>
      <c r="PEL202" s="36"/>
      <c r="PEM202" s="36"/>
      <c r="PEN202" s="36"/>
      <c r="PEO202" s="36"/>
      <c r="PEP202" s="36"/>
      <c r="PEQ202" s="36"/>
      <c r="PER202" s="36"/>
      <c r="PES202" s="36"/>
      <c r="PET202" s="36"/>
      <c r="PEU202" s="36"/>
      <c r="PEV202" s="36"/>
      <c r="PEW202" s="36"/>
      <c r="PEX202" s="36"/>
      <c r="PEY202" s="36"/>
      <c r="PEZ202" s="36"/>
      <c r="PFA202" s="36"/>
      <c r="PFB202" s="36"/>
      <c r="PFC202" s="36"/>
      <c r="PFD202" s="36"/>
      <c r="PFE202" s="36"/>
      <c r="PFF202" s="36"/>
      <c r="PFG202" s="36"/>
      <c r="PFH202" s="36"/>
      <c r="PFI202" s="36"/>
      <c r="PFJ202" s="36"/>
      <c r="PFK202" s="36"/>
      <c r="PFL202" s="36"/>
      <c r="PFM202" s="36"/>
      <c r="PFN202" s="36"/>
      <c r="PFO202" s="36"/>
      <c r="PFP202" s="36"/>
      <c r="PFQ202" s="36"/>
      <c r="PFR202" s="36"/>
      <c r="PFS202" s="36"/>
      <c r="PFT202" s="36"/>
      <c r="PFU202" s="36"/>
      <c r="PFV202" s="36"/>
      <c r="PFW202" s="36"/>
      <c r="PFX202" s="36"/>
      <c r="PFY202" s="36"/>
      <c r="PFZ202" s="36"/>
      <c r="PGA202" s="36"/>
      <c r="PGB202" s="36"/>
      <c r="PGC202" s="36"/>
      <c r="PGD202" s="36"/>
      <c r="PGE202" s="36"/>
      <c r="PGF202" s="36"/>
      <c r="PGG202" s="36"/>
      <c r="PGH202" s="36"/>
      <c r="PGI202" s="36"/>
      <c r="PGJ202" s="36"/>
      <c r="PGK202" s="36"/>
      <c r="PGL202" s="36"/>
      <c r="PGM202" s="36"/>
      <c r="PGN202" s="36"/>
      <c r="PGO202" s="36"/>
      <c r="PGP202" s="36"/>
      <c r="PGQ202" s="36"/>
      <c r="PGR202" s="36"/>
      <c r="PGS202" s="36"/>
      <c r="PGT202" s="36"/>
      <c r="PGU202" s="36"/>
      <c r="PGV202" s="36"/>
      <c r="PGW202" s="36"/>
      <c r="PGX202" s="36"/>
      <c r="PGY202" s="36"/>
      <c r="PGZ202" s="36"/>
      <c r="PHA202" s="36"/>
      <c r="PHB202" s="36"/>
      <c r="PHC202" s="36"/>
      <c r="PHD202" s="36"/>
      <c r="PHE202" s="36"/>
      <c r="PHF202" s="36"/>
      <c r="PHG202" s="36"/>
      <c r="PHH202" s="36"/>
      <c r="PHI202" s="36"/>
      <c r="PHJ202" s="36"/>
      <c r="PHK202" s="36"/>
      <c r="PHL202" s="36"/>
      <c r="PHM202" s="36"/>
      <c r="PHN202" s="36"/>
      <c r="PHO202" s="36"/>
      <c r="PHP202" s="36"/>
      <c r="PHQ202" s="36"/>
      <c r="PHR202" s="36"/>
      <c r="PHS202" s="36"/>
      <c r="PHT202" s="36"/>
      <c r="PHU202" s="36"/>
      <c r="PHV202" s="36"/>
      <c r="PHW202" s="36"/>
      <c r="PHX202" s="36"/>
      <c r="PHY202" s="36"/>
      <c r="PHZ202" s="36"/>
      <c r="PIA202" s="36"/>
      <c r="PIB202" s="36"/>
      <c r="PIC202" s="36"/>
      <c r="PID202" s="36"/>
      <c r="PIE202" s="36"/>
      <c r="PIF202" s="36"/>
      <c r="PIG202" s="36"/>
      <c r="PIH202" s="36"/>
      <c r="PII202" s="36"/>
      <c r="PIJ202" s="36"/>
      <c r="PIK202" s="36"/>
      <c r="PIL202" s="36"/>
      <c r="PIM202" s="36"/>
      <c r="PIN202" s="36"/>
      <c r="PIO202" s="36"/>
      <c r="PIP202" s="36"/>
      <c r="PIQ202" s="36"/>
      <c r="PIR202" s="36"/>
      <c r="PIS202" s="36"/>
      <c r="PIT202" s="36"/>
      <c r="PIU202" s="36"/>
      <c r="PIV202" s="36"/>
      <c r="PIW202" s="36"/>
      <c r="PIX202" s="36"/>
      <c r="PIY202" s="36"/>
      <c r="PIZ202" s="36"/>
      <c r="PJA202" s="36"/>
      <c r="PJB202" s="36"/>
      <c r="PJC202" s="36"/>
      <c r="PJD202" s="36"/>
      <c r="PJE202" s="36"/>
      <c r="PJF202" s="36"/>
      <c r="PJG202" s="36"/>
      <c r="PJH202" s="36"/>
      <c r="PJI202" s="36"/>
      <c r="PJJ202" s="36"/>
      <c r="PJK202" s="36"/>
      <c r="PJL202" s="36"/>
      <c r="PJM202" s="36"/>
      <c r="PJN202" s="36"/>
      <c r="PJO202" s="36"/>
      <c r="PJP202" s="36"/>
      <c r="PJQ202" s="36"/>
      <c r="PJR202" s="36"/>
      <c r="PJS202" s="36"/>
      <c r="PJT202" s="36"/>
      <c r="PJU202" s="36"/>
      <c r="PJV202" s="36"/>
      <c r="PJW202" s="36"/>
      <c r="PJX202" s="36"/>
      <c r="PJY202" s="36"/>
      <c r="PJZ202" s="36"/>
      <c r="PKA202" s="36"/>
      <c r="PKB202" s="36"/>
      <c r="PKC202" s="36"/>
      <c r="PKD202" s="36"/>
      <c r="PKE202" s="36"/>
      <c r="PKF202" s="36"/>
      <c r="PKG202" s="36"/>
      <c r="PKH202" s="36"/>
      <c r="PKI202" s="36"/>
      <c r="PKJ202" s="36"/>
      <c r="PKK202" s="36"/>
      <c r="PKL202" s="36"/>
      <c r="PKM202" s="36"/>
      <c r="PKN202" s="36"/>
      <c r="PKO202" s="36"/>
      <c r="PKP202" s="36"/>
      <c r="PKQ202" s="36"/>
      <c r="PKR202" s="36"/>
      <c r="PKS202" s="36"/>
      <c r="PKT202" s="36"/>
      <c r="PKU202" s="36"/>
      <c r="PKV202" s="36"/>
      <c r="PKW202" s="36"/>
      <c r="PKX202" s="36"/>
      <c r="PKY202" s="36"/>
      <c r="PKZ202" s="36"/>
      <c r="PLA202" s="36"/>
      <c r="PLB202" s="36"/>
      <c r="PLC202" s="36"/>
      <c r="PLD202" s="36"/>
      <c r="PLE202" s="36"/>
      <c r="PLF202" s="36"/>
      <c r="PLG202" s="36"/>
      <c r="PLH202" s="36"/>
      <c r="PLI202" s="36"/>
      <c r="PLJ202" s="36"/>
      <c r="PLK202" s="36"/>
      <c r="PLL202" s="36"/>
      <c r="PLM202" s="36"/>
      <c r="PLN202" s="36"/>
      <c r="PLO202" s="36"/>
      <c r="PLP202" s="36"/>
      <c r="PLQ202" s="36"/>
      <c r="PLR202" s="36"/>
      <c r="PLS202" s="36"/>
      <c r="PLT202" s="36"/>
      <c r="PLU202" s="36"/>
      <c r="PLV202" s="36"/>
      <c r="PLW202" s="36"/>
      <c r="PLX202" s="36"/>
      <c r="PLY202" s="36"/>
      <c r="PLZ202" s="36"/>
      <c r="PMA202" s="36"/>
      <c r="PMB202" s="36"/>
      <c r="PMC202" s="36"/>
      <c r="PMD202" s="36"/>
      <c r="PME202" s="36"/>
      <c r="PMF202" s="36"/>
      <c r="PMG202" s="36"/>
      <c r="PMH202" s="36"/>
      <c r="PMI202" s="36"/>
      <c r="PMJ202" s="36"/>
      <c r="PMK202" s="36"/>
      <c r="PML202" s="36"/>
      <c r="PMM202" s="36"/>
      <c r="PMN202" s="36"/>
      <c r="PMO202" s="36"/>
      <c r="PMP202" s="36"/>
      <c r="PMQ202" s="36"/>
      <c r="PMR202" s="36"/>
      <c r="PMS202" s="36"/>
      <c r="PMT202" s="36"/>
      <c r="PMU202" s="36"/>
      <c r="PMV202" s="36"/>
      <c r="PMW202" s="36"/>
      <c r="PMX202" s="36"/>
      <c r="PMY202" s="36"/>
      <c r="PMZ202" s="36"/>
      <c r="PNA202" s="36"/>
      <c r="PNB202" s="36"/>
      <c r="PNC202" s="36"/>
      <c r="PND202" s="36"/>
      <c r="PNE202" s="36"/>
      <c r="PNF202" s="36"/>
      <c r="PNG202" s="36"/>
      <c r="PNH202" s="36"/>
      <c r="PNI202" s="36"/>
      <c r="PNJ202" s="36"/>
      <c r="PNK202" s="36"/>
      <c r="PNL202" s="36"/>
      <c r="PNM202" s="36"/>
      <c r="PNN202" s="36"/>
      <c r="PNO202" s="36"/>
      <c r="PNP202" s="36"/>
      <c r="PNQ202" s="36"/>
      <c r="PNR202" s="36"/>
      <c r="PNS202" s="36"/>
      <c r="PNT202" s="36"/>
      <c r="PNU202" s="36"/>
      <c r="PNV202" s="36"/>
      <c r="PNW202" s="36"/>
      <c r="PNX202" s="36"/>
      <c r="PNY202" s="36"/>
      <c r="PNZ202" s="36"/>
      <c r="POA202" s="36"/>
      <c r="POB202" s="36"/>
      <c r="POC202" s="36"/>
      <c r="POD202" s="36"/>
      <c r="POE202" s="36"/>
      <c r="POF202" s="36"/>
      <c r="POG202" s="36"/>
      <c r="POH202" s="36"/>
      <c r="POI202" s="36"/>
      <c r="POJ202" s="36"/>
      <c r="POK202" s="36"/>
      <c r="POL202" s="36"/>
      <c r="POM202" s="36"/>
      <c r="PON202" s="36"/>
      <c r="POO202" s="36"/>
      <c r="POP202" s="36"/>
      <c r="POQ202" s="36"/>
      <c r="POR202" s="36"/>
      <c r="POS202" s="36"/>
      <c r="POT202" s="36"/>
      <c r="POU202" s="36"/>
      <c r="POV202" s="36"/>
      <c r="POW202" s="36"/>
      <c r="POX202" s="36"/>
      <c r="POY202" s="36"/>
      <c r="POZ202" s="36"/>
      <c r="PPA202" s="36"/>
      <c r="PPB202" s="36"/>
      <c r="PPC202" s="36"/>
      <c r="PPD202" s="36"/>
      <c r="PPE202" s="36"/>
      <c r="PPF202" s="36"/>
      <c r="PPG202" s="36"/>
      <c r="PPH202" s="36"/>
      <c r="PPI202" s="36"/>
      <c r="PPJ202" s="36"/>
      <c r="PPK202" s="36"/>
      <c r="PPL202" s="36"/>
      <c r="PPM202" s="36"/>
      <c r="PPN202" s="36"/>
      <c r="PPO202" s="36"/>
      <c r="PPP202" s="36"/>
      <c r="PPQ202" s="36"/>
      <c r="PPR202" s="36"/>
      <c r="PPS202" s="36"/>
      <c r="PPT202" s="36"/>
      <c r="PPU202" s="36"/>
      <c r="PPV202" s="36"/>
      <c r="PPW202" s="36"/>
      <c r="PPX202" s="36"/>
      <c r="PPY202" s="36"/>
      <c r="PPZ202" s="36"/>
      <c r="PQA202" s="36"/>
      <c r="PQB202" s="36"/>
      <c r="PQC202" s="36"/>
      <c r="PQD202" s="36"/>
      <c r="PQE202" s="36"/>
      <c r="PQF202" s="36"/>
      <c r="PQG202" s="36"/>
      <c r="PQH202" s="36"/>
      <c r="PQI202" s="36"/>
      <c r="PQJ202" s="36"/>
      <c r="PQK202" s="36"/>
      <c r="PQL202" s="36"/>
      <c r="PQM202" s="36"/>
      <c r="PQN202" s="36"/>
      <c r="PQO202" s="36"/>
      <c r="PQP202" s="36"/>
      <c r="PQQ202" s="36"/>
      <c r="PQR202" s="36"/>
      <c r="PQS202" s="36"/>
      <c r="PQT202" s="36"/>
      <c r="PQU202" s="36"/>
      <c r="PQV202" s="36"/>
      <c r="PQW202" s="36"/>
      <c r="PQX202" s="36"/>
      <c r="PQY202" s="36"/>
      <c r="PQZ202" s="36"/>
      <c r="PRA202" s="36"/>
      <c r="PRB202" s="36"/>
      <c r="PRC202" s="36"/>
      <c r="PRD202" s="36"/>
      <c r="PRE202" s="36"/>
      <c r="PRF202" s="36"/>
      <c r="PRG202" s="36"/>
      <c r="PRH202" s="36"/>
      <c r="PRI202" s="36"/>
      <c r="PRJ202" s="36"/>
      <c r="PRK202" s="36"/>
      <c r="PRL202" s="36"/>
      <c r="PRM202" s="36"/>
      <c r="PRN202" s="36"/>
      <c r="PRO202" s="36"/>
      <c r="PRP202" s="36"/>
      <c r="PRQ202" s="36"/>
      <c r="PRR202" s="36"/>
      <c r="PRS202" s="36"/>
      <c r="PRT202" s="36"/>
      <c r="PRU202" s="36"/>
      <c r="PRV202" s="36"/>
      <c r="PRW202" s="36"/>
      <c r="PRX202" s="36"/>
      <c r="PRY202" s="36"/>
      <c r="PRZ202" s="36"/>
      <c r="PSA202" s="36"/>
      <c r="PSB202" s="36"/>
      <c r="PSC202" s="36"/>
      <c r="PSD202" s="36"/>
      <c r="PSE202" s="36"/>
      <c r="PSF202" s="36"/>
      <c r="PSG202" s="36"/>
      <c r="PSH202" s="36"/>
      <c r="PSI202" s="36"/>
      <c r="PSJ202" s="36"/>
      <c r="PSK202" s="36"/>
      <c r="PSL202" s="36"/>
      <c r="PSM202" s="36"/>
      <c r="PSN202" s="36"/>
      <c r="PSO202" s="36"/>
      <c r="PSP202" s="36"/>
      <c r="PSQ202" s="36"/>
      <c r="PSR202" s="36"/>
      <c r="PSS202" s="36"/>
      <c r="PST202" s="36"/>
      <c r="PSU202" s="36"/>
      <c r="PSV202" s="36"/>
      <c r="PSW202" s="36"/>
      <c r="PSX202" s="36"/>
      <c r="PSY202" s="36"/>
      <c r="PSZ202" s="36"/>
      <c r="PTA202" s="36"/>
      <c r="PTB202" s="36"/>
      <c r="PTC202" s="36"/>
      <c r="PTD202" s="36"/>
      <c r="PTE202" s="36"/>
      <c r="PTF202" s="36"/>
      <c r="PTG202" s="36"/>
      <c r="PTH202" s="36"/>
      <c r="PTI202" s="36"/>
      <c r="PTJ202" s="36"/>
      <c r="PTK202" s="36"/>
      <c r="PTL202" s="36"/>
      <c r="PTM202" s="36"/>
      <c r="PTN202" s="36"/>
      <c r="PTO202" s="36"/>
      <c r="PTP202" s="36"/>
      <c r="PTQ202" s="36"/>
      <c r="PTR202" s="36"/>
      <c r="PTS202" s="36"/>
      <c r="PTT202" s="36"/>
      <c r="PTU202" s="36"/>
      <c r="PTV202" s="36"/>
      <c r="PTW202" s="36"/>
      <c r="PTX202" s="36"/>
      <c r="PTY202" s="36"/>
      <c r="PTZ202" s="36"/>
      <c r="PUA202" s="36"/>
      <c r="PUB202" s="36"/>
      <c r="PUC202" s="36"/>
      <c r="PUD202" s="36"/>
      <c r="PUE202" s="36"/>
      <c r="PUF202" s="36"/>
      <c r="PUG202" s="36"/>
      <c r="PUH202" s="36"/>
      <c r="PUI202" s="36"/>
      <c r="PUJ202" s="36"/>
      <c r="PUK202" s="36"/>
      <c r="PUL202" s="36"/>
      <c r="PUM202" s="36"/>
      <c r="PUN202" s="36"/>
      <c r="PUO202" s="36"/>
      <c r="PUP202" s="36"/>
      <c r="PUQ202" s="36"/>
      <c r="PUR202" s="36"/>
      <c r="PUS202" s="36"/>
      <c r="PUT202" s="36"/>
      <c r="PUU202" s="36"/>
      <c r="PUV202" s="36"/>
      <c r="PUW202" s="36"/>
      <c r="PUX202" s="36"/>
      <c r="PUY202" s="36"/>
      <c r="PUZ202" s="36"/>
      <c r="PVA202" s="36"/>
      <c r="PVB202" s="36"/>
      <c r="PVC202" s="36"/>
      <c r="PVD202" s="36"/>
      <c r="PVE202" s="36"/>
      <c r="PVF202" s="36"/>
      <c r="PVG202" s="36"/>
      <c r="PVH202" s="36"/>
      <c r="PVI202" s="36"/>
      <c r="PVJ202" s="36"/>
      <c r="PVK202" s="36"/>
      <c r="PVL202" s="36"/>
      <c r="PVM202" s="36"/>
      <c r="PVN202" s="36"/>
      <c r="PVO202" s="36"/>
      <c r="PVP202" s="36"/>
      <c r="PVQ202" s="36"/>
      <c r="PVR202" s="36"/>
      <c r="PVS202" s="36"/>
      <c r="PVT202" s="36"/>
      <c r="PVU202" s="36"/>
      <c r="PVV202" s="36"/>
      <c r="PVW202" s="36"/>
      <c r="PVX202" s="36"/>
      <c r="PVY202" s="36"/>
      <c r="PVZ202" s="36"/>
      <c r="PWA202" s="36"/>
      <c r="PWB202" s="36"/>
      <c r="PWC202" s="36"/>
      <c r="PWD202" s="36"/>
      <c r="PWE202" s="36"/>
      <c r="PWF202" s="36"/>
      <c r="PWG202" s="36"/>
      <c r="PWH202" s="36"/>
      <c r="PWI202" s="36"/>
      <c r="PWJ202" s="36"/>
      <c r="PWK202" s="36"/>
      <c r="PWL202" s="36"/>
      <c r="PWM202" s="36"/>
      <c r="PWN202" s="36"/>
      <c r="PWO202" s="36"/>
      <c r="PWP202" s="36"/>
      <c r="PWQ202" s="36"/>
      <c r="PWR202" s="36"/>
      <c r="PWS202" s="36"/>
      <c r="PWT202" s="36"/>
      <c r="PWU202" s="36"/>
      <c r="PWV202" s="36"/>
      <c r="PWW202" s="36"/>
      <c r="PWX202" s="36"/>
      <c r="PWY202" s="36"/>
      <c r="PWZ202" s="36"/>
      <c r="PXA202" s="36"/>
      <c r="PXB202" s="36"/>
      <c r="PXC202" s="36"/>
      <c r="PXD202" s="36"/>
      <c r="PXE202" s="36"/>
      <c r="PXF202" s="36"/>
      <c r="PXG202" s="36"/>
      <c r="PXH202" s="36"/>
      <c r="PXI202" s="36"/>
      <c r="PXJ202" s="36"/>
      <c r="PXK202" s="36"/>
      <c r="PXL202" s="36"/>
      <c r="PXM202" s="36"/>
      <c r="PXN202" s="36"/>
      <c r="PXO202" s="36"/>
      <c r="PXP202" s="36"/>
      <c r="PXQ202" s="36"/>
      <c r="PXR202" s="36"/>
      <c r="PXS202" s="36"/>
      <c r="PXT202" s="36"/>
      <c r="PXU202" s="36"/>
      <c r="PXV202" s="36"/>
      <c r="PXW202" s="36"/>
      <c r="PXX202" s="36"/>
      <c r="PXY202" s="36"/>
      <c r="PXZ202" s="36"/>
      <c r="PYA202" s="36"/>
      <c r="PYB202" s="36"/>
      <c r="PYC202" s="36"/>
      <c r="PYD202" s="36"/>
      <c r="PYE202" s="36"/>
      <c r="PYF202" s="36"/>
      <c r="PYG202" s="36"/>
      <c r="PYH202" s="36"/>
      <c r="PYI202" s="36"/>
      <c r="PYJ202" s="36"/>
      <c r="PYK202" s="36"/>
      <c r="PYL202" s="36"/>
      <c r="PYM202" s="36"/>
      <c r="PYN202" s="36"/>
      <c r="PYO202" s="36"/>
      <c r="PYP202" s="36"/>
      <c r="PYQ202" s="36"/>
      <c r="PYR202" s="36"/>
      <c r="PYS202" s="36"/>
      <c r="PYT202" s="36"/>
      <c r="PYU202" s="36"/>
      <c r="PYV202" s="36"/>
      <c r="PYW202" s="36"/>
      <c r="PYX202" s="36"/>
      <c r="PYY202" s="36"/>
      <c r="PYZ202" s="36"/>
      <c r="PZA202" s="36"/>
      <c r="PZB202" s="36"/>
      <c r="PZC202" s="36"/>
      <c r="PZD202" s="36"/>
      <c r="PZE202" s="36"/>
      <c r="PZF202" s="36"/>
      <c r="PZG202" s="36"/>
      <c r="PZH202" s="36"/>
      <c r="PZI202" s="36"/>
      <c r="PZJ202" s="36"/>
      <c r="PZK202" s="36"/>
      <c r="PZL202" s="36"/>
      <c r="PZM202" s="36"/>
      <c r="PZN202" s="36"/>
      <c r="PZO202" s="36"/>
      <c r="PZP202" s="36"/>
      <c r="PZQ202" s="36"/>
      <c r="PZR202" s="36"/>
      <c r="PZS202" s="36"/>
      <c r="PZT202" s="36"/>
      <c r="PZU202" s="36"/>
      <c r="PZV202" s="36"/>
      <c r="PZW202" s="36"/>
      <c r="PZX202" s="36"/>
      <c r="PZY202" s="36"/>
      <c r="PZZ202" s="36"/>
      <c r="QAA202" s="36"/>
      <c r="QAB202" s="36"/>
      <c r="QAC202" s="36"/>
      <c r="QAD202" s="36"/>
      <c r="QAE202" s="36"/>
      <c r="QAF202" s="36"/>
      <c r="QAG202" s="36"/>
      <c r="QAH202" s="36"/>
      <c r="QAI202" s="36"/>
      <c r="QAJ202" s="36"/>
      <c r="QAK202" s="36"/>
      <c r="QAL202" s="36"/>
      <c r="QAM202" s="36"/>
      <c r="QAN202" s="36"/>
      <c r="QAO202" s="36"/>
      <c r="QAP202" s="36"/>
      <c r="QAQ202" s="36"/>
      <c r="QAR202" s="36"/>
      <c r="QAS202" s="36"/>
      <c r="QAT202" s="36"/>
      <c r="QAU202" s="36"/>
      <c r="QAV202" s="36"/>
      <c r="QAW202" s="36"/>
      <c r="QAX202" s="36"/>
      <c r="QAY202" s="36"/>
      <c r="QAZ202" s="36"/>
      <c r="QBA202" s="36"/>
      <c r="QBB202" s="36"/>
      <c r="QBC202" s="36"/>
      <c r="QBD202" s="36"/>
      <c r="QBE202" s="36"/>
      <c r="QBF202" s="36"/>
      <c r="QBG202" s="36"/>
      <c r="QBH202" s="36"/>
      <c r="QBI202" s="36"/>
      <c r="QBJ202" s="36"/>
      <c r="QBK202" s="36"/>
      <c r="QBL202" s="36"/>
      <c r="QBM202" s="36"/>
      <c r="QBN202" s="36"/>
      <c r="QBO202" s="36"/>
      <c r="QBP202" s="36"/>
      <c r="QBQ202" s="36"/>
      <c r="QBR202" s="36"/>
      <c r="QBS202" s="36"/>
      <c r="QBT202" s="36"/>
      <c r="QBU202" s="36"/>
      <c r="QBV202" s="36"/>
      <c r="QBW202" s="36"/>
      <c r="QBX202" s="36"/>
      <c r="QBY202" s="36"/>
      <c r="QBZ202" s="36"/>
      <c r="QCA202" s="36"/>
      <c r="QCB202" s="36"/>
      <c r="QCC202" s="36"/>
      <c r="QCD202" s="36"/>
      <c r="QCE202" s="36"/>
      <c r="QCF202" s="36"/>
      <c r="QCG202" s="36"/>
      <c r="QCH202" s="36"/>
      <c r="QCI202" s="36"/>
      <c r="QCJ202" s="36"/>
      <c r="QCK202" s="36"/>
      <c r="QCL202" s="36"/>
      <c r="QCM202" s="36"/>
      <c r="QCN202" s="36"/>
      <c r="QCO202" s="36"/>
      <c r="QCP202" s="36"/>
      <c r="QCQ202" s="36"/>
      <c r="QCR202" s="36"/>
      <c r="QCS202" s="36"/>
      <c r="QCT202" s="36"/>
      <c r="QCU202" s="36"/>
      <c r="QCV202" s="36"/>
      <c r="QCW202" s="36"/>
      <c r="QCX202" s="36"/>
      <c r="QCY202" s="36"/>
      <c r="QCZ202" s="36"/>
      <c r="QDA202" s="36"/>
      <c r="QDB202" s="36"/>
      <c r="QDC202" s="36"/>
      <c r="QDD202" s="36"/>
      <c r="QDE202" s="36"/>
      <c r="QDF202" s="36"/>
      <c r="QDG202" s="36"/>
      <c r="QDH202" s="36"/>
      <c r="QDI202" s="36"/>
      <c r="QDJ202" s="36"/>
      <c r="QDK202" s="36"/>
      <c r="QDL202" s="36"/>
      <c r="QDM202" s="36"/>
      <c r="QDN202" s="36"/>
      <c r="QDO202" s="36"/>
      <c r="QDP202" s="36"/>
      <c r="QDQ202" s="36"/>
      <c r="QDR202" s="36"/>
      <c r="QDS202" s="36"/>
      <c r="QDT202" s="36"/>
      <c r="QDU202" s="36"/>
      <c r="QDV202" s="36"/>
      <c r="QDW202" s="36"/>
      <c r="QDX202" s="36"/>
      <c r="QDY202" s="36"/>
      <c r="QDZ202" s="36"/>
      <c r="QEA202" s="36"/>
      <c r="QEB202" s="36"/>
      <c r="QEC202" s="36"/>
      <c r="QED202" s="36"/>
      <c r="QEE202" s="36"/>
      <c r="QEF202" s="36"/>
      <c r="QEG202" s="36"/>
      <c r="QEH202" s="36"/>
      <c r="QEI202" s="36"/>
      <c r="QEJ202" s="36"/>
      <c r="QEK202" s="36"/>
      <c r="QEL202" s="36"/>
      <c r="QEM202" s="36"/>
      <c r="QEN202" s="36"/>
      <c r="QEO202" s="36"/>
      <c r="QEP202" s="36"/>
      <c r="QEQ202" s="36"/>
      <c r="QER202" s="36"/>
      <c r="QES202" s="36"/>
      <c r="QET202" s="36"/>
      <c r="QEU202" s="36"/>
      <c r="QEV202" s="36"/>
      <c r="QEW202" s="36"/>
      <c r="QEX202" s="36"/>
      <c r="QEY202" s="36"/>
      <c r="QEZ202" s="36"/>
      <c r="QFA202" s="36"/>
      <c r="QFB202" s="36"/>
      <c r="QFC202" s="36"/>
      <c r="QFD202" s="36"/>
      <c r="QFE202" s="36"/>
      <c r="QFF202" s="36"/>
      <c r="QFG202" s="36"/>
      <c r="QFH202" s="36"/>
      <c r="QFI202" s="36"/>
      <c r="QFJ202" s="36"/>
      <c r="QFK202" s="36"/>
      <c r="QFL202" s="36"/>
      <c r="QFM202" s="36"/>
      <c r="QFN202" s="36"/>
      <c r="QFO202" s="36"/>
      <c r="QFP202" s="36"/>
      <c r="QFQ202" s="36"/>
      <c r="QFR202" s="36"/>
      <c r="QFS202" s="36"/>
      <c r="QFT202" s="36"/>
      <c r="QFU202" s="36"/>
      <c r="QFV202" s="36"/>
      <c r="QFW202" s="36"/>
      <c r="QFX202" s="36"/>
      <c r="QFY202" s="36"/>
      <c r="QFZ202" s="36"/>
      <c r="QGA202" s="36"/>
      <c r="QGB202" s="36"/>
      <c r="QGC202" s="36"/>
      <c r="QGD202" s="36"/>
      <c r="QGE202" s="36"/>
      <c r="QGF202" s="36"/>
      <c r="QGG202" s="36"/>
      <c r="QGH202" s="36"/>
      <c r="QGI202" s="36"/>
      <c r="QGJ202" s="36"/>
      <c r="QGK202" s="36"/>
      <c r="QGL202" s="36"/>
      <c r="QGM202" s="36"/>
      <c r="QGN202" s="36"/>
      <c r="QGO202" s="36"/>
      <c r="QGP202" s="36"/>
      <c r="QGQ202" s="36"/>
      <c r="QGR202" s="36"/>
      <c r="QGS202" s="36"/>
      <c r="QGT202" s="36"/>
      <c r="QGU202" s="36"/>
      <c r="QGV202" s="36"/>
      <c r="QGW202" s="36"/>
      <c r="QGX202" s="36"/>
      <c r="QGY202" s="36"/>
      <c r="QGZ202" s="36"/>
      <c r="QHA202" s="36"/>
      <c r="QHB202" s="36"/>
      <c r="QHC202" s="36"/>
      <c r="QHD202" s="36"/>
      <c r="QHE202" s="36"/>
      <c r="QHF202" s="36"/>
      <c r="QHG202" s="36"/>
      <c r="QHH202" s="36"/>
      <c r="QHI202" s="36"/>
      <c r="QHJ202" s="36"/>
      <c r="QHK202" s="36"/>
      <c r="QHL202" s="36"/>
      <c r="QHM202" s="36"/>
      <c r="QHN202" s="36"/>
      <c r="QHO202" s="36"/>
      <c r="QHP202" s="36"/>
      <c r="QHQ202" s="36"/>
      <c r="QHR202" s="36"/>
      <c r="QHS202" s="36"/>
      <c r="QHT202" s="36"/>
      <c r="QHU202" s="36"/>
      <c r="QHV202" s="36"/>
      <c r="QHW202" s="36"/>
      <c r="QHX202" s="36"/>
      <c r="QHY202" s="36"/>
      <c r="QHZ202" s="36"/>
      <c r="QIA202" s="36"/>
      <c r="QIB202" s="36"/>
      <c r="QIC202" s="36"/>
      <c r="QID202" s="36"/>
      <c r="QIE202" s="36"/>
      <c r="QIF202" s="36"/>
      <c r="QIG202" s="36"/>
      <c r="QIH202" s="36"/>
      <c r="QII202" s="36"/>
      <c r="QIJ202" s="36"/>
      <c r="QIK202" s="36"/>
      <c r="QIL202" s="36"/>
      <c r="QIM202" s="36"/>
      <c r="QIN202" s="36"/>
      <c r="QIO202" s="36"/>
      <c r="QIP202" s="36"/>
      <c r="QIQ202" s="36"/>
      <c r="QIR202" s="36"/>
      <c r="QIS202" s="36"/>
      <c r="QIT202" s="36"/>
      <c r="QIU202" s="36"/>
      <c r="QIV202" s="36"/>
      <c r="QIW202" s="36"/>
      <c r="QIX202" s="36"/>
      <c r="QIY202" s="36"/>
      <c r="QIZ202" s="36"/>
      <c r="QJA202" s="36"/>
      <c r="QJB202" s="36"/>
      <c r="QJC202" s="36"/>
      <c r="QJD202" s="36"/>
      <c r="QJE202" s="36"/>
      <c r="QJF202" s="36"/>
      <c r="QJG202" s="36"/>
      <c r="QJH202" s="36"/>
      <c r="QJI202" s="36"/>
      <c r="QJJ202" s="36"/>
      <c r="QJK202" s="36"/>
      <c r="QJL202" s="36"/>
      <c r="QJM202" s="36"/>
      <c r="QJN202" s="36"/>
      <c r="QJO202" s="36"/>
      <c r="QJP202" s="36"/>
      <c r="QJQ202" s="36"/>
      <c r="QJR202" s="36"/>
      <c r="QJS202" s="36"/>
      <c r="QJT202" s="36"/>
      <c r="QJU202" s="36"/>
      <c r="QJV202" s="36"/>
      <c r="QJW202" s="36"/>
      <c r="QJX202" s="36"/>
      <c r="QJY202" s="36"/>
      <c r="QJZ202" s="36"/>
      <c r="QKA202" s="36"/>
      <c r="QKB202" s="36"/>
      <c r="QKC202" s="36"/>
      <c r="QKD202" s="36"/>
      <c r="QKE202" s="36"/>
      <c r="QKF202" s="36"/>
      <c r="QKG202" s="36"/>
      <c r="QKH202" s="36"/>
      <c r="QKI202" s="36"/>
      <c r="QKJ202" s="36"/>
      <c r="QKK202" s="36"/>
      <c r="QKL202" s="36"/>
      <c r="QKM202" s="36"/>
      <c r="QKN202" s="36"/>
      <c r="QKO202" s="36"/>
      <c r="QKP202" s="36"/>
      <c r="QKQ202" s="36"/>
      <c r="QKR202" s="36"/>
      <c r="QKS202" s="36"/>
      <c r="QKT202" s="36"/>
      <c r="QKU202" s="36"/>
      <c r="QKV202" s="36"/>
      <c r="QKW202" s="36"/>
      <c r="QKX202" s="36"/>
      <c r="QKY202" s="36"/>
      <c r="QKZ202" s="36"/>
      <c r="QLA202" s="36"/>
      <c r="QLB202" s="36"/>
      <c r="QLC202" s="36"/>
      <c r="QLD202" s="36"/>
      <c r="QLE202" s="36"/>
      <c r="QLF202" s="36"/>
      <c r="QLG202" s="36"/>
      <c r="QLH202" s="36"/>
      <c r="QLI202" s="36"/>
      <c r="QLJ202" s="36"/>
      <c r="QLK202" s="36"/>
      <c r="QLL202" s="36"/>
      <c r="QLM202" s="36"/>
      <c r="QLN202" s="36"/>
      <c r="QLO202" s="36"/>
      <c r="QLP202" s="36"/>
      <c r="QLQ202" s="36"/>
      <c r="QLR202" s="36"/>
      <c r="QLS202" s="36"/>
      <c r="QLT202" s="36"/>
      <c r="QLU202" s="36"/>
      <c r="QLV202" s="36"/>
      <c r="QLW202" s="36"/>
      <c r="QLX202" s="36"/>
      <c r="QLY202" s="36"/>
      <c r="QLZ202" s="36"/>
      <c r="QMA202" s="36"/>
      <c r="QMB202" s="36"/>
      <c r="QMC202" s="36"/>
      <c r="QMD202" s="36"/>
      <c r="QME202" s="36"/>
      <c r="QMF202" s="36"/>
      <c r="QMG202" s="36"/>
      <c r="QMH202" s="36"/>
      <c r="QMI202" s="36"/>
      <c r="QMJ202" s="36"/>
      <c r="QMK202" s="36"/>
      <c r="QML202" s="36"/>
      <c r="QMM202" s="36"/>
      <c r="QMN202" s="36"/>
      <c r="QMO202" s="36"/>
      <c r="QMP202" s="36"/>
      <c r="QMQ202" s="36"/>
      <c r="QMR202" s="36"/>
      <c r="QMS202" s="36"/>
      <c r="QMT202" s="36"/>
      <c r="QMU202" s="36"/>
      <c r="QMV202" s="36"/>
      <c r="QMW202" s="36"/>
      <c r="QMX202" s="36"/>
      <c r="QMY202" s="36"/>
      <c r="QMZ202" s="36"/>
      <c r="QNA202" s="36"/>
      <c r="QNB202" s="36"/>
      <c r="QNC202" s="36"/>
      <c r="QND202" s="36"/>
      <c r="QNE202" s="36"/>
      <c r="QNF202" s="36"/>
      <c r="QNG202" s="36"/>
      <c r="QNH202" s="36"/>
      <c r="QNI202" s="36"/>
      <c r="QNJ202" s="36"/>
      <c r="QNK202" s="36"/>
      <c r="QNL202" s="36"/>
      <c r="QNM202" s="36"/>
      <c r="QNN202" s="36"/>
      <c r="QNO202" s="36"/>
      <c r="QNP202" s="36"/>
      <c r="QNQ202" s="36"/>
      <c r="QNR202" s="36"/>
      <c r="QNS202" s="36"/>
      <c r="QNT202" s="36"/>
      <c r="QNU202" s="36"/>
      <c r="QNV202" s="36"/>
      <c r="QNW202" s="36"/>
      <c r="QNX202" s="36"/>
      <c r="QNY202" s="36"/>
      <c r="QNZ202" s="36"/>
      <c r="QOA202" s="36"/>
      <c r="QOB202" s="36"/>
      <c r="QOC202" s="36"/>
      <c r="QOD202" s="36"/>
      <c r="QOE202" s="36"/>
      <c r="QOF202" s="36"/>
      <c r="QOG202" s="36"/>
      <c r="QOH202" s="36"/>
      <c r="QOI202" s="36"/>
      <c r="QOJ202" s="36"/>
      <c r="QOK202" s="36"/>
      <c r="QOL202" s="36"/>
      <c r="QOM202" s="36"/>
      <c r="QON202" s="36"/>
      <c r="QOO202" s="36"/>
      <c r="QOP202" s="36"/>
      <c r="QOQ202" s="36"/>
      <c r="QOR202" s="36"/>
      <c r="QOS202" s="36"/>
      <c r="QOT202" s="36"/>
      <c r="QOU202" s="36"/>
      <c r="QOV202" s="36"/>
      <c r="QOW202" s="36"/>
      <c r="QOX202" s="36"/>
      <c r="QOY202" s="36"/>
      <c r="QOZ202" s="36"/>
      <c r="QPA202" s="36"/>
      <c r="QPB202" s="36"/>
      <c r="QPC202" s="36"/>
      <c r="QPD202" s="36"/>
      <c r="QPE202" s="36"/>
      <c r="QPF202" s="36"/>
      <c r="QPG202" s="36"/>
      <c r="QPH202" s="36"/>
      <c r="QPI202" s="36"/>
      <c r="QPJ202" s="36"/>
      <c r="QPK202" s="36"/>
      <c r="QPL202" s="36"/>
      <c r="QPM202" s="36"/>
      <c r="QPN202" s="36"/>
      <c r="QPO202" s="36"/>
      <c r="QPP202" s="36"/>
      <c r="QPQ202" s="36"/>
      <c r="QPR202" s="36"/>
      <c r="QPS202" s="36"/>
      <c r="QPT202" s="36"/>
      <c r="QPU202" s="36"/>
      <c r="QPV202" s="36"/>
      <c r="QPW202" s="36"/>
      <c r="QPX202" s="36"/>
      <c r="QPY202" s="36"/>
      <c r="QPZ202" s="36"/>
      <c r="QQA202" s="36"/>
      <c r="QQB202" s="36"/>
      <c r="QQC202" s="36"/>
      <c r="QQD202" s="36"/>
      <c r="QQE202" s="36"/>
      <c r="QQF202" s="36"/>
      <c r="QQG202" s="36"/>
      <c r="QQH202" s="36"/>
      <c r="QQI202" s="36"/>
      <c r="QQJ202" s="36"/>
      <c r="QQK202" s="36"/>
      <c r="QQL202" s="36"/>
      <c r="QQM202" s="36"/>
      <c r="QQN202" s="36"/>
      <c r="QQO202" s="36"/>
      <c r="QQP202" s="36"/>
      <c r="QQQ202" s="36"/>
      <c r="QQR202" s="36"/>
      <c r="QQS202" s="36"/>
      <c r="QQT202" s="36"/>
      <c r="QQU202" s="36"/>
      <c r="QQV202" s="36"/>
      <c r="QQW202" s="36"/>
      <c r="QQX202" s="36"/>
      <c r="QQY202" s="36"/>
      <c r="QQZ202" s="36"/>
      <c r="QRA202" s="36"/>
      <c r="QRB202" s="36"/>
      <c r="QRC202" s="36"/>
      <c r="QRD202" s="36"/>
      <c r="QRE202" s="36"/>
      <c r="QRF202" s="36"/>
      <c r="QRG202" s="36"/>
      <c r="QRH202" s="36"/>
      <c r="QRI202" s="36"/>
      <c r="QRJ202" s="36"/>
      <c r="QRK202" s="36"/>
      <c r="QRL202" s="36"/>
      <c r="QRM202" s="36"/>
      <c r="QRN202" s="36"/>
      <c r="QRO202" s="36"/>
      <c r="QRP202" s="36"/>
      <c r="QRQ202" s="36"/>
      <c r="QRR202" s="36"/>
      <c r="QRS202" s="36"/>
      <c r="QRT202" s="36"/>
      <c r="QRU202" s="36"/>
      <c r="QRV202" s="36"/>
      <c r="QRW202" s="36"/>
      <c r="QRX202" s="36"/>
      <c r="QRY202" s="36"/>
      <c r="QRZ202" s="36"/>
      <c r="QSA202" s="36"/>
      <c r="QSB202" s="36"/>
      <c r="QSC202" s="36"/>
      <c r="QSD202" s="36"/>
      <c r="QSE202" s="36"/>
      <c r="QSF202" s="36"/>
      <c r="QSG202" s="36"/>
      <c r="QSH202" s="36"/>
      <c r="QSI202" s="36"/>
      <c r="QSJ202" s="36"/>
      <c r="QSK202" s="36"/>
      <c r="QSL202" s="36"/>
      <c r="QSM202" s="36"/>
      <c r="QSN202" s="36"/>
      <c r="QSO202" s="36"/>
      <c r="QSP202" s="36"/>
      <c r="QSQ202" s="36"/>
      <c r="QSR202" s="36"/>
      <c r="QSS202" s="36"/>
      <c r="QST202" s="36"/>
      <c r="QSU202" s="36"/>
      <c r="QSV202" s="36"/>
      <c r="QSW202" s="36"/>
      <c r="QSX202" s="36"/>
      <c r="QSY202" s="36"/>
      <c r="QSZ202" s="36"/>
      <c r="QTA202" s="36"/>
      <c r="QTB202" s="36"/>
      <c r="QTC202" s="36"/>
      <c r="QTD202" s="36"/>
      <c r="QTE202" s="36"/>
      <c r="QTF202" s="36"/>
      <c r="QTG202" s="36"/>
      <c r="QTH202" s="36"/>
      <c r="QTI202" s="36"/>
      <c r="QTJ202" s="36"/>
      <c r="QTK202" s="36"/>
      <c r="QTL202" s="36"/>
      <c r="QTM202" s="36"/>
      <c r="QTN202" s="36"/>
      <c r="QTO202" s="36"/>
      <c r="QTP202" s="36"/>
      <c r="QTQ202" s="36"/>
      <c r="QTR202" s="36"/>
      <c r="QTS202" s="36"/>
      <c r="QTT202" s="36"/>
      <c r="QTU202" s="36"/>
      <c r="QTV202" s="36"/>
      <c r="QTW202" s="36"/>
      <c r="QTX202" s="36"/>
      <c r="QTY202" s="36"/>
      <c r="QTZ202" s="36"/>
      <c r="QUA202" s="36"/>
      <c r="QUB202" s="36"/>
      <c r="QUC202" s="36"/>
      <c r="QUD202" s="36"/>
      <c r="QUE202" s="36"/>
      <c r="QUF202" s="36"/>
      <c r="QUG202" s="36"/>
      <c r="QUH202" s="36"/>
      <c r="QUI202" s="36"/>
      <c r="QUJ202" s="36"/>
      <c r="QUK202" s="36"/>
      <c r="QUL202" s="36"/>
      <c r="QUM202" s="36"/>
      <c r="QUN202" s="36"/>
      <c r="QUO202" s="36"/>
      <c r="QUP202" s="36"/>
      <c r="QUQ202" s="36"/>
      <c r="QUR202" s="36"/>
      <c r="QUS202" s="36"/>
      <c r="QUT202" s="36"/>
      <c r="QUU202" s="36"/>
      <c r="QUV202" s="36"/>
      <c r="QUW202" s="36"/>
      <c r="QUX202" s="36"/>
      <c r="QUY202" s="36"/>
      <c r="QUZ202" s="36"/>
      <c r="QVA202" s="36"/>
      <c r="QVB202" s="36"/>
      <c r="QVC202" s="36"/>
      <c r="QVD202" s="36"/>
      <c r="QVE202" s="36"/>
      <c r="QVF202" s="36"/>
      <c r="QVG202" s="36"/>
      <c r="QVH202" s="36"/>
      <c r="QVI202" s="36"/>
      <c r="QVJ202" s="36"/>
      <c r="QVK202" s="36"/>
      <c r="QVL202" s="36"/>
      <c r="QVM202" s="36"/>
      <c r="QVN202" s="36"/>
      <c r="QVO202" s="36"/>
      <c r="QVP202" s="36"/>
      <c r="QVQ202" s="36"/>
      <c r="QVR202" s="36"/>
      <c r="QVS202" s="36"/>
      <c r="QVT202" s="36"/>
      <c r="QVU202" s="36"/>
      <c r="QVV202" s="36"/>
      <c r="QVW202" s="36"/>
      <c r="QVX202" s="36"/>
      <c r="QVY202" s="36"/>
      <c r="QVZ202" s="36"/>
      <c r="QWA202" s="36"/>
      <c r="QWB202" s="36"/>
      <c r="QWC202" s="36"/>
      <c r="QWD202" s="36"/>
      <c r="QWE202" s="36"/>
      <c r="QWF202" s="36"/>
      <c r="QWG202" s="36"/>
      <c r="QWH202" s="36"/>
      <c r="QWI202" s="36"/>
      <c r="QWJ202" s="36"/>
      <c r="QWK202" s="36"/>
      <c r="QWL202" s="36"/>
      <c r="QWM202" s="36"/>
      <c r="QWN202" s="36"/>
      <c r="QWO202" s="36"/>
      <c r="QWP202" s="36"/>
      <c r="QWQ202" s="36"/>
      <c r="QWR202" s="36"/>
      <c r="QWS202" s="36"/>
      <c r="QWT202" s="36"/>
      <c r="QWU202" s="36"/>
      <c r="QWV202" s="36"/>
      <c r="QWW202" s="36"/>
      <c r="QWX202" s="36"/>
      <c r="QWY202" s="36"/>
      <c r="QWZ202" s="36"/>
      <c r="QXA202" s="36"/>
      <c r="QXB202" s="36"/>
      <c r="QXC202" s="36"/>
      <c r="QXD202" s="36"/>
      <c r="QXE202" s="36"/>
      <c r="QXF202" s="36"/>
      <c r="QXG202" s="36"/>
      <c r="QXH202" s="36"/>
      <c r="QXI202" s="36"/>
      <c r="QXJ202" s="36"/>
      <c r="QXK202" s="36"/>
      <c r="QXL202" s="36"/>
      <c r="QXM202" s="36"/>
      <c r="QXN202" s="36"/>
      <c r="QXO202" s="36"/>
      <c r="QXP202" s="36"/>
      <c r="QXQ202" s="36"/>
      <c r="QXR202" s="36"/>
      <c r="QXS202" s="36"/>
      <c r="QXT202" s="36"/>
      <c r="QXU202" s="36"/>
      <c r="QXV202" s="36"/>
      <c r="QXW202" s="36"/>
      <c r="QXX202" s="36"/>
      <c r="QXY202" s="36"/>
      <c r="QXZ202" s="36"/>
      <c r="QYA202" s="36"/>
      <c r="QYB202" s="36"/>
      <c r="QYC202" s="36"/>
      <c r="QYD202" s="36"/>
      <c r="QYE202" s="36"/>
      <c r="QYF202" s="36"/>
      <c r="QYG202" s="36"/>
      <c r="QYH202" s="36"/>
      <c r="QYI202" s="36"/>
      <c r="QYJ202" s="36"/>
      <c r="QYK202" s="36"/>
      <c r="QYL202" s="36"/>
      <c r="QYM202" s="36"/>
      <c r="QYN202" s="36"/>
      <c r="QYO202" s="36"/>
      <c r="QYP202" s="36"/>
      <c r="QYQ202" s="36"/>
      <c r="QYR202" s="36"/>
      <c r="QYS202" s="36"/>
      <c r="QYT202" s="36"/>
      <c r="QYU202" s="36"/>
      <c r="QYV202" s="36"/>
      <c r="QYW202" s="36"/>
      <c r="QYX202" s="36"/>
      <c r="QYY202" s="36"/>
      <c r="QYZ202" s="36"/>
      <c r="QZA202" s="36"/>
      <c r="QZB202" s="36"/>
      <c r="QZC202" s="36"/>
      <c r="QZD202" s="36"/>
      <c r="QZE202" s="36"/>
      <c r="QZF202" s="36"/>
      <c r="QZG202" s="36"/>
      <c r="QZH202" s="36"/>
      <c r="QZI202" s="36"/>
      <c r="QZJ202" s="36"/>
      <c r="QZK202" s="36"/>
      <c r="QZL202" s="36"/>
      <c r="QZM202" s="36"/>
      <c r="QZN202" s="36"/>
      <c r="QZO202" s="36"/>
      <c r="QZP202" s="36"/>
      <c r="QZQ202" s="36"/>
      <c r="QZR202" s="36"/>
      <c r="QZS202" s="36"/>
      <c r="QZT202" s="36"/>
      <c r="QZU202" s="36"/>
      <c r="QZV202" s="36"/>
      <c r="QZW202" s="36"/>
      <c r="QZX202" s="36"/>
      <c r="QZY202" s="36"/>
      <c r="QZZ202" s="36"/>
      <c r="RAA202" s="36"/>
      <c r="RAB202" s="36"/>
      <c r="RAC202" s="36"/>
      <c r="RAD202" s="36"/>
      <c r="RAE202" s="36"/>
      <c r="RAF202" s="36"/>
      <c r="RAG202" s="36"/>
      <c r="RAH202" s="36"/>
      <c r="RAI202" s="36"/>
      <c r="RAJ202" s="36"/>
      <c r="RAK202" s="36"/>
      <c r="RAL202" s="36"/>
      <c r="RAM202" s="36"/>
      <c r="RAN202" s="36"/>
      <c r="RAO202" s="36"/>
      <c r="RAP202" s="36"/>
      <c r="RAQ202" s="36"/>
      <c r="RAR202" s="36"/>
      <c r="RAS202" s="36"/>
      <c r="RAT202" s="36"/>
      <c r="RAU202" s="36"/>
      <c r="RAV202" s="36"/>
      <c r="RAW202" s="36"/>
      <c r="RAX202" s="36"/>
      <c r="RAY202" s="36"/>
      <c r="RAZ202" s="36"/>
      <c r="RBA202" s="36"/>
      <c r="RBB202" s="36"/>
      <c r="RBC202" s="36"/>
      <c r="RBD202" s="36"/>
      <c r="RBE202" s="36"/>
      <c r="RBF202" s="36"/>
      <c r="RBG202" s="36"/>
      <c r="RBH202" s="36"/>
      <c r="RBI202" s="36"/>
      <c r="RBJ202" s="36"/>
      <c r="RBK202" s="36"/>
      <c r="RBL202" s="36"/>
      <c r="RBM202" s="36"/>
      <c r="RBN202" s="36"/>
      <c r="RBO202" s="36"/>
      <c r="RBP202" s="36"/>
      <c r="RBQ202" s="36"/>
      <c r="RBR202" s="36"/>
      <c r="RBS202" s="36"/>
      <c r="RBT202" s="36"/>
      <c r="RBU202" s="36"/>
      <c r="RBV202" s="36"/>
      <c r="RBW202" s="36"/>
      <c r="RBX202" s="36"/>
      <c r="RBY202" s="36"/>
      <c r="RBZ202" s="36"/>
      <c r="RCA202" s="36"/>
      <c r="RCB202" s="36"/>
      <c r="RCC202" s="36"/>
      <c r="RCD202" s="36"/>
      <c r="RCE202" s="36"/>
      <c r="RCF202" s="36"/>
      <c r="RCG202" s="36"/>
      <c r="RCH202" s="36"/>
      <c r="RCI202" s="36"/>
      <c r="RCJ202" s="36"/>
      <c r="RCK202" s="36"/>
      <c r="RCL202" s="36"/>
      <c r="RCM202" s="36"/>
      <c r="RCN202" s="36"/>
      <c r="RCO202" s="36"/>
      <c r="RCP202" s="36"/>
      <c r="RCQ202" s="36"/>
      <c r="RCR202" s="36"/>
      <c r="RCS202" s="36"/>
      <c r="RCT202" s="36"/>
      <c r="RCU202" s="36"/>
      <c r="RCV202" s="36"/>
      <c r="RCW202" s="36"/>
      <c r="RCX202" s="36"/>
      <c r="RCY202" s="36"/>
      <c r="RCZ202" s="36"/>
      <c r="RDA202" s="36"/>
      <c r="RDB202" s="36"/>
      <c r="RDC202" s="36"/>
      <c r="RDD202" s="36"/>
      <c r="RDE202" s="36"/>
      <c r="RDF202" s="36"/>
      <c r="RDG202" s="36"/>
      <c r="RDH202" s="36"/>
      <c r="RDI202" s="36"/>
      <c r="RDJ202" s="36"/>
      <c r="RDK202" s="36"/>
      <c r="RDL202" s="36"/>
      <c r="RDM202" s="36"/>
      <c r="RDN202" s="36"/>
      <c r="RDO202" s="36"/>
      <c r="RDP202" s="36"/>
      <c r="RDQ202" s="36"/>
      <c r="RDR202" s="36"/>
      <c r="RDS202" s="36"/>
      <c r="RDT202" s="36"/>
      <c r="RDU202" s="36"/>
      <c r="RDV202" s="36"/>
      <c r="RDW202" s="36"/>
      <c r="RDX202" s="36"/>
      <c r="RDY202" s="36"/>
      <c r="RDZ202" s="36"/>
      <c r="REA202" s="36"/>
      <c r="REB202" s="36"/>
      <c r="REC202" s="36"/>
      <c r="RED202" s="36"/>
      <c r="REE202" s="36"/>
      <c r="REF202" s="36"/>
      <c r="REG202" s="36"/>
      <c r="REH202" s="36"/>
      <c r="REI202" s="36"/>
      <c r="REJ202" s="36"/>
      <c r="REK202" s="36"/>
      <c r="REL202" s="36"/>
      <c r="REM202" s="36"/>
      <c r="REN202" s="36"/>
      <c r="REO202" s="36"/>
      <c r="REP202" s="36"/>
      <c r="REQ202" s="36"/>
      <c r="RER202" s="36"/>
      <c r="RES202" s="36"/>
      <c r="RET202" s="36"/>
      <c r="REU202" s="36"/>
      <c r="REV202" s="36"/>
      <c r="REW202" s="36"/>
      <c r="REX202" s="36"/>
      <c r="REY202" s="36"/>
      <c r="REZ202" s="36"/>
      <c r="RFA202" s="36"/>
      <c r="RFB202" s="36"/>
      <c r="RFC202" s="36"/>
      <c r="RFD202" s="36"/>
      <c r="RFE202" s="36"/>
      <c r="RFF202" s="36"/>
      <c r="RFG202" s="36"/>
      <c r="RFH202" s="36"/>
      <c r="RFI202" s="36"/>
      <c r="RFJ202" s="36"/>
      <c r="RFK202" s="36"/>
      <c r="RFL202" s="36"/>
      <c r="RFM202" s="36"/>
      <c r="RFN202" s="36"/>
      <c r="RFO202" s="36"/>
      <c r="RFP202" s="36"/>
      <c r="RFQ202" s="36"/>
      <c r="RFR202" s="36"/>
      <c r="RFS202" s="36"/>
      <c r="RFT202" s="36"/>
      <c r="RFU202" s="36"/>
      <c r="RFV202" s="36"/>
      <c r="RFW202" s="36"/>
      <c r="RFX202" s="36"/>
      <c r="RFY202" s="36"/>
      <c r="RFZ202" s="36"/>
      <c r="RGA202" s="36"/>
      <c r="RGB202" s="36"/>
      <c r="RGC202" s="36"/>
      <c r="RGD202" s="36"/>
      <c r="RGE202" s="36"/>
      <c r="RGF202" s="36"/>
      <c r="RGG202" s="36"/>
      <c r="RGH202" s="36"/>
      <c r="RGI202" s="36"/>
      <c r="RGJ202" s="36"/>
      <c r="RGK202" s="36"/>
      <c r="RGL202" s="36"/>
      <c r="RGM202" s="36"/>
      <c r="RGN202" s="36"/>
      <c r="RGO202" s="36"/>
      <c r="RGP202" s="36"/>
      <c r="RGQ202" s="36"/>
      <c r="RGR202" s="36"/>
      <c r="RGS202" s="36"/>
      <c r="RGT202" s="36"/>
      <c r="RGU202" s="36"/>
      <c r="RGV202" s="36"/>
      <c r="RGW202" s="36"/>
      <c r="RGX202" s="36"/>
      <c r="RGY202" s="36"/>
      <c r="RGZ202" s="36"/>
      <c r="RHA202" s="36"/>
      <c r="RHB202" s="36"/>
      <c r="RHC202" s="36"/>
      <c r="RHD202" s="36"/>
      <c r="RHE202" s="36"/>
      <c r="RHF202" s="36"/>
      <c r="RHG202" s="36"/>
      <c r="RHH202" s="36"/>
      <c r="RHI202" s="36"/>
      <c r="RHJ202" s="36"/>
      <c r="RHK202" s="36"/>
      <c r="RHL202" s="36"/>
      <c r="RHM202" s="36"/>
      <c r="RHN202" s="36"/>
      <c r="RHO202" s="36"/>
      <c r="RHP202" s="36"/>
      <c r="RHQ202" s="36"/>
      <c r="RHR202" s="36"/>
      <c r="RHS202" s="36"/>
      <c r="RHT202" s="36"/>
      <c r="RHU202" s="36"/>
      <c r="RHV202" s="36"/>
      <c r="RHW202" s="36"/>
      <c r="RHX202" s="36"/>
      <c r="RHY202" s="36"/>
      <c r="RHZ202" s="36"/>
      <c r="RIA202" s="36"/>
      <c r="RIB202" s="36"/>
      <c r="RIC202" s="36"/>
      <c r="RID202" s="36"/>
      <c r="RIE202" s="36"/>
      <c r="RIF202" s="36"/>
      <c r="RIG202" s="36"/>
      <c r="RIH202" s="36"/>
      <c r="RII202" s="36"/>
      <c r="RIJ202" s="36"/>
      <c r="RIK202" s="36"/>
      <c r="RIL202" s="36"/>
      <c r="RIM202" s="36"/>
      <c r="RIN202" s="36"/>
      <c r="RIO202" s="36"/>
      <c r="RIP202" s="36"/>
      <c r="RIQ202" s="36"/>
      <c r="RIR202" s="36"/>
      <c r="RIS202" s="36"/>
      <c r="RIT202" s="36"/>
      <c r="RIU202" s="36"/>
      <c r="RIV202" s="36"/>
      <c r="RIW202" s="36"/>
      <c r="RIX202" s="36"/>
      <c r="RIY202" s="36"/>
      <c r="RIZ202" s="36"/>
      <c r="RJA202" s="36"/>
      <c r="RJB202" s="36"/>
      <c r="RJC202" s="36"/>
      <c r="RJD202" s="36"/>
      <c r="RJE202" s="36"/>
      <c r="RJF202" s="36"/>
      <c r="RJG202" s="36"/>
      <c r="RJH202" s="36"/>
      <c r="RJI202" s="36"/>
      <c r="RJJ202" s="36"/>
      <c r="RJK202" s="36"/>
      <c r="RJL202" s="36"/>
      <c r="RJM202" s="36"/>
      <c r="RJN202" s="36"/>
      <c r="RJO202" s="36"/>
      <c r="RJP202" s="36"/>
      <c r="RJQ202" s="36"/>
      <c r="RJR202" s="36"/>
      <c r="RJS202" s="36"/>
      <c r="RJT202" s="36"/>
      <c r="RJU202" s="36"/>
      <c r="RJV202" s="36"/>
      <c r="RJW202" s="36"/>
      <c r="RJX202" s="36"/>
      <c r="RJY202" s="36"/>
      <c r="RJZ202" s="36"/>
      <c r="RKA202" s="36"/>
      <c r="RKB202" s="36"/>
      <c r="RKC202" s="36"/>
      <c r="RKD202" s="36"/>
      <c r="RKE202" s="36"/>
      <c r="RKF202" s="36"/>
      <c r="RKG202" s="36"/>
      <c r="RKH202" s="36"/>
      <c r="RKI202" s="36"/>
      <c r="RKJ202" s="36"/>
      <c r="RKK202" s="36"/>
      <c r="RKL202" s="36"/>
      <c r="RKM202" s="36"/>
      <c r="RKN202" s="36"/>
      <c r="RKO202" s="36"/>
      <c r="RKP202" s="36"/>
      <c r="RKQ202" s="36"/>
      <c r="RKR202" s="36"/>
      <c r="RKS202" s="36"/>
      <c r="RKT202" s="36"/>
      <c r="RKU202" s="36"/>
      <c r="RKV202" s="36"/>
      <c r="RKW202" s="36"/>
      <c r="RKX202" s="36"/>
      <c r="RKY202" s="36"/>
      <c r="RKZ202" s="36"/>
      <c r="RLA202" s="36"/>
      <c r="RLB202" s="36"/>
      <c r="RLC202" s="36"/>
      <c r="RLD202" s="36"/>
      <c r="RLE202" s="36"/>
      <c r="RLF202" s="36"/>
      <c r="RLG202" s="36"/>
      <c r="RLH202" s="36"/>
      <c r="RLI202" s="36"/>
      <c r="RLJ202" s="36"/>
      <c r="RLK202" s="36"/>
      <c r="RLL202" s="36"/>
      <c r="RLM202" s="36"/>
      <c r="RLN202" s="36"/>
      <c r="RLO202" s="36"/>
      <c r="RLP202" s="36"/>
      <c r="RLQ202" s="36"/>
      <c r="RLR202" s="36"/>
      <c r="RLS202" s="36"/>
      <c r="RLT202" s="36"/>
      <c r="RLU202" s="36"/>
      <c r="RLV202" s="36"/>
      <c r="RLW202" s="36"/>
      <c r="RLX202" s="36"/>
      <c r="RLY202" s="36"/>
      <c r="RLZ202" s="36"/>
      <c r="RMA202" s="36"/>
      <c r="RMB202" s="36"/>
      <c r="RMC202" s="36"/>
      <c r="RMD202" s="36"/>
      <c r="RME202" s="36"/>
      <c r="RMF202" s="36"/>
      <c r="RMG202" s="36"/>
      <c r="RMH202" s="36"/>
      <c r="RMI202" s="36"/>
      <c r="RMJ202" s="36"/>
      <c r="RMK202" s="36"/>
      <c r="RML202" s="36"/>
      <c r="RMM202" s="36"/>
      <c r="RMN202" s="36"/>
      <c r="RMO202" s="36"/>
      <c r="RMP202" s="36"/>
      <c r="RMQ202" s="36"/>
      <c r="RMR202" s="36"/>
      <c r="RMS202" s="36"/>
      <c r="RMT202" s="36"/>
      <c r="RMU202" s="36"/>
      <c r="RMV202" s="36"/>
      <c r="RMW202" s="36"/>
      <c r="RMX202" s="36"/>
      <c r="RMY202" s="36"/>
      <c r="RMZ202" s="36"/>
      <c r="RNA202" s="36"/>
      <c r="RNB202" s="36"/>
      <c r="RNC202" s="36"/>
      <c r="RND202" s="36"/>
      <c r="RNE202" s="36"/>
      <c r="RNF202" s="36"/>
      <c r="RNG202" s="36"/>
      <c r="RNH202" s="36"/>
      <c r="RNI202" s="36"/>
      <c r="RNJ202" s="36"/>
      <c r="RNK202" s="36"/>
      <c r="RNL202" s="36"/>
      <c r="RNM202" s="36"/>
      <c r="RNN202" s="36"/>
      <c r="RNO202" s="36"/>
      <c r="RNP202" s="36"/>
      <c r="RNQ202" s="36"/>
      <c r="RNR202" s="36"/>
      <c r="RNS202" s="36"/>
      <c r="RNT202" s="36"/>
      <c r="RNU202" s="36"/>
      <c r="RNV202" s="36"/>
      <c r="RNW202" s="36"/>
      <c r="RNX202" s="36"/>
      <c r="RNY202" s="36"/>
      <c r="RNZ202" s="36"/>
      <c r="ROA202" s="36"/>
      <c r="ROB202" s="36"/>
      <c r="ROC202" s="36"/>
      <c r="ROD202" s="36"/>
      <c r="ROE202" s="36"/>
      <c r="ROF202" s="36"/>
      <c r="ROG202" s="36"/>
      <c r="ROH202" s="36"/>
      <c r="ROI202" s="36"/>
      <c r="ROJ202" s="36"/>
      <c r="ROK202" s="36"/>
      <c r="ROL202" s="36"/>
      <c r="ROM202" s="36"/>
      <c r="RON202" s="36"/>
      <c r="ROO202" s="36"/>
      <c r="ROP202" s="36"/>
      <c r="ROQ202" s="36"/>
      <c r="ROR202" s="36"/>
      <c r="ROS202" s="36"/>
      <c r="ROT202" s="36"/>
      <c r="ROU202" s="36"/>
      <c r="ROV202" s="36"/>
      <c r="ROW202" s="36"/>
      <c r="ROX202" s="36"/>
      <c r="ROY202" s="36"/>
      <c r="ROZ202" s="36"/>
      <c r="RPA202" s="36"/>
      <c r="RPB202" s="36"/>
      <c r="RPC202" s="36"/>
      <c r="RPD202" s="36"/>
      <c r="RPE202" s="36"/>
      <c r="RPF202" s="36"/>
      <c r="RPG202" s="36"/>
      <c r="RPH202" s="36"/>
      <c r="RPI202" s="36"/>
      <c r="RPJ202" s="36"/>
      <c r="RPK202" s="36"/>
      <c r="RPL202" s="36"/>
      <c r="RPM202" s="36"/>
      <c r="RPN202" s="36"/>
      <c r="RPO202" s="36"/>
      <c r="RPP202" s="36"/>
      <c r="RPQ202" s="36"/>
      <c r="RPR202" s="36"/>
      <c r="RPS202" s="36"/>
      <c r="RPT202" s="36"/>
      <c r="RPU202" s="36"/>
      <c r="RPV202" s="36"/>
      <c r="RPW202" s="36"/>
      <c r="RPX202" s="36"/>
      <c r="RPY202" s="36"/>
      <c r="RPZ202" s="36"/>
      <c r="RQA202" s="36"/>
      <c r="RQB202" s="36"/>
      <c r="RQC202" s="36"/>
      <c r="RQD202" s="36"/>
      <c r="RQE202" s="36"/>
      <c r="RQF202" s="36"/>
      <c r="RQG202" s="36"/>
      <c r="RQH202" s="36"/>
      <c r="RQI202" s="36"/>
      <c r="RQJ202" s="36"/>
      <c r="RQK202" s="36"/>
      <c r="RQL202" s="36"/>
      <c r="RQM202" s="36"/>
      <c r="RQN202" s="36"/>
      <c r="RQO202" s="36"/>
      <c r="RQP202" s="36"/>
      <c r="RQQ202" s="36"/>
      <c r="RQR202" s="36"/>
      <c r="RQS202" s="36"/>
      <c r="RQT202" s="36"/>
      <c r="RQU202" s="36"/>
      <c r="RQV202" s="36"/>
      <c r="RQW202" s="36"/>
      <c r="RQX202" s="36"/>
      <c r="RQY202" s="36"/>
      <c r="RQZ202" s="36"/>
      <c r="RRA202" s="36"/>
      <c r="RRB202" s="36"/>
      <c r="RRC202" s="36"/>
      <c r="RRD202" s="36"/>
      <c r="RRE202" s="36"/>
      <c r="RRF202" s="36"/>
      <c r="RRG202" s="36"/>
      <c r="RRH202" s="36"/>
      <c r="RRI202" s="36"/>
      <c r="RRJ202" s="36"/>
      <c r="RRK202" s="36"/>
      <c r="RRL202" s="36"/>
      <c r="RRM202" s="36"/>
      <c r="RRN202" s="36"/>
      <c r="RRO202" s="36"/>
      <c r="RRP202" s="36"/>
      <c r="RRQ202" s="36"/>
      <c r="RRR202" s="36"/>
      <c r="RRS202" s="36"/>
      <c r="RRT202" s="36"/>
      <c r="RRU202" s="36"/>
      <c r="RRV202" s="36"/>
      <c r="RRW202" s="36"/>
      <c r="RRX202" s="36"/>
      <c r="RRY202" s="36"/>
      <c r="RRZ202" s="36"/>
      <c r="RSA202" s="36"/>
      <c r="RSB202" s="36"/>
      <c r="RSC202" s="36"/>
      <c r="RSD202" s="36"/>
      <c r="RSE202" s="36"/>
      <c r="RSF202" s="36"/>
      <c r="RSG202" s="36"/>
      <c r="RSH202" s="36"/>
      <c r="RSI202" s="36"/>
      <c r="RSJ202" s="36"/>
      <c r="RSK202" s="36"/>
      <c r="RSL202" s="36"/>
      <c r="RSM202" s="36"/>
      <c r="RSN202" s="36"/>
      <c r="RSO202" s="36"/>
      <c r="RSP202" s="36"/>
      <c r="RSQ202" s="36"/>
      <c r="RSR202" s="36"/>
      <c r="RSS202" s="36"/>
      <c r="RST202" s="36"/>
      <c r="RSU202" s="36"/>
      <c r="RSV202" s="36"/>
      <c r="RSW202" s="36"/>
      <c r="RSX202" s="36"/>
      <c r="RSY202" s="36"/>
      <c r="RSZ202" s="36"/>
      <c r="RTA202" s="36"/>
      <c r="RTB202" s="36"/>
      <c r="RTC202" s="36"/>
      <c r="RTD202" s="36"/>
      <c r="RTE202" s="36"/>
      <c r="RTF202" s="36"/>
      <c r="RTG202" s="36"/>
      <c r="RTH202" s="36"/>
      <c r="RTI202" s="36"/>
      <c r="RTJ202" s="36"/>
      <c r="RTK202" s="36"/>
      <c r="RTL202" s="36"/>
      <c r="RTM202" s="36"/>
      <c r="RTN202" s="36"/>
      <c r="RTO202" s="36"/>
      <c r="RTP202" s="36"/>
      <c r="RTQ202" s="36"/>
      <c r="RTR202" s="36"/>
      <c r="RTS202" s="36"/>
      <c r="RTT202" s="36"/>
      <c r="RTU202" s="36"/>
      <c r="RTV202" s="36"/>
      <c r="RTW202" s="36"/>
      <c r="RTX202" s="36"/>
      <c r="RTY202" s="36"/>
      <c r="RTZ202" s="36"/>
      <c r="RUA202" s="36"/>
      <c r="RUB202" s="36"/>
      <c r="RUC202" s="36"/>
      <c r="RUD202" s="36"/>
      <c r="RUE202" s="36"/>
      <c r="RUF202" s="36"/>
      <c r="RUG202" s="36"/>
      <c r="RUH202" s="36"/>
      <c r="RUI202" s="36"/>
      <c r="RUJ202" s="36"/>
      <c r="RUK202" s="36"/>
      <c r="RUL202" s="36"/>
      <c r="RUM202" s="36"/>
      <c r="RUN202" s="36"/>
      <c r="RUO202" s="36"/>
      <c r="RUP202" s="36"/>
      <c r="RUQ202" s="36"/>
      <c r="RUR202" s="36"/>
      <c r="RUS202" s="36"/>
      <c r="RUT202" s="36"/>
      <c r="RUU202" s="36"/>
      <c r="RUV202" s="36"/>
      <c r="RUW202" s="36"/>
      <c r="RUX202" s="36"/>
      <c r="RUY202" s="36"/>
      <c r="RUZ202" s="36"/>
      <c r="RVA202" s="36"/>
      <c r="RVB202" s="36"/>
      <c r="RVC202" s="36"/>
      <c r="RVD202" s="36"/>
      <c r="RVE202" s="36"/>
      <c r="RVF202" s="36"/>
      <c r="RVG202" s="36"/>
      <c r="RVH202" s="36"/>
      <c r="RVI202" s="36"/>
      <c r="RVJ202" s="36"/>
      <c r="RVK202" s="36"/>
      <c r="RVL202" s="36"/>
      <c r="RVM202" s="36"/>
      <c r="RVN202" s="36"/>
      <c r="RVO202" s="36"/>
      <c r="RVP202" s="36"/>
      <c r="RVQ202" s="36"/>
      <c r="RVR202" s="36"/>
      <c r="RVS202" s="36"/>
      <c r="RVT202" s="36"/>
      <c r="RVU202" s="36"/>
      <c r="RVV202" s="36"/>
      <c r="RVW202" s="36"/>
      <c r="RVX202" s="36"/>
      <c r="RVY202" s="36"/>
      <c r="RVZ202" s="36"/>
      <c r="RWA202" s="36"/>
      <c r="RWB202" s="36"/>
      <c r="RWC202" s="36"/>
      <c r="RWD202" s="36"/>
      <c r="RWE202" s="36"/>
      <c r="RWF202" s="36"/>
      <c r="RWG202" s="36"/>
      <c r="RWH202" s="36"/>
      <c r="RWI202" s="36"/>
      <c r="RWJ202" s="36"/>
      <c r="RWK202" s="36"/>
      <c r="RWL202" s="36"/>
      <c r="RWM202" s="36"/>
      <c r="RWN202" s="36"/>
      <c r="RWO202" s="36"/>
      <c r="RWP202" s="36"/>
      <c r="RWQ202" s="36"/>
      <c r="RWR202" s="36"/>
      <c r="RWS202" s="36"/>
      <c r="RWT202" s="36"/>
      <c r="RWU202" s="36"/>
      <c r="RWV202" s="36"/>
      <c r="RWW202" s="36"/>
      <c r="RWX202" s="36"/>
      <c r="RWY202" s="36"/>
      <c r="RWZ202" s="36"/>
      <c r="RXA202" s="36"/>
      <c r="RXB202" s="36"/>
      <c r="RXC202" s="36"/>
      <c r="RXD202" s="36"/>
      <c r="RXE202" s="36"/>
      <c r="RXF202" s="36"/>
      <c r="RXG202" s="36"/>
      <c r="RXH202" s="36"/>
      <c r="RXI202" s="36"/>
      <c r="RXJ202" s="36"/>
      <c r="RXK202" s="36"/>
      <c r="RXL202" s="36"/>
      <c r="RXM202" s="36"/>
      <c r="RXN202" s="36"/>
      <c r="RXO202" s="36"/>
      <c r="RXP202" s="36"/>
      <c r="RXQ202" s="36"/>
      <c r="RXR202" s="36"/>
      <c r="RXS202" s="36"/>
      <c r="RXT202" s="36"/>
      <c r="RXU202" s="36"/>
      <c r="RXV202" s="36"/>
      <c r="RXW202" s="36"/>
      <c r="RXX202" s="36"/>
      <c r="RXY202" s="36"/>
      <c r="RXZ202" s="36"/>
      <c r="RYA202" s="36"/>
      <c r="RYB202" s="36"/>
      <c r="RYC202" s="36"/>
      <c r="RYD202" s="36"/>
      <c r="RYE202" s="36"/>
      <c r="RYF202" s="36"/>
      <c r="RYG202" s="36"/>
      <c r="RYH202" s="36"/>
      <c r="RYI202" s="36"/>
      <c r="RYJ202" s="36"/>
      <c r="RYK202" s="36"/>
      <c r="RYL202" s="36"/>
      <c r="RYM202" s="36"/>
      <c r="RYN202" s="36"/>
      <c r="RYO202" s="36"/>
      <c r="RYP202" s="36"/>
      <c r="RYQ202" s="36"/>
      <c r="RYR202" s="36"/>
      <c r="RYS202" s="36"/>
      <c r="RYT202" s="36"/>
      <c r="RYU202" s="36"/>
      <c r="RYV202" s="36"/>
      <c r="RYW202" s="36"/>
      <c r="RYX202" s="36"/>
      <c r="RYY202" s="36"/>
      <c r="RYZ202" s="36"/>
      <c r="RZA202" s="36"/>
      <c r="RZB202" s="36"/>
      <c r="RZC202" s="36"/>
      <c r="RZD202" s="36"/>
      <c r="RZE202" s="36"/>
      <c r="RZF202" s="36"/>
      <c r="RZG202" s="36"/>
      <c r="RZH202" s="36"/>
      <c r="RZI202" s="36"/>
      <c r="RZJ202" s="36"/>
      <c r="RZK202" s="36"/>
      <c r="RZL202" s="36"/>
      <c r="RZM202" s="36"/>
      <c r="RZN202" s="36"/>
      <c r="RZO202" s="36"/>
      <c r="RZP202" s="36"/>
      <c r="RZQ202" s="36"/>
      <c r="RZR202" s="36"/>
      <c r="RZS202" s="36"/>
      <c r="RZT202" s="36"/>
      <c r="RZU202" s="36"/>
      <c r="RZV202" s="36"/>
      <c r="RZW202" s="36"/>
      <c r="RZX202" s="36"/>
      <c r="RZY202" s="36"/>
      <c r="RZZ202" s="36"/>
      <c r="SAA202" s="36"/>
      <c r="SAB202" s="36"/>
      <c r="SAC202" s="36"/>
      <c r="SAD202" s="36"/>
      <c r="SAE202" s="36"/>
      <c r="SAF202" s="36"/>
      <c r="SAG202" s="36"/>
      <c r="SAH202" s="36"/>
      <c r="SAI202" s="36"/>
      <c r="SAJ202" s="36"/>
      <c r="SAK202" s="36"/>
      <c r="SAL202" s="36"/>
      <c r="SAM202" s="36"/>
      <c r="SAN202" s="36"/>
      <c r="SAO202" s="36"/>
      <c r="SAP202" s="36"/>
      <c r="SAQ202" s="36"/>
      <c r="SAR202" s="36"/>
      <c r="SAS202" s="36"/>
      <c r="SAT202" s="36"/>
      <c r="SAU202" s="36"/>
      <c r="SAV202" s="36"/>
      <c r="SAW202" s="36"/>
      <c r="SAX202" s="36"/>
      <c r="SAY202" s="36"/>
      <c r="SAZ202" s="36"/>
      <c r="SBA202" s="36"/>
      <c r="SBB202" s="36"/>
      <c r="SBC202" s="36"/>
      <c r="SBD202" s="36"/>
      <c r="SBE202" s="36"/>
      <c r="SBF202" s="36"/>
      <c r="SBG202" s="36"/>
      <c r="SBH202" s="36"/>
      <c r="SBI202" s="36"/>
      <c r="SBJ202" s="36"/>
      <c r="SBK202" s="36"/>
      <c r="SBL202" s="36"/>
      <c r="SBM202" s="36"/>
      <c r="SBN202" s="36"/>
      <c r="SBO202" s="36"/>
      <c r="SBP202" s="36"/>
      <c r="SBQ202" s="36"/>
      <c r="SBR202" s="36"/>
      <c r="SBS202" s="36"/>
      <c r="SBT202" s="36"/>
      <c r="SBU202" s="36"/>
      <c r="SBV202" s="36"/>
      <c r="SBW202" s="36"/>
      <c r="SBX202" s="36"/>
      <c r="SBY202" s="36"/>
      <c r="SBZ202" s="36"/>
      <c r="SCA202" s="36"/>
      <c r="SCB202" s="36"/>
      <c r="SCC202" s="36"/>
      <c r="SCD202" s="36"/>
      <c r="SCE202" s="36"/>
      <c r="SCF202" s="36"/>
      <c r="SCG202" s="36"/>
      <c r="SCH202" s="36"/>
      <c r="SCI202" s="36"/>
      <c r="SCJ202" s="36"/>
      <c r="SCK202" s="36"/>
      <c r="SCL202" s="36"/>
      <c r="SCM202" s="36"/>
      <c r="SCN202" s="36"/>
      <c r="SCO202" s="36"/>
      <c r="SCP202" s="36"/>
      <c r="SCQ202" s="36"/>
      <c r="SCR202" s="36"/>
      <c r="SCS202" s="36"/>
      <c r="SCT202" s="36"/>
      <c r="SCU202" s="36"/>
      <c r="SCV202" s="36"/>
      <c r="SCW202" s="36"/>
      <c r="SCX202" s="36"/>
      <c r="SCY202" s="36"/>
      <c r="SCZ202" s="36"/>
      <c r="SDA202" s="36"/>
      <c r="SDB202" s="36"/>
      <c r="SDC202" s="36"/>
      <c r="SDD202" s="36"/>
      <c r="SDE202" s="36"/>
      <c r="SDF202" s="36"/>
      <c r="SDG202" s="36"/>
      <c r="SDH202" s="36"/>
      <c r="SDI202" s="36"/>
      <c r="SDJ202" s="36"/>
      <c r="SDK202" s="36"/>
      <c r="SDL202" s="36"/>
      <c r="SDM202" s="36"/>
      <c r="SDN202" s="36"/>
      <c r="SDO202" s="36"/>
      <c r="SDP202" s="36"/>
      <c r="SDQ202" s="36"/>
      <c r="SDR202" s="36"/>
      <c r="SDS202" s="36"/>
      <c r="SDT202" s="36"/>
      <c r="SDU202" s="36"/>
      <c r="SDV202" s="36"/>
      <c r="SDW202" s="36"/>
      <c r="SDX202" s="36"/>
      <c r="SDY202" s="36"/>
      <c r="SDZ202" s="36"/>
      <c r="SEA202" s="36"/>
      <c r="SEB202" s="36"/>
      <c r="SEC202" s="36"/>
      <c r="SED202" s="36"/>
      <c r="SEE202" s="36"/>
      <c r="SEF202" s="36"/>
      <c r="SEG202" s="36"/>
      <c r="SEH202" s="36"/>
      <c r="SEI202" s="36"/>
      <c r="SEJ202" s="36"/>
      <c r="SEK202" s="36"/>
      <c r="SEL202" s="36"/>
      <c r="SEM202" s="36"/>
      <c r="SEN202" s="36"/>
      <c r="SEO202" s="36"/>
      <c r="SEP202" s="36"/>
      <c r="SEQ202" s="36"/>
      <c r="SER202" s="36"/>
      <c r="SES202" s="36"/>
      <c r="SET202" s="36"/>
      <c r="SEU202" s="36"/>
      <c r="SEV202" s="36"/>
      <c r="SEW202" s="36"/>
      <c r="SEX202" s="36"/>
      <c r="SEY202" s="36"/>
      <c r="SEZ202" s="36"/>
      <c r="SFA202" s="36"/>
      <c r="SFB202" s="36"/>
      <c r="SFC202" s="36"/>
      <c r="SFD202" s="36"/>
      <c r="SFE202" s="36"/>
      <c r="SFF202" s="36"/>
      <c r="SFG202" s="36"/>
      <c r="SFH202" s="36"/>
      <c r="SFI202" s="36"/>
      <c r="SFJ202" s="36"/>
      <c r="SFK202" s="36"/>
      <c r="SFL202" s="36"/>
      <c r="SFM202" s="36"/>
      <c r="SFN202" s="36"/>
      <c r="SFO202" s="36"/>
      <c r="SFP202" s="36"/>
      <c r="SFQ202" s="36"/>
      <c r="SFR202" s="36"/>
      <c r="SFS202" s="36"/>
      <c r="SFT202" s="36"/>
      <c r="SFU202" s="36"/>
      <c r="SFV202" s="36"/>
      <c r="SFW202" s="36"/>
      <c r="SFX202" s="36"/>
      <c r="SFY202" s="36"/>
      <c r="SFZ202" s="36"/>
      <c r="SGA202" s="36"/>
      <c r="SGB202" s="36"/>
      <c r="SGC202" s="36"/>
      <c r="SGD202" s="36"/>
      <c r="SGE202" s="36"/>
      <c r="SGF202" s="36"/>
      <c r="SGG202" s="36"/>
      <c r="SGH202" s="36"/>
      <c r="SGI202" s="36"/>
      <c r="SGJ202" s="36"/>
      <c r="SGK202" s="36"/>
      <c r="SGL202" s="36"/>
      <c r="SGM202" s="36"/>
      <c r="SGN202" s="36"/>
      <c r="SGO202" s="36"/>
      <c r="SGP202" s="36"/>
      <c r="SGQ202" s="36"/>
      <c r="SGR202" s="36"/>
      <c r="SGS202" s="36"/>
      <c r="SGT202" s="36"/>
      <c r="SGU202" s="36"/>
      <c r="SGV202" s="36"/>
      <c r="SGW202" s="36"/>
      <c r="SGX202" s="36"/>
      <c r="SGY202" s="36"/>
      <c r="SGZ202" s="36"/>
      <c r="SHA202" s="36"/>
      <c r="SHB202" s="36"/>
      <c r="SHC202" s="36"/>
      <c r="SHD202" s="36"/>
      <c r="SHE202" s="36"/>
      <c r="SHF202" s="36"/>
      <c r="SHG202" s="36"/>
      <c r="SHH202" s="36"/>
      <c r="SHI202" s="36"/>
      <c r="SHJ202" s="36"/>
      <c r="SHK202" s="36"/>
      <c r="SHL202" s="36"/>
      <c r="SHM202" s="36"/>
      <c r="SHN202" s="36"/>
      <c r="SHO202" s="36"/>
      <c r="SHP202" s="36"/>
      <c r="SHQ202" s="36"/>
      <c r="SHR202" s="36"/>
      <c r="SHS202" s="36"/>
      <c r="SHT202" s="36"/>
      <c r="SHU202" s="36"/>
      <c r="SHV202" s="36"/>
      <c r="SHW202" s="36"/>
      <c r="SHX202" s="36"/>
      <c r="SHY202" s="36"/>
      <c r="SHZ202" s="36"/>
      <c r="SIA202" s="36"/>
      <c r="SIB202" s="36"/>
      <c r="SIC202" s="36"/>
      <c r="SID202" s="36"/>
      <c r="SIE202" s="36"/>
      <c r="SIF202" s="36"/>
      <c r="SIG202" s="36"/>
      <c r="SIH202" s="36"/>
      <c r="SII202" s="36"/>
      <c r="SIJ202" s="36"/>
      <c r="SIK202" s="36"/>
      <c r="SIL202" s="36"/>
      <c r="SIM202" s="36"/>
      <c r="SIN202" s="36"/>
      <c r="SIO202" s="36"/>
      <c r="SIP202" s="36"/>
      <c r="SIQ202" s="36"/>
      <c r="SIR202" s="36"/>
      <c r="SIS202" s="36"/>
      <c r="SIT202" s="36"/>
      <c r="SIU202" s="36"/>
      <c r="SIV202" s="36"/>
      <c r="SIW202" s="36"/>
      <c r="SIX202" s="36"/>
      <c r="SIY202" s="36"/>
      <c r="SIZ202" s="36"/>
      <c r="SJA202" s="36"/>
      <c r="SJB202" s="36"/>
      <c r="SJC202" s="36"/>
      <c r="SJD202" s="36"/>
      <c r="SJE202" s="36"/>
      <c r="SJF202" s="36"/>
      <c r="SJG202" s="36"/>
      <c r="SJH202" s="36"/>
      <c r="SJI202" s="36"/>
      <c r="SJJ202" s="36"/>
      <c r="SJK202" s="36"/>
      <c r="SJL202" s="36"/>
      <c r="SJM202" s="36"/>
      <c r="SJN202" s="36"/>
      <c r="SJO202" s="36"/>
      <c r="SJP202" s="36"/>
      <c r="SJQ202" s="36"/>
      <c r="SJR202" s="36"/>
      <c r="SJS202" s="36"/>
      <c r="SJT202" s="36"/>
      <c r="SJU202" s="36"/>
      <c r="SJV202" s="36"/>
      <c r="SJW202" s="36"/>
      <c r="SJX202" s="36"/>
      <c r="SJY202" s="36"/>
      <c r="SJZ202" s="36"/>
      <c r="SKA202" s="36"/>
      <c r="SKB202" s="36"/>
      <c r="SKC202" s="36"/>
      <c r="SKD202" s="36"/>
      <c r="SKE202" s="36"/>
      <c r="SKF202" s="36"/>
      <c r="SKG202" s="36"/>
      <c r="SKH202" s="36"/>
      <c r="SKI202" s="36"/>
      <c r="SKJ202" s="36"/>
      <c r="SKK202" s="36"/>
      <c r="SKL202" s="36"/>
      <c r="SKM202" s="36"/>
      <c r="SKN202" s="36"/>
      <c r="SKO202" s="36"/>
      <c r="SKP202" s="36"/>
      <c r="SKQ202" s="36"/>
      <c r="SKR202" s="36"/>
      <c r="SKS202" s="36"/>
      <c r="SKT202" s="36"/>
      <c r="SKU202" s="36"/>
      <c r="SKV202" s="36"/>
      <c r="SKW202" s="36"/>
      <c r="SKX202" s="36"/>
      <c r="SKY202" s="36"/>
      <c r="SKZ202" s="36"/>
      <c r="SLA202" s="36"/>
      <c r="SLB202" s="36"/>
      <c r="SLC202" s="36"/>
      <c r="SLD202" s="36"/>
      <c r="SLE202" s="36"/>
      <c r="SLF202" s="36"/>
      <c r="SLG202" s="36"/>
      <c r="SLH202" s="36"/>
      <c r="SLI202" s="36"/>
      <c r="SLJ202" s="36"/>
      <c r="SLK202" s="36"/>
      <c r="SLL202" s="36"/>
      <c r="SLM202" s="36"/>
      <c r="SLN202" s="36"/>
      <c r="SLO202" s="36"/>
      <c r="SLP202" s="36"/>
      <c r="SLQ202" s="36"/>
      <c r="SLR202" s="36"/>
      <c r="SLS202" s="36"/>
      <c r="SLT202" s="36"/>
      <c r="SLU202" s="36"/>
      <c r="SLV202" s="36"/>
      <c r="SLW202" s="36"/>
      <c r="SLX202" s="36"/>
      <c r="SLY202" s="36"/>
      <c r="SLZ202" s="36"/>
      <c r="SMA202" s="36"/>
      <c r="SMB202" s="36"/>
      <c r="SMC202" s="36"/>
      <c r="SMD202" s="36"/>
      <c r="SME202" s="36"/>
      <c r="SMF202" s="36"/>
      <c r="SMG202" s="36"/>
      <c r="SMH202" s="36"/>
      <c r="SMI202" s="36"/>
      <c r="SMJ202" s="36"/>
      <c r="SMK202" s="36"/>
      <c r="SML202" s="36"/>
      <c r="SMM202" s="36"/>
      <c r="SMN202" s="36"/>
      <c r="SMO202" s="36"/>
      <c r="SMP202" s="36"/>
      <c r="SMQ202" s="36"/>
      <c r="SMR202" s="36"/>
      <c r="SMS202" s="36"/>
      <c r="SMT202" s="36"/>
      <c r="SMU202" s="36"/>
      <c r="SMV202" s="36"/>
      <c r="SMW202" s="36"/>
      <c r="SMX202" s="36"/>
      <c r="SMY202" s="36"/>
      <c r="SMZ202" s="36"/>
      <c r="SNA202" s="36"/>
      <c r="SNB202" s="36"/>
      <c r="SNC202" s="36"/>
      <c r="SND202" s="36"/>
      <c r="SNE202" s="36"/>
      <c r="SNF202" s="36"/>
      <c r="SNG202" s="36"/>
      <c r="SNH202" s="36"/>
      <c r="SNI202" s="36"/>
      <c r="SNJ202" s="36"/>
      <c r="SNK202" s="36"/>
      <c r="SNL202" s="36"/>
      <c r="SNM202" s="36"/>
      <c r="SNN202" s="36"/>
      <c r="SNO202" s="36"/>
      <c r="SNP202" s="36"/>
      <c r="SNQ202" s="36"/>
      <c r="SNR202" s="36"/>
      <c r="SNS202" s="36"/>
      <c r="SNT202" s="36"/>
      <c r="SNU202" s="36"/>
      <c r="SNV202" s="36"/>
      <c r="SNW202" s="36"/>
      <c r="SNX202" s="36"/>
      <c r="SNY202" s="36"/>
      <c r="SNZ202" s="36"/>
      <c r="SOA202" s="36"/>
      <c r="SOB202" s="36"/>
      <c r="SOC202" s="36"/>
      <c r="SOD202" s="36"/>
      <c r="SOE202" s="36"/>
      <c r="SOF202" s="36"/>
      <c r="SOG202" s="36"/>
      <c r="SOH202" s="36"/>
      <c r="SOI202" s="36"/>
      <c r="SOJ202" s="36"/>
      <c r="SOK202" s="36"/>
      <c r="SOL202" s="36"/>
      <c r="SOM202" s="36"/>
      <c r="SON202" s="36"/>
      <c r="SOO202" s="36"/>
      <c r="SOP202" s="36"/>
      <c r="SOQ202" s="36"/>
      <c r="SOR202" s="36"/>
      <c r="SOS202" s="36"/>
      <c r="SOT202" s="36"/>
      <c r="SOU202" s="36"/>
      <c r="SOV202" s="36"/>
      <c r="SOW202" s="36"/>
      <c r="SOX202" s="36"/>
      <c r="SOY202" s="36"/>
      <c r="SOZ202" s="36"/>
      <c r="SPA202" s="36"/>
      <c r="SPB202" s="36"/>
      <c r="SPC202" s="36"/>
      <c r="SPD202" s="36"/>
      <c r="SPE202" s="36"/>
      <c r="SPF202" s="36"/>
      <c r="SPG202" s="36"/>
      <c r="SPH202" s="36"/>
      <c r="SPI202" s="36"/>
      <c r="SPJ202" s="36"/>
      <c r="SPK202" s="36"/>
      <c r="SPL202" s="36"/>
      <c r="SPM202" s="36"/>
      <c r="SPN202" s="36"/>
      <c r="SPO202" s="36"/>
      <c r="SPP202" s="36"/>
      <c r="SPQ202" s="36"/>
      <c r="SPR202" s="36"/>
      <c r="SPS202" s="36"/>
      <c r="SPT202" s="36"/>
      <c r="SPU202" s="36"/>
      <c r="SPV202" s="36"/>
      <c r="SPW202" s="36"/>
      <c r="SPX202" s="36"/>
      <c r="SPY202" s="36"/>
      <c r="SPZ202" s="36"/>
      <c r="SQA202" s="36"/>
      <c r="SQB202" s="36"/>
      <c r="SQC202" s="36"/>
      <c r="SQD202" s="36"/>
      <c r="SQE202" s="36"/>
      <c r="SQF202" s="36"/>
      <c r="SQG202" s="36"/>
      <c r="SQH202" s="36"/>
      <c r="SQI202" s="36"/>
      <c r="SQJ202" s="36"/>
      <c r="SQK202" s="36"/>
      <c r="SQL202" s="36"/>
      <c r="SQM202" s="36"/>
      <c r="SQN202" s="36"/>
      <c r="SQO202" s="36"/>
      <c r="SQP202" s="36"/>
      <c r="SQQ202" s="36"/>
      <c r="SQR202" s="36"/>
      <c r="SQS202" s="36"/>
      <c r="SQT202" s="36"/>
      <c r="SQU202" s="36"/>
      <c r="SQV202" s="36"/>
      <c r="SQW202" s="36"/>
      <c r="SQX202" s="36"/>
      <c r="SQY202" s="36"/>
      <c r="SQZ202" s="36"/>
      <c r="SRA202" s="36"/>
      <c r="SRB202" s="36"/>
      <c r="SRC202" s="36"/>
      <c r="SRD202" s="36"/>
      <c r="SRE202" s="36"/>
      <c r="SRF202" s="36"/>
      <c r="SRG202" s="36"/>
      <c r="SRH202" s="36"/>
      <c r="SRI202" s="36"/>
      <c r="SRJ202" s="36"/>
      <c r="SRK202" s="36"/>
      <c r="SRL202" s="36"/>
      <c r="SRM202" s="36"/>
      <c r="SRN202" s="36"/>
      <c r="SRO202" s="36"/>
      <c r="SRP202" s="36"/>
      <c r="SRQ202" s="36"/>
      <c r="SRR202" s="36"/>
      <c r="SRS202" s="36"/>
      <c r="SRT202" s="36"/>
      <c r="SRU202" s="36"/>
      <c r="SRV202" s="36"/>
      <c r="SRW202" s="36"/>
      <c r="SRX202" s="36"/>
      <c r="SRY202" s="36"/>
      <c r="SRZ202" s="36"/>
      <c r="SSA202" s="36"/>
      <c r="SSB202" s="36"/>
      <c r="SSC202" s="36"/>
      <c r="SSD202" s="36"/>
      <c r="SSE202" s="36"/>
      <c r="SSF202" s="36"/>
      <c r="SSG202" s="36"/>
      <c r="SSH202" s="36"/>
      <c r="SSI202" s="36"/>
      <c r="SSJ202" s="36"/>
      <c r="SSK202" s="36"/>
      <c r="SSL202" s="36"/>
      <c r="SSM202" s="36"/>
      <c r="SSN202" s="36"/>
      <c r="SSO202" s="36"/>
      <c r="SSP202" s="36"/>
      <c r="SSQ202" s="36"/>
      <c r="SSR202" s="36"/>
      <c r="SSS202" s="36"/>
      <c r="SST202" s="36"/>
      <c r="SSU202" s="36"/>
      <c r="SSV202" s="36"/>
      <c r="SSW202" s="36"/>
      <c r="SSX202" s="36"/>
      <c r="SSY202" s="36"/>
      <c r="SSZ202" s="36"/>
      <c r="STA202" s="36"/>
      <c r="STB202" s="36"/>
      <c r="STC202" s="36"/>
      <c r="STD202" s="36"/>
      <c r="STE202" s="36"/>
      <c r="STF202" s="36"/>
      <c r="STG202" s="36"/>
      <c r="STH202" s="36"/>
      <c r="STI202" s="36"/>
      <c r="STJ202" s="36"/>
      <c r="STK202" s="36"/>
      <c r="STL202" s="36"/>
      <c r="STM202" s="36"/>
      <c r="STN202" s="36"/>
      <c r="STO202" s="36"/>
      <c r="STP202" s="36"/>
      <c r="STQ202" s="36"/>
      <c r="STR202" s="36"/>
      <c r="STS202" s="36"/>
      <c r="STT202" s="36"/>
      <c r="STU202" s="36"/>
      <c r="STV202" s="36"/>
      <c r="STW202" s="36"/>
      <c r="STX202" s="36"/>
      <c r="STY202" s="36"/>
      <c r="STZ202" s="36"/>
      <c r="SUA202" s="36"/>
      <c r="SUB202" s="36"/>
      <c r="SUC202" s="36"/>
      <c r="SUD202" s="36"/>
      <c r="SUE202" s="36"/>
      <c r="SUF202" s="36"/>
      <c r="SUG202" s="36"/>
      <c r="SUH202" s="36"/>
      <c r="SUI202" s="36"/>
      <c r="SUJ202" s="36"/>
      <c r="SUK202" s="36"/>
      <c r="SUL202" s="36"/>
      <c r="SUM202" s="36"/>
      <c r="SUN202" s="36"/>
      <c r="SUO202" s="36"/>
      <c r="SUP202" s="36"/>
      <c r="SUQ202" s="36"/>
      <c r="SUR202" s="36"/>
      <c r="SUS202" s="36"/>
      <c r="SUT202" s="36"/>
      <c r="SUU202" s="36"/>
      <c r="SUV202" s="36"/>
      <c r="SUW202" s="36"/>
      <c r="SUX202" s="36"/>
      <c r="SUY202" s="36"/>
      <c r="SUZ202" s="36"/>
      <c r="SVA202" s="36"/>
      <c r="SVB202" s="36"/>
      <c r="SVC202" s="36"/>
      <c r="SVD202" s="36"/>
      <c r="SVE202" s="36"/>
      <c r="SVF202" s="36"/>
      <c r="SVG202" s="36"/>
      <c r="SVH202" s="36"/>
      <c r="SVI202" s="36"/>
      <c r="SVJ202" s="36"/>
      <c r="SVK202" s="36"/>
      <c r="SVL202" s="36"/>
      <c r="SVM202" s="36"/>
      <c r="SVN202" s="36"/>
      <c r="SVO202" s="36"/>
      <c r="SVP202" s="36"/>
      <c r="SVQ202" s="36"/>
      <c r="SVR202" s="36"/>
      <c r="SVS202" s="36"/>
      <c r="SVT202" s="36"/>
      <c r="SVU202" s="36"/>
      <c r="SVV202" s="36"/>
      <c r="SVW202" s="36"/>
      <c r="SVX202" s="36"/>
      <c r="SVY202" s="36"/>
      <c r="SVZ202" s="36"/>
      <c r="SWA202" s="36"/>
      <c r="SWB202" s="36"/>
      <c r="SWC202" s="36"/>
      <c r="SWD202" s="36"/>
      <c r="SWE202" s="36"/>
      <c r="SWF202" s="36"/>
      <c r="SWG202" s="36"/>
      <c r="SWH202" s="36"/>
      <c r="SWI202" s="36"/>
      <c r="SWJ202" s="36"/>
      <c r="SWK202" s="36"/>
      <c r="SWL202" s="36"/>
      <c r="SWM202" s="36"/>
      <c r="SWN202" s="36"/>
      <c r="SWO202" s="36"/>
      <c r="SWP202" s="36"/>
      <c r="SWQ202" s="36"/>
      <c r="SWR202" s="36"/>
      <c r="SWS202" s="36"/>
      <c r="SWT202" s="36"/>
      <c r="SWU202" s="36"/>
      <c r="SWV202" s="36"/>
      <c r="SWW202" s="36"/>
      <c r="SWX202" s="36"/>
      <c r="SWY202" s="36"/>
      <c r="SWZ202" s="36"/>
      <c r="SXA202" s="36"/>
      <c r="SXB202" s="36"/>
      <c r="SXC202" s="36"/>
      <c r="SXD202" s="36"/>
      <c r="SXE202" s="36"/>
      <c r="SXF202" s="36"/>
      <c r="SXG202" s="36"/>
      <c r="SXH202" s="36"/>
      <c r="SXI202" s="36"/>
      <c r="SXJ202" s="36"/>
      <c r="SXK202" s="36"/>
      <c r="SXL202" s="36"/>
      <c r="SXM202" s="36"/>
      <c r="SXN202" s="36"/>
      <c r="SXO202" s="36"/>
      <c r="SXP202" s="36"/>
      <c r="SXQ202" s="36"/>
      <c r="SXR202" s="36"/>
      <c r="SXS202" s="36"/>
      <c r="SXT202" s="36"/>
      <c r="SXU202" s="36"/>
      <c r="SXV202" s="36"/>
      <c r="SXW202" s="36"/>
      <c r="SXX202" s="36"/>
      <c r="SXY202" s="36"/>
      <c r="SXZ202" s="36"/>
      <c r="SYA202" s="36"/>
      <c r="SYB202" s="36"/>
      <c r="SYC202" s="36"/>
      <c r="SYD202" s="36"/>
      <c r="SYE202" s="36"/>
      <c r="SYF202" s="36"/>
      <c r="SYG202" s="36"/>
      <c r="SYH202" s="36"/>
      <c r="SYI202" s="36"/>
      <c r="SYJ202" s="36"/>
      <c r="SYK202" s="36"/>
      <c r="SYL202" s="36"/>
      <c r="SYM202" s="36"/>
      <c r="SYN202" s="36"/>
      <c r="SYO202" s="36"/>
      <c r="SYP202" s="36"/>
      <c r="SYQ202" s="36"/>
      <c r="SYR202" s="36"/>
      <c r="SYS202" s="36"/>
      <c r="SYT202" s="36"/>
      <c r="SYU202" s="36"/>
      <c r="SYV202" s="36"/>
      <c r="SYW202" s="36"/>
      <c r="SYX202" s="36"/>
      <c r="SYY202" s="36"/>
      <c r="SYZ202" s="36"/>
      <c r="SZA202" s="36"/>
      <c r="SZB202" s="36"/>
      <c r="SZC202" s="36"/>
      <c r="SZD202" s="36"/>
      <c r="SZE202" s="36"/>
      <c r="SZF202" s="36"/>
      <c r="SZG202" s="36"/>
      <c r="SZH202" s="36"/>
      <c r="SZI202" s="36"/>
      <c r="SZJ202" s="36"/>
      <c r="SZK202" s="36"/>
      <c r="SZL202" s="36"/>
      <c r="SZM202" s="36"/>
      <c r="SZN202" s="36"/>
      <c r="SZO202" s="36"/>
      <c r="SZP202" s="36"/>
      <c r="SZQ202" s="36"/>
      <c r="SZR202" s="36"/>
      <c r="SZS202" s="36"/>
      <c r="SZT202" s="36"/>
      <c r="SZU202" s="36"/>
      <c r="SZV202" s="36"/>
      <c r="SZW202" s="36"/>
      <c r="SZX202" s="36"/>
      <c r="SZY202" s="36"/>
      <c r="SZZ202" s="36"/>
      <c r="TAA202" s="36"/>
      <c r="TAB202" s="36"/>
      <c r="TAC202" s="36"/>
      <c r="TAD202" s="36"/>
      <c r="TAE202" s="36"/>
      <c r="TAF202" s="36"/>
      <c r="TAG202" s="36"/>
      <c r="TAH202" s="36"/>
      <c r="TAI202" s="36"/>
      <c r="TAJ202" s="36"/>
      <c r="TAK202" s="36"/>
      <c r="TAL202" s="36"/>
      <c r="TAM202" s="36"/>
      <c r="TAN202" s="36"/>
      <c r="TAO202" s="36"/>
      <c r="TAP202" s="36"/>
      <c r="TAQ202" s="36"/>
      <c r="TAR202" s="36"/>
      <c r="TAS202" s="36"/>
      <c r="TAT202" s="36"/>
      <c r="TAU202" s="36"/>
      <c r="TAV202" s="36"/>
      <c r="TAW202" s="36"/>
      <c r="TAX202" s="36"/>
      <c r="TAY202" s="36"/>
      <c r="TAZ202" s="36"/>
      <c r="TBA202" s="36"/>
      <c r="TBB202" s="36"/>
      <c r="TBC202" s="36"/>
      <c r="TBD202" s="36"/>
      <c r="TBE202" s="36"/>
      <c r="TBF202" s="36"/>
      <c r="TBG202" s="36"/>
      <c r="TBH202" s="36"/>
      <c r="TBI202" s="36"/>
      <c r="TBJ202" s="36"/>
      <c r="TBK202" s="36"/>
      <c r="TBL202" s="36"/>
      <c r="TBM202" s="36"/>
      <c r="TBN202" s="36"/>
      <c r="TBO202" s="36"/>
      <c r="TBP202" s="36"/>
      <c r="TBQ202" s="36"/>
      <c r="TBR202" s="36"/>
      <c r="TBS202" s="36"/>
      <c r="TBT202" s="36"/>
      <c r="TBU202" s="36"/>
      <c r="TBV202" s="36"/>
      <c r="TBW202" s="36"/>
      <c r="TBX202" s="36"/>
      <c r="TBY202" s="36"/>
      <c r="TBZ202" s="36"/>
      <c r="TCA202" s="36"/>
      <c r="TCB202" s="36"/>
      <c r="TCC202" s="36"/>
      <c r="TCD202" s="36"/>
      <c r="TCE202" s="36"/>
      <c r="TCF202" s="36"/>
      <c r="TCG202" s="36"/>
      <c r="TCH202" s="36"/>
      <c r="TCI202" s="36"/>
      <c r="TCJ202" s="36"/>
      <c r="TCK202" s="36"/>
      <c r="TCL202" s="36"/>
      <c r="TCM202" s="36"/>
      <c r="TCN202" s="36"/>
      <c r="TCO202" s="36"/>
      <c r="TCP202" s="36"/>
      <c r="TCQ202" s="36"/>
      <c r="TCR202" s="36"/>
      <c r="TCS202" s="36"/>
      <c r="TCT202" s="36"/>
      <c r="TCU202" s="36"/>
      <c r="TCV202" s="36"/>
      <c r="TCW202" s="36"/>
      <c r="TCX202" s="36"/>
      <c r="TCY202" s="36"/>
      <c r="TCZ202" s="36"/>
      <c r="TDA202" s="36"/>
      <c r="TDB202" s="36"/>
      <c r="TDC202" s="36"/>
      <c r="TDD202" s="36"/>
      <c r="TDE202" s="36"/>
      <c r="TDF202" s="36"/>
      <c r="TDG202" s="36"/>
      <c r="TDH202" s="36"/>
      <c r="TDI202" s="36"/>
      <c r="TDJ202" s="36"/>
      <c r="TDK202" s="36"/>
      <c r="TDL202" s="36"/>
      <c r="TDM202" s="36"/>
      <c r="TDN202" s="36"/>
      <c r="TDO202" s="36"/>
      <c r="TDP202" s="36"/>
      <c r="TDQ202" s="36"/>
      <c r="TDR202" s="36"/>
      <c r="TDS202" s="36"/>
      <c r="TDT202" s="36"/>
      <c r="TDU202" s="36"/>
      <c r="TDV202" s="36"/>
      <c r="TDW202" s="36"/>
      <c r="TDX202" s="36"/>
      <c r="TDY202" s="36"/>
      <c r="TDZ202" s="36"/>
      <c r="TEA202" s="36"/>
      <c r="TEB202" s="36"/>
      <c r="TEC202" s="36"/>
      <c r="TED202" s="36"/>
      <c r="TEE202" s="36"/>
      <c r="TEF202" s="36"/>
      <c r="TEG202" s="36"/>
      <c r="TEH202" s="36"/>
      <c r="TEI202" s="36"/>
      <c r="TEJ202" s="36"/>
      <c r="TEK202" s="36"/>
      <c r="TEL202" s="36"/>
      <c r="TEM202" s="36"/>
      <c r="TEN202" s="36"/>
      <c r="TEO202" s="36"/>
      <c r="TEP202" s="36"/>
      <c r="TEQ202" s="36"/>
      <c r="TER202" s="36"/>
      <c r="TES202" s="36"/>
      <c r="TET202" s="36"/>
      <c r="TEU202" s="36"/>
      <c r="TEV202" s="36"/>
      <c r="TEW202" s="36"/>
      <c r="TEX202" s="36"/>
      <c r="TEY202" s="36"/>
      <c r="TEZ202" s="36"/>
      <c r="TFA202" s="36"/>
      <c r="TFB202" s="36"/>
      <c r="TFC202" s="36"/>
      <c r="TFD202" s="36"/>
      <c r="TFE202" s="36"/>
      <c r="TFF202" s="36"/>
      <c r="TFG202" s="36"/>
      <c r="TFH202" s="36"/>
      <c r="TFI202" s="36"/>
      <c r="TFJ202" s="36"/>
      <c r="TFK202" s="36"/>
      <c r="TFL202" s="36"/>
      <c r="TFM202" s="36"/>
      <c r="TFN202" s="36"/>
      <c r="TFO202" s="36"/>
      <c r="TFP202" s="36"/>
      <c r="TFQ202" s="36"/>
      <c r="TFR202" s="36"/>
      <c r="TFS202" s="36"/>
      <c r="TFT202" s="36"/>
      <c r="TFU202" s="36"/>
      <c r="TFV202" s="36"/>
      <c r="TFW202" s="36"/>
      <c r="TFX202" s="36"/>
      <c r="TFY202" s="36"/>
      <c r="TFZ202" s="36"/>
      <c r="TGA202" s="36"/>
      <c r="TGB202" s="36"/>
      <c r="TGC202" s="36"/>
      <c r="TGD202" s="36"/>
      <c r="TGE202" s="36"/>
      <c r="TGF202" s="36"/>
      <c r="TGG202" s="36"/>
      <c r="TGH202" s="36"/>
      <c r="TGI202" s="36"/>
      <c r="TGJ202" s="36"/>
      <c r="TGK202" s="36"/>
      <c r="TGL202" s="36"/>
      <c r="TGM202" s="36"/>
      <c r="TGN202" s="36"/>
      <c r="TGO202" s="36"/>
      <c r="TGP202" s="36"/>
      <c r="TGQ202" s="36"/>
      <c r="TGR202" s="36"/>
      <c r="TGS202" s="36"/>
      <c r="TGT202" s="36"/>
      <c r="TGU202" s="36"/>
      <c r="TGV202" s="36"/>
      <c r="TGW202" s="36"/>
      <c r="TGX202" s="36"/>
      <c r="TGY202" s="36"/>
      <c r="TGZ202" s="36"/>
      <c r="THA202" s="36"/>
      <c r="THB202" s="36"/>
      <c r="THC202" s="36"/>
      <c r="THD202" s="36"/>
      <c r="THE202" s="36"/>
      <c r="THF202" s="36"/>
      <c r="THG202" s="36"/>
      <c r="THH202" s="36"/>
      <c r="THI202" s="36"/>
      <c r="THJ202" s="36"/>
      <c r="THK202" s="36"/>
      <c r="THL202" s="36"/>
      <c r="THM202" s="36"/>
      <c r="THN202" s="36"/>
      <c r="THO202" s="36"/>
      <c r="THP202" s="36"/>
      <c r="THQ202" s="36"/>
      <c r="THR202" s="36"/>
      <c r="THS202" s="36"/>
      <c r="THT202" s="36"/>
      <c r="THU202" s="36"/>
      <c r="THV202" s="36"/>
      <c r="THW202" s="36"/>
      <c r="THX202" s="36"/>
      <c r="THY202" s="36"/>
      <c r="THZ202" s="36"/>
      <c r="TIA202" s="36"/>
      <c r="TIB202" s="36"/>
      <c r="TIC202" s="36"/>
      <c r="TID202" s="36"/>
      <c r="TIE202" s="36"/>
      <c r="TIF202" s="36"/>
      <c r="TIG202" s="36"/>
      <c r="TIH202" s="36"/>
      <c r="TII202" s="36"/>
      <c r="TIJ202" s="36"/>
      <c r="TIK202" s="36"/>
      <c r="TIL202" s="36"/>
      <c r="TIM202" s="36"/>
      <c r="TIN202" s="36"/>
      <c r="TIO202" s="36"/>
      <c r="TIP202" s="36"/>
      <c r="TIQ202" s="36"/>
      <c r="TIR202" s="36"/>
      <c r="TIS202" s="36"/>
      <c r="TIT202" s="36"/>
      <c r="TIU202" s="36"/>
      <c r="TIV202" s="36"/>
      <c r="TIW202" s="36"/>
      <c r="TIX202" s="36"/>
      <c r="TIY202" s="36"/>
      <c r="TIZ202" s="36"/>
      <c r="TJA202" s="36"/>
      <c r="TJB202" s="36"/>
      <c r="TJC202" s="36"/>
      <c r="TJD202" s="36"/>
      <c r="TJE202" s="36"/>
      <c r="TJF202" s="36"/>
      <c r="TJG202" s="36"/>
      <c r="TJH202" s="36"/>
      <c r="TJI202" s="36"/>
      <c r="TJJ202" s="36"/>
      <c r="TJK202" s="36"/>
      <c r="TJL202" s="36"/>
      <c r="TJM202" s="36"/>
      <c r="TJN202" s="36"/>
      <c r="TJO202" s="36"/>
      <c r="TJP202" s="36"/>
      <c r="TJQ202" s="36"/>
      <c r="TJR202" s="36"/>
      <c r="TJS202" s="36"/>
      <c r="TJT202" s="36"/>
      <c r="TJU202" s="36"/>
      <c r="TJV202" s="36"/>
      <c r="TJW202" s="36"/>
      <c r="TJX202" s="36"/>
      <c r="TJY202" s="36"/>
      <c r="TJZ202" s="36"/>
      <c r="TKA202" s="36"/>
      <c r="TKB202" s="36"/>
      <c r="TKC202" s="36"/>
      <c r="TKD202" s="36"/>
      <c r="TKE202" s="36"/>
      <c r="TKF202" s="36"/>
      <c r="TKG202" s="36"/>
      <c r="TKH202" s="36"/>
      <c r="TKI202" s="36"/>
      <c r="TKJ202" s="36"/>
      <c r="TKK202" s="36"/>
      <c r="TKL202" s="36"/>
      <c r="TKM202" s="36"/>
      <c r="TKN202" s="36"/>
      <c r="TKO202" s="36"/>
      <c r="TKP202" s="36"/>
      <c r="TKQ202" s="36"/>
      <c r="TKR202" s="36"/>
      <c r="TKS202" s="36"/>
      <c r="TKT202" s="36"/>
      <c r="TKU202" s="36"/>
      <c r="TKV202" s="36"/>
      <c r="TKW202" s="36"/>
      <c r="TKX202" s="36"/>
      <c r="TKY202" s="36"/>
      <c r="TKZ202" s="36"/>
      <c r="TLA202" s="36"/>
      <c r="TLB202" s="36"/>
      <c r="TLC202" s="36"/>
      <c r="TLD202" s="36"/>
      <c r="TLE202" s="36"/>
      <c r="TLF202" s="36"/>
      <c r="TLG202" s="36"/>
      <c r="TLH202" s="36"/>
      <c r="TLI202" s="36"/>
      <c r="TLJ202" s="36"/>
      <c r="TLK202" s="36"/>
      <c r="TLL202" s="36"/>
      <c r="TLM202" s="36"/>
      <c r="TLN202" s="36"/>
      <c r="TLO202" s="36"/>
      <c r="TLP202" s="36"/>
      <c r="TLQ202" s="36"/>
      <c r="TLR202" s="36"/>
      <c r="TLS202" s="36"/>
      <c r="TLT202" s="36"/>
      <c r="TLU202" s="36"/>
      <c r="TLV202" s="36"/>
      <c r="TLW202" s="36"/>
      <c r="TLX202" s="36"/>
      <c r="TLY202" s="36"/>
      <c r="TLZ202" s="36"/>
      <c r="TMA202" s="36"/>
      <c r="TMB202" s="36"/>
      <c r="TMC202" s="36"/>
      <c r="TMD202" s="36"/>
      <c r="TME202" s="36"/>
      <c r="TMF202" s="36"/>
      <c r="TMG202" s="36"/>
      <c r="TMH202" s="36"/>
      <c r="TMI202" s="36"/>
      <c r="TMJ202" s="36"/>
      <c r="TMK202" s="36"/>
      <c r="TML202" s="36"/>
      <c r="TMM202" s="36"/>
      <c r="TMN202" s="36"/>
      <c r="TMO202" s="36"/>
      <c r="TMP202" s="36"/>
      <c r="TMQ202" s="36"/>
      <c r="TMR202" s="36"/>
      <c r="TMS202" s="36"/>
      <c r="TMT202" s="36"/>
      <c r="TMU202" s="36"/>
      <c r="TMV202" s="36"/>
      <c r="TMW202" s="36"/>
      <c r="TMX202" s="36"/>
      <c r="TMY202" s="36"/>
      <c r="TMZ202" s="36"/>
      <c r="TNA202" s="36"/>
      <c r="TNB202" s="36"/>
      <c r="TNC202" s="36"/>
      <c r="TND202" s="36"/>
      <c r="TNE202" s="36"/>
      <c r="TNF202" s="36"/>
      <c r="TNG202" s="36"/>
      <c r="TNH202" s="36"/>
      <c r="TNI202" s="36"/>
      <c r="TNJ202" s="36"/>
      <c r="TNK202" s="36"/>
      <c r="TNL202" s="36"/>
      <c r="TNM202" s="36"/>
      <c r="TNN202" s="36"/>
      <c r="TNO202" s="36"/>
      <c r="TNP202" s="36"/>
      <c r="TNQ202" s="36"/>
      <c r="TNR202" s="36"/>
      <c r="TNS202" s="36"/>
      <c r="TNT202" s="36"/>
      <c r="TNU202" s="36"/>
      <c r="TNV202" s="36"/>
      <c r="TNW202" s="36"/>
      <c r="TNX202" s="36"/>
      <c r="TNY202" s="36"/>
      <c r="TNZ202" s="36"/>
      <c r="TOA202" s="36"/>
      <c r="TOB202" s="36"/>
      <c r="TOC202" s="36"/>
      <c r="TOD202" s="36"/>
      <c r="TOE202" s="36"/>
      <c r="TOF202" s="36"/>
      <c r="TOG202" s="36"/>
      <c r="TOH202" s="36"/>
      <c r="TOI202" s="36"/>
      <c r="TOJ202" s="36"/>
      <c r="TOK202" s="36"/>
      <c r="TOL202" s="36"/>
      <c r="TOM202" s="36"/>
      <c r="TON202" s="36"/>
      <c r="TOO202" s="36"/>
      <c r="TOP202" s="36"/>
      <c r="TOQ202" s="36"/>
      <c r="TOR202" s="36"/>
      <c r="TOS202" s="36"/>
      <c r="TOT202" s="36"/>
      <c r="TOU202" s="36"/>
      <c r="TOV202" s="36"/>
      <c r="TOW202" s="36"/>
      <c r="TOX202" s="36"/>
      <c r="TOY202" s="36"/>
      <c r="TOZ202" s="36"/>
      <c r="TPA202" s="36"/>
      <c r="TPB202" s="36"/>
      <c r="TPC202" s="36"/>
      <c r="TPD202" s="36"/>
      <c r="TPE202" s="36"/>
      <c r="TPF202" s="36"/>
      <c r="TPG202" s="36"/>
      <c r="TPH202" s="36"/>
      <c r="TPI202" s="36"/>
      <c r="TPJ202" s="36"/>
      <c r="TPK202" s="36"/>
      <c r="TPL202" s="36"/>
      <c r="TPM202" s="36"/>
      <c r="TPN202" s="36"/>
      <c r="TPO202" s="36"/>
      <c r="TPP202" s="36"/>
      <c r="TPQ202" s="36"/>
      <c r="TPR202" s="36"/>
      <c r="TPS202" s="36"/>
      <c r="TPT202" s="36"/>
      <c r="TPU202" s="36"/>
      <c r="TPV202" s="36"/>
      <c r="TPW202" s="36"/>
      <c r="TPX202" s="36"/>
      <c r="TPY202" s="36"/>
      <c r="TPZ202" s="36"/>
      <c r="TQA202" s="36"/>
      <c r="TQB202" s="36"/>
      <c r="TQC202" s="36"/>
      <c r="TQD202" s="36"/>
      <c r="TQE202" s="36"/>
      <c r="TQF202" s="36"/>
      <c r="TQG202" s="36"/>
      <c r="TQH202" s="36"/>
      <c r="TQI202" s="36"/>
      <c r="TQJ202" s="36"/>
      <c r="TQK202" s="36"/>
      <c r="TQL202" s="36"/>
      <c r="TQM202" s="36"/>
      <c r="TQN202" s="36"/>
      <c r="TQO202" s="36"/>
      <c r="TQP202" s="36"/>
      <c r="TQQ202" s="36"/>
      <c r="TQR202" s="36"/>
      <c r="TQS202" s="36"/>
      <c r="TQT202" s="36"/>
      <c r="TQU202" s="36"/>
      <c r="TQV202" s="36"/>
      <c r="TQW202" s="36"/>
      <c r="TQX202" s="36"/>
      <c r="TQY202" s="36"/>
      <c r="TQZ202" s="36"/>
      <c r="TRA202" s="36"/>
      <c r="TRB202" s="36"/>
      <c r="TRC202" s="36"/>
      <c r="TRD202" s="36"/>
      <c r="TRE202" s="36"/>
      <c r="TRF202" s="36"/>
      <c r="TRG202" s="36"/>
      <c r="TRH202" s="36"/>
      <c r="TRI202" s="36"/>
      <c r="TRJ202" s="36"/>
      <c r="TRK202" s="36"/>
      <c r="TRL202" s="36"/>
      <c r="TRM202" s="36"/>
      <c r="TRN202" s="36"/>
      <c r="TRO202" s="36"/>
      <c r="TRP202" s="36"/>
      <c r="TRQ202" s="36"/>
      <c r="TRR202" s="36"/>
      <c r="TRS202" s="36"/>
      <c r="TRT202" s="36"/>
      <c r="TRU202" s="36"/>
      <c r="TRV202" s="36"/>
      <c r="TRW202" s="36"/>
      <c r="TRX202" s="36"/>
      <c r="TRY202" s="36"/>
      <c r="TRZ202" s="36"/>
      <c r="TSA202" s="36"/>
      <c r="TSB202" s="36"/>
      <c r="TSC202" s="36"/>
      <c r="TSD202" s="36"/>
      <c r="TSE202" s="36"/>
      <c r="TSF202" s="36"/>
      <c r="TSG202" s="36"/>
      <c r="TSH202" s="36"/>
      <c r="TSI202" s="36"/>
      <c r="TSJ202" s="36"/>
      <c r="TSK202" s="36"/>
      <c r="TSL202" s="36"/>
      <c r="TSM202" s="36"/>
      <c r="TSN202" s="36"/>
      <c r="TSO202" s="36"/>
      <c r="TSP202" s="36"/>
      <c r="TSQ202" s="36"/>
      <c r="TSR202" s="36"/>
      <c r="TSS202" s="36"/>
      <c r="TST202" s="36"/>
      <c r="TSU202" s="36"/>
      <c r="TSV202" s="36"/>
      <c r="TSW202" s="36"/>
      <c r="TSX202" s="36"/>
      <c r="TSY202" s="36"/>
      <c r="TSZ202" s="36"/>
      <c r="TTA202" s="36"/>
      <c r="TTB202" s="36"/>
      <c r="TTC202" s="36"/>
      <c r="TTD202" s="36"/>
      <c r="TTE202" s="36"/>
      <c r="TTF202" s="36"/>
      <c r="TTG202" s="36"/>
      <c r="TTH202" s="36"/>
      <c r="TTI202" s="36"/>
      <c r="TTJ202" s="36"/>
      <c r="TTK202" s="36"/>
      <c r="TTL202" s="36"/>
      <c r="TTM202" s="36"/>
      <c r="TTN202" s="36"/>
      <c r="TTO202" s="36"/>
      <c r="TTP202" s="36"/>
      <c r="TTQ202" s="36"/>
      <c r="TTR202" s="36"/>
      <c r="TTS202" s="36"/>
      <c r="TTT202" s="36"/>
      <c r="TTU202" s="36"/>
      <c r="TTV202" s="36"/>
      <c r="TTW202" s="36"/>
      <c r="TTX202" s="36"/>
      <c r="TTY202" s="36"/>
      <c r="TTZ202" s="36"/>
      <c r="TUA202" s="36"/>
      <c r="TUB202" s="36"/>
      <c r="TUC202" s="36"/>
      <c r="TUD202" s="36"/>
      <c r="TUE202" s="36"/>
      <c r="TUF202" s="36"/>
      <c r="TUG202" s="36"/>
      <c r="TUH202" s="36"/>
      <c r="TUI202" s="36"/>
      <c r="TUJ202" s="36"/>
      <c r="TUK202" s="36"/>
      <c r="TUL202" s="36"/>
      <c r="TUM202" s="36"/>
      <c r="TUN202" s="36"/>
      <c r="TUO202" s="36"/>
      <c r="TUP202" s="36"/>
      <c r="TUQ202" s="36"/>
      <c r="TUR202" s="36"/>
      <c r="TUS202" s="36"/>
      <c r="TUT202" s="36"/>
      <c r="TUU202" s="36"/>
      <c r="TUV202" s="36"/>
      <c r="TUW202" s="36"/>
      <c r="TUX202" s="36"/>
      <c r="TUY202" s="36"/>
      <c r="TUZ202" s="36"/>
      <c r="TVA202" s="36"/>
      <c r="TVB202" s="36"/>
      <c r="TVC202" s="36"/>
      <c r="TVD202" s="36"/>
      <c r="TVE202" s="36"/>
      <c r="TVF202" s="36"/>
      <c r="TVG202" s="36"/>
      <c r="TVH202" s="36"/>
      <c r="TVI202" s="36"/>
      <c r="TVJ202" s="36"/>
      <c r="TVK202" s="36"/>
      <c r="TVL202" s="36"/>
      <c r="TVM202" s="36"/>
      <c r="TVN202" s="36"/>
      <c r="TVO202" s="36"/>
      <c r="TVP202" s="36"/>
      <c r="TVQ202" s="36"/>
      <c r="TVR202" s="36"/>
      <c r="TVS202" s="36"/>
      <c r="TVT202" s="36"/>
      <c r="TVU202" s="36"/>
      <c r="TVV202" s="36"/>
      <c r="TVW202" s="36"/>
      <c r="TVX202" s="36"/>
      <c r="TVY202" s="36"/>
      <c r="TVZ202" s="36"/>
      <c r="TWA202" s="36"/>
      <c r="TWB202" s="36"/>
      <c r="TWC202" s="36"/>
      <c r="TWD202" s="36"/>
      <c r="TWE202" s="36"/>
      <c r="TWF202" s="36"/>
      <c r="TWG202" s="36"/>
      <c r="TWH202" s="36"/>
      <c r="TWI202" s="36"/>
      <c r="TWJ202" s="36"/>
      <c r="TWK202" s="36"/>
      <c r="TWL202" s="36"/>
      <c r="TWM202" s="36"/>
      <c r="TWN202" s="36"/>
      <c r="TWO202" s="36"/>
      <c r="TWP202" s="36"/>
      <c r="TWQ202" s="36"/>
      <c r="TWR202" s="36"/>
      <c r="TWS202" s="36"/>
      <c r="TWT202" s="36"/>
      <c r="TWU202" s="36"/>
      <c r="TWV202" s="36"/>
      <c r="TWW202" s="36"/>
      <c r="TWX202" s="36"/>
      <c r="TWY202" s="36"/>
      <c r="TWZ202" s="36"/>
      <c r="TXA202" s="36"/>
      <c r="TXB202" s="36"/>
      <c r="TXC202" s="36"/>
      <c r="TXD202" s="36"/>
      <c r="TXE202" s="36"/>
      <c r="TXF202" s="36"/>
      <c r="TXG202" s="36"/>
      <c r="TXH202" s="36"/>
      <c r="TXI202" s="36"/>
      <c r="TXJ202" s="36"/>
      <c r="TXK202" s="36"/>
      <c r="TXL202" s="36"/>
      <c r="TXM202" s="36"/>
      <c r="TXN202" s="36"/>
      <c r="TXO202" s="36"/>
      <c r="TXP202" s="36"/>
      <c r="TXQ202" s="36"/>
      <c r="TXR202" s="36"/>
      <c r="TXS202" s="36"/>
      <c r="TXT202" s="36"/>
      <c r="TXU202" s="36"/>
      <c r="TXV202" s="36"/>
      <c r="TXW202" s="36"/>
      <c r="TXX202" s="36"/>
      <c r="TXY202" s="36"/>
      <c r="TXZ202" s="36"/>
      <c r="TYA202" s="36"/>
      <c r="TYB202" s="36"/>
      <c r="TYC202" s="36"/>
      <c r="TYD202" s="36"/>
      <c r="TYE202" s="36"/>
      <c r="TYF202" s="36"/>
      <c r="TYG202" s="36"/>
      <c r="TYH202" s="36"/>
      <c r="TYI202" s="36"/>
      <c r="TYJ202" s="36"/>
      <c r="TYK202" s="36"/>
      <c r="TYL202" s="36"/>
      <c r="TYM202" s="36"/>
      <c r="TYN202" s="36"/>
      <c r="TYO202" s="36"/>
      <c r="TYP202" s="36"/>
      <c r="TYQ202" s="36"/>
      <c r="TYR202" s="36"/>
      <c r="TYS202" s="36"/>
      <c r="TYT202" s="36"/>
      <c r="TYU202" s="36"/>
      <c r="TYV202" s="36"/>
      <c r="TYW202" s="36"/>
      <c r="TYX202" s="36"/>
      <c r="TYY202" s="36"/>
      <c r="TYZ202" s="36"/>
      <c r="TZA202" s="36"/>
      <c r="TZB202" s="36"/>
      <c r="TZC202" s="36"/>
      <c r="TZD202" s="36"/>
      <c r="TZE202" s="36"/>
      <c r="TZF202" s="36"/>
      <c r="TZG202" s="36"/>
      <c r="TZH202" s="36"/>
      <c r="TZI202" s="36"/>
      <c r="TZJ202" s="36"/>
      <c r="TZK202" s="36"/>
      <c r="TZL202" s="36"/>
      <c r="TZM202" s="36"/>
      <c r="TZN202" s="36"/>
      <c r="TZO202" s="36"/>
      <c r="TZP202" s="36"/>
      <c r="TZQ202" s="36"/>
      <c r="TZR202" s="36"/>
      <c r="TZS202" s="36"/>
      <c r="TZT202" s="36"/>
      <c r="TZU202" s="36"/>
      <c r="TZV202" s="36"/>
      <c r="TZW202" s="36"/>
      <c r="TZX202" s="36"/>
      <c r="TZY202" s="36"/>
      <c r="TZZ202" s="36"/>
      <c r="UAA202" s="36"/>
      <c r="UAB202" s="36"/>
      <c r="UAC202" s="36"/>
      <c r="UAD202" s="36"/>
      <c r="UAE202" s="36"/>
      <c r="UAF202" s="36"/>
      <c r="UAG202" s="36"/>
      <c r="UAH202" s="36"/>
      <c r="UAI202" s="36"/>
      <c r="UAJ202" s="36"/>
      <c r="UAK202" s="36"/>
      <c r="UAL202" s="36"/>
      <c r="UAM202" s="36"/>
      <c r="UAN202" s="36"/>
      <c r="UAO202" s="36"/>
      <c r="UAP202" s="36"/>
      <c r="UAQ202" s="36"/>
      <c r="UAR202" s="36"/>
      <c r="UAS202" s="36"/>
      <c r="UAT202" s="36"/>
      <c r="UAU202" s="36"/>
      <c r="UAV202" s="36"/>
      <c r="UAW202" s="36"/>
      <c r="UAX202" s="36"/>
      <c r="UAY202" s="36"/>
      <c r="UAZ202" s="36"/>
      <c r="UBA202" s="36"/>
      <c r="UBB202" s="36"/>
      <c r="UBC202" s="36"/>
      <c r="UBD202" s="36"/>
      <c r="UBE202" s="36"/>
      <c r="UBF202" s="36"/>
      <c r="UBG202" s="36"/>
      <c r="UBH202" s="36"/>
      <c r="UBI202" s="36"/>
      <c r="UBJ202" s="36"/>
      <c r="UBK202" s="36"/>
      <c r="UBL202" s="36"/>
      <c r="UBM202" s="36"/>
      <c r="UBN202" s="36"/>
      <c r="UBO202" s="36"/>
      <c r="UBP202" s="36"/>
      <c r="UBQ202" s="36"/>
      <c r="UBR202" s="36"/>
      <c r="UBS202" s="36"/>
      <c r="UBT202" s="36"/>
      <c r="UBU202" s="36"/>
      <c r="UBV202" s="36"/>
      <c r="UBW202" s="36"/>
      <c r="UBX202" s="36"/>
      <c r="UBY202" s="36"/>
      <c r="UBZ202" s="36"/>
      <c r="UCA202" s="36"/>
      <c r="UCB202" s="36"/>
      <c r="UCC202" s="36"/>
      <c r="UCD202" s="36"/>
      <c r="UCE202" s="36"/>
      <c r="UCF202" s="36"/>
      <c r="UCG202" s="36"/>
      <c r="UCH202" s="36"/>
      <c r="UCI202" s="36"/>
      <c r="UCJ202" s="36"/>
      <c r="UCK202" s="36"/>
      <c r="UCL202" s="36"/>
      <c r="UCM202" s="36"/>
      <c r="UCN202" s="36"/>
      <c r="UCO202" s="36"/>
      <c r="UCP202" s="36"/>
      <c r="UCQ202" s="36"/>
      <c r="UCR202" s="36"/>
      <c r="UCS202" s="36"/>
      <c r="UCT202" s="36"/>
      <c r="UCU202" s="36"/>
      <c r="UCV202" s="36"/>
      <c r="UCW202" s="36"/>
      <c r="UCX202" s="36"/>
      <c r="UCY202" s="36"/>
      <c r="UCZ202" s="36"/>
      <c r="UDA202" s="36"/>
      <c r="UDB202" s="36"/>
      <c r="UDC202" s="36"/>
      <c r="UDD202" s="36"/>
      <c r="UDE202" s="36"/>
      <c r="UDF202" s="36"/>
      <c r="UDG202" s="36"/>
      <c r="UDH202" s="36"/>
      <c r="UDI202" s="36"/>
      <c r="UDJ202" s="36"/>
      <c r="UDK202" s="36"/>
      <c r="UDL202" s="36"/>
      <c r="UDM202" s="36"/>
      <c r="UDN202" s="36"/>
      <c r="UDO202" s="36"/>
      <c r="UDP202" s="36"/>
      <c r="UDQ202" s="36"/>
      <c r="UDR202" s="36"/>
      <c r="UDS202" s="36"/>
      <c r="UDT202" s="36"/>
      <c r="UDU202" s="36"/>
      <c r="UDV202" s="36"/>
      <c r="UDW202" s="36"/>
      <c r="UDX202" s="36"/>
      <c r="UDY202" s="36"/>
      <c r="UDZ202" s="36"/>
      <c r="UEA202" s="36"/>
      <c r="UEB202" s="36"/>
      <c r="UEC202" s="36"/>
      <c r="UED202" s="36"/>
      <c r="UEE202" s="36"/>
      <c r="UEF202" s="36"/>
      <c r="UEG202" s="36"/>
      <c r="UEH202" s="36"/>
      <c r="UEI202" s="36"/>
      <c r="UEJ202" s="36"/>
      <c r="UEK202" s="36"/>
      <c r="UEL202" s="36"/>
      <c r="UEM202" s="36"/>
      <c r="UEN202" s="36"/>
      <c r="UEO202" s="36"/>
      <c r="UEP202" s="36"/>
      <c r="UEQ202" s="36"/>
      <c r="UER202" s="36"/>
      <c r="UES202" s="36"/>
      <c r="UET202" s="36"/>
      <c r="UEU202" s="36"/>
      <c r="UEV202" s="36"/>
      <c r="UEW202" s="36"/>
      <c r="UEX202" s="36"/>
      <c r="UEY202" s="36"/>
      <c r="UEZ202" s="36"/>
      <c r="UFA202" s="36"/>
      <c r="UFB202" s="36"/>
      <c r="UFC202" s="36"/>
      <c r="UFD202" s="36"/>
      <c r="UFE202" s="36"/>
      <c r="UFF202" s="36"/>
      <c r="UFG202" s="36"/>
      <c r="UFH202" s="36"/>
      <c r="UFI202" s="36"/>
      <c r="UFJ202" s="36"/>
      <c r="UFK202" s="36"/>
      <c r="UFL202" s="36"/>
      <c r="UFM202" s="36"/>
      <c r="UFN202" s="36"/>
      <c r="UFO202" s="36"/>
      <c r="UFP202" s="36"/>
      <c r="UFQ202" s="36"/>
      <c r="UFR202" s="36"/>
      <c r="UFS202" s="36"/>
      <c r="UFT202" s="36"/>
      <c r="UFU202" s="36"/>
      <c r="UFV202" s="36"/>
      <c r="UFW202" s="36"/>
      <c r="UFX202" s="36"/>
      <c r="UFY202" s="36"/>
      <c r="UFZ202" s="36"/>
      <c r="UGA202" s="36"/>
      <c r="UGB202" s="36"/>
      <c r="UGC202" s="36"/>
      <c r="UGD202" s="36"/>
      <c r="UGE202" s="36"/>
      <c r="UGF202" s="36"/>
      <c r="UGG202" s="36"/>
      <c r="UGH202" s="36"/>
      <c r="UGI202" s="36"/>
      <c r="UGJ202" s="36"/>
      <c r="UGK202" s="36"/>
      <c r="UGL202" s="36"/>
      <c r="UGM202" s="36"/>
      <c r="UGN202" s="36"/>
      <c r="UGO202" s="36"/>
      <c r="UGP202" s="36"/>
      <c r="UGQ202" s="36"/>
      <c r="UGR202" s="36"/>
      <c r="UGS202" s="36"/>
      <c r="UGT202" s="36"/>
      <c r="UGU202" s="36"/>
      <c r="UGV202" s="36"/>
      <c r="UGW202" s="36"/>
      <c r="UGX202" s="36"/>
      <c r="UGY202" s="36"/>
      <c r="UGZ202" s="36"/>
      <c r="UHA202" s="36"/>
      <c r="UHB202" s="36"/>
      <c r="UHC202" s="36"/>
      <c r="UHD202" s="36"/>
      <c r="UHE202" s="36"/>
      <c r="UHF202" s="36"/>
      <c r="UHG202" s="36"/>
      <c r="UHH202" s="36"/>
      <c r="UHI202" s="36"/>
      <c r="UHJ202" s="36"/>
      <c r="UHK202" s="36"/>
      <c r="UHL202" s="36"/>
      <c r="UHM202" s="36"/>
      <c r="UHN202" s="36"/>
      <c r="UHO202" s="36"/>
      <c r="UHP202" s="36"/>
      <c r="UHQ202" s="36"/>
      <c r="UHR202" s="36"/>
      <c r="UHS202" s="36"/>
      <c r="UHT202" s="36"/>
      <c r="UHU202" s="36"/>
      <c r="UHV202" s="36"/>
      <c r="UHW202" s="36"/>
      <c r="UHX202" s="36"/>
      <c r="UHY202" s="36"/>
      <c r="UHZ202" s="36"/>
      <c r="UIA202" s="36"/>
      <c r="UIB202" s="36"/>
      <c r="UIC202" s="36"/>
      <c r="UID202" s="36"/>
      <c r="UIE202" s="36"/>
      <c r="UIF202" s="36"/>
      <c r="UIG202" s="36"/>
      <c r="UIH202" s="36"/>
      <c r="UII202" s="36"/>
      <c r="UIJ202" s="36"/>
      <c r="UIK202" s="36"/>
      <c r="UIL202" s="36"/>
      <c r="UIM202" s="36"/>
      <c r="UIN202" s="36"/>
      <c r="UIO202" s="36"/>
      <c r="UIP202" s="36"/>
      <c r="UIQ202" s="36"/>
      <c r="UIR202" s="36"/>
      <c r="UIS202" s="36"/>
      <c r="UIT202" s="36"/>
      <c r="UIU202" s="36"/>
      <c r="UIV202" s="36"/>
      <c r="UIW202" s="36"/>
      <c r="UIX202" s="36"/>
      <c r="UIY202" s="36"/>
      <c r="UIZ202" s="36"/>
      <c r="UJA202" s="36"/>
      <c r="UJB202" s="36"/>
      <c r="UJC202" s="36"/>
      <c r="UJD202" s="36"/>
      <c r="UJE202" s="36"/>
      <c r="UJF202" s="36"/>
      <c r="UJG202" s="36"/>
      <c r="UJH202" s="36"/>
      <c r="UJI202" s="36"/>
      <c r="UJJ202" s="36"/>
      <c r="UJK202" s="36"/>
      <c r="UJL202" s="36"/>
      <c r="UJM202" s="36"/>
      <c r="UJN202" s="36"/>
      <c r="UJO202" s="36"/>
      <c r="UJP202" s="36"/>
      <c r="UJQ202" s="36"/>
      <c r="UJR202" s="36"/>
      <c r="UJS202" s="36"/>
      <c r="UJT202" s="36"/>
      <c r="UJU202" s="36"/>
      <c r="UJV202" s="36"/>
      <c r="UJW202" s="36"/>
      <c r="UJX202" s="36"/>
      <c r="UJY202" s="36"/>
      <c r="UJZ202" s="36"/>
      <c r="UKA202" s="36"/>
      <c r="UKB202" s="36"/>
      <c r="UKC202" s="36"/>
      <c r="UKD202" s="36"/>
      <c r="UKE202" s="36"/>
      <c r="UKF202" s="36"/>
      <c r="UKG202" s="36"/>
      <c r="UKH202" s="36"/>
      <c r="UKI202" s="36"/>
      <c r="UKJ202" s="36"/>
      <c r="UKK202" s="36"/>
      <c r="UKL202" s="36"/>
      <c r="UKM202" s="36"/>
      <c r="UKN202" s="36"/>
      <c r="UKO202" s="36"/>
      <c r="UKP202" s="36"/>
      <c r="UKQ202" s="36"/>
      <c r="UKR202" s="36"/>
      <c r="UKS202" s="36"/>
      <c r="UKT202" s="36"/>
      <c r="UKU202" s="36"/>
      <c r="UKV202" s="36"/>
      <c r="UKW202" s="36"/>
      <c r="UKX202" s="36"/>
      <c r="UKY202" s="36"/>
      <c r="UKZ202" s="36"/>
      <c r="ULA202" s="36"/>
      <c r="ULB202" s="36"/>
      <c r="ULC202" s="36"/>
      <c r="ULD202" s="36"/>
      <c r="ULE202" s="36"/>
      <c r="ULF202" s="36"/>
      <c r="ULG202" s="36"/>
      <c r="ULH202" s="36"/>
      <c r="ULI202" s="36"/>
      <c r="ULJ202" s="36"/>
      <c r="ULK202" s="36"/>
      <c r="ULL202" s="36"/>
      <c r="ULM202" s="36"/>
      <c r="ULN202" s="36"/>
      <c r="ULO202" s="36"/>
      <c r="ULP202" s="36"/>
      <c r="ULQ202" s="36"/>
      <c r="ULR202" s="36"/>
      <c r="ULS202" s="36"/>
      <c r="ULT202" s="36"/>
      <c r="ULU202" s="36"/>
      <c r="ULV202" s="36"/>
      <c r="ULW202" s="36"/>
      <c r="ULX202" s="36"/>
      <c r="ULY202" s="36"/>
      <c r="ULZ202" s="36"/>
      <c r="UMA202" s="36"/>
      <c r="UMB202" s="36"/>
      <c r="UMC202" s="36"/>
      <c r="UMD202" s="36"/>
      <c r="UME202" s="36"/>
      <c r="UMF202" s="36"/>
      <c r="UMG202" s="36"/>
      <c r="UMH202" s="36"/>
      <c r="UMI202" s="36"/>
      <c r="UMJ202" s="36"/>
      <c r="UMK202" s="36"/>
      <c r="UML202" s="36"/>
      <c r="UMM202" s="36"/>
      <c r="UMN202" s="36"/>
      <c r="UMO202" s="36"/>
      <c r="UMP202" s="36"/>
      <c r="UMQ202" s="36"/>
      <c r="UMR202" s="36"/>
      <c r="UMS202" s="36"/>
      <c r="UMT202" s="36"/>
      <c r="UMU202" s="36"/>
      <c r="UMV202" s="36"/>
      <c r="UMW202" s="36"/>
      <c r="UMX202" s="36"/>
      <c r="UMY202" s="36"/>
      <c r="UMZ202" s="36"/>
      <c r="UNA202" s="36"/>
      <c r="UNB202" s="36"/>
      <c r="UNC202" s="36"/>
      <c r="UND202" s="36"/>
      <c r="UNE202" s="36"/>
      <c r="UNF202" s="36"/>
      <c r="UNG202" s="36"/>
      <c r="UNH202" s="36"/>
      <c r="UNI202" s="36"/>
      <c r="UNJ202" s="36"/>
      <c r="UNK202" s="36"/>
      <c r="UNL202" s="36"/>
      <c r="UNM202" s="36"/>
      <c r="UNN202" s="36"/>
      <c r="UNO202" s="36"/>
      <c r="UNP202" s="36"/>
      <c r="UNQ202" s="36"/>
      <c r="UNR202" s="36"/>
      <c r="UNS202" s="36"/>
      <c r="UNT202" s="36"/>
      <c r="UNU202" s="36"/>
      <c r="UNV202" s="36"/>
      <c r="UNW202" s="36"/>
      <c r="UNX202" s="36"/>
      <c r="UNY202" s="36"/>
      <c r="UNZ202" s="36"/>
      <c r="UOA202" s="36"/>
      <c r="UOB202" s="36"/>
      <c r="UOC202" s="36"/>
      <c r="UOD202" s="36"/>
      <c r="UOE202" s="36"/>
      <c r="UOF202" s="36"/>
      <c r="UOG202" s="36"/>
      <c r="UOH202" s="36"/>
      <c r="UOI202" s="36"/>
      <c r="UOJ202" s="36"/>
      <c r="UOK202" s="36"/>
      <c r="UOL202" s="36"/>
      <c r="UOM202" s="36"/>
      <c r="UON202" s="36"/>
      <c r="UOO202" s="36"/>
      <c r="UOP202" s="36"/>
      <c r="UOQ202" s="36"/>
      <c r="UOR202" s="36"/>
      <c r="UOS202" s="36"/>
      <c r="UOT202" s="36"/>
      <c r="UOU202" s="36"/>
      <c r="UOV202" s="36"/>
      <c r="UOW202" s="36"/>
      <c r="UOX202" s="36"/>
      <c r="UOY202" s="36"/>
      <c r="UOZ202" s="36"/>
      <c r="UPA202" s="36"/>
      <c r="UPB202" s="36"/>
      <c r="UPC202" s="36"/>
      <c r="UPD202" s="36"/>
      <c r="UPE202" s="36"/>
      <c r="UPF202" s="36"/>
      <c r="UPG202" s="36"/>
      <c r="UPH202" s="36"/>
      <c r="UPI202" s="36"/>
      <c r="UPJ202" s="36"/>
      <c r="UPK202" s="36"/>
      <c r="UPL202" s="36"/>
      <c r="UPM202" s="36"/>
      <c r="UPN202" s="36"/>
      <c r="UPO202" s="36"/>
      <c r="UPP202" s="36"/>
      <c r="UPQ202" s="36"/>
      <c r="UPR202" s="36"/>
      <c r="UPS202" s="36"/>
      <c r="UPT202" s="36"/>
      <c r="UPU202" s="36"/>
      <c r="UPV202" s="36"/>
      <c r="UPW202" s="36"/>
      <c r="UPX202" s="36"/>
      <c r="UPY202" s="36"/>
      <c r="UPZ202" s="36"/>
      <c r="UQA202" s="36"/>
      <c r="UQB202" s="36"/>
      <c r="UQC202" s="36"/>
      <c r="UQD202" s="36"/>
      <c r="UQE202" s="36"/>
      <c r="UQF202" s="36"/>
      <c r="UQG202" s="36"/>
      <c r="UQH202" s="36"/>
      <c r="UQI202" s="36"/>
      <c r="UQJ202" s="36"/>
      <c r="UQK202" s="36"/>
      <c r="UQL202" s="36"/>
      <c r="UQM202" s="36"/>
      <c r="UQN202" s="36"/>
      <c r="UQO202" s="36"/>
      <c r="UQP202" s="36"/>
      <c r="UQQ202" s="36"/>
      <c r="UQR202" s="36"/>
      <c r="UQS202" s="36"/>
      <c r="UQT202" s="36"/>
      <c r="UQU202" s="36"/>
      <c r="UQV202" s="36"/>
      <c r="UQW202" s="36"/>
      <c r="UQX202" s="36"/>
      <c r="UQY202" s="36"/>
      <c r="UQZ202" s="36"/>
      <c r="URA202" s="36"/>
      <c r="URB202" s="36"/>
      <c r="URC202" s="36"/>
      <c r="URD202" s="36"/>
      <c r="URE202" s="36"/>
      <c r="URF202" s="36"/>
      <c r="URG202" s="36"/>
      <c r="URH202" s="36"/>
      <c r="URI202" s="36"/>
      <c r="URJ202" s="36"/>
      <c r="URK202" s="36"/>
      <c r="URL202" s="36"/>
      <c r="URM202" s="36"/>
      <c r="URN202" s="36"/>
      <c r="URO202" s="36"/>
      <c r="URP202" s="36"/>
      <c r="URQ202" s="36"/>
      <c r="URR202" s="36"/>
      <c r="URS202" s="36"/>
      <c r="URT202" s="36"/>
      <c r="URU202" s="36"/>
      <c r="URV202" s="36"/>
      <c r="URW202" s="36"/>
      <c r="URX202" s="36"/>
      <c r="URY202" s="36"/>
      <c r="URZ202" s="36"/>
      <c r="USA202" s="36"/>
      <c r="USB202" s="36"/>
      <c r="USC202" s="36"/>
      <c r="USD202" s="36"/>
      <c r="USE202" s="36"/>
      <c r="USF202" s="36"/>
      <c r="USG202" s="36"/>
      <c r="USH202" s="36"/>
      <c r="USI202" s="36"/>
      <c r="USJ202" s="36"/>
      <c r="USK202" s="36"/>
      <c r="USL202" s="36"/>
      <c r="USM202" s="36"/>
      <c r="USN202" s="36"/>
      <c r="USO202" s="36"/>
      <c r="USP202" s="36"/>
      <c r="USQ202" s="36"/>
      <c r="USR202" s="36"/>
      <c r="USS202" s="36"/>
      <c r="UST202" s="36"/>
      <c r="USU202" s="36"/>
      <c r="USV202" s="36"/>
      <c r="USW202" s="36"/>
      <c r="USX202" s="36"/>
      <c r="USY202" s="36"/>
      <c r="USZ202" s="36"/>
      <c r="UTA202" s="36"/>
      <c r="UTB202" s="36"/>
      <c r="UTC202" s="36"/>
      <c r="UTD202" s="36"/>
      <c r="UTE202" s="36"/>
      <c r="UTF202" s="36"/>
      <c r="UTG202" s="36"/>
      <c r="UTH202" s="36"/>
      <c r="UTI202" s="36"/>
      <c r="UTJ202" s="36"/>
      <c r="UTK202" s="36"/>
      <c r="UTL202" s="36"/>
      <c r="UTM202" s="36"/>
      <c r="UTN202" s="36"/>
      <c r="UTO202" s="36"/>
      <c r="UTP202" s="36"/>
      <c r="UTQ202" s="36"/>
      <c r="UTR202" s="36"/>
      <c r="UTS202" s="36"/>
      <c r="UTT202" s="36"/>
      <c r="UTU202" s="36"/>
      <c r="UTV202" s="36"/>
      <c r="UTW202" s="36"/>
      <c r="UTX202" s="36"/>
      <c r="UTY202" s="36"/>
      <c r="UTZ202" s="36"/>
      <c r="UUA202" s="36"/>
      <c r="UUB202" s="36"/>
      <c r="UUC202" s="36"/>
      <c r="UUD202" s="36"/>
      <c r="UUE202" s="36"/>
      <c r="UUF202" s="36"/>
      <c r="UUG202" s="36"/>
      <c r="UUH202" s="36"/>
      <c r="UUI202" s="36"/>
      <c r="UUJ202" s="36"/>
      <c r="UUK202" s="36"/>
      <c r="UUL202" s="36"/>
      <c r="UUM202" s="36"/>
      <c r="UUN202" s="36"/>
      <c r="UUO202" s="36"/>
      <c r="UUP202" s="36"/>
      <c r="UUQ202" s="36"/>
      <c r="UUR202" s="36"/>
      <c r="UUS202" s="36"/>
      <c r="UUT202" s="36"/>
      <c r="UUU202" s="36"/>
      <c r="UUV202" s="36"/>
      <c r="UUW202" s="36"/>
      <c r="UUX202" s="36"/>
      <c r="UUY202" s="36"/>
      <c r="UUZ202" s="36"/>
      <c r="UVA202" s="36"/>
      <c r="UVB202" s="36"/>
      <c r="UVC202" s="36"/>
      <c r="UVD202" s="36"/>
      <c r="UVE202" s="36"/>
      <c r="UVF202" s="36"/>
      <c r="UVG202" s="36"/>
      <c r="UVH202" s="36"/>
      <c r="UVI202" s="36"/>
      <c r="UVJ202" s="36"/>
      <c r="UVK202" s="36"/>
      <c r="UVL202" s="36"/>
      <c r="UVM202" s="36"/>
      <c r="UVN202" s="36"/>
      <c r="UVO202" s="36"/>
      <c r="UVP202" s="36"/>
      <c r="UVQ202" s="36"/>
      <c r="UVR202" s="36"/>
      <c r="UVS202" s="36"/>
      <c r="UVT202" s="36"/>
      <c r="UVU202" s="36"/>
      <c r="UVV202" s="36"/>
      <c r="UVW202" s="36"/>
      <c r="UVX202" s="36"/>
      <c r="UVY202" s="36"/>
      <c r="UVZ202" s="36"/>
      <c r="UWA202" s="36"/>
      <c r="UWB202" s="36"/>
      <c r="UWC202" s="36"/>
      <c r="UWD202" s="36"/>
      <c r="UWE202" s="36"/>
      <c r="UWF202" s="36"/>
      <c r="UWG202" s="36"/>
      <c r="UWH202" s="36"/>
      <c r="UWI202" s="36"/>
      <c r="UWJ202" s="36"/>
      <c r="UWK202" s="36"/>
      <c r="UWL202" s="36"/>
      <c r="UWM202" s="36"/>
      <c r="UWN202" s="36"/>
      <c r="UWO202" s="36"/>
      <c r="UWP202" s="36"/>
      <c r="UWQ202" s="36"/>
      <c r="UWR202" s="36"/>
      <c r="UWS202" s="36"/>
      <c r="UWT202" s="36"/>
      <c r="UWU202" s="36"/>
      <c r="UWV202" s="36"/>
      <c r="UWW202" s="36"/>
      <c r="UWX202" s="36"/>
      <c r="UWY202" s="36"/>
      <c r="UWZ202" s="36"/>
      <c r="UXA202" s="36"/>
      <c r="UXB202" s="36"/>
      <c r="UXC202" s="36"/>
      <c r="UXD202" s="36"/>
      <c r="UXE202" s="36"/>
      <c r="UXF202" s="36"/>
      <c r="UXG202" s="36"/>
      <c r="UXH202" s="36"/>
      <c r="UXI202" s="36"/>
      <c r="UXJ202" s="36"/>
      <c r="UXK202" s="36"/>
      <c r="UXL202" s="36"/>
      <c r="UXM202" s="36"/>
      <c r="UXN202" s="36"/>
      <c r="UXO202" s="36"/>
      <c r="UXP202" s="36"/>
      <c r="UXQ202" s="36"/>
      <c r="UXR202" s="36"/>
      <c r="UXS202" s="36"/>
      <c r="UXT202" s="36"/>
      <c r="UXU202" s="36"/>
      <c r="UXV202" s="36"/>
      <c r="UXW202" s="36"/>
      <c r="UXX202" s="36"/>
      <c r="UXY202" s="36"/>
      <c r="UXZ202" s="36"/>
      <c r="UYA202" s="36"/>
      <c r="UYB202" s="36"/>
      <c r="UYC202" s="36"/>
      <c r="UYD202" s="36"/>
      <c r="UYE202" s="36"/>
      <c r="UYF202" s="36"/>
      <c r="UYG202" s="36"/>
      <c r="UYH202" s="36"/>
      <c r="UYI202" s="36"/>
      <c r="UYJ202" s="36"/>
      <c r="UYK202" s="36"/>
      <c r="UYL202" s="36"/>
      <c r="UYM202" s="36"/>
      <c r="UYN202" s="36"/>
      <c r="UYO202" s="36"/>
      <c r="UYP202" s="36"/>
      <c r="UYQ202" s="36"/>
      <c r="UYR202" s="36"/>
      <c r="UYS202" s="36"/>
      <c r="UYT202" s="36"/>
      <c r="UYU202" s="36"/>
      <c r="UYV202" s="36"/>
      <c r="UYW202" s="36"/>
      <c r="UYX202" s="36"/>
      <c r="UYY202" s="36"/>
      <c r="UYZ202" s="36"/>
      <c r="UZA202" s="36"/>
      <c r="UZB202" s="36"/>
      <c r="UZC202" s="36"/>
      <c r="UZD202" s="36"/>
      <c r="UZE202" s="36"/>
      <c r="UZF202" s="36"/>
      <c r="UZG202" s="36"/>
      <c r="UZH202" s="36"/>
      <c r="UZI202" s="36"/>
      <c r="UZJ202" s="36"/>
      <c r="UZK202" s="36"/>
      <c r="UZL202" s="36"/>
      <c r="UZM202" s="36"/>
      <c r="UZN202" s="36"/>
      <c r="UZO202" s="36"/>
      <c r="UZP202" s="36"/>
      <c r="UZQ202" s="36"/>
      <c r="UZR202" s="36"/>
      <c r="UZS202" s="36"/>
      <c r="UZT202" s="36"/>
      <c r="UZU202" s="36"/>
      <c r="UZV202" s="36"/>
      <c r="UZW202" s="36"/>
      <c r="UZX202" s="36"/>
      <c r="UZY202" s="36"/>
      <c r="UZZ202" s="36"/>
      <c r="VAA202" s="36"/>
      <c r="VAB202" s="36"/>
      <c r="VAC202" s="36"/>
      <c r="VAD202" s="36"/>
      <c r="VAE202" s="36"/>
      <c r="VAF202" s="36"/>
      <c r="VAG202" s="36"/>
      <c r="VAH202" s="36"/>
      <c r="VAI202" s="36"/>
      <c r="VAJ202" s="36"/>
      <c r="VAK202" s="36"/>
      <c r="VAL202" s="36"/>
      <c r="VAM202" s="36"/>
      <c r="VAN202" s="36"/>
      <c r="VAO202" s="36"/>
      <c r="VAP202" s="36"/>
      <c r="VAQ202" s="36"/>
      <c r="VAR202" s="36"/>
      <c r="VAS202" s="36"/>
      <c r="VAT202" s="36"/>
      <c r="VAU202" s="36"/>
      <c r="VAV202" s="36"/>
      <c r="VAW202" s="36"/>
      <c r="VAX202" s="36"/>
      <c r="VAY202" s="36"/>
      <c r="VAZ202" s="36"/>
      <c r="VBA202" s="36"/>
      <c r="VBB202" s="36"/>
      <c r="VBC202" s="36"/>
      <c r="VBD202" s="36"/>
      <c r="VBE202" s="36"/>
      <c r="VBF202" s="36"/>
      <c r="VBG202" s="36"/>
      <c r="VBH202" s="36"/>
      <c r="VBI202" s="36"/>
      <c r="VBJ202" s="36"/>
      <c r="VBK202" s="36"/>
      <c r="VBL202" s="36"/>
      <c r="VBM202" s="36"/>
      <c r="VBN202" s="36"/>
      <c r="VBO202" s="36"/>
      <c r="VBP202" s="36"/>
      <c r="VBQ202" s="36"/>
      <c r="VBR202" s="36"/>
      <c r="VBS202" s="36"/>
      <c r="VBT202" s="36"/>
      <c r="VBU202" s="36"/>
      <c r="VBV202" s="36"/>
      <c r="VBW202" s="36"/>
      <c r="VBX202" s="36"/>
      <c r="VBY202" s="36"/>
      <c r="VBZ202" s="36"/>
      <c r="VCA202" s="36"/>
      <c r="VCB202" s="36"/>
      <c r="VCC202" s="36"/>
      <c r="VCD202" s="36"/>
      <c r="VCE202" s="36"/>
      <c r="VCF202" s="36"/>
      <c r="VCG202" s="36"/>
      <c r="VCH202" s="36"/>
      <c r="VCI202" s="36"/>
      <c r="VCJ202" s="36"/>
      <c r="VCK202" s="36"/>
      <c r="VCL202" s="36"/>
      <c r="VCM202" s="36"/>
      <c r="VCN202" s="36"/>
      <c r="VCO202" s="36"/>
      <c r="VCP202" s="36"/>
      <c r="VCQ202" s="36"/>
      <c r="VCR202" s="36"/>
      <c r="VCS202" s="36"/>
      <c r="VCT202" s="36"/>
      <c r="VCU202" s="36"/>
      <c r="VCV202" s="36"/>
      <c r="VCW202" s="36"/>
      <c r="VCX202" s="36"/>
      <c r="VCY202" s="36"/>
      <c r="VCZ202" s="36"/>
      <c r="VDA202" s="36"/>
      <c r="VDB202" s="36"/>
      <c r="VDC202" s="36"/>
      <c r="VDD202" s="36"/>
      <c r="VDE202" s="36"/>
      <c r="VDF202" s="36"/>
      <c r="VDG202" s="36"/>
      <c r="VDH202" s="36"/>
      <c r="VDI202" s="36"/>
      <c r="VDJ202" s="36"/>
      <c r="VDK202" s="36"/>
      <c r="VDL202" s="36"/>
      <c r="VDM202" s="36"/>
      <c r="VDN202" s="36"/>
      <c r="VDO202" s="36"/>
      <c r="VDP202" s="36"/>
      <c r="VDQ202" s="36"/>
      <c r="VDR202" s="36"/>
      <c r="VDS202" s="36"/>
      <c r="VDT202" s="36"/>
      <c r="VDU202" s="36"/>
      <c r="VDV202" s="36"/>
      <c r="VDW202" s="36"/>
      <c r="VDX202" s="36"/>
      <c r="VDY202" s="36"/>
      <c r="VDZ202" s="36"/>
      <c r="VEA202" s="36"/>
      <c r="VEB202" s="36"/>
      <c r="VEC202" s="36"/>
      <c r="VED202" s="36"/>
      <c r="VEE202" s="36"/>
      <c r="VEF202" s="36"/>
      <c r="VEG202" s="36"/>
      <c r="VEH202" s="36"/>
      <c r="VEI202" s="36"/>
      <c r="VEJ202" s="36"/>
      <c r="VEK202" s="36"/>
      <c r="VEL202" s="36"/>
      <c r="VEM202" s="36"/>
      <c r="VEN202" s="36"/>
      <c r="VEO202" s="36"/>
      <c r="VEP202" s="36"/>
      <c r="VEQ202" s="36"/>
      <c r="VER202" s="36"/>
      <c r="VES202" s="36"/>
      <c r="VET202" s="36"/>
      <c r="VEU202" s="36"/>
      <c r="VEV202" s="36"/>
      <c r="VEW202" s="36"/>
      <c r="VEX202" s="36"/>
      <c r="VEY202" s="36"/>
      <c r="VEZ202" s="36"/>
      <c r="VFA202" s="36"/>
      <c r="VFB202" s="36"/>
      <c r="VFC202" s="36"/>
      <c r="VFD202" s="36"/>
      <c r="VFE202" s="36"/>
      <c r="VFF202" s="36"/>
      <c r="VFG202" s="36"/>
      <c r="VFH202" s="36"/>
      <c r="VFI202" s="36"/>
      <c r="VFJ202" s="36"/>
      <c r="VFK202" s="36"/>
      <c r="VFL202" s="36"/>
      <c r="VFM202" s="36"/>
      <c r="VFN202" s="36"/>
      <c r="VFO202" s="36"/>
      <c r="VFP202" s="36"/>
      <c r="VFQ202" s="36"/>
      <c r="VFR202" s="36"/>
      <c r="VFS202" s="36"/>
      <c r="VFT202" s="36"/>
      <c r="VFU202" s="36"/>
      <c r="VFV202" s="36"/>
      <c r="VFW202" s="36"/>
      <c r="VFX202" s="36"/>
      <c r="VFY202" s="36"/>
      <c r="VFZ202" s="36"/>
      <c r="VGA202" s="36"/>
      <c r="VGB202" s="36"/>
      <c r="VGC202" s="36"/>
      <c r="VGD202" s="36"/>
      <c r="VGE202" s="36"/>
      <c r="VGF202" s="36"/>
      <c r="VGG202" s="36"/>
      <c r="VGH202" s="36"/>
      <c r="VGI202" s="36"/>
      <c r="VGJ202" s="36"/>
      <c r="VGK202" s="36"/>
      <c r="VGL202" s="36"/>
      <c r="VGM202" s="36"/>
      <c r="VGN202" s="36"/>
      <c r="VGO202" s="36"/>
      <c r="VGP202" s="36"/>
      <c r="VGQ202" s="36"/>
      <c r="VGR202" s="36"/>
      <c r="VGS202" s="36"/>
      <c r="VGT202" s="36"/>
      <c r="VGU202" s="36"/>
      <c r="VGV202" s="36"/>
      <c r="VGW202" s="36"/>
      <c r="VGX202" s="36"/>
      <c r="VGY202" s="36"/>
      <c r="VGZ202" s="36"/>
      <c r="VHA202" s="36"/>
      <c r="VHB202" s="36"/>
      <c r="VHC202" s="36"/>
      <c r="VHD202" s="36"/>
      <c r="VHE202" s="36"/>
      <c r="VHF202" s="36"/>
      <c r="VHG202" s="36"/>
      <c r="VHH202" s="36"/>
      <c r="VHI202" s="36"/>
      <c r="VHJ202" s="36"/>
      <c r="VHK202" s="36"/>
      <c r="VHL202" s="36"/>
      <c r="VHM202" s="36"/>
      <c r="VHN202" s="36"/>
      <c r="VHO202" s="36"/>
      <c r="VHP202" s="36"/>
      <c r="VHQ202" s="36"/>
      <c r="VHR202" s="36"/>
      <c r="VHS202" s="36"/>
      <c r="VHT202" s="36"/>
      <c r="VHU202" s="36"/>
      <c r="VHV202" s="36"/>
      <c r="VHW202" s="36"/>
      <c r="VHX202" s="36"/>
      <c r="VHY202" s="36"/>
      <c r="VHZ202" s="36"/>
      <c r="VIA202" s="36"/>
      <c r="VIB202" s="36"/>
      <c r="VIC202" s="36"/>
      <c r="VID202" s="36"/>
      <c r="VIE202" s="36"/>
      <c r="VIF202" s="36"/>
      <c r="VIG202" s="36"/>
      <c r="VIH202" s="36"/>
      <c r="VII202" s="36"/>
      <c r="VIJ202" s="36"/>
      <c r="VIK202" s="36"/>
      <c r="VIL202" s="36"/>
      <c r="VIM202" s="36"/>
      <c r="VIN202" s="36"/>
      <c r="VIO202" s="36"/>
      <c r="VIP202" s="36"/>
      <c r="VIQ202" s="36"/>
      <c r="VIR202" s="36"/>
      <c r="VIS202" s="36"/>
      <c r="VIT202" s="36"/>
      <c r="VIU202" s="36"/>
      <c r="VIV202" s="36"/>
      <c r="VIW202" s="36"/>
      <c r="VIX202" s="36"/>
      <c r="VIY202" s="36"/>
      <c r="VIZ202" s="36"/>
      <c r="VJA202" s="36"/>
      <c r="VJB202" s="36"/>
      <c r="VJC202" s="36"/>
      <c r="VJD202" s="36"/>
      <c r="VJE202" s="36"/>
      <c r="VJF202" s="36"/>
      <c r="VJG202" s="36"/>
      <c r="VJH202" s="36"/>
      <c r="VJI202" s="36"/>
      <c r="VJJ202" s="36"/>
      <c r="VJK202" s="36"/>
      <c r="VJL202" s="36"/>
      <c r="VJM202" s="36"/>
      <c r="VJN202" s="36"/>
      <c r="VJO202" s="36"/>
      <c r="VJP202" s="36"/>
      <c r="VJQ202" s="36"/>
      <c r="VJR202" s="36"/>
      <c r="VJS202" s="36"/>
      <c r="VJT202" s="36"/>
      <c r="VJU202" s="36"/>
      <c r="VJV202" s="36"/>
      <c r="VJW202" s="36"/>
      <c r="VJX202" s="36"/>
      <c r="VJY202" s="36"/>
      <c r="VJZ202" s="36"/>
      <c r="VKA202" s="36"/>
      <c r="VKB202" s="36"/>
      <c r="VKC202" s="36"/>
      <c r="VKD202" s="36"/>
      <c r="VKE202" s="36"/>
      <c r="VKF202" s="36"/>
      <c r="VKG202" s="36"/>
      <c r="VKH202" s="36"/>
      <c r="VKI202" s="36"/>
      <c r="VKJ202" s="36"/>
      <c r="VKK202" s="36"/>
      <c r="VKL202" s="36"/>
      <c r="VKM202" s="36"/>
      <c r="VKN202" s="36"/>
      <c r="VKO202" s="36"/>
      <c r="VKP202" s="36"/>
      <c r="VKQ202" s="36"/>
      <c r="VKR202" s="36"/>
      <c r="VKS202" s="36"/>
      <c r="VKT202" s="36"/>
      <c r="VKU202" s="36"/>
      <c r="VKV202" s="36"/>
      <c r="VKW202" s="36"/>
      <c r="VKX202" s="36"/>
      <c r="VKY202" s="36"/>
      <c r="VKZ202" s="36"/>
      <c r="VLA202" s="36"/>
      <c r="VLB202" s="36"/>
      <c r="VLC202" s="36"/>
      <c r="VLD202" s="36"/>
      <c r="VLE202" s="36"/>
      <c r="VLF202" s="36"/>
      <c r="VLG202" s="36"/>
      <c r="VLH202" s="36"/>
      <c r="VLI202" s="36"/>
      <c r="VLJ202" s="36"/>
      <c r="VLK202" s="36"/>
      <c r="VLL202" s="36"/>
      <c r="VLM202" s="36"/>
      <c r="VLN202" s="36"/>
      <c r="VLO202" s="36"/>
      <c r="VLP202" s="36"/>
      <c r="VLQ202" s="36"/>
      <c r="VLR202" s="36"/>
      <c r="VLS202" s="36"/>
      <c r="VLT202" s="36"/>
      <c r="VLU202" s="36"/>
      <c r="VLV202" s="36"/>
      <c r="VLW202" s="36"/>
      <c r="VLX202" s="36"/>
      <c r="VLY202" s="36"/>
      <c r="VLZ202" s="36"/>
      <c r="VMA202" s="36"/>
      <c r="VMB202" s="36"/>
      <c r="VMC202" s="36"/>
      <c r="VMD202" s="36"/>
      <c r="VME202" s="36"/>
      <c r="VMF202" s="36"/>
      <c r="VMG202" s="36"/>
      <c r="VMH202" s="36"/>
      <c r="VMI202" s="36"/>
      <c r="VMJ202" s="36"/>
      <c r="VMK202" s="36"/>
      <c r="VML202" s="36"/>
      <c r="VMM202" s="36"/>
      <c r="VMN202" s="36"/>
      <c r="VMO202" s="36"/>
      <c r="VMP202" s="36"/>
      <c r="VMQ202" s="36"/>
      <c r="VMR202" s="36"/>
      <c r="VMS202" s="36"/>
      <c r="VMT202" s="36"/>
      <c r="VMU202" s="36"/>
      <c r="VMV202" s="36"/>
      <c r="VMW202" s="36"/>
      <c r="VMX202" s="36"/>
      <c r="VMY202" s="36"/>
      <c r="VMZ202" s="36"/>
      <c r="VNA202" s="36"/>
      <c r="VNB202" s="36"/>
      <c r="VNC202" s="36"/>
      <c r="VND202" s="36"/>
      <c r="VNE202" s="36"/>
      <c r="VNF202" s="36"/>
      <c r="VNG202" s="36"/>
      <c r="VNH202" s="36"/>
      <c r="VNI202" s="36"/>
      <c r="VNJ202" s="36"/>
      <c r="VNK202" s="36"/>
      <c r="VNL202" s="36"/>
      <c r="VNM202" s="36"/>
      <c r="VNN202" s="36"/>
      <c r="VNO202" s="36"/>
      <c r="VNP202" s="36"/>
      <c r="VNQ202" s="36"/>
      <c r="VNR202" s="36"/>
      <c r="VNS202" s="36"/>
      <c r="VNT202" s="36"/>
      <c r="VNU202" s="36"/>
      <c r="VNV202" s="36"/>
      <c r="VNW202" s="36"/>
      <c r="VNX202" s="36"/>
      <c r="VNY202" s="36"/>
      <c r="VNZ202" s="36"/>
      <c r="VOA202" s="36"/>
      <c r="VOB202" s="36"/>
      <c r="VOC202" s="36"/>
      <c r="VOD202" s="36"/>
      <c r="VOE202" s="36"/>
      <c r="VOF202" s="36"/>
      <c r="VOG202" s="36"/>
      <c r="VOH202" s="36"/>
      <c r="VOI202" s="36"/>
      <c r="VOJ202" s="36"/>
      <c r="VOK202" s="36"/>
      <c r="VOL202" s="36"/>
      <c r="VOM202" s="36"/>
      <c r="VON202" s="36"/>
      <c r="VOO202" s="36"/>
      <c r="VOP202" s="36"/>
      <c r="VOQ202" s="36"/>
      <c r="VOR202" s="36"/>
      <c r="VOS202" s="36"/>
      <c r="VOT202" s="36"/>
      <c r="VOU202" s="36"/>
      <c r="VOV202" s="36"/>
      <c r="VOW202" s="36"/>
      <c r="VOX202" s="36"/>
      <c r="VOY202" s="36"/>
      <c r="VOZ202" s="36"/>
      <c r="VPA202" s="36"/>
      <c r="VPB202" s="36"/>
      <c r="VPC202" s="36"/>
      <c r="VPD202" s="36"/>
      <c r="VPE202" s="36"/>
      <c r="VPF202" s="36"/>
      <c r="VPG202" s="36"/>
      <c r="VPH202" s="36"/>
      <c r="VPI202" s="36"/>
      <c r="VPJ202" s="36"/>
      <c r="VPK202" s="36"/>
      <c r="VPL202" s="36"/>
      <c r="VPM202" s="36"/>
      <c r="VPN202" s="36"/>
      <c r="VPO202" s="36"/>
      <c r="VPP202" s="36"/>
      <c r="VPQ202" s="36"/>
      <c r="VPR202" s="36"/>
      <c r="VPS202" s="36"/>
      <c r="VPT202" s="36"/>
      <c r="VPU202" s="36"/>
      <c r="VPV202" s="36"/>
      <c r="VPW202" s="36"/>
      <c r="VPX202" s="36"/>
      <c r="VPY202" s="36"/>
      <c r="VPZ202" s="36"/>
      <c r="VQA202" s="36"/>
      <c r="VQB202" s="36"/>
      <c r="VQC202" s="36"/>
      <c r="VQD202" s="36"/>
      <c r="VQE202" s="36"/>
      <c r="VQF202" s="36"/>
      <c r="VQG202" s="36"/>
      <c r="VQH202" s="36"/>
      <c r="VQI202" s="36"/>
      <c r="VQJ202" s="36"/>
      <c r="VQK202" s="36"/>
      <c r="VQL202" s="36"/>
      <c r="VQM202" s="36"/>
      <c r="VQN202" s="36"/>
      <c r="VQO202" s="36"/>
      <c r="VQP202" s="36"/>
      <c r="VQQ202" s="36"/>
      <c r="VQR202" s="36"/>
      <c r="VQS202" s="36"/>
      <c r="VQT202" s="36"/>
      <c r="VQU202" s="36"/>
      <c r="VQV202" s="36"/>
      <c r="VQW202" s="36"/>
      <c r="VQX202" s="36"/>
      <c r="VQY202" s="36"/>
      <c r="VQZ202" s="36"/>
      <c r="VRA202" s="36"/>
      <c r="VRB202" s="36"/>
      <c r="VRC202" s="36"/>
      <c r="VRD202" s="36"/>
      <c r="VRE202" s="36"/>
      <c r="VRF202" s="36"/>
      <c r="VRG202" s="36"/>
      <c r="VRH202" s="36"/>
      <c r="VRI202" s="36"/>
      <c r="VRJ202" s="36"/>
      <c r="VRK202" s="36"/>
      <c r="VRL202" s="36"/>
      <c r="VRM202" s="36"/>
      <c r="VRN202" s="36"/>
      <c r="VRO202" s="36"/>
      <c r="VRP202" s="36"/>
      <c r="VRQ202" s="36"/>
      <c r="VRR202" s="36"/>
      <c r="VRS202" s="36"/>
      <c r="VRT202" s="36"/>
      <c r="VRU202" s="36"/>
      <c r="VRV202" s="36"/>
      <c r="VRW202" s="36"/>
      <c r="VRX202" s="36"/>
      <c r="VRY202" s="36"/>
      <c r="VRZ202" s="36"/>
      <c r="VSA202" s="36"/>
      <c r="VSB202" s="36"/>
      <c r="VSC202" s="36"/>
      <c r="VSD202" s="36"/>
      <c r="VSE202" s="36"/>
      <c r="VSF202" s="36"/>
      <c r="VSG202" s="36"/>
      <c r="VSH202" s="36"/>
      <c r="VSI202" s="36"/>
      <c r="VSJ202" s="36"/>
      <c r="VSK202" s="36"/>
      <c r="VSL202" s="36"/>
      <c r="VSM202" s="36"/>
      <c r="VSN202" s="36"/>
      <c r="VSO202" s="36"/>
      <c r="VSP202" s="36"/>
      <c r="VSQ202" s="36"/>
      <c r="VSR202" s="36"/>
      <c r="VSS202" s="36"/>
      <c r="VST202" s="36"/>
      <c r="VSU202" s="36"/>
      <c r="VSV202" s="36"/>
      <c r="VSW202" s="36"/>
      <c r="VSX202" s="36"/>
      <c r="VSY202" s="36"/>
      <c r="VSZ202" s="36"/>
      <c r="VTA202" s="36"/>
      <c r="VTB202" s="36"/>
      <c r="VTC202" s="36"/>
      <c r="VTD202" s="36"/>
      <c r="VTE202" s="36"/>
      <c r="VTF202" s="36"/>
      <c r="VTG202" s="36"/>
      <c r="VTH202" s="36"/>
      <c r="VTI202" s="36"/>
      <c r="VTJ202" s="36"/>
      <c r="VTK202" s="36"/>
      <c r="VTL202" s="36"/>
      <c r="VTM202" s="36"/>
      <c r="VTN202" s="36"/>
      <c r="VTO202" s="36"/>
      <c r="VTP202" s="36"/>
      <c r="VTQ202" s="36"/>
      <c r="VTR202" s="36"/>
      <c r="VTS202" s="36"/>
      <c r="VTT202" s="36"/>
      <c r="VTU202" s="36"/>
      <c r="VTV202" s="36"/>
      <c r="VTW202" s="36"/>
      <c r="VTX202" s="36"/>
      <c r="VTY202" s="36"/>
      <c r="VTZ202" s="36"/>
      <c r="VUA202" s="36"/>
      <c r="VUB202" s="36"/>
      <c r="VUC202" s="36"/>
      <c r="VUD202" s="36"/>
      <c r="VUE202" s="36"/>
      <c r="VUF202" s="36"/>
      <c r="VUG202" s="36"/>
      <c r="VUH202" s="36"/>
      <c r="VUI202" s="36"/>
      <c r="VUJ202" s="36"/>
      <c r="VUK202" s="36"/>
      <c r="VUL202" s="36"/>
      <c r="VUM202" s="36"/>
      <c r="VUN202" s="36"/>
      <c r="VUO202" s="36"/>
      <c r="VUP202" s="36"/>
      <c r="VUQ202" s="36"/>
      <c r="VUR202" s="36"/>
      <c r="VUS202" s="36"/>
      <c r="VUT202" s="36"/>
      <c r="VUU202" s="36"/>
      <c r="VUV202" s="36"/>
      <c r="VUW202" s="36"/>
      <c r="VUX202" s="36"/>
      <c r="VUY202" s="36"/>
      <c r="VUZ202" s="36"/>
      <c r="VVA202" s="36"/>
      <c r="VVB202" s="36"/>
      <c r="VVC202" s="36"/>
      <c r="VVD202" s="36"/>
      <c r="VVE202" s="36"/>
      <c r="VVF202" s="36"/>
      <c r="VVG202" s="36"/>
      <c r="VVH202" s="36"/>
      <c r="VVI202" s="36"/>
      <c r="VVJ202" s="36"/>
      <c r="VVK202" s="36"/>
      <c r="VVL202" s="36"/>
      <c r="VVM202" s="36"/>
      <c r="VVN202" s="36"/>
      <c r="VVO202" s="36"/>
      <c r="VVP202" s="36"/>
      <c r="VVQ202" s="36"/>
      <c r="VVR202" s="36"/>
      <c r="VVS202" s="36"/>
      <c r="VVT202" s="36"/>
      <c r="VVU202" s="36"/>
      <c r="VVV202" s="36"/>
      <c r="VVW202" s="36"/>
      <c r="VVX202" s="36"/>
      <c r="VVY202" s="36"/>
      <c r="VVZ202" s="36"/>
      <c r="VWA202" s="36"/>
      <c r="VWB202" s="36"/>
      <c r="VWC202" s="36"/>
      <c r="VWD202" s="36"/>
      <c r="VWE202" s="36"/>
      <c r="VWF202" s="36"/>
      <c r="VWG202" s="36"/>
      <c r="VWH202" s="36"/>
      <c r="VWI202" s="36"/>
      <c r="VWJ202" s="36"/>
      <c r="VWK202" s="36"/>
      <c r="VWL202" s="36"/>
      <c r="VWM202" s="36"/>
      <c r="VWN202" s="36"/>
      <c r="VWO202" s="36"/>
      <c r="VWP202" s="36"/>
      <c r="VWQ202" s="36"/>
      <c r="VWR202" s="36"/>
      <c r="VWS202" s="36"/>
      <c r="VWT202" s="36"/>
      <c r="VWU202" s="36"/>
      <c r="VWV202" s="36"/>
      <c r="VWW202" s="36"/>
      <c r="VWX202" s="36"/>
      <c r="VWY202" s="36"/>
      <c r="VWZ202" s="36"/>
      <c r="VXA202" s="36"/>
      <c r="VXB202" s="36"/>
      <c r="VXC202" s="36"/>
      <c r="VXD202" s="36"/>
      <c r="VXE202" s="36"/>
      <c r="VXF202" s="36"/>
      <c r="VXG202" s="36"/>
      <c r="VXH202" s="36"/>
      <c r="VXI202" s="36"/>
      <c r="VXJ202" s="36"/>
      <c r="VXK202" s="36"/>
      <c r="VXL202" s="36"/>
      <c r="VXM202" s="36"/>
      <c r="VXN202" s="36"/>
      <c r="VXO202" s="36"/>
      <c r="VXP202" s="36"/>
      <c r="VXQ202" s="36"/>
      <c r="VXR202" s="36"/>
      <c r="VXS202" s="36"/>
      <c r="VXT202" s="36"/>
      <c r="VXU202" s="36"/>
      <c r="VXV202" s="36"/>
      <c r="VXW202" s="36"/>
      <c r="VXX202" s="36"/>
      <c r="VXY202" s="36"/>
      <c r="VXZ202" s="36"/>
      <c r="VYA202" s="36"/>
      <c r="VYB202" s="36"/>
      <c r="VYC202" s="36"/>
      <c r="VYD202" s="36"/>
      <c r="VYE202" s="36"/>
      <c r="VYF202" s="36"/>
      <c r="VYG202" s="36"/>
      <c r="VYH202" s="36"/>
      <c r="VYI202" s="36"/>
      <c r="VYJ202" s="36"/>
      <c r="VYK202" s="36"/>
      <c r="VYL202" s="36"/>
      <c r="VYM202" s="36"/>
      <c r="VYN202" s="36"/>
      <c r="VYO202" s="36"/>
      <c r="VYP202" s="36"/>
      <c r="VYQ202" s="36"/>
      <c r="VYR202" s="36"/>
      <c r="VYS202" s="36"/>
      <c r="VYT202" s="36"/>
      <c r="VYU202" s="36"/>
      <c r="VYV202" s="36"/>
      <c r="VYW202" s="36"/>
      <c r="VYX202" s="36"/>
      <c r="VYY202" s="36"/>
      <c r="VYZ202" s="36"/>
      <c r="VZA202" s="36"/>
      <c r="VZB202" s="36"/>
      <c r="VZC202" s="36"/>
      <c r="VZD202" s="36"/>
      <c r="VZE202" s="36"/>
      <c r="VZF202" s="36"/>
      <c r="VZG202" s="36"/>
      <c r="VZH202" s="36"/>
      <c r="VZI202" s="36"/>
      <c r="VZJ202" s="36"/>
      <c r="VZK202" s="36"/>
      <c r="VZL202" s="36"/>
      <c r="VZM202" s="36"/>
      <c r="VZN202" s="36"/>
      <c r="VZO202" s="36"/>
      <c r="VZP202" s="36"/>
      <c r="VZQ202" s="36"/>
      <c r="VZR202" s="36"/>
      <c r="VZS202" s="36"/>
      <c r="VZT202" s="36"/>
      <c r="VZU202" s="36"/>
      <c r="VZV202" s="36"/>
      <c r="VZW202" s="36"/>
      <c r="VZX202" s="36"/>
      <c r="VZY202" s="36"/>
      <c r="VZZ202" s="36"/>
      <c r="WAA202" s="36"/>
      <c r="WAB202" s="36"/>
      <c r="WAC202" s="36"/>
      <c r="WAD202" s="36"/>
      <c r="WAE202" s="36"/>
      <c r="WAF202" s="36"/>
      <c r="WAG202" s="36"/>
      <c r="WAH202" s="36"/>
      <c r="WAI202" s="36"/>
      <c r="WAJ202" s="36"/>
      <c r="WAK202" s="36"/>
      <c r="WAL202" s="36"/>
      <c r="WAM202" s="36"/>
      <c r="WAN202" s="36"/>
      <c r="WAO202" s="36"/>
      <c r="WAP202" s="36"/>
      <c r="WAQ202" s="36"/>
      <c r="WAR202" s="36"/>
      <c r="WAS202" s="36"/>
      <c r="WAT202" s="36"/>
      <c r="WAU202" s="36"/>
      <c r="WAV202" s="36"/>
      <c r="WAW202" s="36"/>
      <c r="WAX202" s="36"/>
      <c r="WAY202" s="36"/>
      <c r="WAZ202" s="36"/>
      <c r="WBA202" s="36"/>
      <c r="WBB202" s="36"/>
      <c r="WBC202" s="36"/>
      <c r="WBD202" s="36"/>
      <c r="WBE202" s="36"/>
      <c r="WBF202" s="36"/>
      <c r="WBG202" s="36"/>
      <c r="WBH202" s="36"/>
      <c r="WBI202" s="36"/>
      <c r="WBJ202" s="36"/>
      <c r="WBK202" s="36"/>
      <c r="WBL202" s="36"/>
      <c r="WBM202" s="36"/>
      <c r="WBN202" s="36"/>
      <c r="WBO202" s="36"/>
      <c r="WBP202" s="36"/>
      <c r="WBQ202" s="36"/>
      <c r="WBR202" s="36"/>
      <c r="WBS202" s="36"/>
      <c r="WBT202" s="36"/>
      <c r="WBU202" s="36"/>
      <c r="WBV202" s="36"/>
      <c r="WBW202" s="36"/>
      <c r="WBX202" s="36"/>
      <c r="WBY202" s="36"/>
      <c r="WBZ202" s="36"/>
      <c r="WCA202" s="36"/>
      <c r="WCB202" s="36"/>
      <c r="WCC202" s="36"/>
      <c r="WCD202" s="36"/>
      <c r="WCE202" s="36"/>
      <c r="WCF202" s="36"/>
      <c r="WCG202" s="36"/>
      <c r="WCH202" s="36"/>
      <c r="WCI202" s="36"/>
      <c r="WCJ202" s="36"/>
      <c r="WCK202" s="36"/>
      <c r="WCL202" s="36"/>
      <c r="WCM202" s="36"/>
      <c r="WCN202" s="36"/>
      <c r="WCO202" s="36"/>
      <c r="WCP202" s="36"/>
      <c r="WCQ202" s="36"/>
      <c r="WCR202" s="36"/>
      <c r="WCS202" s="36"/>
      <c r="WCT202" s="36"/>
      <c r="WCU202" s="36"/>
      <c r="WCV202" s="36"/>
      <c r="WCW202" s="36"/>
      <c r="WCX202" s="36"/>
      <c r="WCY202" s="36"/>
      <c r="WCZ202" s="36"/>
      <c r="WDA202" s="36"/>
      <c r="WDB202" s="36"/>
      <c r="WDC202" s="36"/>
      <c r="WDD202" s="36"/>
      <c r="WDE202" s="36"/>
      <c r="WDF202" s="36"/>
      <c r="WDG202" s="36"/>
      <c r="WDH202" s="36"/>
      <c r="WDI202" s="36"/>
      <c r="WDJ202" s="36"/>
      <c r="WDK202" s="36"/>
      <c r="WDL202" s="36"/>
      <c r="WDM202" s="36"/>
      <c r="WDN202" s="36"/>
      <c r="WDO202" s="36"/>
      <c r="WDP202" s="36"/>
      <c r="WDQ202" s="36"/>
      <c r="WDR202" s="36"/>
      <c r="WDS202" s="36"/>
      <c r="WDT202" s="36"/>
      <c r="WDU202" s="36"/>
      <c r="WDV202" s="36"/>
      <c r="WDW202" s="36"/>
      <c r="WDX202" s="36"/>
      <c r="WDY202" s="36"/>
      <c r="WDZ202" s="36"/>
      <c r="WEA202" s="36"/>
      <c r="WEB202" s="36"/>
      <c r="WEC202" s="36"/>
      <c r="WED202" s="36"/>
      <c r="WEE202" s="36"/>
      <c r="WEF202" s="36"/>
      <c r="WEG202" s="36"/>
      <c r="WEH202" s="36"/>
      <c r="WEI202" s="36"/>
      <c r="WEJ202" s="36"/>
      <c r="WEK202" s="36"/>
      <c r="WEL202" s="36"/>
      <c r="WEM202" s="36"/>
      <c r="WEN202" s="36"/>
      <c r="WEO202" s="36"/>
      <c r="WEP202" s="36"/>
      <c r="WEQ202" s="36"/>
      <c r="WER202" s="36"/>
      <c r="WES202" s="36"/>
      <c r="WET202" s="36"/>
      <c r="WEU202" s="36"/>
      <c r="WEV202" s="36"/>
      <c r="WEW202" s="36"/>
      <c r="WEX202" s="36"/>
      <c r="WEY202" s="36"/>
      <c r="WEZ202" s="36"/>
      <c r="WFA202" s="36"/>
      <c r="WFB202" s="36"/>
      <c r="WFC202" s="36"/>
      <c r="WFD202" s="36"/>
      <c r="WFE202" s="36"/>
      <c r="WFF202" s="36"/>
      <c r="WFG202" s="36"/>
      <c r="WFH202" s="36"/>
      <c r="WFI202" s="36"/>
      <c r="WFJ202" s="36"/>
      <c r="WFK202" s="36"/>
      <c r="WFL202" s="36"/>
      <c r="WFM202" s="36"/>
      <c r="WFN202" s="36"/>
      <c r="WFO202" s="36"/>
      <c r="WFP202" s="36"/>
      <c r="WFQ202" s="36"/>
      <c r="WFR202" s="36"/>
      <c r="WFS202" s="36"/>
      <c r="WFT202" s="36"/>
      <c r="WFU202" s="36"/>
      <c r="WFV202" s="36"/>
      <c r="WFW202" s="36"/>
      <c r="WFX202" s="36"/>
      <c r="WFY202" s="36"/>
      <c r="WFZ202" s="36"/>
      <c r="WGA202" s="36"/>
      <c r="WGB202" s="36"/>
      <c r="WGC202" s="36"/>
      <c r="WGD202" s="36"/>
      <c r="WGE202" s="36"/>
      <c r="WGF202" s="36"/>
      <c r="WGG202" s="36"/>
      <c r="WGH202" s="36"/>
      <c r="WGI202" s="36"/>
      <c r="WGJ202" s="36"/>
      <c r="WGK202" s="36"/>
      <c r="WGL202" s="36"/>
      <c r="WGM202" s="36"/>
      <c r="WGN202" s="36"/>
      <c r="WGO202" s="36"/>
      <c r="WGP202" s="36"/>
      <c r="WGQ202" s="36"/>
      <c r="WGR202" s="36"/>
      <c r="WGS202" s="36"/>
      <c r="WGT202" s="36"/>
      <c r="WGU202" s="36"/>
      <c r="WGV202" s="36"/>
      <c r="WGW202" s="36"/>
      <c r="WGX202" s="36"/>
      <c r="WGY202" s="36"/>
      <c r="WGZ202" s="36"/>
      <c r="WHA202" s="36"/>
      <c r="WHB202" s="36"/>
      <c r="WHC202" s="36"/>
      <c r="WHD202" s="36"/>
      <c r="WHE202" s="36"/>
      <c r="WHF202" s="36"/>
      <c r="WHG202" s="36"/>
      <c r="WHH202" s="36"/>
      <c r="WHI202" s="36"/>
      <c r="WHJ202" s="36"/>
      <c r="WHK202" s="36"/>
      <c r="WHL202" s="36"/>
      <c r="WHM202" s="36"/>
      <c r="WHN202" s="36"/>
      <c r="WHO202" s="36"/>
      <c r="WHP202" s="36"/>
      <c r="WHQ202" s="36"/>
      <c r="WHR202" s="36"/>
      <c r="WHS202" s="36"/>
      <c r="WHT202" s="36"/>
      <c r="WHU202" s="36"/>
      <c r="WHV202" s="36"/>
      <c r="WHW202" s="36"/>
      <c r="WHX202" s="36"/>
      <c r="WHY202" s="36"/>
      <c r="WHZ202" s="36"/>
      <c r="WIA202" s="36"/>
      <c r="WIB202" s="36"/>
      <c r="WIC202" s="36"/>
      <c r="WID202" s="36"/>
      <c r="WIE202" s="36"/>
      <c r="WIF202" s="36"/>
      <c r="WIG202" s="36"/>
      <c r="WIH202" s="36"/>
      <c r="WII202" s="36"/>
      <c r="WIJ202" s="36"/>
      <c r="WIK202" s="36"/>
      <c r="WIL202" s="36"/>
      <c r="WIM202" s="36"/>
      <c r="WIN202" s="36"/>
      <c r="WIO202" s="36"/>
      <c r="WIP202" s="36"/>
      <c r="WIQ202" s="36"/>
      <c r="WIR202" s="36"/>
      <c r="WIS202" s="36"/>
      <c r="WIT202" s="36"/>
      <c r="WIU202" s="36"/>
      <c r="WIV202" s="36"/>
      <c r="WIW202" s="36"/>
      <c r="WIX202" s="36"/>
      <c r="WIY202" s="36"/>
      <c r="WIZ202" s="36"/>
      <c r="WJA202" s="36"/>
      <c r="WJB202" s="36"/>
      <c r="WJC202" s="36"/>
      <c r="WJD202" s="36"/>
      <c r="WJE202" s="36"/>
      <c r="WJF202" s="36"/>
      <c r="WJG202" s="36"/>
      <c r="WJH202" s="36"/>
      <c r="WJI202" s="36"/>
      <c r="WJJ202" s="36"/>
      <c r="WJK202" s="36"/>
      <c r="WJL202" s="36"/>
      <c r="WJM202" s="36"/>
      <c r="WJN202" s="36"/>
      <c r="WJO202" s="36"/>
      <c r="WJP202" s="36"/>
      <c r="WJQ202" s="36"/>
      <c r="WJR202" s="36"/>
      <c r="WJS202" s="36"/>
      <c r="WJT202" s="36"/>
      <c r="WJU202" s="36"/>
      <c r="WJV202" s="36"/>
      <c r="WJW202" s="36"/>
      <c r="WJX202" s="36"/>
      <c r="WJY202" s="36"/>
      <c r="WJZ202" s="36"/>
      <c r="WKA202" s="36"/>
      <c r="WKB202" s="36"/>
      <c r="WKC202" s="36"/>
      <c r="WKD202" s="36"/>
      <c r="WKE202" s="36"/>
      <c r="WKF202" s="36"/>
      <c r="WKG202" s="36"/>
      <c r="WKH202" s="36"/>
      <c r="WKI202" s="36"/>
      <c r="WKJ202" s="36"/>
      <c r="WKK202" s="36"/>
      <c r="WKL202" s="36"/>
      <c r="WKM202" s="36"/>
      <c r="WKN202" s="36"/>
      <c r="WKO202" s="36"/>
      <c r="WKP202" s="36"/>
      <c r="WKQ202" s="36"/>
      <c r="WKR202" s="36"/>
      <c r="WKS202" s="36"/>
      <c r="WKT202" s="36"/>
      <c r="WKU202" s="36"/>
      <c r="WKV202" s="36"/>
      <c r="WKW202" s="36"/>
      <c r="WKX202" s="36"/>
      <c r="WKY202" s="36"/>
      <c r="WKZ202" s="36"/>
      <c r="WLA202" s="36"/>
      <c r="WLB202" s="36"/>
      <c r="WLC202" s="36"/>
      <c r="WLD202" s="36"/>
      <c r="WLE202" s="36"/>
      <c r="WLF202" s="36"/>
      <c r="WLG202" s="36"/>
      <c r="WLH202" s="36"/>
      <c r="WLI202" s="36"/>
      <c r="WLJ202" s="36"/>
      <c r="WLK202" s="36"/>
      <c r="WLL202" s="36"/>
      <c r="WLM202" s="36"/>
      <c r="WLN202" s="36"/>
      <c r="WLO202" s="36"/>
      <c r="WLP202" s="36"/>
      <c r="WLQ202" s="36"/>
      <c r="WLR202" s="36"/>
      <c r="WLS202" s="36"/>
      <c r="WLT202" s="36"/>
      <c r="WLU202" s="36"/>
      <c r="WLV202" s="36"/>
      <c r="WLW202" s="36"/>
      <c r="WLX202" s="36"/>
      <c r="WLY202" s="36"/>
      <c r="WLZ202" s="36"/>
      <c r="WMA202" s="36"/>
      <c r="WMB202" s="36"/>
      <c r="WMC202" s="36"/>
      <c r="WMD202" s="36"/>
      <c r="WME202" s="36"/>
      <c r="WMF202" s="36"/>
      <c r="WMG202" s="36"/>
      <c r="WMH202" s="36"/>
      <c r="WMI202" s="36"/>
      <c r="WMJ202" s="36"/>
      <c r="WMK202" s="36"/>
      <c r="WML202" s="36"/>
      <c r="WMM202" s="36"/>
      <c r="WMN202" s="36"/>
      <c r="WMO202" s="36"/>
      <c r="WMP202" s="36"/>
      <c r="WMQ202" s="36"/>
      <c r="WMR202" s="36"/>
      <c r="WMS202" s="36"/>
      <c r="WMT202" s="36"/>
      <c r="WMU202" s="36"/>
      <c r="WMV202" s="36"/>
      <c r="WMW202" s="36"/>
      <c r="WMX202" s="36"/>
      <c r="WMY202" s="36"/>
      <c r="WMZ202" s="36"/>
      <c r="WNA202" s="36"/>
      <c r="WNB202" s="36"/>
      <c r="WNC202" s="36"/>
      <c r="WND202" s="36"/>
      <c r="WNE202" s="36"/>
      <c r="WNF202" s="36"/>
      <c r="WNG202" s="36"/>
      <c r="WNH202" s="36"/>
      <c r="WNI202" s="36"/>
      <c r="WNJ202" s="36"/>
      <c r="WNK202" s="36"/>
      <c r="WNL202" s="36"/>
      <c r="WNM202" s="36"/>
      <c r="WNN202" s="36"/>
      <c r="WNO202" s="36"/>
      <c r="WNP202" s="36"/>
      <c r="WNQ202" s="36"/>
      <c r="WNR202" s="36"/>
      <c r="WNS202" s="36"/>
      <c r="WNT202" s="36"/>
      <c r="WNU202" s="36"/>
      <c r="WNV202" s="36"/>
      <c r="WNW202" s="36"/>
      <c r="WNX202" s="36"/>
      <c r="WNY202" s="36"/>
      <c r="WNZ202" s="36"/>
      <c r="WOA202" s="36"/>
      <c r="WOB202" s="36"/>
      <c r="WOC202" s="36"/>
      <c r="WOD202" s="36"/>
      <c r="WOE202" s="36"/>
      <c r="WOF202" s="36"/>
      <c r="WOG202" s="36"/>
      <c r="WOH202" s="36"/>
      <c r="WOI202" s="36"/>
      <c r="WOJ202" s="36"/>
      <c r="WOK202" s="36"/>
      <c r="WOL202" s="36"/>
      <c r="WOM202" s="36"/>
      <c r="WON202" s="36"/>
      <c r="WOO202" s="36"/>
      <c r="WOP202" s="36"/>
      <c r="WOQ202" s="36"/>
      <c r="WOR202" s="36"/>
      <c r="WOS202" s="36"/>
      <c r="WOT202" s="36"/>
      <c r="WOU202" s="36"/>
      <c r="WOV202" s="36"/>
      <c r="WOW202" s="36"/>
      <c r="WOX202" s="36"/>
      <c r="WOY202" s="36"/>
      <c r="WOZ202" s="36"/>
      <c r="WPA202" s="36"/>
      <c r="WPB202" s="36"/>
      <c r="WPC202" s="36"/>
      <c r="WPD202" s="36"/>
      <c r="WPE202" s="36"/>
      <c r="WPF202" s="36"/>
      <c r="WPG202" s="36"/>
      <c r="WPH202" s="36"/>
      <c r="WPI202" s="36"/>
      <c r="WPJ202" s="36"/>
      <c r="WPK202" s="36"/>
      <c r="WPL202" s="36"/>
      <c r="WPM202" s="36"/>
      <c r="WPN202" s="36"/>
      <c r="WPO202" s="36"/>
      <c r="WPP202" s="36"/>
      <c r="WPQ202" s="36"/>
      <c r="WPR202" s="36"/>
      <c r="WPS202" s="36"/>
      <c r="WPT202" s="36"/>
      <c r="WPU202" s="36"/>
      <c r="WPV202" s="36"/>
      <c r="WPW202" s="36"/>
      <c r="WPX202" s="36"/>
      <c r="WPY202" s="36"/>
      <c r="WPZ202" s="36"/>
      <c r="WQA202" s="36"/>
      <c r="WQB202" s="36"/>
      <c r="WQC202" s="36"/>
      <c r="WQD202" s="36"/>
      <c r="WQE202" s="36"/>
      <c r="WQF202" s="36"/>
      <c r="WQG202" s="36"/>
      <c r="WQH202" s="36"/>
      <c r="WQI202" s="36"/>
      <c r="WQJ202" s="36"/>
      <c r="WQK202" s="36"/>
      <c r="WQL202" s="36"/>
      <c r="WQM202" s="36"/>
      <c r="WQN202" s="36"/>
      <c r="WQO202" s="36"/>
      <c r="WQP202" s="36"/>
      <c r="WQQ202" s="36"/>
      <c r="WQR202" s="36"/>
      <c r="WQS202" s="36"/>
      <c r="WQT202" s="36"/>
      <c r="WQU202" s="36"/>
      <c r="WQV202" s="36"/>
      <c r="WQW202" s="36"/>
      <c r="WQX202" s="36"/>
      <c r="WQY202" s="36"/>
      <c r="WQZ202" s="36"/>
      <c r="WRA202" s="36"/>
      <c r="WRB202" s="36"/>
      <c r="WRC202" s="36"/>
      <c r="WRD202" s="36"/>
      <c r="WRE202" s="36"/>
      <c r="WRF202" s="36"/>
      <c r="WRG202" s="36"/>
      <c r="WRH202" s="36"/>
      <c r="WRI202" s="36"/>
      <c r="WRJ202" s="36"/>
      <c r="WRK202" s="36"/>
      <c r="WRL202" s="36"/>
      <c r="WRM202" s="36"/>
      <c r="WRN202" s="36"/>
      <c r="WRO202" s="36"/>
      <c r="WRP202" s="36"/>
      <c r="WRQ202" s="36"/>
      <c r="WRR202" s="36"/>
      <c r="WRS202" s="36"/>
      <c r="WRT202" s="36"/>
      <c r="WRU202" s="36"/>
      <c r="WRV202" s="36"/>
      <c r="WRW202" s="36"/>
      <c r="WRX202" s="36"/>
      <c r="WRY202" s="36"/>
      <c r="WRZ202" s="36"/>
      <c r="WSA202" s="36"/>
      <c r="WSB202" s="36"/>
      <c r="WSC202" s="36"/>
      <c r="WSD202" s="36"/>
      <c r="WSE202" s="36"/>
      <c r="WSF202" s="36"/>
      <c r="WSG202" s="36"/>
      <c r="WSH202" s="36"/>
      <c r="WSI202" s="36"/>
      <c r="WSJ202" s="36"/>
      <c r="WSK202" s="36"/>
      <c r="WSL202" s="36"/>
      <c r="WSM202" s="36"/>
      <c r="WSN202" s="36"/>
      <c r="WSO202" s="36"/>
      <c r="WSP202" s="36"/>
      <c r="WSQ202" s="36"/>
      <c r="WSR202" s="36"/>
      <c r="WSS202" s="36"/>
      <c r="WST202" s="36"/>
      <c r="WSU202" s="36"/>
      <c r="WSV202" s="36"/>
      <c r="WSW202" s="36"/>
      <c r="WSX202" s="36"/>
      <c r="WSY202" s="36"/>
      <c r="WSZ202" s="36"/>
      <c r="WTA202" s="36"/>
      <c r="WTB202" s="36"/>
      <c r="WTC202" s="36"/>
      <c r="WTD202" s="36"/>
      <c r="WTE202" s="36"/>
      <c r="WTF202" s="36"/>
      <c r="WTG202" s="36"/>
      <c r="WTH202" s="36"/>
      <c r="WTI202" s="36"/>
      <c r="WTJ202" s="36"/>
      <c r="WTK202" s="36"/>
      <c r="WTL202" s="36"/>
      <c r="WTM202" s="36"/>
      <c r="WTN202" s="36"/>
      <c r="WTO202" s="36"/>
      <c r="WTP202" s="36"/>
      <c r="WTQ202" s="36"/>
      <c r="WTR202" s="36"/>
      <c r="WTS202" s="36"/>
      <c r="WTT202" s="36"/>
      <c r="WTU202" s="36"/>
      <c r="WTV202" s="36"/>
      <c r="WTW202" s="36"/>
      <c r="WTX202" s="36"/>
      <c r="WTY202" s="36"/>
      <c r="WTZ202" s="36"/>
      <c r="WUA202" s="36"/>
      <c r="WUB202" s="36"/>
      <c r="WUC202" s="36"/>
      <c r="WUD202" s="36"/>
      <c r="WUE202" s="36"/>
      <c r="WUF202" s="36"/>
      <c r="WUG202" s="36"/>
      <c r="WUH202" s="36"/>
      <c r="WUI202" s="36"/>
      <c r="WUJ202" s="36"/>
      <c r="WUK202" s="36"/>
      <c r="WUL202" s="36"/>
      <c r="WUM202" s="36"/>
      <c r="WUN202" s="36"/>
      <c r="WUO202" s="36"/>
      <c r="WUP202" s="36"/>
      <c r="WUQ202" s="36"/>
      <c r="WUR202" s="36"/>
      <c r="WUS202" s="36"/>
      <c r="WUT202" s="36"/>
      <c r="WUU202" s="36"/>
      <c r="WUV202" s="36"/>
      <c r="WUW202" s="36"/>
      <c r="WUX202" s="36"/>
      <c r="WUY202" s="36"/>
      <c r="WUZ202" s="36"/>
      <c r="WVA202" s="36"/>
      <c r="WVB202" s="36"/>
      <c r="WVC202" s="36"/>
      <c r="WVD202" s="36"/>
      <c r="WVE202" s="36"/>
      <c r="WVF202" s="36"/>
      <c r="WVG202" s="36"/>
      <c r="WVH202" s="36"/>
      <c r="WVI202" s="36"/>
      <c r="WVJ202" s="36"/>
      <c r="WVK202" s="36"/>
      <c r="WVL202" s="36"/>
      <c r="WVM202" s="36"/>
      <c r="WVN202" s="36"/>
      <c r="WVO202" s="36"/>
      <c r="WVP202" s="36"/>
      <c r="WVQ202" s="36"/>
      <c r="WVR202" s="36"/>
      <c r="WVS202" s="36"/>
      <c r="WVT202" s="36"/>
      <c r="WVU202" s="36"/>
      <c r="WVV202" s="36"/>
      <c r="WVW202" s="36"/>
      <c r="WVX202" s="36"/>
      <c r="WVY202" s="36"/>
      <c r="WVZ202" s="36"/>
      <c r="WWA202" s="36"/>
      <c r="WWB202" s="36"/>
      <c r="WWC202" s="36"/>
      <c r="WWD202" s="36"/>
      <c r="WWE202" s="36"/>
      <c r="WWF202" s="36"/>
      <c r="WWG202" s="36"/>
      <c r="WWH202" s="36"/>
      <c r="WWI202" s="36"/>
      <c r="WWJ202" s="36"/>
      <c r="WWK202" s="36"/>
      <c r="WWL202" s="36"/>
      <c r="WWM202" s="36"/>
      <c r="WWN202" s="36"/>
      <c r="WWO202" s="36"/>
      <c r="WWP202" s="36"/>
      <c r="WWQ202" s="36"/>
      <c r="WWR202" s="36"/>
      <c r="WWS202" s="36"/>
      <c r="WWT202" s="36"/>
      <c r="WWU202" s="36"/>
      <c r="WWV202" s="36"/>
      <c r="WWW202" s="36"/>
      <c r="WWX202" s="36"/>
      <c r="WWY202" s="36"/>
      <c r="WWZ202" s="36"/>
      <c r="WXA202" s="36"/>
      <c r="WXB202" s="36"/>
      <c r="WXC202" s="36"/>
      <c r="WXD202" s="36"/>
      <c r="WXE202" s="36"/>
      <c r="WXF202" s="36"/>
      <c r="WXG202" s="36"/>
      <c r="WXH202" s="36"/>
      <c r="WXI202" s="36"/>
      <c r="WXJ202" s="36"/>
      <c r="WXK202" s="36"/>
      <c r="WXL202" s="36"/>
      <c r="WXM202" s="36"/>
      <c r="WXN202" s="36"/>
      <c r="WXO202" s="36"/>
      <c r="WXP202" s="36"/>
      <c r="WXQ202" s="36"/>
      <c r="WXR202" s="36"/>
      <c r="WXS202" s="36"/>
      <c r="WXT202" s="36"/>
      <c r="WXU202" s="36"/>
      <c r="WXV202" s="36"/>
      <c r="WXW202" s="36"/>
      <c r="WXX202" s="36"/>
      <c r="WXY202" s="36"/>
      <c r="WXZ202" s="36"/>
      <c r="WYA202" s="36"/>
      <c r="WYB202" s="36"/>
      <c r="WYC202" s="36"/>
      <c r="WYD202" s="36"/>
      <c r="WYE202" s="36"/>
      <c r="WYF202" s="36"/>
      <c r="WYG202" s="36"/>
      <c r="WYH202" s="36"/>
      <c r="WYI202" s="36"/>
      <c r="WYJ202" s="36"/>
      <c r="WYK202" s="36"/>
      <c r="WYL202" s="36"/>
      <c r="WYM202" s="36"/>
      <c r="WYN202" s="36"/>
      <c r="WYO202" s="36"/>
      <c r="WYP202" s="36"/>
      <c r="WYQ202" s="36"/>
      <c r="WYR202" s="36"/>
      <c r="WYS202" s="36"/>
      <c r="WYT202" s="36"/>
      <c r="WYU202" s="36"/>
      <c r="WYV202" s="36"/>
      <c r="WYW202" s="36"/>
      <c r="WYX202" s="36"/>
      <c r="WYY202" s="36"/>
      <c r="WYZ202" s="36"/>
      <c r="WZA202" s="36"/>
      <c r="WZB202" s="36"/>
      <c r="WZC202" s="36"/>
      <c r="WZD202" s="36"/>
      <c r="WZE202" s="36"/>
      <c r="WZF202" s="36"/>
      <c r="WZG202" s="36"/>
      <c r="WZH202" s="36"/>
      <c r="WZI202" s="36"/>
      <c r="WZJ202" s="36"/>
      <c r="WZK202" s="36"/>
      <c r="WZL202" s="36"/>
      <c r="WZM202" s="36"/>
      <c r="WZN202" s="36"/>
      <c r="WZO202" s="36"/>
      <c r="WZP202" s="36"/>
      <c r="WZQ202" s="36"/>
      <c r="WZR202" s="36"/>
      <c r="WZS202" s="36"/>
      <c r="WZT202" s="36"/>
      <c r="WZU202" s="36"/>
      <c r="WZV202" s="36"/>
      <c r="WZW202" s="36"/>
      <c r="WZX202" s="36"/>
      <c r="WZY202" s="36"/>
      <c r="WZZ202" s="36"/>
      <c r="XAA202" s="36"/>
      <c r="XAB202" s="36"/>
      <c r="XAC202" s="36"/>
      <c r="XAD202" s="36"/>
      <c r="XAE202" s="36"/>
      <c r="XAF202" s="36"/>
      <c r="XAG202" s="36"/>
      <c r="XAH202" s="36"/>
      <c r="XAI202" s="36"/>
      <c r="XAJ202" s="36"/>
      <c r="XAK202" s="36"/>
      <c r="XAL202" s="36"/>
      <c r="XAM202" s="36"/>
      <c r="XAN202" s="36"/>
      <c r="XAO202" s="36"/>
      <c r="XAP202" s="36"/>
      <c r="XAQ202" s="36"/>
      <c r="XAR202" s="36"/>
      <c r="XAS202" s="36"/>
      <c r="XAT202" s="36"/>
      <c r="XAU202" s="36"/>
      <c r="XAV202" s="36"/>
      <c r="XAW202" s="36"/>
      <c r="XAX202" s="36"/>
      <c r="XAY202" s="36"/>
      <c r="XAZ202" s="36"/>
      <c r="XBA202" s="36"/>
      <c r="XBB202" s="36"/>
      <c r="XBC202" s="36"/>
      <c r="XBD202" s="36"/>
      <c r="XBE202" s="36"/>
      <c r="XBF202" s="36"/>
      <c r="XBG202" s="36"/>
      <c r="XBH202" s="36"/>
      <c r="XBI202" s="36"/>
      <c r="XBJ202" s="36"/>
      <c r="XBK202" s="36"/>
      <c r="XBL202" s="36"/>
      <c r="XBM202" s="36"/>
      <c r="XBN202" s="36"/>
      <c r="XBO202" s="36"/>
      <c r="XBP202" s="36"/>
      <c r="XBQ202" s="36"/>
      <c r="XBR202" s="36"/>
      <c r="XBS202" s="36"/>
      <c r="XBT202" s="36"/>
      <c r="XBU202" s="36"/>
      <c r="XBV202" s="36"/>
      <c r="XBW202" s="36"/>
      <c r="XBX202" s="36"/>
      <c r="XBY202" s="36"/>
      <c r="XBZ202" s="36"/>
      <c r="XCA202" s="36"/>
      <c r="XCB202" s="36"/>
      <c r="XCC202" s="36"/>
      <c r="XCD202" s="36"/>
      <c r="XCE202" s="36"/>
      <c r="XCF202" s="36"/>
      <c r="XCG202" s="36"/>
      <c r="XCH202" s="36"/>
      <c r="XCI202" s="36"/>
      <c r="XCJ202" s="36"/>
      <c r="XCK202" s="36"/>
      <c r="XCL202" s="36"/>
      <c r="XCM202" s="36"/>
      <c r="XCN202" s="36"/>
      <c r="XCO202" s="36"/>
      <c r="XCP202" s="36"/>
      <c r="XCQ202" s="36"/>
      <c r="XCR202" s="36"/>
      <c r="XCS202" s="36"/>
      <c r="XCT202" s="36"/>
      <c r="XCU202" s="36"/>
      <c r="XCV202" s="36"/>
      <c r="XCW202" s="36"/>
      <c r="XCX202" s="36"/>
      <c r="XCY202" s="36"/>
      <c r="XCZ202" s="36"/>
      <c r="XDA202" s="36"/>
      <c r="XDB202" s="36"/>
      <c r="XDC202" s="36"/>
      <c r="XDD202" s="36"/>
      <c r="XDE202" s="36"/>
      <c r="XDF202" s="36"/>
      <c r="XDG202" s="36"/>
      <c r="XDH202" s="36"/>
      <c r="XDI202" s="36"/>
      <c r="XDJ202" s="36"/>
      <c r="XDK202" s="36"/>
      <c r="XDL202" s="36"/>
      <c r="XDM202" s="36"/>
      <c r="XDN202" s="36"/>
      <c r="XDO202" s="36"/>
      <c r="XDP202" s="36"/>
      <c r="XDQ202" s="36"/>
      <c r="XDR202" s="36"/>
      <c r="XDS202" s="36"/>
      <c r="XDT202" s="36"/>
      <c r="XDU202" s="36"/>
      <c r="XDV202" s="36"/>
      <c r="XDW202" s="36"/>
      <c r="XDX202" s="36"/>
      <c r="XDY202" s="36"/>
      <c r="XDZ202" s="36"/>
      <c r="XEA202" s="36"/>
      <c r="XEB202" s="36"/>
      <c r="XEC202" s="36"/>
      <c r="XED202" s="36"/>
      <c r="XEE202" s="36"/>
      <c r="XEF202" s="36"/>
      <c r="XEG202" s="36"/>
      <c r="XEH202" s="36"/>
      <c r="XEI202" s="36"/>
      <c r="XEJ202" s="36"/>
      <c r="XEK202" s="36"/>
      <c r="XEL202" s="36"/>
      <c r="XEM202" s="36"/>
      <c r="XEN202" s="36"/>
      <c r="XEO202" s="36"/>
      <c r="XEP202" s="36"/>
      <c r="XEQ202" s="36"/>
      <c r="XER202" s="36"/>
      <c r="XES202" s="36"/>
      <c r="XET202" s="36"/>
      <c r="XEU202" s="36"/>
      <c r="XEV202" s="36"/>
      <c r="XEW202" s="36"/>
      <c r="XEX202" s="36"/>
      <c r="XEY202" s="36"/>
      <c r="XEZ202" s="36"/>
      <c r="XFA202" s="36"/>
      <c r="XFB202" s="36"/>
      <c r="XFC202" s="36"/>
    </row>
    <row r="203" spans="1:16383" ht="15" hidden="1" thickTop="1">
      <c r="B203" s="412" t="str">
        <f t="shared" ref="B203:B209" si="13">D$203</f>
        <v>Sarrasin</v>
      </c>
      <c r="C203" s="2086" t="s">
        <v>275</v>
      </c>
      <c r="D203" s="832" t="s">
        <v>1261</v>
      </c>
      <c r="E203" s="1370" t="s">
        <v>224</v>
      </c>
      <c r="F203" s="1945" t="str">
        <f>IFERROR(G203/G$248,"")</f>
        <v/>
      </c>
      <c r="G203" s="1946">
        <f>SUMIFS(F$92:F$101,PlanRotationPaturageS0,$B203)+SUMIFS(F$78:F$87,PlanRotationS0,$B203)</f>
        <v>0</v>
      </c>
      <c r="H203" s="837" t="str">
        <f>IFERROR(I203/I$248,"")</f>
        <v/>
      </c>
      <c r="I203" s="845">
        <f>SUMIFS(H$92:H$101,PlanRotationPaturageS1,$B203)+SUMIFS(H$78:H$87,PlanRotationS1,$B203)</f>
        <v>0</v>
      </c>
      <c r="J203" s="839" t="str">
        <f>IFERROR(K203/K$248,"")</f>
        <v/>
      </c>
      <c r="K203" s="845">
        <f>SUMIFS(J$92:J$101,PlanRotationPaturageS2,$B203)+SUMIFS(J$78:J$87,PlanRotationS2,$B203)</f>
        <v>0</v>
      </c>
      <c r="L203" s="842" t="str">
        <f>IFERROR(M203/M$248,"")</f>
        <v/>
      </c>
      <c r="M203" s="845">
        <f>SUMIFS(L$92:L$101,PlanRotationPaturageS3,$B203)+SUMIFS(L$78:L$87,PlanRotationS3,$B203)</f>
        <v>0</v>
      </c>
      <c r="N203" s="842" t="str">
        <f>IFERROR(O203/O$248,"")</f>
        <v/>
      </c>
      <c r="O203" s="845">
        <f>SUMIFS(N$92:N$101,PlanRotationPaturageS4,$B203)+SUMIFS(N$78:N$87,PlanRotationS4,$B203)</f>
        <v>0</v>
      </c>
      <c r="P203" s="842" t="str">
        <f>IFERROR(Q203/Q$248,"")</f>
        <v/>
      </c>
      <c r="Q203" s="845">
        <f>SUMIFS(P$92:P$101,PlanRotationPaturageS5,$B203)+SUMIFS(P$78:P$87,PlanRotationS5,$B203)</f>
        <v>0</v>
      </c>
    </row>
    <row r="204" spans="1:16383" hidden="1">
      <c r="B204" s="412" t="str">
        <f t="shared" si="13"/>
        <v>Sarrasin</v>
      </c>
      <c r="D204" s="765" t="s">
        <v>281</v>
      </c>
      <c r="E204" s="1371" t="s">
        <v>254</v>
      </c>
      <c r="F204" s="1953"/>
      <c r="G204" s="1946">
        <f ca="1">OFFSET(RéfChamps!$CN$55,0,IF(ProdS0="Biologique",0,3))</f>
        <v>464.38629538992535</v>
      </c>
      <c r="H204" s="994"/>
      <c r="I204" s="834">
        <f ca="1">OFFSET(RéfChamps!$CN$55,0,IF(ProdS1="Biologique",0,3))</f>
        <v>468.64810483333332</v>
      </c>
      <c r="J204" s="996"/>
      <c r="K204" s="834">
        <f ca="1">OFFSET(RéfChamps!$CN$55,0,IF(ProdS2="Biologique",0,3))</f>
        <v>464.38629538992535</v>
      </c>
      <c r="L204" s="999"/>
      <c r="M204" s="834">
        <f ca="1">OFFSET(RéfChamps!$CN$55,0,IF(ProdS3="Biologique",0,3))</f>
        <v>464.38629538992535</v>
      </c>
      <c r="N204" s="999"/>
      <c r="O204" s="834">
        <f ca="1">OFFSET(RéfChamps!$CN$55,0,IF(ProdS4="Biologique",0,3))</f>
        <v>464.38629538992535</v>
      </c>
      <c r="P204" s="999"/>
      <c r="Q204" s="834">
        <f ca="1">OFFSET(RéfChamps!$CN$55,0,IF(ProdS5="Biologique",0,3))</f>
        <v>464.38629538992535</v>
      </c>
      <c r="S204" s="14"/>
    </row>
    <row r="205" spans="1:16383" hidden="1">
      <c r="B205" s="412" t="str">
        <f t="shared" si="13"/>
        <v>Sarrasin</v>
      </c>
      <c r="D205" s="765" t="s">
        <v>252</v>
      </c>
      <c r="E205" s="1371" t="s">
        <v>937</v>
      </c>
      <c r="F205" s="1945"/>
      <c r="G205" s="1946">
        <f ca="1">OFFSET(RéfChamps!$CL$5,0,IF(ProdS0="Biologique",0,3))</f>
        <v>0.63</v>
      </c>
      <c r="H205" s="994"/>
      <c r="I205" s="1468">
        <f ca="1">OFFSET(RéfChamps!$CL$5,0,IF(ProdS1="Biologique",0,3))</f>
        <v>0.63</v>
      </c>
      <c r="J205" s="996"/>
      <c r="K205" s="1072">
        <f ca="1">OFFSET(RéfChamps!$CL$5,0,IF(ProdS2="Biologique",0,3))</f>
        <v>0.63</v>
      </c>
      <c r="L205" s="1073"/>
      <c r="M205" s="1072">
        <f ca="1">OFFSET(RéfChamps!$CL$5,0,IF(ProdS3="Biologique",0,3))</f>
        <v>0.63</v>
      </c>
      <c r="N205" s="1073"/>
      <c r="O205" s="1072">
        <f ca="1">OFFSET(RéfChamps!$CL$5,0,IF(ProdS4="Biologique",0,3))</f>
        <v>0.63</v>
      </c>
      <c r="P205" s="1073"/>
      <c r="Q205" s="1072">
        <f ca="1">OFFSET(RéfChamps!$CL$5,0,IF(ProdS5="Biologique",0,3))</f>
        <v>0.63</v>
      </c>
    </row>
    <row r="206" spans="1:16383" hidden="1">
      <c r="B206" s="412" t="str">
        <f t="shared" si="13"/>
        <v>Sarrasin</v>
      </c>
      <c r="D206" s="765" t="s">
        <v>253</v>
      </c>
      <c r="E206" s="1371" t="s">
        <v>225</v>
      </c>
      <c r="F206" s="1945"/>
      <c r="G206" s="1946">
        <f ca="1">OFFSET(RéfChamps!$CM$5,0,IF(PrixS0="Biologique",0,3))</f>
        <v>600</v>
      </c>
      <c r="H206" s="994"/>
      <c r="I206" s="835">
        <f ca="1">OFFSET(RéfChamps!$CM$5,0,IF(PrixS1="Biologique",0,3))</f>
        <v>600</v>
      </c>
      <c r="J206" s="996"/>
      <c r="K206" s="835">
        <f ca="1">OFFSET(RéfChamps!$CM$5,0,IF(PrixS2="Biologique",0,3))</f>
        <v>600</v>
      </c>
      <c r="L206" s="1000"/>
      <c r="M206" s="835">
        <f ca="1">OFFSET(RéfChamps!$CM$5,0,IF(PrixS3="Biologique",0,3))</f>
        <v>600</v>
      </c>
      <c r="N206" s="1000"/>
      <c r="O206" s="835">
        <f ca="1">OFFSET(RéfChamps!$CM$5,0,IF(PrixS4="Biologique",0,3))</f>
        <v>950</v>
      </c>
      <c r="P206" s="1000"/>
      <c r="Q206" s="835">
        <f ca="1">OFFSET(RéfChamps!$CM$5,0,IF(PrixS5="Biologique",0,3))</f>
        <v>950</v>
      </c>
    </row>
    <row r="207" spans="1:16383" hidden="1">
      <c r="B207" s="412" t="str">
        <f t="shared" si="13"/>
        <v>Sarrasin</v>
      </c>
      <c r="D207" s="765" t="s">
        <v>282</v>
      </c>
      <c r="E207" s="1371" t="s">
        <v>254</v>
      </c>
      <c r="F207" s="1945"/>
      <c r="G207" s="1946">
        <f ca="1">SUMPRODUCT(OFFSET(RéfChamps!$CL$5:$CL$9,0,IF(ProdS0="Biologique",0,3)),OFFSET(RéfChamps!$CM$5:$CM$9,0,IF(PrixS0="Biologique",0,3)))</f>
        <v>380.7482</v>
      </c>
      <c r="H207" s="994"/>
      <c r="I207" s="835">
        <f ca="1">SUMPRODUCT(OFFSET(RéfChamps!$CL$5:$CL$9,0,IF(ProdS1="Biologique",0,3)),OFFSET(RéfChamps!$CM$5:$CM$9,0,IF(PrixS1="Biologique",0,3)))</f>
        <v>380.7482</v>
      </c>
      <c r="J207" s="997"/>
      <c r="K207" s="835">
        <f ca="1">SUMPRODUCT(OFFSET(RéfChamps!$CL$5:$CL$9,0,IF(ProdS2="Biologique",0,3)),OFFSET(RéfChamps!$CM$5:$CM$9,0,IF(PrixS2="Biologique",0,3)))</f>
        <v>380.7482</v>
      </c>
      <c r="L207" s="1000"/>
      <c r="M207" s="835">
        <f ca="1">SUMPRODUCT(OFFSET(RéfChamps!$CL$5:$CL$9,0,IF(ProdS3="Biologique",0,3)),OFFSET(RéfChamps!$CM$5:$CM$9,0,IF(PrixS3="Biologique",0,3)))</f>
        <v>380.7482</v>
      </c>
      <c r="N207" s="1000"/>
      <c r="O207" s="835">
        <f ca="1">SUMPRODUCT(OFFSET(RéfChamps!$CL$5:$CL$9,0,IF(ProdS4="Biologique",0,3)),OFFSET(RéfChamps!$CM$5:$CM$9,0,IF(PrixS4="Biologique",0,3)))</f>
        <v>603.17600000000004</v>
      </c>
      <c r="P207" s="1000"/>
      <c r="Q207" s="835">
        <f ca="1">SUMPRODUCT(OFFSET(RéfChamps!$CL$5:$CL$9,0,IF(ProdS5="Biologique",0,3)),OFFSET(RéfChamps!$CM$5:$CM$9,0,IF(PrixS5="Biologique",0,3)))</f>
        <v>603.17600000000004</v>
      </c>
    </row>
    <row r="208" spans="1:16383" s="346" customFormat="1" ht="15" hidden="1" thickBot="1">
      <c r="A208" s="413"/>
      <c r="B208" s="428" t="str">
        <f t="shared" si="13"/>
        <v>Sarrasin</v>
      </c>
      <c r="D208" s="765" t="s">
        <v>1457</v>
      </c>
      <c r="E208" s="1371" t="s">
        <v>254</v>
      </c>
      <c r="F208" s="1945"/>
      <c r="G208" s="1951">
        <f ca="1">IFERROR(G207-G204,"Erreur")</f>
        <v>-83.638095389925354</v>
      </c>
      <c r="H208" s="994"/>
      <c r="I208" s="846">
        <f ca="1">IFERROR(I207-I204,"Erreur")</f>
        <v>-87.899904833333323</v>
      </c>
      <c r="J208" s="998"/>
      <c r="K208" s="846">
        <f ca="1">IFERROR(K207-K204,"Erreur")</f>
        <v>-83.638095389925354</v>
      </c>
      <c r="L208" s="1001"/>
      <c r="M208" s="846">
        <f ca="1">IFERROR(M207-M204,"Erreur")</f>
        <v>-83.638095389925354</v>
      </c>
      <c r="N208" s="1001"/>
      <c r="O208" s="846">
        <f ca="1">IFERROR(O207-O204,"Erreur")</f>
        <v>138.78970461007469</v>
      </c>
      <c r="P208" s="1001"/>
      <c r="Q208" s="846">
        <f ca="1">IFERROR(Q207-Q204,"Erreur")</f>
        <v>138.78970461007469</v>
      </c>
      <c r="R208" s="1698"/>
    </row>
    <row r="209" spans="1:16383" s="28" customFormat="1" ht="15.75" hidden="1" thickTop="1" thickBot="1">
      <c r="A209" s="411"/>
      <c r="B209" s="428" t="str">
        <f t="shared" si="13"/>
        <v>Sarrasin</v>
      </c>
      <c r="C209" s="36"/>
      <c r="D209" s="2085" t="str">
        <f>"Détails pour le "&amp;LOWER(D203)</f>
        <v>Détails pour le sarrasin</v>
      </c>
      <c r="E209" s="1371"/>
      <c r="F209" s="1952"/>
      <c r="G209" s="1946"/>
      <c r="H209" s="994"/>
      <c r="I209" s="1612"/>
      <c r="J209" s="1002"/>
      <c r="K209" s="1612"/>
      <c r="L209" s="1002"/>
      <c r="M209" s="1612"/>
      <c r="N209" s="1002"/>
      <c r="O209" s="1612"/>
      <c r="P209" s="1002"/>
      <c r="Q209" s="1612"/>
      <c r="R209" s="1701"/>
      <c r="S209" s="36"/>
      <c r="T209" s="36"/>
      <c r="U209" s="36"/>
      <c r="V209" s="36"/>
      <c r="W209" s="36"/>
      <c r="X209" s="36"/>
      <c r="Y209" s="36"/>
      <c r="Z209" s="36"/>
      <c r="AA209" s="36"/>
      <c r="AB209" s="36"/>
      <c r="AC209" s="36"/>
      <c r="AD209" s="36"/>
      <c r="AE209" s="36"/>
      <c r="AF209" s="36"/>
      <c r="AG209" s="36"/>
      <c r="AH209" s="36"/>
      <c r="AI209" s="36"/>
      <c r="AJ209" s="36"/>
      <c r="AK209" s="36"/>
      <c r="AL209" s="36"/>
      <c r="AM209" s="36"/>
      <c r="AN209" s="36"/>
      <c r="AO209" s="36"/>
      <c r="AP209" s="36"/>
      <c r="AQ209" s="36"/>
      <c r="AR209" s="36"/>
      <c r="AS209" s="36"/>
      <c r="AT209" s="36"/>
      <c r="AU209" s="36"/>
      <c r="AV209" s="36"/>
      <c r="AW209" s="36"/>
      <c r="AX209" s="36"/>
      <c r="AY209" s="36"/>
      <c r="AZ209" s="36"/>
      <c r="BA209" s="36"/>
      <c r="BB209" s="36"/>
      <c r="BC209" s="36"/>
      <c r="BD209" s="36"/>
      <c r="BE209" s="36"/>
      <c r="BF209" s="36"/>
      <c r="BG209" s="36"/>
      <c r="BH209" s="36"/>
      <c r="BI209" s="36"/>
      <c r="BJ209" s="36"/>
      <c r="BK209" s="36"/>
      <c r="BL209" s="36"/>
      <c r="BM209" s="36"/>
      <c r="BN209" s="36"/>
      <c r="BO209" s="36"/>
      <c r="BP209" s="36"/>
      <c r="BQ209" s="36"/>
      <c r="BR209" s="36"/>
      <c r="BS209" s="36"/>
      <c r="BT209" s="36"/>
      <c r="BU209" s="36"/>
      <c r="BV209" s="36"/>
      <c r="BW209" s="36"/>
      <c r="BX209" s="36"/>
      <c r="BY209" s="36"/>
      <c r="BZ209" s="36"/>
      <c r="CA209" s="36"/>
      <c r="CB209" s="36"/>
      <c r="CC209" s="36"/>
      <c r="CD209" s="36"/>
      <c r="CE209" s="36"/>
      <c r="CF209" s="36"/>
      <c r="CG209" s="36"/>
      <c r="CH209" s="36"/>
      <c r="CI209" s="36"/>
      <c r="CJ209" s="36"/>
      <c r="CK209" s="36"/>
      <c r="CL209" s="36"/>
      <c r="CM209" s="36"/>
      <c r="CN209" s="36"/>
      <c r="CO209" s="36"/>
      <c r="CP209" s="36"/>
      <c r="CQ209" s="36"/>
      <c r="CR209" s="36"/>
      <c r="CS209" s="36"/>
      <c r="CT209" s="36"/>
      <c r="CU209" s="36"/>
      <c r="CV209" s="36"/>
      <c r="CW209" s="36"/>
      <c r="CX209" s="36"/>
      <c r="CY209" s="36"/>
      <c r="CZ209" s="36"/>
      <c r="DA209" s="36"/>
      <c r="DB209" s="36"/>
      <c r="DC209" s="36"/>
      <c r="DD209" s="36"/>
      <c r="DE209" s="36"/>
      <c r="DF209" s="36"/>
      <c r="DG209" s="36"/>
      <c r="DH209" s="36"/>
      <c r="DI209" s="36"/>
      <c r="DJ209" s="36"/>
      <c r="DK209" s="36"/>
      <c r="DL209" s="36"/>
      <c r="DM209" s="36"/>
      <c r="DN209" s="36"/>
      <c r="DO209" s="36"/>
      <c r="DP209" s="36"/>
      <c r="DQ209" s="36"/>
      <c r="DR209" s="36"/>
      <c r="DS209" s="36"/>
      <c r="DT209" s="36"/>
      <c r="DU209" s="36"/>
      <c r="DV209" s="36"/>
      <c r="DW209" s="36"/>
      <c r="DX209" s="36"/>
      <c r="DY209" s="36"/>
      <c r="DZ209" s="36"/>
      <c r="EA209" s="36"/>
      <c r="EB209" s="36"/>
      <c r="EC209" s="36"/>
      <c r="ED209" s="36"/>
      <c r="EE209" s="36"/>
      <c r="EF209" s="36"/>
      <c r="EG209" s="36"/>
      <c r="EH209" s="36"/>
      <c r="EI209" s="36"/>
      <c r="EJ209" s="36"/>
      <c r="EK209" s="36"/>
      <c r="EL209" s="36"/>
      <c r="EM209" s="36"/>
      <c r="EN209" s="36"/>
      <c r="EO209" s="36"/>
      <c r="EP209" s="36"/>
      <c r="EQ209" s="36"/>
      <c r="ER209" s="36"/>
      <c r="ES209" s="36"/>
      <c r="ET209" s="36"/>
      <c r="EU209" s="36"/>
      <c r="EV209" s="36"/>
      <c r="EW209" s="36"/>
      <c r="EX209" s="36"/>
      <c r="EY209" s="36"/>
      <c r="EZ209" s="36"/>
      <c r="FA209" s="36"/>
      <c r="FB209" s="36"/>
      <c r="FC209" s="36"/>
      <c r="FD209" s="36"/>
      <c r="FE209" s="36"/>
      <c r="FF209" s="36"/>
      <c r="FG209" s="36"/>
      <c r="FH209" s="36"/>
      <c r="FI209" s="36"/>
      <c r="FJ209" s="36"/>
      <c r="FK209" s="36"/>
      <c r="FL209" s="36"/>
      <c r="FM209" s="36"/>
      <c r="FN209" s="36"/>
      <c r="FO209" s="36"/>
      <c r="FP209" s="36"/>
      <c r="FQ209" s="36"/>
      <c r="FR209" s="36"/>
      <c r="FS209" s="36"/>
      <c r="FT209" s="36"/>
      <c r="FU209" s="36"/>
      <c r="FV209" s="36"/>
      <c r="FW209" s="36"/>
      <c r="FX209" s="36"/>
      <c r="FY209" s="36"/>
      <c r="FZ209" s="36"/>
      <c r="GA209" s="36"/>
      <c r="GB209" s="36"/>
      <c r="GC209" s="36"/>
      <c r="GD209" s="36"/>
      <c r="GE209" s="36"/>
      <c r="GF209" s="36"/>
      <c r="GG209" s="36"/>
      <c r="GH209" s="36"/>
      <c r="GI209" s="36"/>
      <c r="GJ209" s="36"/>
      <c r="GK209" s="36"/>
      <c r="GL209" s="36"/>
      <c r="GM209" s="36"/>
      <c r="GN209" s="36"/>
      <c r="GO209" s="36"/>
      <c r="GP209" s="36"/>
      <c r="GQ209" s="36"/>
      <c r="GR209" s="36"/>
      <c r="GS209" s="36"/>
      <c r="GT209" s="36"/>
      <c r="GU209" s="36"/>
      <c r="GV209" s="36"/>
      <c r="GW209" s="36"/>
      <c r="GX209" s="36"/>
      <c r="GY209" s="36"/>
      <c r="GZ209" s="36"/>
      <c r="HA209" s="36"/>
      <c r="HB209" s="36"/>
      <c r="HC209" s="36"/>
      <c r="HD209" s="36"/>
      <c r="HE209" s="36"/>
      <c r="HF209" s="36"/>
      <c r="HG209" s="36"/>
      <c r="HH209" s="36"/>
      <c r="HI209" s="36"/>
      <c r="HJ209" s="36"/>
      <c r="HK209" s="36"/>
      <c r="HL209" s="36"/>
      <c r="HM209" s="36"/>
      <c r="HN209" s="36"/>
      <c r="HO209" s="36"/>
      <c r="HP209" s="36"/>
      <c r="HQ209" s="36"/>
      <c r="HR209" s="36"/>
      <c r="HS209" s="36"/>
      <c r="HT209" s="36"/>
      <c r="HU209" s="36"/>
      <c r="HV209" s="36"/>
      <c r="HW209" s="36"/>
      <c r="HX209" s="36"/>
      <c r="HY209" s="36"/>
      <c r="HZ209" s="36"/>
      <c r="IA209" s="36"/>
      <c r="IB209" s="36"/>
      <c r="IC209" s="36"/>
      <c r="ID209" s="36"/>
      <c r="IE209" s="36"/>
      <c r="IF209" s="36"/>
      <c r="IG209" s="36"/>
      <c r="IH209" s="36"/>
      <c r="II209" s="36"/>
      <c r="IJ209" s="36"/>
      <c r="IK209" s="36"/>
      <c r="IL209" s="36"/>
      <c r="IM209" s="36"/>
      <c r="IN209" s="36"/>
      <c r="IO209" s="36"/>
      <c r="IP209" s="36"/>
      <c r="IQ209" s="36"/>
      <c r="IR209" s="36"/>
      <c r="IS209" s="36"/>
      <c r="IT209" s="36"/>
      <c r="IU209" s="36"/>
      <c r="IV209" s="36"/>
      <c r="IW209" s="36"/>
      <c r="IX209" s="36"/>
      <c r="IY209" s="36"/>
      <c r="IZ209" s="36"/>
      <c r="JA209" s="36"/>
      <c r="JB209" s="36"/>
      <c r="JC209" s="36"/>
      <c r="JD209" s="36"/>
      <c r="JE209" s="36"/>
      <c r="JF209" s="36"/>
      <c r="JG209" s="36"/>
      <c r="JH209" s="36"/>
      <c r="JI209" s="36"/>
      <c r="JJ209" s="36"/>
      <c r="JK209" s="36"/>
      <c r="JL209" s="36"/>
      <c r="JM209" s="36"/>
      <c r="JN209" s="36"/>
      <c r="JO209" s="36"/>
      <c r="JP209" s="36"/>
      <c r="JQ209" s="36"/>
      <c r="JR209" s="36"/>
      <c r="JS209" s="36"/>
      <c r="JT209" s="36"/>
      <c r="JU209" s="36"/>
      <c r="JV209" s="36"/>
      <c r="JW209" s="36"/>
      <c r="JX209" s="36"/>
      <c r="JY209" s="36"/>
      <c r="JZ209" s="36"/>
      <c r="KA209" s="36"/>
      <c r="KB209" s="36"/>
      <c r="KC209" s="36"/>
      <c r="KD209" s="36"/>
      <c r="KE209" s="36"/>
      <c r="KF209" s="36"/>
      <c r="KG209" s="36"/>
      <c r="KH209" s="36"/>
      <c r="KI209" s="36"/>
      <c r="KJ209" s="36"/>
      <c r="KK209" s="36"/>
      <c r="KL209" s="36"/>
      <c r="KM209" s="36"/>
      <c r="KN209" s="36"/>
      <c r="KO209" s="36"/>
      <c r="KP209" s="36"/>
      <c r="KQ209" s="36"/>
      <c r="KR209" s="36"/>
      <c r="KS209" s="36"/>
      <c r="KT209" s="36"/>
      <c r="KU209" s="36"/>
      <c r="KV209" s="36"/>
      <c r="KW209" s="36"/>
      <c r="KX209" s="36"/>
      <c r="KY209" s="36"/>
      <c r="KZ209" s="36"/>
      <c r="LA209" s="36"/>
      <c r="LB209" s="36"/>
      <c r="LC209" s="36"/>
      <c r="LD209" s="36"/>
      <c r="LE209" s="36"/>
      <c r="LF209" s="36"/>
      <c r="LG209" s="36"/>
      <c r="LH209" s="36"/>
      <c r="LI209" s="36"/>
      <c r="LJ209" s="36"/>
      <c r="LK209" s="36"/>
      <c r="LL209" s="36"/>
      <c r="LM209" s="36"/>
      <c r="LN209" s="36"/>
      <c r="LO209" s="36"/>
      <c r="LP209" s="36"/>
      <c r="LQ209" s="36"/>
      <c r="LR209" s="36"/>
      <c r="LS209" s="36"/>
      <c r="LT209" s="36"/>
      <c r="LU209" s="36"/>
      <c r="LV209" s="36"/>
      <c r="LW209" s="36"/>
      <c r="LX209" s="36"/>
      <c r="LY209" s="36"/>
      <c r="LZ209" s="36"/>
      <c r="MA209" s="36"/>
      <c r="MB209" s="36"/>
      <c r="MC209" s="36"/>
      <c r="MD209" s="36"/>
      <c r="ME209" s="36"/>
      <c r="MF209" s="36"/>
      <c r="MG209" s="36"/>
      <c r="MH209" s="36"/>
      <c r="MI209" s="36"/>
      <c r="MJ209" s="36"/>
      <c r="MK209" s="36"/>
      <c r="ML209" s="36"/>
      <c r="MM209" s="36"/>
      <c r="MN209" s="36"/>
      <c r="MO209" s="36"/>
      <c r="MP209" s="36"/>
      <c r="MQ209" s="36"/>
      <c r="MR209" s="36"/>
      <c r="MS209" s="36"/>
      <c r="MT209" s="36"/>
      <c r="MU209" s="36"/>
      <c r="MV209" s="36"/>
      <c r="MW209" s="36"/>
      <c r="MX209" s="36"/>
      <c r="MY209" s="36"/>
      <c r="MZ209" s="36"/>
      <c r="NA209" s="36"/>
      <c r="NB209" s="36"/>
      <c r="NC209" s="36"/>
      <c r="ND209" s="36"/>
      <c r="NE209" s="36"/>
      <c r="NF209" s="36"/>
      <c r="NG209" s="36"/>
      <c r="NH209" s="36"/>
      <c r="NI209" s="36"/>
      <c r="NJ209" s="36"/>
      <c r="NK209" s="36"/>
      <c r="NL209" s="36"/>
      <c r="NM209" s="36"/>
      <c r="NN209" s="36"/>
      <c r="NO209" s="36"/>
      <c r="NP209" s="36"/>
      <c r="NQ209" s="36"/>
      <c r="NR209" s="36"/>
      <c r="NS209" s="36"/>
      <c r="NT209" s="36"/>
      <c r="NU209" s="36"/>
      <c r="NV209" s="36"/>
      <c r="NW209" s="36"/>
      <c r="NX209" s="36"/>
      <c r="NY209" s="36"/>
      <c r="NZ209" s="36"/>
      <c r="OA209" s="36"/>
      <c r="OB209" s="36"/>
      <c r="OC209" s="36"/>
      <c r="OD209" s="36"/>
      <c r="OE209" s="36"/>
      <c r="OF209" s="36"/>
      <c r="OG209" s="36"/>
      <c r="OH209" s="36"/>
      <c r="OI209" s="36"/>
      <c r="OJ209" s="36"/>
      <c r="OK209" s="36"/>
      <c r="OL209" s="36"/>
      <c r="OM209" s="36"/>
      <c r="ON209" s="36"/>
      <c r="OO209" s="36"/>
      <c r="OP209" s="36"/>
      <c r="OQ209" s="36"/>
      <c r="OR209" s="36"/>
      <c r="OS209" s="36"/>
      <c r="OT209" s="36"/>
      <c r="OU209" s="36"/>
      <c r="OV209" s="36"/>
      <c r="OW209" s="36"/>
      <c r="OX209" s="36"/>
      <c r="OY209" s="36"/>
      <c r="OZ209" s="36"/>
      <c r="PA209" s="36"/>
      <c r="PB209" s="36"/>
      <c r="PC209" s="36"/>
      <c r="PD209" s="36"/>
      <c r="PE209" s="36"/>
      <c r="PF209" s="36"/>
      <c r="PG209" s="36"/>
      <c r="PH209" s="36"/>
      <c r="PI209" s="36"/>
      <c r="PJ209" s="36"/>
      <c r="PK209" s="36"/>
      <c r="PL209" s="36"/>
      <c r="PM209" s="36"/>
      <c r="PN209" s="36"/>
      <c r="PO209" s="36"/>
      <c r="PP209" s="36"/>
      <c r="PQ209" s="36"/>
      <c r="PR209" s="36"/>
      <c r="PS209" s="36"/>
      <c r="PT209" s="36"/>
      <c r="PU209" s="36"/>
      <c r="PV209" s="36"/>
      <c r="PW209" s="36"/>
      <c r="PX209" s="36"/>
      <c r="PY209" s="36"/>
      <c r="PZ209" s="36"/>
      <c r="QA209" s="36"/>
      <c r="QB209" s="36"/>
      <c r="QC209" s="36"/>
      <c r="QD209" s="36"/>
      <c r="QE209" s="36"/>
      <c r="QF209" s="36"/>
      <c r="QG209" s="36"/>
      <c r="QH209" s="36"/>
      <c r="QI209" s="36"/>
      <c r="QJ209" s="36"/>
      <c r="QK209" s="36"/>
      <c r="QL209" s="36"/>
      <c r="QM209" s="36"/>
      <c r="QN209" s="36"/>
      <c r="QO209" s="36"/>
      <c r="QP209" s="36"/>
      <c r="QQ209" s="36"/>
      <c r="QR209" s="36"/>
      <c r="QS209" s="36"/>
      <c r="QT209" s="36"/>
      <c r="QU209" s="36"/>
      <c r="QV209" s="36"/>
      <c r="QW209" s="36"/>
      <c r="QX209" s="36"/>
      <c r="QY209" s="36"/>
      <c r="QZ209" s="36"/>
      <c r="RA209" s="36"/>
      <c r="RB209" s="36"/>
      <c r="RC209" s="36"/>
      <c r="RD209" s="36"/>
      <c r="RE209" s="36"/>
      <c r="RF209" s="36"/>
      <c r="RG209" s="36"/>
      <c r="RH209" s="36"/>
      <c r="RI209" s="36"/>
      <c r="RJ209" s="36"/>
      <c r="RK209" s="36"/>
      <c r="RL209" s="36"/>
      <c r="RM209" s="36"/>
      <c r="RN209" s="36"/>
      <c r="RO209" s="36"/>
      <c r="RP209" s="36"/>
      <c r="RQ209" s="36"/>
      <c r="RR209" s="36"/>
      <c r="RS209" s="36"/>
      <c r="RT209" s="36"/>
      <c r="RU209" s="36"/>
      <c r="RV209" s="36"/>
      <c r="RW209" s="36"/>
      <c r="RX209" s="36"/>
      <c r="RY209" s="36"/>
      <c r="RZ209" s="36"/>
      <c r="SA209" s="36"/>
      <c r="SB209" s="36"/>
      <c r="SC209" s="36"/>
      <c r="SD209" s="36"/>
      <c r="SE209" s="36"/>
      <c r="SF209" s="36"/>
      <c r="SG209" s="36"/>
      <c r="SH209" s="36"/>
      <c r="SI209" s="36"/>
      <c r="SJ209" s="36"/>
      <c r="SK209" s="36"/>
      <c r="SL209" s="36"/>
      <c r="SM209" s="36"/>
      <c r="SN209" s="36"/>
      <c r="SO209" s="36"/>
      <c r="SP209" s="36"/>
      <c r="SQ209" s="36"/>
      <c r="SR209" s="36"/>
      <c r="SS209" s="36"/>
      <c r="ST209" s="36"/>
      <c r="SU209" s="36"/>
      <c r="SV209" s="36"/>
      <c r="SW209" s="36"/>
      <c r="SX209" s="36"/>
      <c r="SY209" s="36"/>
      <c r="SZ209" s="36"/>
      <c r="TA209" s="36"/>
      <c r="TB209" s="36"/>
      <c r="TC209" s="36"/>
      <c r="TD209" s="36"/>
      <c r="TE209" s="36"/>
      <c r="TF209" s="36"/>
      <c r="TG209" s="36"/>
      <c r="TH209" s="36"/>
      <c r="TI209" s="36"/>
      <c r="TJ209" s="36"/>
      <c r="TK209" s="36"/>
      <c r="TL209" s="36"/>
      <c r="TM209" s="36"/>
      <c r="TN209" s="36"/>
      <c r="TO209" s="36"/>
      <c r="TP209" s="36"/>
      <c r="TQ209" s="36"/>
      <c r="TR209" s="36"/>
      <c r="TS209" s="36"/>
      <c r="TT209" s="36"/>
      <c r="TU209" s="36"/>
      <c r="TV209" s="36"/>
      <c r="TW209" s="36"/>
      <c r="TX209" s="36"/>
      <c r="TY209" s="36"/>
      <c r="TZ209" s="36"/>
      <c r="UA209" s="36"/>
      <c r="UB209" s="36"/>
      <c r="UC209" s="36"/>
      <c r="UD209" s="36"/>
      <c r="UE209" s="36"/>
      <c r="UF209" s="36"/>
      <c r="UG209" s="36"/>
      <c r="UH209" s="36"/>
      <c r="UI209" s="36"/>
      <c r="UJ209" s="36"/>
      <c r="UK209" s="36"/>
      <c r="UL209" s="36"/>
      <c r="UM209" s="36"/>
      <c r="UN209" s="36"/>
      <c r="UO209" s="36"/>
      <c r="UP209" s="36"/>
      <c r="UQ209" s="36"/>
      <c r="UR209" s="36"/>
      <c r="US209" s="36"/>
      <c r="UT209" s="36"/>
      <c r="UU209" s="36"/>
      <c r="UV209" s="36"/>
      <c r="UW209" s="36"/>
      <c r="UX209" s="36"/>
      <c r="UY209" s="36"/>
      <c r="UZ209" s="36"/>
      <c r="VA209" s="36"/>
      <c r="VB209" s="36"/>
      <c r="VC209" s="36"/>
      <c r="VD209" s="36"/>
      <c r="VE209" s="36"/>
      <c r="VF209" s="36"/>
      <c r="VG209" s="36"/>
      <c r="VH209" s="36"/>
      <c r="VI209" s="36"/>
      <c r="VJ209" s="36"/>
      <c r="VK209" s="36"/>
      <c r="VL209" s="36"/>
      <c r="VM209" s="36"/>
      <c r="VN209" s="36"/>
      <c r="VO209" s="36"/>
      <c r="VP209" s="36"/>
      <c r="VQ209" s="36"/>
      <c r="VR209" s="36"/>
      <c r="VS209" s="36"/>
      <c r="VT209" s="36"/>
      <c r="VU209" s="36"/>
      <c r="VV209" s="36"/>
      <c r="VW209" s="36"/>
      <c r="VX209" s="36"/>
      <c r="VY209" s="36"/>
      <c r="VZ209" s="36"/>
      <c r="WA209" s="36"/>
      <c r="WB209" s="36"/>
      <c r="WC209" s="36"/>
      <c r="WD209" s="36"/>
      <c r="WE209" s="36"/>
      <c r="WF209" s="36"/>
      <c r="WG209" s="36"/>
      <c r="WH209" s="36"/>
      <c r="WI209" s="36"/>
      <c r="WJ209" s="36"/>
      <c r="WK209" s="36"/>
      <c r="WL209" s="36"/>
      <c r="WM209" s="36"/>
      <c r="WN209" s="36"/>
      <c r="WO209" s="36"/>
      <c r="WP209" s="36"/>
      <c r="WQ209" s="36"/>
      <c r="WR209" s="36"/>
      <c r="WS209" s="36"/>
      <c r="WT209" s="36"/>
      <c r="WU209" s="36"/>
      <c r="WV209" s="36"/>
      <c r="WW209" s="36"/>
      <c r="WX209" s="36"/>
      <c r="WY209" s="36"/>
      <c r="WZ209" s="36"/>
      <c r="XA209" s="36"/>
      <c r="XB209" s="36"/>
      <c r="XC209" s="36"/>
      <c r="XD209" s="36"/>
      <c r="XE209" s="36"/>
      <c r="XF209" s="36"/>
      <c r="XG209" s="36"/>
      <c r="XH209" s="36"/>
      <c r="XI209" s="36"/>
      <c r="XJ209" s="36"/>
      <c r="XK209" s="36"/>
      <c r="XL209" s="36"/>
      <c r="XM209" s="36"/>
      <c r="XN209" s="36"/>
      <c r="XO209" s="36"/>
      <c r="XP209" s="36"/>
      <c r="XQ209" s="36"/>
      <c r="XR209" s="36"/>
      <c r="XS209" s="36"/>
      <c r="XT209" s="36"/>
      <c r="XU209" s="36"/>
      <c r="XV209" s="36"/>
      <c r="XW209" s="36"/>
      <c r="XX209" s="36"/>
      <c r="XY209" s="36"/>
      <c r="XZ209" s="36"/>
      <c r="YA209" s="36"/>
      <c r="YB209" s="36"/>
      <c r="YC209" s="36"/>
      <c r="YD209" s="36"/>
      <c r="YE209" s="36"/>
      <c r="YF209" s="36"/>
      <c r="YG209" s="36"/>
      <c r="YH209" s="36"/>
      <c r="YI209" s="36"/>
      <c r="YJ209" s="36"/>
      <c r="YK209" s="36"/>
      <c r="YL209" s="36"/>
      <c r="YM209" s="36"/>
      <c r="YN209" s="36"/>
      <c r="YO209" s="36"/>
      <c r="YP209" s="36"/>
      <c r="YQ209" s="36"/>
      <c r="YR209" s="36"/>
      <c r="YS209" s="36"/>
      <c r="YT209" s="36"/>
      <c r="YU209" s="36"/>
      <c r="YV209" s="36"/>
      <c r="YW209" s="36"/>
      <c r="YX209" s="36"/>
      <c r="YY209" s="36"/>
      <c r="YZ209" s="36"/>
      <c r="ZA209" s="36"/>
      <c r="ZB209" s="36"/>
      <c r="ZC209" s="36"/>
      <c r="ZD209" s="36"/>
      <c r="ZE209" s="36"/>
      <c r="ZF209" s="36"/>
      <c r="ZG209" s="36"/>
      <c r="ZH209" s="36"/>
      <c r="ZI209" s="36"/>
      <c r="ZJ209" s="36"/>
      <c r="ZK209" s="36"/>
      <c r="ZL209" s="36"/>
      <c r="ZM209" s="36"/>
      <c r="ZN209" s="36"/>
      <c r="ZO209" s="36"/>
      <c r="ZP209" s="36"/>
      <c r="ZQ209" s="36"/>
      <c r="ZR209" s="36"/>
      <c r="ZS209" s="36"/>
      <c r="ZT209" s="36"/>
      <c r="ZU209" s="36"/>
      <c r="ZV209" s="36"/>
      <c r="ZW209" s="36"/>
      <c r="ZX209" s="36"/>
      <c r="ZY209" s="36"/>
      <c r="ZZ209" s="36"/>
      <c r="AAA209" s="36"/>
      <c r="AAB209" s="36"/>
      <c r="AAC209" s="36"/>
      <c r="AAD209" s="36"/>
      <c r="AAE209" s="36"/>
      <c r="AAF209" s="36"/>
      <c r="AAG209" s="36"/>
      <c r="AAH209" s="36"/>
      <c r="AAI209" s="36"/>
      <c r="AAJ209" s="36"/>
      <c r="AAK209" s="36"/>
      <c r="AAL209" s="36"/>
      <c r="AAM209" s="36"/>
      <c r="AAN209" s="36"/>
      <c r="AAO209" s="36"/>
      <c r="AAP209" s="36"/>
      <c r="AAQ209" s="36"/>
      <c r="AAR209" s="36"/>
      <c r="AAS209" s="36"/>
      <c r="AAT209" s="36"/>
      <c r="AAU209" s="36"/>
      <c r="AAV209" s="36"/>
      <c r="AAW209" s="36"/>
      <c r="AAX209" s="36"/>
      <c r="AAY209" s="36"/>
      <c r="AAZ209" s="36"/>
      <c r="ABA209" s="36"/>
      <c r="ABB209" s="36"/>
      <c r="ABC209" s="36"/>
      <c r="ABD209" s="36"/>
      <c r="ABE209" s="36"/>
      <c r="ABF209" s="36"/>
      <c r="ABG209" s="36"/>
      <c r="ABH209" s="36"/>
      <c r="ABI209" s="36"/>
      <c r="ABJ209" s="36"/>
      <c r="ABK209" s="36"/>
      <c r="ABL209" s="36"/>
      <c r="ABM209" s="36"/>
      <c r="ABN209" s="36"/>
      <c r="ABO209" s="36"/>
      <c r="ABP209" s="36"/>
      <c r="ABQ209" s="36"/>
      <c r="ABR209" s="36"/>
      <c r="ABS209" s="36"/>
      <c r="ABT209" s="36"/>
      <c r="ABU209" s="36"/>
      <c r="ABV209" s="36"/>
      <c r="ABW209" s="36"/>
      <c r="ABX209" s="36"/>
      <c r="ABY209" s="36"/>
      <c r="ABZ209" s="36"/>
      <c r="ACA209" s="36"/>
      <c r="ACB209" s="36"/>
      <c r="ACC209" s="36"/>
      <c r="ACD209" s="36"/>
      <c r="ACE209" s="36"/>
      <c r="ACF209" s="36"/>
      <c r="ACG209" s="36"/>
      <c r="ACH209" s="36"/>
      <c r="ACI209" s="36"/>
      <c r="ACJ209" s="36"/>
      <c r="ACK209" s="36"/>
      <c r="ACL209" s="36"/>
      <c r="ACM209" s="36"/>
      <c r="ACN209" s="36"/>
      <c r="ACO209" s="36"/>
      <c r="ACP209" s="36"/>
      <c r="ACQ209" s="36"/>
      <c r="ACR209" s="36"/>
      <c r="ACS209" s="36"/>
      <c r="ACT209" s="36"/>
      <c r="ACU209" s="36"/>
      <c r="ACV209" s="36"/>
      <c r="ACW209" s="36"/>
      <c r="ACX209" s="36"/>
      <c r="ACY209" s="36"/>
      <c r="ACZ209" s="36"/>
      <c r="ADA209" s="36"/>
      <c r="ADB209" s="36"/>
      <c r="ADC209" s="36"/>
      <c r="ADD209" s="36"/>
      <c r="ADE209" s="36"/>
      <c r="ADF209" s="36"/>
      <c r="ADG209" s="36"/>
      <c r="ADH209" s="36"/>
      <c r="ADI209" s="36"/>
      <c r="ADJ209" s="36"/>
      <c r="ADK209" s="36"/>
      <c r="ADL209" s="36"/>
      <c r="ADM209" s="36"/>
      <c r="ADN209" s="36"/>
      <c r="ADO209" s="36"/>
      <c r="ADP209" s="36"/>
      <c r="ADQ209" s="36"/>
      <c r="ADR209" s="36"/>
      <c r="ADS209" s="36"/>
      <c r="ADT209" s="36"/>
      <c r="ADU209" s="36"/>
      <c r="ADV209" s="36"/>
      <c r="ADW209" s="36"/>
      <c r="ADX209" s="36"/>
      <c r="ADY209" s="36"/>
      <c r="ADZ209" s="36"/>
      <c r="AEA209" s="36"/>
      <c r="AEB209" s="36"/>
      <c r="AEC209" s="36"/>
      <c r="AED209" s="36"/>
      <c r="AEE209" s="36"/>
      <c r="AEF209" s="36"/>
      <c r="AEG209" s="36"/>
      <c r="AEH209" s="36"/>
      <c r="AEI209" s="36"/>
      <c r="AEJ209" s="36"/>
      <c r="AEK209" s="36"/>
      <c r="AEL209" s="36"/>
      <c r="AEM209" s="36"/>
      <c r="AEN209" s="36"/>
      <c r="AEO209" s="36"/>
      <c r="AEP209" s="36"/>
      <c r="AEQ209" s="36"/>
      <c r="AER209" s="36"/>
      <c r="AES209" s="36"/>
      <c r="AET209" s="36"/>
      <c r="AEU209" s="36"/>
      <c r="AEV209" s="36"/>
      <c r="AEW209" s="36"/>
      <c r="AEX209" s="36"/>
      <c r="AEY209" s="36"/>
      <c r="AEZ209" s="36"/>
      <c r="AFA209" s="36"/>
      <c r="AFB209" s="36"/>
      <c r="AFC209" s="36"/>
      <c r="AFD209" s="36"/>
      <c r="AFE209" s="36"/>
      <c r="AFF209" s="36"/>
      <c r="AFG209" s="36"/>
      <c r="AFH209" s="36"/>
      <c r="AFI209" s="36"/>
      <c r="AFJ209" s="36"/>
      <c r="AFK209" s="36"/>
      <c r="AFL209" s="36"/>
      <c r="AFM209" s="36"/>
      <c r="AFN209" s="36"/>
      <c r="AFO209" s="36"/>
      <c r="AFP209" s="36"/>
      <c r="AFQ209" s="36"/>
      <c r="AFR209" s="36"/>
      <c r="AFS209" s="36"/>
      <c r="AFT209" s="36"/>
      <c r="AFU209" s="36"/>
      <c r="AFV209" s="36"/>
      <c r="AFW209" s="36"/>
      <c r="AFX209" s="36"/>
      <c r="AFY209" s="36"/>
      <c r="AFZ209" s="36"/>
      <c r="AGA209" s="36"/>
      <c r="AGB209" s="36"/>
      <c r="AGC209" s="36"/>
      <c r="AGD209" s="36"/>
      <c r="AGE209" s="36"/>
      <c r="AGF209" s="36"/>
      <c r="AGG209" s="36"/>
      <c r="AGH209" s="36"/>
      <c r="AGI209" s="36"/>
      <c r="AGJ209" s="36"/>
      <c r="AGK209" s="36"/>
      <c r="AGL209" s="36"/>
      <c r="AGM209" s="36"/>
      <c r="AGN209" s="36"/>
      <c r="AGO209" s="36"/>
      <c r="AGP209" s="36"/>
      <c r="AGQ209" s="36"/>
      <c r="AGR209" s="36"/>
      <c r="AGS209" s="36"/>
      <c r="AGT209" s="36"/>
      <c r="AGU209" s="36"/>
      <c r="AGV209" s="36"/>
      <c r="AGW209" s="36"/>
      <c r="AGX209" s="36"/>
      <c r="AGY209" s="36"/>
      <c r="AGZ209" s="36"/>
      <c r="AHA209" s="36"/>
      <c r="AHB209" s="36"/>
      <c r="AHC209" s="36"/>
      <c r="AHD209" s="36"/>
      <c r="AHE209" s="36"/>
      <c r="AHF209" s="36"/>
      <c r="AHG209" s="36"/>
      <c r="AHH209" s="36"/>
      <c r="AHI209" s="36"/>
      <c r="AHJ209" s="36"/>
      <c r="AHK209" s="36"/>
      <c r="AHL209" s="36"/>
      <c r="AHM209" s="36"/>
      <c r="AHN209" s="36"/>
      <c r="AHO209" s="36"/>
      <c r="AHP209" s="36"/>
      <c r="AHQ209" s="36"/>
      <c r="AHR209" s="36"/>
      <c r="AHS209" s="36"/>
      <c r="AHT209" s="36"/>
      <c r="AHU209" s="36"/>
      <c r="AHV209" s="36"/>
      <c r="AHW209" s="36"/>
      <c r="AHX209" s="36"/>
      <c r="AHY209" s="36"/>
      <c r="AHZ209" s="36"/>
      <c r="AIA209" s="36"/>
      <c r="AIB209" s="36"/>
      <c r="AIC209" s="36"/>
      <c r="AID209" s="36"/>
      <c r="AIE209" s="36"/>
      <c r="AIF209" s="36"/>
      <c r="AIG209" s="36"/>
      <c r="AIH209" s="36"/>
      <c r="AII209" s="36"/>
      <c r="AIJ209" s="36"/>
      <c r="AIK209" s="36"/>
      <c r="AIL209" s="36"/>
      <c r="AIM209" s="36"/>
      <c r="AIN209" s="36"/>
      <c r="AIO209" s="36"/>
      <c r="AIP209" s="36"/>
      <c r="AIQ209" s="36"/>
      <c r="AIR209" s="36"/>
      <c r="AIS209" s="36"/>
      <c r="AIT209" s="36"/>
      <c r="AIU209" s="36"/>
      <c r="AIV209" s="36"/>
      <c r="AIW209" s="36"/>
      <c r="AIX209" s="36"/>
      <c r="AIY209" s="36"/>
      <c r="AIZ209" s="36"/>
      <c r="AJA209" s="36"/>
      <c r="AJB209" s="36"/>
      <c r="AJC209" s="36"/>
      <c r="AJD209" s="36"/>
      <c r="AJE209" s="36"/>
      <c r="AJF209" s="36"/>
      <c r="AJG209" s="36"/>
      <c r="AJH209" s="36"/>
      <c r="AJI209" s="36"/>
      <c r="AJJ209" s="36"/>
      <c r="AJK209" s="36"/>
      <c r="AJL209" s="36"/>
      <c r="AJM209" s="36"/>
      <c r="AJN209" s="36"/>
      <c r="AJO209" s="36"/>
      <c r="AJP209" s="36"/>
      <c r="AJQ209" s="36"/>
      <c r="AJR209" s="36"/>
      <c r="AJS209" s="36"/>
      <c r="AJT209" s="36"/>
      <c r="AJU209" s="36"/>
      <c r="AJV209" s="36"/>
      <c r="AJW209" s="36"/>
      <c r="AJX209" s="36"/>
      <c r="AJY209" s="36"/>
      <c r="AJZ209" s="36"/>
      <c r="AKA209" s="36"/>
      <c r="AKB209" s="36"/>
      <c r="AKC209" s="36"/>
      <c r="AKD209" s="36"/>
      <c r="AKE209" s="36"/>
      <c r="AKF209" s="36"/>
      <c r="AKG209" s="36"/>
      <c r="AKH209" s="36"/>
      <c r="AKI209" s="36"/>
      <c r="AKJ209" s="36"/>
      <c r="AKK209" s="36"/>
      <c r="AKL209" s="36"/>
      <c r="AKM209" s="36"/>
      <c r="AKN209" s="36"/>
      <c r="AKO209" s="36"/>
      <c r="AKP209" s="36"/>
      <c r="AKQ209" s="36"/>
      <c r="AKR209" s="36"/>
      <c r="AKS209" s="36"/>
      <c r="AKT209" s="36"/>
      <c r="AKU209" s="36"/>
      <c r="AKV209" s="36"/>
      <c r="AKW209" s="36"/>
      <c r="AKX209" s="36"/>
      <c r="AKY209" s="36"/>
      <c r="AKZ209" s="36"/>
      <c r="ALA209" s="36"/>
      <c r="ALB209" s="36"/>
      <c r="ALC209" s="36"/>
      <c r="ALD209" s="36"/>
      <c r="ALE209" s="36"/>
      <c r="ALF209" s="36"/>
      <c r="ALG209" s="36"/>
      <c r="ALH209" s="36"/>
      <c r="ALI209" s="36"/>
      <c r="ALJ209" s="36"/>
      <c r="ALK209" s="36"/>
      <c r="ALL209" s="36"/>
      <c r="ALM209" s="36"/>
      <c r="ALN209" s="36"/>
      <c r="ALO209" s="36"/>
      <c r="ALP209" s="36"/>
      <c r="ALQ209" s="36"/>
      <c r="ALR209" s="36"/>
      <c r="ALS209" s="36"/>
      <c r="ALT209" s="36"/>
      <c r="ALU209" s="36"/>
      <c r="ALV209" s="36"/>
      <c r="ALW209" s="36"/>
      <c r="ALX209" s="36"/>
      <c r="ALY209" s="36"/>
      <c r="ALZ209" s="36"/>
      <c r="AMA209" s="36"/>
      <c r="AMB209" s="36"/>
      <c r="AMC209" s="36"/>
      <c r="AMD209" s="36"/>
      <c r="AME209" s="36"/>
      <c r="AMF209" s="36"/>
      <c r="AMG209" s="36"/>
      <c r="AMH209" s="36"/>
      <c r="AMI209" s="36"/>
      <c r="AMJ209" s="36"/>
      <c r="AMK209" s="36"/>
      <c r="AML209" s="36"/>
      <c r="AMM209" s="36"/>
      <c r="AMN209" s="36"/>
      <c r="AMO209" s="36"/>
      <c r="AMP209" s="36"/>
      <c r="AMQ209" s="36"/>
      <c r="AMR209" s="36"/>
      <c r="AMS209" s="36"/>
      <c r="AMT209" s="36"/>
      <c r="AMU209" s="36"/>
      <c r="AMV209" s="36"/>
      <c r="AMW209" s="36"/>
      <c r="AMX209" s="36"/>
      <c r="AMY209" s="36"/>
      <c r="AMZ209" s="36"/>
      <c r="ANA209" s="36"/>
      <c r="ANB209" s="36"/>
      <c r="ANC209" s="36"/>
      <c r="AND209" s="36"/>
      <c r="ANE209" s="36"/>
      <c r="ANF209" s="36"/>
      <c r="ANG209" s="36"/>
      <c r="ANH209" s="36"/>
      <c r="ANI209" s="36"/>
      <c r="ANJ209" s="36"/>
      <c r="ANK209" s="36"/>
      <c r="ANL209" s="36"/>
      <c r="ANM209" s="36"/>
      <c r="ANN209" s="36"/>
      <c r="ANO209" s="36"/>
      <c r="ANP209" s="36"/>
      <c r="ANQ209" s="36"/>
      <c r="ANR209" s="36"/>
      <c r="ANS209" s="36"/>
      <c r="ANT209" s="36"/>
      <c r="ANU209" s="36"/>
      <c r="ANV209" s="36"/>
      <c r="ANW209" s="36"/>
      <c r="ANX209" s="36"/>
      <c r="ANY209" s="36"/>
      <c r="ANZ209" s="36"/>
      <c r="AOA209" s="36"/>
      <c r="AOB209" s="36"/>
      <c r="AOC209" s="36"/>
      <c r="AOD209" s="36"/>
      <c r="AOE209" s="36"/>
      <c r="AOF209" s="36"/>
      <c r="AOG209" s="36"/>
      <c r="AOH209" s="36"/>
      <c r="AOI209" s="36"/>
      <c r="AOJ209" s="36"/>
      <c r="AOK209" s="36"/>
      <c r="AOL209" s="36"/>
      <c r="AOM209" s="36"/>
      <c r="AON209" s="36"/>
      <c r="AOO209" s="36"/>
      <c r="AOP209" s="36"/>
      <c r="AOQ209" s="36"/>
      <c r="AOR209" s="36"/>
      <c r="AOS209" s="36"/>
      <c r="AOT209" s="36"/>
      <c r="AOU209" s="36"/>
      <c r="AOV209" s="36"/>
      <c r="AOW209" s="36"/>
      <c r="AOX209" s="36"/>
      <c r="AOY209" s="36"/>
      <c r="AOZ209" s="36"/>
      <c r="APA209" s="36"/>
      <c r="APB209" s="36"/>
      <c r="APC209" s="36"/>
      <c r="APD209" s="36"/>
      <c r="APE209" s="36"/>
      <c r="APF209" s="36"/>
      <c r="APG209" s="36"/>
      <c r="APH209" s="36"/>
      <c r="API209" s="36"/>
      <c r="APJ209" s="36"/>
      <c r="APK209" s="36"/>
      <c r="APL209" s="36"/>
      <c r="APM209" s="36"/>
      <c r="APN209" s="36"/>
      <c r="APO209" s="36"/>
      <c r="APP209" s="36"/>
      <c r="APQ209" s="36"/>
      <c r="APR209" s="36"/>
      <c r="APS209" s="36"/>
      <c r="APT209" s="36"/>
      <c r="APU209" s="36"/>
      <c r="APV209" s="36"/>
      <c r="APW209" s="36"/>
      <c r="APX209" s="36"/>
      <c r="APY209" s="36"/>
      <c r="APZ209" s="36"/>
      <c r="AQA209" s="36"/>
      <c r="AQB209" s="36"/>
      <c r="AQC209" s="36"/>
      <c r="AQD209" s="36"/>
      <c r="AQE209" s="36"/>
      <c r="AQF209" s="36"/>
      <c r="AQG209" s="36"/>
      <c r="AQH209" s="36"/>
      <c r="AQI209" s="36"/>
      <c r="AQJ209" s="36"/>
      <c r="AQK209" s="36"/>
      <c r="AQL209" s="36"/>
      <c r="AQM209" s="36"/>
      <c r="AQN209" s="36"/>
      <c r="AQO209" s="36"/>
      <c r="AQP209" s="36"/>
      <c r="AQQ209" s="36"/>
      <c r="AQR209" s="36"/>
      <c r="AQS209" s="36"/>
      <c r="AQT209" s="36"/>
      <c r="AQU209" s="36"/>
      <c r="AQV209" s="36"/>
      <c r="AQW209" s="36"/>
      <c r="AQX209" s="36"/>
      <c r="AQY209" s="36"/>
      <c r="AQZ209" s="36"/>
      <c r="ARA209" s="36"/>
      <c r="ARB209" s="36"/>
      <c r="ARC209" s="36"/>
      <c r="ARD209" s="36"/>
      <c r="ARE209" s="36"/>
      <c r="ARF209" s="36"/>
      <c r="ARG209" s="36"/>
      <c r="ARH209" s="36"/>
      <c r="ARI209" s="36"/>
      <c r="ARJ209" s="36"/>
      <c r="ARK209" s="36"/>
      <c r="ARL209" s="36"/>
      <c r="ARM209" s="36"/>
      <c r="ARN209" s="36"/>
      <c r="ARO209" s="36"/>
      <c r="ARP209" s="36"/>
      <c r="ARQ209" s="36"/>
      <c r="ARR209" s="36"/>
      <c r="ARS209" s="36"/>
      <c r="ART209" s="36"/>
      <c r="ARU209" s="36"/>
      <c r="ARV209" s="36"/>
      <c r="ARW209" s="36"/>
      <c r="ARX209" s="36"/>
      <c r="ARY209" s="36"/>
      <c r="ARZ209" s="36"/>
      <c r="ASA209" s="36"/>
      <c r="ASB209" s="36"/>
      <c r="ASC209" s="36"/>
      <c r="ASD209" s="36"/>
      <c r="ASE209" s="36"/>
      <c r="ASF209" s="36"/>
      <c r="ASG209" s="36"/>
      <c r="ASH209" s="36"/>
      <c r="ASI209" s="36"/>
      <c r="ASJ209" s="36"/>
      <c r="ASK209" s="36"/>
      <c r="ASL209" s="36"/>
      <c r="ASM209" s="36"/>
      <c r="ASN209" s="36"/>
      <c r="ASO209" s="36"/>
      <c r="ASP209" s="36"/>
      <c r="ASQ209" s="36"/>
      <c r="ASR209" s="36"/>
      <c r="ASS209" s="36"/>
      <c r="AST209" s="36"/>
      <c r="ASU209" s="36"/>
      <c r="ASV209" s="36"/>
      <c r="ASW209" s="36"/>
      <c r="ASX209" s="36"/>
      <c r="ASY209" s="36"/>
      <c r="ASZ209" s="36"/>
      <c r="ATA209" s="36"/>
      <c r="ATB209" s="36"/>
      <c r="ATC209" s="36"/>
      <c r="ATD209" s="36"/>
      <c r="ATE209" s="36"/>
      <c r="ATF209" s="36"/>
      <c r="ATG209" s="36"/>
      <c r="ATH209" s="36"/>
      <c r="ATI209" s="36"/>
      <c r="ATJ209" s="36"/>
      <c r="ATK209" s="36"/>
      <c r="ATL209" s="36"/>
      <c r="ATM209" s="36"/>
      <c r="ATN209" s="36"/>
      <c r="ATO209" s="36"/>
      <c r="ATP209" s="36"/>
      <c r="ATQ209" s="36"/>
      <c r="ATR209" s="36"/>
      <c r="ATS209" s="36"/>
      <c r="ATT209" s="36"/>
      <c r="ATU209" s="36"/>
      <c r="ATV209" s="36"/>
      <c r="ATW209" s="36"/>
      <c r="ATX209" s="36"/>
      <c r="ATY209" s="36"/>
      <c r="ATZ209" s="36"/>
      <c r="AUA209" s="36"/>
      <c r="AUB209" s="36"/>
      <c r="AUC209" s="36"/>
      <c r="AUD209" s="36"/>
      <c r="AUE209" s="36"/>
      <c r="AUF209" s="36"/>
      <c r="AUG209" s="36"/>
      <c r="AUH209" s="36"/>
      <c r="AUI209" s="36"/>
      <c r="AUJ209" s="36"/>
      <c r="AUK209" s="36"/>
      <c r="AUL209" s="36"/>
      <c r="AUM209" s="36"/>
      <c r="AUN209" s="36"/>
      <c r="AUO209" s="36"/>
      <c r="AUP209" s="36"/>
      <c r="AUQ209" s="36"/>
      <c r="AUR209" s="36"/>
      <c r="AUS209" s="36"/>
      <c r="AUT209" s="36"/>
      <c r="AUU209" s="36"/>
      <c r="AUV209" s="36"/>
      <c r="AUW209" s="36"/>
      <c r="AUX209" s="36"/>
      <c r="AUY209" s="36"/>
      <c r="AUZ209" s="36"/>
      <c r="AVA209" s="36"/>
      <c r="AVB209" s="36"/>
      <c r="AVC209" s="36"/>
      <c r="AVD209" s="36"/>
      <c r="AVE209" s="36"/>
      <c r="AVF209" s="36"/>
      <c r="AVG209" s="36"/>
      <c r="AVH209" s="36"/>
      <c r="AVI209" s="36"/>
      <c r="AVJ209" s="36"/>
      <c r="AVK209" s="36"/>
      <c r="AVL209" s="36"/>
      <c r="AVM209" s="36"/>
      <c r="AVN209" s="36"/>
      <c r="AVO209" s="36"/>
      <c r="AVP209" s="36"/>
      <c r="AVQ209" s="36"/>
      <c r="AVR209" s="36"/>
      <c r="AVS209" s="36"/>
      <c r="AVT209" s="36"/>
      <c r="AVU209" s="36"/>
      <c r="AVV209" s="36"/>
      <c r="AVW209" s="36"/>
      <c r="AVX209" s="36"/>
      <c r="AVY209" s="36"/>
      <c r="AVZ209" s="36"/>
      <c r="AWA209" s="36"/>
      <c r="AWB209" s="36"/>
      <c r="AWC209" s="36"/>
      <c r="AWD209" s="36"/>
      <c r="AWE209" s="36"/>
      <c r="AWF209" s="36"/>
      <c r="AWG209" s="36"/>
      <c r="AWH209" s="36"/>
      <c r="AWI209" s="36"/>
      <c r="AWJ209" s="36"/>
      <c r="AWK209" s="36"/>
      <c r="AWL209" s="36"/>
      <c r="AWM209" s="36"/>
      <c r="AWN209" s="36"/>
      <c r="AWO209" s="36"/>
      <c r="AWP209" s="36"/>
      <c r="AWQ209" s="36"/>
      <c r="AWR209" s="36"/>
      <c r="AWS209" s="36"/>
      <c r="AWT209" s="36"/>
      <c r="AWU209" s="36"/>
      <c r="AWV209" s="36"/>
      <c r="AWW209" s="36"/>
      <c r="AWX209" s="36"/>
      <c r="AWY209" s="36"/>
      <c r="AWZ209" s="36"/>
      <c r="AXA209" s="36"/>
      <c r="AXB209" s="36"/>
      <c r="AXC209" s="36"/>
      <c r="AXD209" s="36"/>
      <c r="AXE209" s="36"/>
      <c r="AXF209" s="36"/>
      <c r="AXG209" s="36"/>
      <c r="AXH209" s="36"/>
      <c r="AXI209" s="36"/>
      <c r="AXJ209" s="36"/>
      <c r="AXK209" s="36"/>
      <c r="AXL209" s="36"/>
      <c r="AXM209" s="36"/>
      <c r="AXN209" s="36"/>
      <c r="AXO209" s="36"/>
      <c r="AXP209" s="36"/>
      <c r="AXQ209" s="36"/>
      <c r="AXR209" s="36"/>
      <c r="AXS209" s="36"/>
      <c r="AXT209" s="36"/>
      <c r="AXU209" s="36"/>
      <c r="AXV209" s="36"/>
      <c r="AXW209" s="36"/>
      <c r="AXX209" s="36"/>
      <c r="AXY209" s="36"/>
      <c r="AXZ209" s="36"/>
      <c r="AYA209" s="36"/>
      <c r="AYB209" s="36"/>
      <c r="AYC209" s="36"/>
      <c r="AYD209" s="36"/>
      <c r="AYE209" s="36"/>
      <c r="AYF209" s="36"/>
      <c r="AYG209" s="36"/>
      <c r="AYH209" s="36"/>
      <c r="AYI209" s="36"/>
      <c r="AYJ209" s="36"/>
      <c r="AYK209" s="36"/>
      <c r="AYL209" s="36"/>
      <c r="AYM209" s="36"/>
      <c r="AYN209" s="36"/>
      <c r="AYO209" s="36"/>
      <c r="AYP209" s="36"/>
      <c r="AYQ209" s="36"/>
      <c r="AYR209" s="36"/>
      <c r="AYS209" s="36"/>
      <c r="AYT209" s="36"/>
      <c r="AYU209" s="36"/>
      <c r="AYV209" s="36"/>
      <c r="AYW209" s="36"/>
      <c r="AYX209" s="36"/>
      <c r="AYY209" s="36"/>
      <c r="AYZ209" s="36"/>
      <c r="AZA209" s="36"/>
      <c r="AZB209" s="36"/>
      <c r="AZC209" s="36"/>
      <c r="AZD209" s="36"/>
      <c r="AZE209" s="36"/>
      <c r="AZF209" s="36"/>
      <c r="AZG209" s="36"/>
      <c r="AZH209" s="36"/>
      <c r="AZI209" s="36"/>
      <c r="AZJ209" s="36"/>
      <c r="AZK209" s="36"/>
      <c r="AZL209" s="36"/>
      <c r="AZM209" s="36"/>
      <c r="AZN209" s="36"/>
      <c r="AZO209" s="36"/>
      <c r="AZP209" s="36"/>
      <c r="AZQ209" s="36"/>
      <c r="AZR209" s="36"/>
      <c r="AZS209" s="36"/>
      <c r="AZT209" s="36"/>
      <c r="AZU209" s="36"/>
      <c r="AZV209" s="36"/>
      <c r="AZW209" s="36"/>
      <c r="AZX209" s="36"/>
      <c r="AZY209" s="36"/>
      <c r="AZZ209" s="36"/>
      <c r="BAA209" s="36"/>
      <c r="BAB209" s="36"/>
      <c r="BAC209" s="36"/>
      <c r="BAD209" s="36"/>
      <c r="BAE209" s="36"/>
      <c r="BAF209" s="36"/>
      <c r="BAG209" s="36"/>
      <c r="BAH209" s="36"/>
      <c r="BAI209" s="36"/>
      <c r="BAJ209" s="36"/>
      <c r="BAK209" s="36"/>
      <c r="BAL209" s="36"/>
      <c r="BAM209" s="36"/>
      <c r="BAN209" s="36"/>
      <c r="BAO209" s="36"/>
      <c r="BAP209" s="36"/>
      <c r="BAQ209" s="36"/>
      <c r="BAR209" s="36"/>
      <c r="BAS209" s="36"/>
      <c r="BAT209" s="36"/>
      <c r="BAU209" s="36"/>
      <c r="BAV209" s="36"/>
      <c r="BAW209" s="36"/>
      <c r="BAX209" s="36"/>
      <c r="BAY209" s="36"/>
      <c r="BAZ209" s="36"/>
      <c r="BBA209" s="36"/>
      <c r="BBB209" s="36"/>
      <c r="BBC209" s="36"/>
      <c r="BBD209" s="36"/>
      <c r="BBE209" s="36"/>
      <c r="BBF209" s="36"/>
      <c r="BBG209" s="36"/>
      <c r="BBH209" s="36"/>
      <c r="BBI209" s="36"/>
      <c r="BBJ209" s="36"/>
      <c r="BBK209" s="36"/>
      <c r="BBL209" s="36"/>
      <c r="BBM209" s="36"/>
      <c r="BBN209" s="36"/>
      <c r="BBO209" s="36"/>
      <c r="BBP209" s="36"/>
      <c r="BBQ209" s="36"/>
      <c r="BBR209" s="36"/>
      <c r="BBS209" s="36"/>
      <c r="BBT209" s="36"/>
      <c r="BBU209" s="36"/>
      <c r="BBV209" s="36"/>
      <c r="BBW209" s="36"/>
      <c r="BBX209" s="36"/>
      <c r="BBY209" s="36"/>
      <c r="BBZ209" s="36"/>
      <c r="BCA209" s="36"/>
      <c r="BCB209" s="36"/>
      <c r="BCC209" s="36"/>
      <c r="BCD209" s="36"/>
      <c r="BCE209" s="36"/>
      <c r="BCF209" s="36"/>
      <c r="BCG209" s="36"/>
      <c r="BCH209" s="36"/>
      <c r="BCI209" s="36"/>
      <c r="BCJ209" s="36"/>
      <c r="BCK209" s="36"/>
      <c r="BCL209" s="36"/>
      <c r="BCM209" s="36"/>
      <c r="BCN209" s="36"/>
      <c r="BCO209" s="36"/>
      <c r="BCP209" s="36"/>
      <c r="BCQ209" s="36"/>
      <c r="BCR209" s="36"/>
      <c r="BCS209" s="36"/>
      <c r="BCT209" s="36"/>
      <c r="BCU209" s="36"/>
      <c r="BCV209" s="36"/>
      <c r="BCW209" s="36"/>
      <c r="BCX209" s="36"/>
      <c r="BCY209" s="36"/>
      <c r="BCZ209" s="36"/>
      <c r="BDA209" s="36"/>
      <c r="BDB209" s="36"/>
      <c r="BDC209" s="36"/>
      <c r="BDD209" s="36"/>
      <c r="BDE209" s="36"/>
      <c r="BDF209" s="36"/>
      <c r="BDG209" s="36"/>
      <c r="BDH209" s="36"/>
      <c r="BDI209" s="36"/>
      <c r="BDJ209" s="36"/>
      <c r="BDK209" s="36"/>
      <c r="BDL209" s="36"/>
      <c r="BDM209" s="36"/>
      <c r="BDN209" s="36"/>
      <c r="BDO209" s="36"/>
      <c r="BDP209" s="36"/>
      <c r="BDQ209" s="36"/>
      <c r="BDR209" s="36"/>
      <c r="BDS209" s="36"/>
      <c r="BDT209" s="36"/>
      <c r="BDU209" s="36"/>
      <c r="BDV209" s="36"/>
      <c r="BDW209" s="36"/>
      <c r="BDX209" s="36"/>
      <c r="BDY209" s="36"/>
      <c r="BDZ209" s="36"/>
      <c r="BEA209" s="36"/>
      <c r="BEB209" s="36"/>
      <c r="BEC209" s="36"/>
      <c r="BED209" s="36"/>
      <c r="BEE209" s="36"/>
      <c r="BEF209" s="36"/>
      <c r="BEG209" s="36"/>
      <c r="BEH209" s="36"/>
      <c r="BEI209" s="36"/>
      <c r="BEJ209" s="36"/>
      <c r="BEK209" s="36"/>
      <c r="BEL209" s="36"/>
      <c r="BEM209" s="36"/>
      <c r="BEN209" s="36"/>
      <c r="BEO209" s="36"/>
      <c r="BEP209" s="36"/>
      <c r="BEQ209" s="36"/>
      <c r="BER209" s="36"/>
      <c r="BES209" s="36"/>
      <c r="BET209" s="36"/>
      <c r="BEU209" s="36"/>
      <c r="BEV209" s="36"/>
      <c r="BEW209" s="36"/>
      <c r="BEX209" s="36"/>
      <c r="BEY209" s="36"/>
      <c r="BEZ209" s="36"/>
      <c r="BFA209" s="36"/>
      <c r="BFB209" s="36"/>
      <c r="BFC209" s="36"/>
      <c r="BFD209" s="36"/>
      <c r="BFE209" s="36"/>
      <c r="BFF209" s="36"/>
      <c r="BFG209" s="36"/>
      <c r="BFH209" s="36"/>
      <c r="BFI209" s="36"/>
      <c r="BFJ209" s="36"/>
      <c r="BFK209" s="36"/>
      <c r="BFL209" s="36"/>
      <c r="BFM209" s="36"/>
      <c r="BFN209" s="36"/>
      <c r="BFO209" s="36"/>
      <c r="BFP209" s="36"/>
      <c r="BFQ209" s="36"/>
      <c r="BFR209" s="36"/>
      <c r="BFS209" s="36"/>
      <c r="BFT209" s="36"/>
      <c r="BFU209" s="36"/>
      <c r="BFV209" s="36"/>
      <c r="BFW209" s="36"/>
      <c r="BFX209" s="36"/>
      <c r="BFY209" s="36"/>
      <c r="BFZ209" s="36"/>
      <c r="BGA209" s="36"/>
      <c r="BGB209" s="36"/>
      <c r="BGC209" s="36"/>
      <c r="BGD209" s="36"/>
      <c r="BGE209" s="36"/>
      <c r="BGF209" s="36"/>
      <c r="BGG209" s="36"/>
      <c r="BGH209" s="36"/>
      <c r="BGI209" s="36"/>
      <c r="BGJ209" s="36"/>
      <c r="BGK209" s="36"/>
      <c r="BGL209" s="36"/>
      <c r="BGM209" s="36"/>
      <c r="BGN209" s="36"/>
      <c r="BGO209" s="36"/>
      <c r="BGP209" s="36"/>
      <c r="BGQ209" s="36"/>
      <c r="BGR209" s="36"/>
      <c r="BGS209" s="36"/>
      <c r="BGT209" s="36"/>
      <c r="BGU209" s="36"/>
      <c r="BGV209" s="36"/>
      <c r="BGW209" s="36"/>
      <c r="BGX209" s="36"/>
      <c r="BGY209" s="36"/>
      <c r="BGZ209" s="36"/>
      <c r="BHA209" s="36"/>
      <c r="BHB209" s="36"/>
      <c r="BHC209" s="36"/>
      <c r="BHD209" s="36"/>
      <c r="BHE209" s="36"/>
      <c r="BHF209" s="36"/>
      <c r="BHG209" s="36"/>
      <c r="BHH209" s="36"/>
      <c r="BHI209" s="36"/>
      <c r="BHJ209" s="36"/>
      <c r="BHK209" s="36"/>
      <c r="BHL209" s="36"/>
      <c r="BHM209" s="36"/>
      <c r="BHN209" s="36"/>
      <c r="BHO209" s="36"/>
      <c r="BHP209" s="36"/>
      <c r="BHQ209" s="36"/>
      <c r="BHR209" s="36"/>
      <c r="BHS209" s="36"/>
      <c r="BHT209" s="36"/>
      <c r="BHU209" s="36"/>
      <c r="BHV209" s="36"/>
      <c r="BHW209" s="36"/>
      <c r="BHX209" s="36"/>
      <c r="BHY209" s="36"/>
      <c r="BHZ209" s="36"/>
      <c r="BIA209" s="36"/>
      <c r="BIB209" s="36"/>
      <c r="BIC209" s="36"/>
      <c r="BID209" s="36"/>
      <c r="BIE209" s="36"/>
      <c r="BIF209" s="36"/>
      <c r="BIG209" s="36"/>
      <c r="BIH209" s="36"/>
      <c r="BII209" s="36"/>
      <c r="BIJ209" s="36"/>
      <c r="BIK209" s="36"/>
      <c r="BIL209" s="36"/>
      <c r="BIM209" s="36"/>
      <c r="BIN209" s="36"/>
      <c r="BIO209" s="36"/>
      <c r="BIP209" s="36"/>
      <c r="BIQ209" s="36"/>
      <c r="BIR209" s="36"/>
      <c r="BIS209" s="36"/>
      <c r="BIT209" s="36"/>
      <c r="BIU209" s="36"/>
      <c r="BIV209" s="36"/>
      <c r="BIW209" s="36"/>
      <c r="BIX209" s="36"/>
      <c r="BIY209" s="36"/>
      <c r="BIZ209" s="36"/>
      <c r="BJA209" s="36"/>
      <c r="BJB209" s="36"/>
      <c r="BJC209" s="36"/>
      <c r="BJD209" s="36"/>
      <c r="BJE209" s="36"/>
      <c r="BJF209" s="36"/>
      <c r="BJG209" s="36"/>
      <c r="BJH209" s="36"/>
      <c r="BJI209" s="36"/>
      <c r="BJJ209" s="36"/>
      <c r="BJK209" s="36"/>
      <c r="BJL209" s="36"/>
      <c r="BJM209" s="36"/>
      <c r="BJN209" s="36"/>
      <c r="BJO209" s="36"/>
      <c r="BJP209" s="36"/>
      <c r="BJQ209" s="36"/>
      <c r="BJR209" s="36"/>
      <c r="BJS209" s="36"/>
      <c r="BJT209" s="36"/>
      <c r="BJU209" s="36"/>
      <c r="BJV209" s="36"/>
      <c r="BJW209" s="36"/>
      <c r="BJX209" s="36"/>
      <c r="BJY209" s="36"/>
      <c r="BJZ209" s="36"/>
      <c r="BKA209" s="36"/>
      <c r="BKB209" s="36"/>
      <c r="BKC209" s="36"/>
      <c r="BKD209" s="36"/>
      <c r="BKE209" s="36"/>
      <c r="BKF209" s="36"/>
      <c r="BKG209" s="36"/>
      <c r="BKH209" s="36"/>
      <c r="BKI209" s="36"/>
      <c r="BKJ209" s="36"/>
      <c r="BKK209" s="36"/>
      <c r="BKL209" s="36"/>
      <c r="BKM209" s="36"/>
      <c r="BKN209" s="36"/>
      <c r="BKO209" s="36"/>
      <c r="BKP209" s="36"/>
      <c r="BKQ209" s="36"/>
      <c r="BKR209" s="36"/>
      <c r="BKS209" s="36"/>
      <c r="BKT209" s="36"/>
      <c r="BKU209" s="36"/>
      <c r="BKV209" s="36"/>
      <c r="BKW209" s="36"/>
      <c r="BKX209" s="36"/>
      <c r="BKY209" s="36"/>
      <c r="BKZ209" s="36"/>
      <c r="BLA209" s="36"/>
      <c r="BLB209" s="36"/>
      <c r="BLC209" s="36"/>
      <c r="BLD209" s="36"/>
      <c r="BLE209" s="36"/>
      <c r="BLF209" s="36"/>
      <c r="BLG209" s="36"/>
      <c r="BLH209" s="36"/>
      <c r="BLI209" s="36"/>
      <c r="BLJ209" s="36"/>
      <c r="BLK209" s="36"/>
      <c r="BLL209" s="36"/>
      <c r="BLM209" s="36"/>
      <c r="BLN209" s="36"/>
      <c r="BLO209" s="36"/>
      <c r="BLP209" s="36"/>
      <c r="BLQ209" s="36"/>
      <c r="BLR209" s="36"/>
      <c r="BLS209" s="36"/>
      <c r="BLT209" s="36"/>
      <c r="BLU209" s="36"/>
      <c r="BLV209" s="36"/>
      <c r="BLW209" s="36"/>
      <c r="BLX209" s="36"/>
      <c r="BLY209" s="36"/>
      <c r="BLZ209" s="36"/>
      <c r="BMA209" s="36"/>
      <c r="BMB209" s="36"/>
      <c r="BMC209" s="36"/>
      <c r="BMD209" s="36"/>
      <c r="BME209" s="36"/>
      <c r="BMF209" s="36"/>
      <c r="BMG209" s="36"/>
      <c r="BMH209" s="36"/>
      <c r="BMI209" s="36"/>
      <c r="BMJ209" s="36"/>
      <c r="BMK209" s="36"/>
      <c r="BML209" s="36"/>
      <c r="BMM209" s="36"/>
      <c r="BMN209" s="36"/>
      <c r="BMO209" s="36"/>
      <c r="BMP209" s="36"/>
      <c r="BMQ209" s="36"/>
      <c r="BMR209" s="36"/>
      <c r="BMS209" s="36"/>
      <c r="BMT209" s="36"/>
      <c r="BMU209" s="36"/>
      <c r="BMV209" s="36"/>
      <c r="BMW209" s="36"/>
      <c r="BMX209" s="36"/>
      <c r="BMY209" s="36"/>
      <c r="BMZ209" s="36"/>
      <c r="BNA209" s="36"/>
      <c r="BNB209" s="36"/>
      <c r="BNC209" s="36"/>
      <c r="BND209" s="36"/>
      <c r="BNE209" s="36"/>
      <c r="BNF209" s="36"/>
      <c r="BNG209" s="36"/>
      <c r="BNH209" s="36"/>
      <c r="BNI209" s="36"/>
      <c r="BNJ209" s="36"/>
      <c r="BNK209" s="36"/>
      <c r="BNL209" s="36"/>
      <c r="BNM209" s="36"/>
      <c r="BNN209" s="36"/>
      <c r="BNO209" s="36"/>
      <c r="BNP209" s="36"/>
      <c r="BNQ209" s="36"/>
      <c r="BNR209" s="36"/>
      <c r="BNS209" s="36"/>
      <c r="BNT209" s="36"/>
      <c r="BNU209" s="36"/>
      <c r="BNV209" s="36"/>
      <c r="BNW209" s="36"/>
      <c r="BNX209" s="36"/>
      <c r="BNY209" s="36"/>
      <c r="BNZ209" s="36"/>
      <c r="BOA209" s="36"/>
      <c r="BOB209" s="36"/>
      <c r="BOC209" s="36"/>
      <c r="BOD209" s="36"/>
      <c r="BOE209" s="36"/>
      <c r="BOF209" s="36"/>
      <c r="BOG209" s="36"/>
      <c r="BOH209" s="36"/>
      <c r="BOI209" s="36"/>
      <c r="BOJ209" s="36"/>
      <c r="BOK209" s="36"/>
      <c r="BOL209" s="36"/>
      <c r="BOM209" s="36"/>
      <c r="BON209" s="36"/>
      <c r="BOO209" s="36"/>
      <c r="BOP209" s="36"/>
      <c r="BOQ209" s="36"/>
      <c r="BOR209" s="36"/>
      <c r="BOS209" s="36"/>
      <c r="BOT209" s="36"/>
      <c r="BOU209" s="36"/>
      <c r="BOV209" s="36"/>
      <c r="BOW209" s="36"/>
      <c r="BOX209" s="36"/>
      <c r="BOY209" s="36"/>
      <c r="BOZ209" s="36"/>
      <c r="BPA209" s="36"/>
      <c r="BPB209" s="36"/>
      <c r="BPC209" s="36"/>
      <c r="BPD209" s="36"/>
      <c r="BPE209" s="36"/>
      <c r="BPF209" s="36"/>
      <c r="BPG209" s="36"/>
      <c r="BPH209" s="36"/>
      <c r="BPI209" s="36"/>
      <c r="BPJ209" s="36"/>
      <c r="BPK209" s="36"/>
      <c r="BPL209" s="36"/>
      <c r="BPM209" s="36"/>
      <c r="BPN209" s="36"/>
      <c r="BPO209" s="36"/>
      <c r="BPP209" s="36"/>
      <c r="BPQ209" s="36"/>
      <c r="BPR209" s="36"/>
      <c r="BPS209" s="36"/>
      <c r="BPT209" s="36"/>
      <c r="BPU209" s="36"/>
      <c r="BPV209" s="36"/>
      <c r="BPW209" s="36"/>
      <c r="BPX209" s="36"/>
      <c r="BPY209" s="36"/>
      <c r="BPZ209" s="36"/>
      <c r="BQA209" s="36"/>
      <c r="BQB209" s="36"/>
      <c r="BQC209" s="36"/>
      <c r="BQD209" s="36"/>
      <c r="BQE209" s="36"/>
      <c r="BQF209" s="36"/>
      <c r="BQG209" s="36"/>
      <c r="BQH209" s="36"/>
      <c r="BQI209" s="36"/>
      <c r="BQJ209" s="36"/>
      <c r="BQK209" s="36"/>
      <c r="BQL209" s="36"/>
      <c r="BQM209" s="36"/>
      <c r="BQN209" s="36"/>
      <c r="BQO209" s="36"/>
      <c r="BQP209" s="36"/>
      <c r="BQQ209" s="36"/>
      <c r="BQR209" s="36"/>
      <c r="BQS209" s="36"/>
      <c r="BQT209" s="36"/>
      <c r="BQU209" s="36"/>
      <c r="BQV209" s="36"/>
      <c r="BQW209" s="36"/>
      <c r="BQX209" s="36"/>
      <c r="BQY209" s="36"/>
      <c r="BQZ209" s="36"/>
      <c r="BRA209" s="36"/>
      <c r="BRB209" s="36"/>
      <c r="BRC209" s="36"/>
      <c r="BRD209" s="36"/>
      <c r="BRE209" s="36"/>
      <c r="BRF209" s="36"/>
      <c r="BRG209" s="36"/>
      <c r="BRH209" s="36"/>
      <c r="BRI209" s="36"/>
      <c r="BRJ209" s="36"/>
      <c r="BRK209" s="36"/>
      <c r="BRL209" s="36"/>
      <c r="BRM209" s="36"/>
      <c r="BRN209" s="36"/>
      <c r="BRO209" s="36"/>
      <c r="BRP209" s="36"/>
      <c r="BRQ209" s="36"/>
      <c r="BRR209" s="36"/>
      <c r="BRS209" s="36"/>
      <c r="BRT209" s="36"/>
      <c r="BRU209" s="36"/>
      <c r="BRV209" s="36"/>
      <c r="BRW209" s="36"/>
      <c r="BRX209" s="36"/>
      <c r="BRY209" s="36"/>
      <c r="BRZ209" s="36"/>
      <c r="BSA209" s="36"/>
      <c r="BSB209" s="36"/>
      <c r="BSC209" s="36"/>
      <c r="BSD209" s="36"/>
      <c r="BSE209" s="36"/>
      <c r="BSF209" s="36"/>
      <c r="BSG209" s="36"/>
      <c r="BSH209" s="36"/>
      <c r="BSI209" s="36"/>
      <c r="BSJ209" s="36"/>
      <c r="BSK209" s="36"/>
      <c r="BSL209" s="36"/>
      <c r="BSM209" s="36"/>
      <c r="BSN209" s="36"/>
      <c r="BSO209" s="36"/>
      <c r="BSP209" s="36"/>
      <c r="BSQ209" s="36"/>
      <c r="BSR209" s="36"/>
      <c r="BSS209" s="36"/>
      <c r="BST209" s="36"/>
      <c r="BSU209" s="36"/>
      <c r="BSV209" s="36"/>
      <c r="BSW209" s="36"/>
      <c r="BSX209" s="36"/>
      <c r="BSY209" s="36"/>
      <c r="BSZ209" s="36"/>
      <c r="BTA209" s="36"/>
      <c r="BTB209" s="36"/>
      <c r="BTC209" s="36"/>
      <c r="BTD209" s="36"/>
      <c r="BTE209" s="36"/>
      <c r="BTF209" s="36"/>
      <c r="BTG209" s="36"/>
      <c r="BTH209" s="36"/>
      <c r="BTI209" s="36"/>
      <c r="BTJ209" s="36"/>
      <c r="BTK209" s="36"/>
      <c r="BTL209" s="36"/>
      <c r="BTM209" s="36"/>
      <c r="BTN209" s="36"/>
      <c r="BTO209" s="36"/>
      <c r="BTP209" s="36"/>
      <c r="BTQ209" s="36"/>
      <c r="BTR209" s="36"/>
      <c r="BTS209" s="36"/>
      <c r="BTT209" s="36"/>
      <c r="BTU209" s="36"/>
      <c r="BTV209" s="36"/>
      <c r="BTW209" s="36"/>
      <c r="BTX209" s="36"/>
      <c r="BTY209" s="36"/>
      <c r="BTZ209" s="36"/>
      <c r="BUA209" s="36"/>
      <c r="BUB209" s="36"/>
      <c r="BUC209" s="36"/>
      <c r="BUD209" s="36"/>
      <c r="BUE209" s="36"/>
      <c r="BUF209" s="36"/>
      <c r="BUG209" s="36"/>
      <c r="BUH209" s="36"/>
      <c r="BUI209" s="36"/>
      <c r="BUJ209" s="36"/>
      <c r="BUK209" s="36"/>
      <c r="BUL209" s="36"/>
      <c r="BUM209" s="36"/>
      <c r="BUN209" s="36"/>
      <c r="BUO209" s="36"/>
      <c r="BUP209" s="36"/>
      <c r="BUQ209" s="36"/>
      <c r="BUR209" s="36"/>
      <c r="BUS209" s="36"/>
      <c r="BUT209" s="36"/>
      <c r="BUU209" s="36"/>
      <c r="BUV209" s="36"/>
      <c r="BUW209" s="36"/>
      <c r="BUX209" s="36"/>
      <c r="BUY209" s="36"/>
      <c r="BUZ209" s="36"/>
      <c r="BVA209" s="36"/>
      <c r="BVB209" s="36"/>
      <c r="BVC209" s="36"/>
      <c r="BVD209" s="36"/>
      <c r="BVE209" s="36"/>
      <c r="BVF209" s="36"/>
      <c r="BVG209" s="36"/>
      <c r="BVH209" s="36"/>
      <c r="BVI209" s="36"/>
      <c r="BVJ209" s="36"/>
      <c r="BVK209" s="36"/>
      <c r="BVL209" s="36"/>
      <c r="BVM209" s="36"/>
      <c r="BVN209" s="36"/>
      <c r="BVO209" s="36"/>
      <c r="BVP209" s="36"/>
      <c r="BVQ209" s="36"/>
      <c r="BVR209" s="36"/>
      <c r="BVS209" s="36"/>
      <c r="BVT209" s="36"/>
      <c r="BVU209" s="36"/>
      <c r="BVV209" s="36"/>
      <c r="BVW209" s="36"/>
      <c r="BVX209" s="36"/>
      <c r="BVY209" s="36"/>
      <c r="BVZ209" s="36"/>
      <c r="BWA209" s="36"/>
      <c r="BWB209" s="36"/>
      <c r="BWC209" s="36"/>
      <c r="BWD209" s="36"/>
      <c r="BWE209" s="36"/>
      <c r="BWF209" s="36"/>
      <c r="BWG209" s="36"/>
      <c r="BWH209" s="36"/>
      <c r="BWI209" s="36"/>
      <c r="BWJ209" s="36"/>
      <c r="BWK209" s="36"/>
      <c r="BWL209" s="36"/>
      <c r="BWM209" s="36"/>
      <c r="BWN209" s="36"/>
      <c r="BWO209" s="36"/>
      <c r="BWP209" s="36"/>
      <c r="BWQ209" s="36"/>
      <c r="BWR209" s="36"/>
      <c r="BWS209" s="36"/>
      <c r="BWT209" s="36"/>
      <c r="BWU209" s="36"/>
      <c r="BWV209" s="36"/>
      <c r="BWW209" s="36"/>
      <c r="BWX209" s="36"/>
      <c r="BWY209" s="36"/>
      <c r="BWZ209" s="36"/>
      <c r="BXA209" s="36"/>
      <c r="BXB209" s="36"/>
      <c r="BXC209" s="36"/>
      <c r="BXD209" s="36"/>
      <c r="BXE209" s="36"/>
      <c r="BXF209" s="36"/>
      <c r="BXG209" s="36"/>
      <c r="BXH209" s="36"/>
      <c r="BXI209" s="36"/>
      <c r="BXJ209" s="36"/>
      <c r="BXK209" s="36"/>
      <c r="BXL209" s="36"/>
      <c r="BXM209" s="36"/>
      <c r="BXN209" s="36"/>
      <c r="BXO209" s="36"/>
      <c r="BXP209" s="36"/>
      <c r="BXQ209" s="36"/>
      <c r="BXR209" s="36"/>
      <c r="BXS209" s="36"/>
      <c r="BXT209" s="36"/>
      <c r="BXU209" s="36"/>
      <c r="BXV209" s="36"/>
      <c r="BXW209" s="36"/>
      <c r="BXX209" s="36"/>
      <c r="BXY209" s="36"/>
      <c r="BXZ209" s="36"/>
      <c r="BYA209" s="36"/>
      <c r="BYB209" s="36"/>
      <c r="BYC209" s="36"/>
      <c r="BYD209" s="36"/>
      <c r="BYE209" s="36"/>
      <c r="BYF209" s="36"/>
      <c r="BYG209" s="36"/>
      <c r="BYH209" s="36"/>
      <c r="BYI209" s="36"/>
      <c r="BYJ209" s="36"/>
      <c r="BYK209" s="36"/>
      <c r="BYL209" s="36"/>
      <c r="BYM209" s="36"/>
      <c r="BYN209" s="36"/>
      <c r="BYO209" s="36"/>
      <c r="BYP209" s="36"/>
      <c r="BYQ209" s="36"/>
      <c r="BYR209" s="36"/>
      <c r="BYS209" s="36"/>
      <c r="BYT209" s="36"/>
      <c r="BYU209" s="36"/>
      <c r="BYV209" s="36"/>
      <c r="BYW209" s="36"/>
      <c r="BYX209" s="36"/>
      <c r="BYY209" s="36"/>
      <c r="BYZ209" s="36"/>
      <c r="BZA209" s="36"/>
      <c r="BZB209" s="36"/>
      <c r="BZC209" s="36"/>
      <c r="BZD209" s="36"/>
      <c r="BZE209" s="36"/>
      <c r="BZF209" s="36"/>
      <c r="BZG209" s="36"/>
      <c r="BZH209" s="36"/>
      <c r="BZI209" s="36"/>
      <c r="BZJ209" s="36"/>
      <c r="BZK209" s="36"/>
      <c r="BZL209" s="36"/>
      <c r="BZM209" s="36"/>
      <c r="BZN209" s="36"/>
      <c r="BZO209" s="36"/>
      <c r="BZP209" s="36"/>
      <c r="BZQ209" s="36"/>
      <c r="BZR209" s="36"/>
      <c r="BZS209" s="36"/>
      <c r="BZT209" s="36"/>
      <c r="BZU209" s="36"/>
      <c r="BZV209" s="36"/>
      <c r="BZW209" s="36"/>
      <c r="BZX209" s="36"/>
      <c r="BZY209" s="36"/>
      <c r="BZZ209" s="36"/>
      <c r="CAA209" s="36"/>
      <c r="CAB209" s="36"/>
      <c r="CAC209" s="36"/>
      <c r="CAD209" s="36"/>
      <c r="CAE209" s="36"/>
      <c r="CAF209" s="36"/>
      <c r="CAG209" s="36"/>
      <c r="CAH209" s="36"/>
      <c r="CAI209" s="36"/>
      <c r="CAJ209" s="36"/>
      <c r="CAK209" s="36"/>
      <c r="CAL209" s="36"/>
      <c r="CAM209" s="36"/>
      <c r="CAN209" s="36"/>
      <c r="CAO209" s="36"/>
      <c r="CAP209" s="36"/>
      <c r="CAQ209" s="36"/>
      <c r="CAR209" s="36"/>
      <c r="CAS209" s="36"/>
      <c r="CAT209" s="36"/>
      <c r="CAU209" s="36"/>
      <c r="CAV209" s="36"/>
      <c r="CAW209" s="36"/>
      <c r="CAX209" s="36"/>
      <c r="CAY209" s="36"/>
      <c r="CAZ209" s="36"/>
      <c r="CBA209" s="36"/>
      <c r="CBB209" s="36"/>
      <c r="CBC209" s="36"/>
      <c r="CBD209" s="36"/>
      <c r="CBE209" s="36"/>
      <c r="CBF209" s="36"/>
      <c r="CBG209" s="36"/>
      <c r="CBH209" s="36"/>
      <c r="CBI209" s="36"/>
      <c r="CBJ209" s="36"/>
      <c r="CBK209" s="36"/>
      <c r="CBL209" s="36"/>
      <c r="CBM209" s="36"/>
      <c r="CBN209" s="36"/>
      <c r="CBO209" s="36"/>
      <c r="CBP209" s="36"/>
      <c r="CBQ209" s="36"/>
      <c r="CBR209" s="36"/>
      <c r="CBS209" s="36"/>
      <c r="CBT209" s="36"/>
      <c r="CBU209" s="36"/>
      <c r="CBV209" s="36"/>
      <c r="CBW209" s="36"/>
      <c r="CBX209" s="36"/>
      <c r="CBY209" s="36"/>
      <c r="CBZ209" s="36"/>
      <c r="CCA209" s="36"/>
      <c r="CCB209" s="36"/>
      <c r="CCC209" s="36"/>
      <c r="CCD209" s="36"/>
      <c r="CCE209" s="36"/>
      <c r="CCF209" s="36"/>
      <c r="CCG209" s="36"/>
      <c r="CCH209" s="36"/>
      <c r="CCI209" s="36"/>
      <c r="CCJ209" s="36"/>
      <c r="CCK209" s="36"/>
      <c r="CCL209" s="36"/>
      <c r="CCM209" s="36"/>
      <c r="CCN209" s="36"/>
      <c r="CCO209" s="36"/>
      <c r="CCP209" s="36"/>
      <c r="CCQ209" s="36"/>
      <c r="CCR209" s="36"/>
      <c r="CCS209" s="36"/>
      <c r="CCT209" s="36"/>
      <c r="CCU209" s="36"/>
      <c r="CCV209" s="36"/>
      <c r="CCW209" s="36"/>
      <c r="CCX209" s="36"/>
      <c r="CCY209" s="36"/>
      <c r="CCZ209" s="36"/>
      <c r="CDA209" s="36"/>
      <c r="CDB209" s="36"/>
      <c r="CDC209" s="36"/>
      <c r="CDD209" s="36"/>
      <c r="CDE209" s="36"/>
      <c r="CDF209" s="36"/>
      <c r="CDG209" s="36"/>
      <c r="CDH209" s="36"/>
      <c r="CDI209" s="36"/>
      <c r="CDJ209" s="36"/>
      <c r="CDK209" s="36"/>
      <c r="CDL209" s="36"/>
      <c r="CDM209" s="36"/>
      <c r="CDN209" s="36"/>
      <c r="CDO209" s="36"/>
      <c r="CDP209" s="36"/>
      <c r="CDQ209" s="36"/>
      <c r="CDR209" s="36"/>
      <c r="CDS209" s="36"/>
      <c r="CDT209" s="36"/>
      <c r="CDU209" s="36"/>
      <c r="CDV209" s="36"/>
      <c r="CDW209" s="36"/>
      <c r="CDX209" s="36"/>
      <c r="CDY209" s="36"/>
      <c r="CDZ209" s="36"/>
      <c r="CEA209" s="36"/>
      <c r="CEB209" s="36"/>
      <c r="CEC209" s="36"/>
      <c r="CED209" s="36"/>
      <c r="CEE209" s="36"/>
      <c r="CEF209" s="36"/>
      <c r="CEG209" s="36"/>
      <c r="CEH209" s="36"/>
      <c r="CEI209" s="36"/>
      <c r="CEJ209" s="36"/>
      <c r="CEK209" s="36"/>
      <c r="CEL209" s="36"/>
      <c r="CEM209" s="36"/>
      <c r="CEN209" s="36"/>
      <c r="CEO209" s="36"/>
      <c r="CEP209" s="36"/>
      <c r="CEQ209" s="36"/>
      <c r="CER209" s="36"/>
      <c r="CES209" s="36"/>
      <c r="CET209" s="36"/>
      <c r="CEU209" s="36"/>
      <c r="CEV209" s="36"/>
      <c r="CEW209" s="36"/>
      <c r="CEX209" s="36"/>
      <c r="CEY209" s="36"/>
      <c r="CEZ209" s="36"/>
      <c r="CFA209" s="36"/>
      <c r="CFB209" s="36"/>
      <c r="CFC209" s="36"/>
      <c r="CFD209" s="36"/>
      <c r="CFE209" s="36"/>
      <c r="CFF209" s="36"/>
      <c r="CFG209" s="36"/>
      <c r="CFH209" s="36"/>
      <c r="CFI209" s="36"/>
      <c r="CFJ209" s="36"/>
      <c r="CFK209" s="36"/>
      <c r="CFL209" s="36"/>
      <c r="CFM209" s="36"/>
      <c r="CFN209" s="36"/>
      <c r="CFO209" s="36"/>
      <c r="CFP209" s="36"/>
      <c r="CFQ209" s="36"/>
      <c r="CFR209" s="36"/>
      <c r="CFS209" s="36"/>
      <c r="CFT209" s="36"/>
      <c r="CFU209" s="36"/>
      <c r="CFV209" s="36"/>
      <c r="CFW209" s="36"/>
      <c r="CFX209" s="36"/>
      <c r="CFY209" s="36"/>
      <c r="CFZ209" s="36"/>
      <c r="CGA209" s="36"/>
      <c r="CGB209" s="36"/>
      <c r="CGC209" s="36"/>
      <c r="CGD209" s="36"/>
      <c r="CGE209" s="36"/>
      <c r="CGF209" s="36"/>
      <c r="CGG209" s="36"/>
      <c r="CGH209" s="36"/>
      <c r="CGI209" s="36"/>
      <c r="CGJ209" s="36"/>
      <c r="CGK209" s="36"/>
      <c r="CGL209" s="36"/>
      <c r="CGM209" s="36"/>
      <c r="CGN209" s="36"/>
      <c r="CGO209" s="36"/>
      <c r="CGP209" s="36"/>
      <c r="CGQ209" s="36"/>
      <c r="CGR209" s="36"/>
      <c r="CGS209" s="36"/>
      <c r="CGT209" s="36"/>
      <c r="CGU209" s="36"/>
      <c r="CGV209" s="36"/>
      <c r="CGW209" s="36"/>
      <c r="CGX209" s="36"/>
      <c r="CGY209" s="36"/>
      <c r="CGZ209" s="36"/>
      <c r="CHA209" s="36"/>
      <c r="CHB209" s="36"/>
      <c r="CHC209" s="36"/>
      <c r="CHD209" s="36"/>
      <c r="CHE209" s="36"/>
      <c r="CHF209" s="36"/>
      <c r="CHG209" s="36"/>
      <c r="CHH209" s="36"/>
      <c r="CHI209" s="36"/>
      <c r="CHJ209" s="36"/>
      <c r="CHK209" s="36"/>
      <c r="CHL209" s="36"/>
      <c r="CHM209" s="36"/>
      <c r="CHN209" s="36"/>
      <c r="CHO209" s="36"/>
      <c r="CHP209" s="36"/>
      <c r="CHQ209" s="36"/>
      <c r="CHR209" s="36"/>
      <c r="CHS209" s="36"/>
      <c r="CHT209" s="36"/>
      <c r="CHU209" s="36"/>
      <c r="CHV209" s="36"/>
      <c r="CHW209" s="36"/>
      <c r="CHX209" s="36"/>
      <c r="CHY209" s="36"/>
      <c r="CHZ209" s="36"/>
      <c r="CIA209" s="36"/>
      <c r="CIB209" s="36"/>
      <c r="CIC209" s="36"/>
      <c r="CID209" s="36"/>
      <c r="CIE209" s="36"/>
      <c r="CIF209" s="36"/>
      <c r="CIG209" s="36"/>
      <c r="CIH209" s="36"/>
      <c r="CII209" s="36"/>
      <c r="CIJ209" s="36"/>
      <c r="CIK209" s="36"/>
      <c r="CIL209" s="36"/>
      <c r="CIM209" s="36"/>
      <c r="CIN209" s="36"/>
      <c r="CIO209" s="36"/>
      <c r="CIP209" s="36"/>
      <c r="CIQ209" s="36"/>
      <c r="CIR209" s="36"/>
      <c r="CIS209" s="36"/>
      <c r="CIT209" s="36"/>
      <c r="CIU209" s="36"/>
      <c r="CIV209" s="36"/>
      <c r="CIW209" s="36"/>
      <c r="CIX209" s="36"/>
      <c r="CIY209" s="36"/>
      <c r="CIZ209" s="36"/>
      <c r="CJA209" s="36"/>
      <c r="CJB209" s="36"/>
      <c r="CJC209" s="36"/>
      <c r="CJD209" s="36"/>
      <c r="CJE209" s="36"/>
      <c r="CJF209" s="36"/>
      <c r="CJG209" s="36"/>
      <c r="CJH209" s="36"/>
      <c r="CJI209" s="36"/>
      <c r="CJJ209" s="36"/>
      <c r="CJK209" s="36"/>
      <c r="CJL209" s="36"/>
      <c r="CJM209" s="36"/>
      <c r="CJN209" s="36"/>
      <c r="CJO209" s="36"/>
      <c r="CJP209" s="36"/>
      <c r="CJQ209" s="36"/>
      <c r="CJR209" s="36"/>
      <c r="CJS209" s="36"/>
      <c r="CJT209" s="36"/>
      <c r="CJU209" s="36"/>
      <c r="CJV209" s="36"/>
      <c r="CJW209" s="36"/>
      <c r="CJX209" s="36"/>
      <c r="CJY209" s="36"/>
      <c r="CJZ209" s="36"/>
      <c r="CKA209" s="36"/>
      <c r="CKB209" s="36"/>
      <c r="CKC209" s="36"/>
      <c r="CKD209" s="36"/>
      <c r="CKE209" s="36"/>
      <c r="CKF209" s="36"/>
      <c r="CKG209" s="36"/>
      <c r="CKH209" s="36"/>
      <c r="CKI209" s="36"/>
      <c r="CKJ209" s="36"/>
      <c r="CKK209" s="36"/>
      <c r="CKL209" s="36"/>
      <c r="CKM209" s="36"/>
      <c r="CKN209" s="36"/>
      <c r="CKO209" s="36"/>
      <c r="CKP209" s="36"/>
      <c r="CKQ209" s="36"/>
      <c r="CKR209" s="36"/>
      <c r="CKS209" s="36"/>
      <c r="CKT209" s="36"/>
      <c r="CKU209" s="36"/>
      <c r="CKV209" s="36"/>
      <c r="CKW209" s="36"/>
      <c r="CKX209" s="36"/>
      <c r="CKY209" s="36"/>
      <c r="CKZ209" s="36"/>
      <c r="CLA209" s="36"/>
      <c r="CLB209" s="36"/>
      <c r="CLC209" s="36"/>
      <c r="CLD209" s="36"/>
      <c r="CLE209" s="36"/>
      <c r="CLF209" s="36"/>
      <c r="CLG209" s="36"/>
      <c r="CLH209" s="36"/>
      <c r="CLI209" s="36"/>
      <c r="CLJ209" s="36"/>
      <c r="CLK209" s="36"/>
      <c r="CLL209" s="36"/>
      <c r="CLM209" s="36"/>
      <c r="CLN209" s="36"/>
      <c r="CLO209" s="36"/>
      <c r="CLP209" s="36"/>
      <c r="CLQ209" s="36"/>
      <c r="CLR209" s="36"/>
      <c r="CLS209" s="36"/>
      <c r="CLT209" s="36"/>
      <c r="CLU209" s="36"/>
      <c r="CLV209" s="36"/>
      <c r="CLW209" s="36"/>
      <c r="CLX209" s="36"/>
      <c r="CLY209" s="36"/>
      <c r="CLZ209" s="36"/>
      <c r="CMA209" s="36"/>
      <c r="CMB209" s="36"/>
      <c r="CMC209" s="36"/>
      <c r="CMD209" s="36"/>
      <c r="CME209" s="36"/>
      <c r="CMF209" s="36"/>
      <c r="CMG209" s="36"/>
      <c r="CMH209" s="36"/>
      <c r="CMI209" s="36"/>
      <c r="CMJ209" s="36"/>
      <c r="CMK209" s="36"/>
      <c r="CML209" s="36"/>
      <c r="CMM209" s="36"/>
      <c r="CMN209" s="36"/>
      <c r="CMO209" s="36"/>
      <c r="CMP209" s="36"/>
      <c r="CMQ209" s="36"/>
      <c r="CMR209" s="36"/>
      <c r="CMS209" s="36"/>
      <c r="CMT209" s="36"/>
      <c r="CMU209" s="36"/>
      <c r="CMV209" s="36"/>
      <c r="CMW209" s="36"/>
      <c r="CMX209" s="36"/>
      <c r="CMY209" s="36"/>
      <c r="CMZ209" s="36"/>
      <c r="CNA209" s="36"/>
      <c r="CNB209" s="36"/>
      <c r="CNC209" s="36"/>
      <c r="CND209" s="36"/>
      <c r="CNE209" s="36"/>
      <c r="CNF209" s="36"/>
      <c r="CNG209" s="36"/>
      <c r="CNH209" s="36"/>
      <c r="CNI209" s="36"/>
      <c r="CNJ209" s="36"/>
      <c r="CNK209" s="36"/>
      <c r="CNL209" s="36"/>
      <c r="CNM209" s="36"/>
      <c r="CNN209" s="36"/>
      <c r="CNO209" s="36"/>
      <c r="CNP209" s="36"/>
      <c r="CNQ209" s="36"/>
      <c r="CNR209" s="36"/>
      <c r="CNS209" s="36"/>
      <c r="CNT209" s="36"/>
      <c r="CNU209" s="36"/>
      <c r="CNV209" s="36"/>
      <c r="CNW209" s="36"/>
      <c r="CNX209" s="36"/>
      <c r="CNY209" s="36"/>
      <c r="CNZ209" s="36"/>
      <c r="COA209" s="36"/>
      <c r="COB209" s="36"/>
      <c r="COC209" s="36"/>
      <c r="COD209" s="36"/>
      <c r="COE209" s="36"/>
      <c r="COF209" s="36"/>
      <c r="COG209" s="36"/>
      <c r="COH209" s="36"/>
      <c r="COI209" s="36"/>
      <c r="COJ209" s="36"/>
      <c r="COK209" s="36"/>
      <c r="COL209" s="36"/>
      <c r="COM209" s="36"/>
      <c r="CON209" s="36"/>
      <c r="COO209" s="36"/>
      <c r="COP209" s="36"/>
      <c r="COQ209" s="36"/>
      <c r="COR209" s="36"/>
      <c r="COS209" s="36"/>
      <c r="COT209" s="36"/>
      <c r="COU209" s="36"/>
      <c r="COV209" s="36"/>
      <c r="COW209" s="36"/>
      <c r="COX209" s="36"/>
      <c r="COY209" s="36"/>
      <c r="COZ209" s="36"/>
      <c r="CPA209" s="36"/>
      <c r="CPB209" s="36"/>
      <c r="CPC209" s="36"/>
      <c r="CPD209" s="36"/>
      <c r="CPE209" s="36"/>
      <c r="CPF209" s="36"/>
      <c r="CPG209" s="36"/>
      <c r="CPH209" s="36"/>
      <c r="CPI209" s="36"/>
      <c r="CPJ209" s="36"/>
      <c r="CPK209" s="36"/>
      <c r="CPL209" s="36"/>
      <c r="CPM209" s="36"/>
      <c r="CPN209" s="36"/>
      <c r="CPO209" s="36"/>
      <c r="CPP209" s="36"/>
      <c r="CPQ209" s="36"/>
      <c r="CPR209" s="36"/>
      <c r="CPS209" s="36"/>
      <c r="CPT209" s="36"/>
      <c r="CPU209" s="36"/>
      <c r="CPV209" s="36"/>
      <c r="CPW209" s="36"/>
      <c r="CPX209" s="36"/>
      <c r="CPY209" s="36"/>
      <c r="CPZ209" s="36"/>
      <c r="CQA209" s="36"/>
      <c r="CQB209" s="36"/>
      <c r="CQC209" s="36"/>
      <c r="CQD209" s="36"/>
      <c r="CQE209" s="36"/>
      <c r="CQF209" s="36"/>
      <c r="CQG209" s="36"/>
      <c r="CQH209" s="36"/>
      <c r="CQI209" s="36"/>
      <c r="CQJ209" s="36"/>
      <c r="CQK209" s="36"/>
      <c r="CQL209" s="36"/>
      <c r="CQM209" s="36"/>
      <c r="CQN209" s="36"/>
      <c r="CQO209" s="36"/>
      <c r="CQP209" s="36"/>
      <c r="CQQ209" s="36"/>
      <c r="CQR209" s="36"/>
      <c r="CQS209" s="36"/>
      <c r="CQT209" s="36"/>
      <c r="CQU209" s="36"/>
      <c r="CQV209" s="36"/>
      <c r="CQW209" s="36"/>
      <c r="CQX209" s="36"/>
      <c r="CQY209" s="36"/>
      <c r="CQZ209" s="36"/>
      <c r="CRA209" s="36"/>
      <c r="CRB209" s="36"/>
      <c r="CRC209" s="36"/>
      <c r="CRD209" s="36"/>
      <c r="CRE209" s="36"/>
      <c r="CRF209" s="36"/>
      <c r="CRG209" s="36"/>
      <c r="CRH209" s="36"/>
      <c r="CRI209" s="36"/>
      <c r="CRJ209" s="36"/>
      <c r="CRK209" s="36"/>
      <c r="CRL209" s="36"/>
      <c r="CRM209" s="36"/>
      <c r="CRN209" s="36"/>
      <c r="CRO209" s="36"/>
      <c r="CRP209" s="36"/>
      <c r="CRQ209" s="36"/>
      <c r="CRR209" s="36"/>
      <c r="CRS209" s="36"/>
      <c r="CRT209" s="36"/>
      <c r="CRU209" s="36"/>
      <c r="CRV209" s="36"/>
      <c r="CRW209" s="36"/>
      <c r="CRX209" s="36"/>
      <c r="CRY209" s="36"/>
      <c r="CRZ209" s="36"/>
      <c r="CSA209" s="36"/>
      <c r="CSB209" s="36"/>
      <c r="CSC209" s="36"/>
      <c r="CSD209" s="36"/>
      <c r="CSE209" s="36"/>
      <c r="CSF209" s="36"/>
      <c r="CSG209" s="36"/>
      <c r="CSH209" s="36"/>
      <c r="CSI209" s="36"/>
      <c r="CSJ209" s="36"/>
      <c r="CSK209" s="36"/>
      <c r="CSL209" s="36"/>
      <c r="CSM209" s="36"/>
      <c r="CSN209" s="36"/>
      <c r="CSO209" s="36"/>
      <c r="CSP209" s="36"/>
      <c r="CSQ209" s="36"/>
      <c r="CSR209" s="36"/>
      <c r="CSS209" s="36"/>
      <c r="CST209" s="36"/>
      <c r="CSU209" s="36"/>
      <c r="CSV209" s="36"/>
      <c r="CSW209" s="36"/>
      <c r="CSX209" s="36"/>
      <c r="CSY209" s="36"/>
      <c r="CSZ209" s="36"/>
      <c r="CTA209" s="36"/>
      <c r="CTB209" s="36"/>
      <c r="CTC209" s="36"/>
      <c r="CTD209" s="36"/>
      <c r="CTE209" s="36"/>
      <c r="CTF209" s="36"/>
      <c r="CTG209" s="36"/>
      <c r="CTH209" s="36"/>
      <c r="CTI209" s="36"/>
      <c r="CTJ209" s="36"/>
      <c r="CTK209" s="36"/>
      <c r="CTL209" s="36"/>
      <c r="CTM209" s="36"/>
      <c r="CTN209" s="36"/>
      <c r="CTO209" s="36"/>
      <c r="CTP209" s="36"/>
      <c r="CTQ209" s="36"/>
      <c r="CTR209" s="36"/>
      <c r="CTS209" s="36"/>
      <c r="CTT209" s="36"/>
      <c r="CTU209" s="36"/>
      <c r="CTV209" s="36"/>
      <c r="CTW209" s="36"/>
      <c r="CTX209" s="36"/>
      <c r="CTY209" s="36"/>
      <c r="CTZ209" s="36"/>
      <c r="CUA209" s="36"/>
      <c r="CUB209" s="36"/>
      <c r="CUC209" s="36"/>
      <c r="CUD209" s="36"/>
      <c r="CUE209" s="36"/>
      <c r="CUF209" s="36"/>
      <c r="CUG209" s="36"/>
      <c r="CUH209" s="36"/>
      <c r="CUI209" s="36"/>
      <c r="CUJ209" s="36"/>
      <c r="CUK209" s="36"/>
      <c r="CUL209" s="36"/>
      <c r="CUM209" s="36"/>
      <c r="CUN209" s="36"/>
      <c r="CUO209" s="36"/>
      <c r="CUP209" s="36"/>
      <c r="CUQ209" s="36"/>
      <c r="CUR209" s="36"/>
      <c r="CUS209" s="36"/>
      <c r="CUT209" s="36"/>
      <c r="CUU209" s="36"/>
      <c r="CUV209" s="36"/>
      <c r="CUW209" s="36"/>
      <c r="CUX209" s="36"/>
      <c r="CUY209" s="36"/>
      <c r="CUZ209" s="36"/>
      <c r="CVA209" s="36"/>
      <c r="CVB209" s="36"/>
      <c r="CVC209" s="36"/>
      <c r="CVD209" s="36"/>
      <c r="CVE209" s="36"/>
      <c r="CVF209" s="36"/>
      <c r="CVG209" s="36"/>
      <c r="CVH209" s="36"/>
      <c r="CVI209" s="36"/>
      <c r="CVJ209" s="36"/>
      <c r="CVK209" s="36"/>
      <c r="CVL209" s="36"/>
      <c r="CVM209" s="36"/>
      <c r="CVN209" s="36"/>
      <c r="CVO209" s="36"/>
      <c r="CVP209" s="36"/>
      <c r="CVQ209" s="36"/>
      <c r="CVR209" s="36"/>
      <c r="CVS209" s="36"/>
      <c r="CVT209" s="36"/>
      <c r="CVU209" s="36"/>
      <c r="CVV209" s="36"/>
      <c r="CVW209" s="36"/>
      <c r="CVX209" s="36"/>
      <c r="CVY209" s="36"/>
      <c r="CVZ209" s="36"/>
      <c r="CWA209" s="36"/>
      <c r="CWB209" s="36"/>
      <c r="CWC209" s="36"/>
      <c r="CWD209" s="36"/>
      <c r="CWE209" s="36"/>
      <c r="CWF209" s="36"/>
      <c r="CWG209" s="36"/>
      <c r="CWH209" s="36"/>
      <c r="CWI209" s="36"/>
      <c r="CWJ209" s="36"/>
      <c r="CWK209" s="36"/>
      <c r="CWL209" s="36"/>
      <c r="CWM209" s="36"/>
      <c r="CWN209" s="36"/>
      <c r="CWO209" s="36"/>
      <c r="CWP209" s="36"/>
      <c r="CWQ209" s="36"/>
      <c r="CWR209" s="36"/>
      <c r="CWS209" s="36"/>
      <c r="CWT209" s="36"/>
      <c r="CWU209" s="36"/>
      <c r="CWV209" s="36"/>
      <c r="CWW209" s="36"/>
      <c r="CWX209" s="36"/>
      <c r="CWY209" s="36"/>
      <c r="CWZ209" s="36"/>
      <c r="CXA209" s="36"/>
      <c r="CXB209" s="36"/>
      <c r="CXC209" s="36"/>
      <c r="CXD209" s="36"/>
      <c r="CXE209" s="36"/>
      <c r="CXF209" s="36"/>
      <c r="CXG209" s="36"/>
      <c r="CXH209" s="36"/>
      <c r="CXI209" s="36"/>
      <c r="CXJ209" s="36"/>
      <c r="CXK209" s="36"/>
      <c r="CXL209" s="36"/>
      <c r="CXM209" s="36"/>
      <c r="CXN209" s="36"/>
      <c r="CXO209" s="36"/>
      <c r="CXP209" s="36"/>
      <c r="CXQ209" s="36"/>
      <c r="CXR209" s="36"/>
      <c r="CXS209" s="36"/>
      <c r="CXT209" s="36"/>
      <c r="CXU209" s="36"/>
      <c r="CXV209" s="36"/>
      <c r="CXW209" s="36"/>
      <c r="CXX209" s="36"/>
      <c r="CXY209" s="36"/>
      <c r="CXZ209" s="36"/>
      <c r="CYA209" s="36"/>
      <c r="CYB209" s="36"/>
      <c r="CYC209" s="36"/>
      <c r="CYD209" s="36"/>
      <c r="CYE209" s="36"/>
      <c r="CYF209" s="36"/>
      <c r="CYG209" s="36"/>
      <c r="CYH209" s="36"/>
      <c r="CYI209" s="36"/>
      <c r="CYJ209" s="36"/>
      <c r="CYK209" s="36"/>
      <c r="CYL209" s="36"/>
      <c r="CYM209" s="36"/>
      <c r="CYN209" s="36"/>
      <c r="CYO209" s="36"/>
      <c r="CYP209" s="36"/>
      <c r="CYQ209" s="36"/>
      <c r="CYR209" s="36"/>
      <c r="CYS209" s="36"/>
      <c r="CYT209" s="36"/>
      <c r="CYU209" s="36"/>
      <c r="CYV209" s="36"/>
      <c r="CYW209" s="36"/>
      <c r="CYX209" s="36"/>
      <c r="CYY209" s="36"/>
      <c r="CYZ209" s="36"/>
      <c r="CZA209" s="36"/>
      <c r="CZB209" s="36"/>
      <c r="CZC209" s="36"/>
      <c r="CZD209" s="36"/>
      <c r="CZE209" s="36"/>
      <c r="CZF209" s="36"/>
      <c r="CZG209" s="36"/>
      <c r="CZH209" s="36"/>
      <c r="CZI209" s="36"/>
      <c r="CZJ209" s="36"/>
      <c r="CZK209" s="36"/>
      <c r="CZL209" s="36"/>
      <c r="CZM209" s="36"/>
      <c r="CZN209" s="36"/>
      <c r="CZO209" s="36"/>
      <c r="CZP209" s="36"/>
      <c r="CZQ209" s="36"/>
      <c r="CZR209" s="36"/>
      <c r="CZS209" s="36"/>
      <c r="CZT209" s="36"/>
      <c r="CZU209" s="36"/>
      <c r="CZV209" s="36"/>
      <c r="CZW209" s="36"/>
      <c r="CZX209" s="36"/>
      <c r="CZY209" s="36"/>
      <c r="CZZ209" s="36"/>
      <c r="DAA209" s="36"/>
      <c r="DAB209" s="36"/>
      <c r="DAC209" s="36"/>
      <c r="DAD209" s="36"/>
      <c r="DAE209" s="36"/>
      <c r="DAF209" s="36"/>
      <c r="DAG209" s="36"/>
      <c r="DAH209" s="36"/>
      <c r="DAI209" s="36"/>
      <c r="DAJ209" s="36"/>
      <c r="DAK209" s="36"/>
      <c r="DAL209" s="36"/>
      <c r="DAM209" s="36"/>
      <c r="DAN209" s="36"/>
      <c r="DAO209" s="36"/>
      <c r="DAP209" s="36"/>
      <c r="DAQ209" s="36"/>
      <c r="DAR209" s="36"/>
      <c r="DAS209" s="36"/>
      <c r="DAT209" s="36"/>
      <c r="DAU209" s="36"/>
      <c r="DAV209" s="36"/>
      <c r="DAW209" s="36"/>
      <c r="DAX209" s="36"/>
      <c r="DAY209" s="36"/>
      <c r="DAZ209" s="36"/>
      <c r="DBA209" s="36"/>
      <c r="DBB209" s="36"/>
      <c r="DBC209" s="36"/>
      <c r="DBD209" s="36"/>
      <c r="DBE209" s="36"/>
      <c r="DBF209" s="36"/>
      <c r="DBG209" s="36"/>
      <c r="DBH209" s="36"/>
      <c r="DBI209" s="36"/>
      <c r="DBJ209" s="36"/>
      <c r="DBK209" s="36"/>
      <c r="DBL209" s="36"/>
      <c r="DBM209" s="36"/>
      <c r="DBN209" s="36"/>
      <c r="DBO209" s="36"/>
      <c r="DBP209" s="36"/>
      <c r="DBQ209" s="36"/>
      <c r="DBR209" s="36"/>
      <c r="DBS209" s="36"/>
      <c r="DBT209" s="36"/>
      <c r="DBU209" s="36"/>
      <c r="DBV209" s="36"/>
      <c r="DBW209" s="36"/>
      <c r="DBX209" s="36"/>
      <c r="DBY209" s="36"/>
      <c r="DBZ209" s="36"/>
      <c r="DCA209" s="36"/>
      <c r="DCB209" s="36"/>
      <c r="DCC209" s="36"/>
      <c r="DCD209" s="36"/>
      <c r="DCE209" s="36"/>
      <c r="DCF209" s="36"/>
      <c r="DCG209" s="36"/>
      <c r="DCH209" s="36"/>
      <c r="DCI209" s="36"/>
      <c r="DCJ209" s="36"/>
      <c r="DCK209" s="36"/>
      <c r="DCL209" s="36"/>
      <c r="DCM209" s="36"/>
      <c r="DCN209" s="36"/>
      <c r="DCO209" s="36"/>
      <c r="DCP209" s="36"/>
      <c r="DCQ209" s="36"/>
      <c r="DCR209" s="36"/>
      <c r="DCS209" s="36"/>
      <c r="DCT209" s="36"/>
      <c r="DCU209" s="36"/>
      <c r="DCV209" s="36"/>
      <c r="DCW209" s="36"/>
      <c r="DCX209" s="36"/>
      <c r="DCY209" s="36"/>
      <c r="DCZ209" s="36"/>
      <c r="DDA209" s="36"/>
      <c r="DDB209" s="36"/>
      <c r="DDC209" s="36"/>
      <c r="DDD209" s="36"/>
      <c r="DDE209" s="36"/>
      <c r="DDF209" s="36"/>
      <c r="DDG209" s="36"/>
      <c r="DDH209" s="36"/>
      <c r="DDI209" s="36"/>
      <c r="DDJ209" s="36"/>
      <c r="DDK209" s="36"/>
      <c r="DDL209" s="36"/>
      <c r="DDM209" s="36"/>
      <c r="DDN209" s="36"/>
      <c r="DDO209" s="36"/>
      <c r="DDP209" s="36"/>
      <c r="DDQ209" s="36"/>
      <c r="DDR209" s="36"/>
      <c r="DDS209" s="36"/>
      <c r="DDT209" s="36"/>
      <c r="DDU209" s="36"/>
      <c r="DDV209" s="36"/>
      <c r="DDW209" s="36"/>
      <c r="DDX209" s="36"/>
      <c r="DDY209" s="36"/>
      <c r="DDZ209" s="36"/>
      <c r="DEA209" s="36"/>
      <c r="DEB209" s="36"/>
      <c r="DEC209" s="36"/>
      <c r="DED209" s="36"/>
      <c r="DEE209" s="36"/>
      <c r="DEF209" s="36"/>
      <c r="DEG209" s="36"/>
      <c r="DEH209" s="36"/>
      <c r="DEI209" s="36"/>
      <c r="DEJ209" s="36"/>
      <c r="DEK209" s="36"/>
      <c r="DEL209" s="36"/>
      <c r="DEM209" s="36"/>
      <c r="DEN209" s="36"/>
      <c r="DEO209" s="36"/>
      <c r="DEP209" s="36"/>
      <c r="DEQ209" s="36"/>
      <c r="DER209" s="36"/>
      <c r="DES209" s="36"/>
      <c r="DET209" s="36"/>
      <c r="DEU209" s="36"/>
      <c r="DEV209" s="36"/>
      <c r="DEW209" s="36"/>
      <c r="DEX209" s="36"/>
      <c r="DEY209" s="36"/>
      <c r="DEZ209" s="36"/>
      <c r="DFA209" s="36"/>
      <c r="DFB209" s="36"/>
      <c r="DFC209" s="36"/>
      <c r="DFD209" s="36"/>
      <c r="DFE209" s="36"/>
      <c r="DFF209" s="36"/>
      <c r="DFG209" s="36"/>
      <c r="DFH209" s="36"/>
      <c r="DFI209" s="36"/>
      <c r="DFJ209" s="36"/>
      <c r="DFK209" s="36"/>
      <c r="DFL209" s="36"/>
      <c r="DFM209" s="36"/>
      <c r="DFN209" s="36"/>
      <c r="DFO209" s="36"/>
      <c r="DFP209" s="36"/>
      <c r="DFQ209" s="36"/>
      <c r="DFR209" s="36"/>
      <c r="DFS209" s="36"/>
      <c r="DFT209" s="36"/>
      <c r="DFU209" s="36"/>
      <c r="DFV209" s="36"/>
      <c r="DFW209" s="36"/>
      <c r="DFX209" s="36"/>
      <c r="DFY209" s="36"/>
      <c r="DFZ209" s="36"/>
      <c r="DGA209" s="36"/>
      <c r="DGB209" s="36"/>
      <c r="DGC209" s="36"/>
      <c r="DGD209" s="36"/>
      <c r="DGE209" s="36"/>
      <c r="DGF209" s="36"/>
      <c r="DGG209" s="36"/>
      <c r="DGH209" s="36"/>
      <c r="DGI209" s="36"/>
      <c r="DGJ209" s="36"/>
      <c r="DGK209" s="36"/>
      <c r="DGL209" s="36"/>
      <c r="DGM209" s="36"/>
      <c r="DGN209" s="36"/>
      <c r="DGO209" s="36"/>
      <c r="DGP209" s="36"/>
      <c r="DGQ209" s="36"/>
      <c r="DGR209" s="36"/>
      <c r="DGS209" s="36"/>
      <c r="DGT209" s="36"/>
      <c r="DGU209" s="36"/>
      <c r="DGV209" s="36"/>
      <c r="DGW209" s="36"/>
      <c r="DGX209" s="36"/>
      <c r="DGY209" s="36"/>
      <c r="DGZ209" s="36"/>
      <c r="DHA209" s="36"/>
      <c r="DHB209" s="36"/>
      <c r="DHC209" s="36"/>
      <c r="DHD209" s="36"/>
      <c r="DHE209" s="36"/>
      <c r="DHF209" s="36"/>
      <c r="DHG209" s="36"/>
      <c r="DHH209" s="36"/>
      <c r="DHI209" s="36"/>
      <c r="DHJ209" s="36"/>
      <c r="DHK209" s="36"/>
      <c r="DHL209" s="36"/>
      <c r="DHM209" s="36"/>
      <c r="DHN209" s="36"/>
      <c r="DHO209" s="36"/>
      <c r="DHP209" s="36"/>
      <c r="DHQ209" s="36"/>
      <c r="DHR209" s="36"/>
      <c r="DHS209" s="36"/>
      <c r="DHT209" s="36"/>
      <c r="DHU209" s="36"/>
      <c r="DHV209" s="36"/>
      <c r="DHW209" s="36"/>
      <c r="DHX209" s="36"/>
      <c r="DHY209" s="36"/>
      <c r="DHZ209" s="36"/>
      <c r="DIA209" s="36"/>
      <c r="DIB209" s="36"/>
      <c r="DIC209" s="36"/>
      <c r="DID209" s="36"/>
      <c r="DIE209" s="36"/>
      <c r="DIF209" s="36"/>
      <c r="DIG209" s="36"/>
      <c r="DIH209" s="36"/>
      <c r="DII209" s="36"/>
      <c r="DIJ209" s="36"/>
      <c r="DIK209" s="36"/>
      <c r="DIL209" s="36"/>
      <c r="DIM209" s="36"/>
      <c r="DIN209" s="36"/>
      <c r="DIO209" s="36"/>
      <c r="DIP209" s="36"/>
      <c r="DIQ209" s="36"/>
      <c r="DIR209" s="36"/>
      <c r="DIS209" s="36"/>
      <c r="DIT209" s="36"/>
      <c r="DIU209" s="36"/>
      <c r="DIV209" s="36"/>
      <c r="DIW209" s="36"/>
      <c r="DIX209" s="36"/>
      <c r="DIY209" s="36"/>
      <c r="DIZ209" s="36"/>
      <c r="DJA209" s="36"/>
      <c r="DJB209" s="36"/>
      <c r="DJC209" s="36"/>
      <c r="DJD209" s="36"/>
      <c r="DJE209" s="36"/>
      <c r="DJF209" s="36"/>
      <c r="DJG209" s="36"/>
      <c r="DJH209" s="36"/>
      <c r="DJI209" s="36"/>
      <c r="DJJ209" s="36"/>
      <c r="DJK209" s="36"/>
      <c r="DJL209" s="36"/>
      <c r="DJM209" s="36"/>
      <c r="DJN209" s="36"/>
      <c r="DJO209" s="36"/>
      <c r="DJP209" s="36"/>
      <c r="DJQ209" s="36"/>
      <c r="DJR209" s="36"/>
      <c r="DJS209" s="36"/>
      <c r="DJT209" s="36"/>
      <c r="DJU209" s="36"/>
      <c r="DJV209" s="36"/>
      <c r="DJW209" s="36"/>
      <c r="DJX209" s="36"/>
      <c r="DJY209" s="36"/>
      <c r="DJZ209" s="36"/>
      <c r="DKA209" s="36"/>
      <c r="DKB209" s="36"/>
      <c r="DKC209" s="36"/>
      <c r="DKD209" s="36"/>
      <c r="DKE209" s="36"/>
      <c r="DKF209" s="36"/>
      <c r="DKG209" s="36"/>
      <c r="DKH209" s="36"/>
      <c r="DKI209" s="36"/>
      <c r="DKJ209" s="36"/>
      <c r="DKK209" s="36"/>
      <c r="DKL209" s="36"/>
      <c r="DKM209" s="36"/>
      <c r="DKN209" s="36"/>
      <c r="DKO209" s="36"/>
      <c r="DKP209" s="36"/>
      <c r="DKQ209" s="36"/>
      <c r="DKR209" s="36"/>
      <c r="DKS209" s="36"/>
      <c r="DKT209" s="36"/>
      <c r="DKU209" s="36"/>
      <c r="DKV209" s="36"/>
      <c r="DKW209" s="36"/>
      <c r="DKX209" s="36"/>
      <c r="DKY209" s="36"/>
      <c r="DKZ209" s="36"/>
      <c r="DLA209" s="36"/>
      <c r="DLB209" s="36"/>
      <c r="DLC209" s="36"/>
      <c r="DLD209" s="36"/>
      <c r="DLE209" s="36"/>
      <c r="DLF209" s="36"/>
      <c r="DLG209" s="36"/>
      <c r="DLH209" s="36"/>
      <c r="DLI209" s="36"/>
      <c r="DLJ209" s="36"/>
      <c r="DLK209" s="36"/>
      <c r="DLL209" s="36"/>
      <c r="DLM209" s="36"/>
      <c r="DLN209" s="36"/>
      <c r="DLO209" s="36"/>
      <c r="DLP209" s="36"/>
      <c r="DLQ209" s="36"/>
      <c r="DLR209" s="36"/>
      <c r="DLS209" s="36"/>
      <c r="DLT209" s="36"/>
      <c r="DLU209" s="36"/>
      <c r="DLV209" s="36"/>
      <c r="DLW209" s="36"/>
      <c r="DLX209" s="36"/>
      <c r="DLY209" s="36"/>
      <c r="DLZ209" s="36"/>
      <c r="DMA209" s="36"/>
      <c r="DMB209" s="36"/>
      <c r="DMC209" s="36"/>
      <c r="DMD209" s="36"/>
      <c r="DME209" s="36"/>
      <c r="DMF209" s="36"/>
      <c r="DMG209" s="36"/>
      <c r="DMH209" s="36"/>
      <c r="DMI209" s="36"/>
      <c r="DMJ209" s="36"/>
      <c r="DMK209" s="36"/>
      <c r="DML209" s="36"/>
      <c r="DMM209" s="36"/>
      <c r="DMN209" s="36"/>
      <c r="DMO209" s="36"/>
      <c r="DMP209" s="36"/>
      <c r="DMQ209" s="36"/>
      <c r="DMR209" s="36"/>
      <c r="DMS209" s="36"/>
      <c r="DMT209" s="36"/>
      <c r="DMU209" s="36"/>
      <c r="DMV209" s="36"/>
      <c r="DMW209" s="36"/>
      <c r="DMX209" s="36"/>
      <c r="DMY209" s="36"/>
      <c r="DMZ209" s="36"/>
      <c r="DNA209" s="36"/>
      <c r="DNB209" s="36"/>
      <c r="DNC209" s="36"/>
      <c r="DND209" s="36"/>
      <c r="DNE209" s="36"/>
      <c r="DNF209" s="36"/>
      <c r="DNG209" s="36"/>
      <c r="DNH209" s="36"/>
      <c r="DNI209" s="36"/>
      <c r="DNJ209" s="36"/>
      <c r="DNK209" s="36"/>
      <c r="DNL209" s="36"/>
      <c r="DNM209" s="36"/>
      <c r="DNN209" s="36"/>
      <c r="DNO209" s="36"/>
      <c r="DNP209" s="36"/>
      <c r="DNQ209" s="36"/>
      <c r="DNR209" s="36"/>
      <c r="DNS209" s="36"/>
      <c r="DNT209" s="36"/>
      <c r="DNU209" s="36"/>
      <c r="DNV209" s="36"/>
      <c r="DNW209" s="36"/>
      <c r="DNX209" s="36"/>
      <c r="DNY209" s="36"/>
      <c r="DNZ209" s="36"/>
      <c r="DOA209" s="36"/>
      <c r="DOB209" s="36"/>
      <c r="DOC209" s="36"/>
      <c r="DOD209" s="36"/>
      <c r="DOE209" s="36"/>
      <c r="DOF209" s="36"/>
      <c r="DOG209" s="36"/>
      <c r="DOH209" s="36"/>
      <c r="DOI209" s="36"/>
      <c r="DOJ209" s="36"/>
      <c r="DOK209" s="36"/>
      <c r="DOL209" s="36"/>
      <c r="DOM209" s="36"/>
      <c r="DON209" s="36"/>
      <c r="DOO209" s="36"/>
      <c r="DOP209" s="36"/>
      <c r="DOQ209" s="36"/>
      <c r="DOR209" s="36"/>
      <c r="DOS209" s="36"/>
      <c r="DOT209" s="36"/>
      <c r="DOU209" s="36"/>
      <c r="DOV209" s="36"/>
      <c r="DOW209" s="36"/>
      <c r="DOX209" s="36"/>
      <c r="DOY209" s="36"/>
      <c r="DOZ209" s="36"/>
      <c r="DPA209" s="36"/>
      <c r="DPB209" s="36"/>
      <c r="DPC209" s="36"/>
      <c r="DPD209" s="36"/>
      <c r="DPE209" s="36"/>
      <c r="DPF209" s="36"/>
      <c r="DPG209" s="36"/>
      <c r="DPH209" s="36"/>
      <c r="DPI209" s="36"/>
      <c r="DPJ209" s="36"/>
      <c r="DPK209" s="36"/>
      <c r="DPL209" s="36"/>
      <c r="DPM209" s="36"/>
      <c r="DPN209" s="36"/>
      <c r="DPO209" s="36"/>
      <c r="DPP209" s="36"/>
      <c r="DPQ209" s="36"/>
      <c r="DPR209" s="36"/>
      <c r="DPS209" s="36"/>
      <c r="DPT209" s="36"/>
      <c r="DPU209" s="36"/>
      <c r="DPV209" s="36"/>
      <c r="DPW209" s="36"/>
      <c r="DPX209" s="36"/>
      <c r="DPY209" s="36"/>
      <c r="DPZ209" s="36"/>
      <c r="DQA209" s="36"/>
      <c r="DQB209" s="36"/>
      <c r="DQC209" s="36"/>
      <c r="DQD209" s="36"/>
      <c r="DQE209" s="36"/>
      <c r="DQF209" s="36"/>
      <c r="DQG209" s="36"/>
      <c r="DQH209" s="36"/>
      <c r="DQI209" s="36"/>
      <c r="DQJ209" s="36"/>
      <c r="DQK209" s="36"/>
      <c r="DQL209" s="36"/>
      <c r="DQM209" s="36"/>
      <c r="DQN209" s="36"/>
      <c r="DQO209" s="36"/>
      <c r="DQP209" s="36"/>
      <c r="DQQ209" s="36"/>
      <c r="DQR209" s="36"/>
      <c r="DQS209" s="36"/>
      <c r="DQT209" s="36"/>
      <c r="DQU209" s="36"/>
      <c r="DQV209" s="36"/>
      <c r="DQW209" s="36"/>
      <c r="DQX209" s="36"/>
      <c r="DQY209" s="36"/>
      <c r="DQZ209" s="36"/>
      <c r="DRA209" s="36"/>
      <c r="DRB209" s="36"/>
      <c r="DRC209" s="36"/>
      <c r="DRD209" s="36"/>
      <c r="DRE209" s="36"/>
      <c r="DRF209" s="36"/>
      <c r="DRG209" s="36"/>
      <c r="DRH209" s="36"/>
      <c r="DRI209" s="36"/>
      <c r="DRJ209" s="36"/>
      <c r="DRK209" s="36"/>
      <c r="DRL209" s="36"/>
      <c r="DRM209" s="36"/>
      <c r="DRN209" s="36"/>
      <c r="DRO209" s="36"/>
      <c r="DRP209" s="36"/>
      <c r="DRQ209" s="36"/>
      <c r="DRR209" s="36"/>
      <c r="DRS209" s="36"/>
      <c r="DRT209" s="36"/>
      <c r="DRU209" s="36"/>
      <c r="DRV209" s="36"/>
      <c r="DRW209" s="36"/>
      <c r="DRX209" s="36"/>
      <c r="DRY209" s="36"/>
      <c r="DRZ209" s="36"/>
      <c r="DSA209" s="36"/>
      <c r="DSB209" s="36"/>
      <c r="DSC209" s="36"/>
      <c r="DSD209" s="36"/>
      <c r="DSE209" s="36"/>
      <c r="DSF209" s="36"/>
      <c r="DSG209" s="36"/>
      <c r="DSH209" s="36"/>
      <c r="DSI209" s="36"/>
      <c r="DSJ209" s="36"/>
      <c r="DSK209" s="36"/>
      <c r="DSL209" s="36"/>
      <c r="DSM209" s="36"/>
      <c r="DSN209" s="36"/>
      <c r="DSO209" s="36"/>
      <c r="DSP209" s="36"/>
      <c r="DSQ209" s="36"/>
      <c r="DSR209" s="36"/>
      <c r="DSS209" s="36"/>
      <c r="DST209" s="36"/>
      <c r="DSU209" s="36"/>
      <c r="DSV209" s="36"/>
      <c r="DSW209" s="36"/>
      <c r="DSX209" s="36"/>
      <c r="DSY209" s="36"/>
      <c r="DSZ209" s="36"/>
      <c r="DTA209" s="36"/>
      <c r="DTB209" s="36"/>
      <c r="DTC209" s="36"/>
      <c r="DTD209" s="36"/>
      <c r="DTE209" s="36"/>
      <c r="DTF209" s="36"/>
      <c r="DTG209" s="36"/>
      <c r="DTH209" s="36"/>
      <c r="DTI209" s="36"/>
      <c r="DTJ209" s="36"/>
      <c r="DTK209" s="36"/>
      <c r="DTL209" s="36"/>
      <c r="DTM209" s="36"/>
      <c r="DTN209" s="36"/>
      <c r="DTO209" s="36"/>
      <c r="DTP209" s="36"/>
      <c r="DTQ209" s="36"/>
      <c r="DTR209" s="36"/>
      <c r="DTS209" s="36"/>
      <c r="DTT209" s="36"/>
      <c r="DTU209" s="36"/>
      <c r="DTV209" s="36"/>
      <c r="DTW209" s="36"/>
      <c r="DTX209" s="36"/>
      <c r="DTY209" s="36"/>
      <c r="DTZ209" s="36"/>
      <c r="DUA209" s="36"/>
      <c r="DUB209" s="36"/>
      <c r="DUC209" s="36"/>
      <c r="DUD209" s="36"/>
      <c r="DUE209" s="36"/>
      <c r="DUF209" s="36"/>
      <c r="DUG209" s="36"/>
      <c r="DUH209" s="36"/>
      <c r="DUI209" s="36"/>
      <c r="DUJ209" s="36"/>
      <c r="DUK209" s="36"/>
      <c r="DUL209" s="36"/>
      <c r="DUM209" s="36"/>
      <c r="DUN209" s="36"/>
      <c r="DUO209" s="36"/>
      <c r="DUP209" s="36"/>
      <c r="DUQ209" s="36"/>
      <c r="DUR209" s="36"/>
      <c r="DUS209" s="36"/>
      <c r="DUT209" s="36"/>
      <c r="DUU209" s="36"/>
      <c r="DUV209" s="36"/>
      <c r="DUW209" s="36"/>
      <c r="DUX209" s="36"/>
      <c r="DUY209" s="36"/>
      <c r="DUZ209" s="36"/>
      <c r="DVA209" s="36"/>
      <c r="DVB209" s="36"/>
      <c r="DVC209" s="36"/>
      <c r="DVD209" s="36"/>
      <c r="DVE209" s="36"/>
      <c r="DVF209" s="36"/>
      <c r="DVG209" s="36"/>
      <c r="DVH209" s="36"/>
      <c r="DVI209" s="36"/>
      <c r="DVJ209" s="36"/>
      <c r="DVK209" s="36"/>
      <c r="DVL209" s="36"/>
      <c r="DVM209" s="36"/>
      <c r="DVN209" s="36"/>
      <c r="DVO209" s="36"/>
      <c r="DVP209" s="36"/>
      <c r="DVQ209" s="36"/>
      <c r="DVR209" s="36"/>
      <c r="DVS209" s="36"/>
      <c r="DVT209" s="36"/>
      <c r="DVU209" s="36"/>
      <c r="DVV209" s="36"/>
      <c r="DVW209" s="36"/>
      <c r="DVX209" s="36"/>
      <c r="DVY209" s="36"/>
      <c r="DVZ209" s="36"/>
      <c r="DWA209" s="36"/>
      <c r="DWB209" s="36"/>
      <c r="DWC209" s="36"/>
      <c r="DWD209" s="36"/>
      <c r="DWE209" s="36"/>
      <c r="DWF209" s="36"/>
      <c r="DWG209" s="36"/>
      <c r="DWH209" s="36"/>
      <c r="DWI209" s="36"/>
      <c r="DWJ209" s="36"/>
      <c r="DWK209" s="36"/>
      <c r="DWL209" s="36"/>
      <c r="DWM209" s="36"/>
      <c r="DWN209" s="36"/>
      <c r="DWO209" s="36"/>
      <c r="DWP209" s="36"/>
      <c r="DWQ209" s="36"/>
      <c r="DWR209" s="36"/>
      <c r="DWS209" s="36"/>
      <c r="DWT209" s="36"/>
      <c r="DWU209" s="36"/>
      <c r="DWV209" s="36"/>
      <c r="DWW209" s="36"/>
      <c r="DWX209" s="36"/>
      <c r="DWY209" s="36"/>
      <c r="DWZ209" s="36"/>
      <c r="DXA209" s="36"/>
      <c r="DXB209" s="36"/>
      <c r="DXC209" s="36"/>
      <c r="DXD209" s="36"/>
      <c r="DXE209" s="36"/>
      <c r="DXF209" s="36"/>
      <c r="DXG209" s="36"/>
      <c r="DXH209" s="36"/>
      <c r="DXI209" s="36"/>
      <c r="DXJ209" s="36"/>
      <c r="DXK209" s="36"/>
      <c r="DXL209" s="36"/>
      <c r="DXM209" s="36"/>
      <c r="DXN209" s="36"/>
      <c r="DXO209" s="36"/>
      <c r="DXP209" s="36"/>
      <c r="DXQ209" s="36"/>
      <c r="DXR209" s="36"/>
      <c r="DXS209" s="36"/>
      <c r="DXT209" s="36"/>
      <c r="DXU209" s="36"/>
      <c r="DXV209" s="36"/>
      <c r="DXW209" s="36"/>
      <c r="DXX209" s="36"/>
      <c r="DXY209" s="36"/>
      <c r="DXZ209" s="36"/>
      <c r="DYA209" s="36"/>
      <c r="DYB209" s="36"/>
      <c r="DYC209" s="36"/>
      <c r="DYD209" s="36"/>
      <c r="DYE209" s="36"/>
      <c r="DYF209" s="36"/>
      <c r="DYG209" s="36"/>
      <c r="DYH209" s="36"/>
      <c r="DYI209" s="36"/>
      <c r="DYJ209" s="36"/>
      <c r="DYK209" s="36"/>
      <c r="DYL209" s="36"/>
      <c r="DYM209" s="36"/>
      <c r="DYN209" s="36"/>
      <c r="DYO209" s="36"/>
      <c r="DYP209" s="36"/>
      <c r="DYQ209" s="36"/>
      <c r="DYR209" s="36"/>
      <c r="DYS209" s="36"/>
      <c r="DYT209" s="36"/>
      <c r="DYU209" s="36"/>
      <c r="DYV209" s="36"/>
      <c r="DYW209" s="36"/>
      <c r="DYX209" s="36"/>
      <c r="DYY209" s="36"/>
      <c r="DYZ209" s="36"/>
      <c r="DZA209" s="36"/>
      <c r="DZB209" s="36"/>
      <c r="DZC209" s="36"/>
      <c r="DZD209" s="36"/>
      <c r="DZE209" s="36"/>
      <c r="DZF209" s="36"/>
      <c r="DZG209" s="36"/>
      <c r="DZH209" s="36"/>
      <c r="DZI209" s="36"/>
      <c r="DZJ209" s="36"/>
      <c r="DZK209" s="36"/>
      <c r="DZL209" s="36"/>
      <c r="DZM209" s="36"/>
      <c r="DZN209" s="36"/>
      <c r="DZO209" s="36"/>
      <c r="DZP209" s="36"/>
      <c r="DZQ209" s="36"/>
      <c r="DZR209" s="36"/>
      <c r="DZS209" s="36"/>
      <c r="DZT209" s="36"/>
      <c r="DZU209" s="36"/>
      <c r="DZV209" s="36"/>
      <c r="DZW209" s="36"/>
      <c r="DZX209" s="36"/>
      <c r="DZY209" s="36"/>
      <c r="DZZ209" s="36"/>
      <c r="EAA209" s="36"/>
      <c r="EAB209" s="36"/>
      <c r="EAC209" s="36"/>
      <c r="EAD209" s="36"/>
      <c r="EAE209" s="36"/>
      <c r="EAF209" s="36"/>
      <c r="EAG209" s="36"/>
      <c r="EAH209" s="36"/>
      <c r="EAI209" s="36"/>
      <c r="EAJ209" s="36"/>
      <c r="EAK209" s="36"/>
      <c r="EAL209" s="36"/>
      <c r="EAM209" s="36"/>
      <c r="EAN209" s="36"/>
      <c r="EAO209" s="36"/>
      <c r="EAP209" s="36"/>
      <c r="EAQ209" s="36"/>
      <c r="EAR209" s="36"/>
      <c r="EAS209" s="36"/>
      <c r="EAT209" s="36"/>
      <c r="EAU209" s="36"/>
      <c r="EAV209" s="36"/>
      <c r="EAW209" s="36"/>
      <c r="EAX209" s="36"/>
      <c r="EAY209" s="36"/>
      <c r="EAZ209" s="36"/>
      <c r="EBA209" s="36"/>
      <c r="EBB209" s="36"/>
      <c r="EBC209" s="36"/>
      <c r="EBD209" s="36"/>
      <c r="EBE209" s="36"/>
      <c r="EBF209" s="36"/>
      <c r="EBG209" s="36"/>
      <c r="EBH209" s="36"/>
      <c r="EBI209" s="36"/>
      <c r="EBJ209" s="36"/>
      <c r="EBK209" s="36"/>
      <c r="EBL209" s="36"/>
      <c r="EBM209" s="36"/>
      <c r="EBN209" s="36"/>
      <c r="EBO209" s="36"/>
      <c r="EBP209" s="36"/>
      <c r="EBQ209" s="36"/>
      <c r="EBR209" s="36"/>
      <c r="EBS209" s="36"/>
      <c r="EBT209" s="36"/>
      <c r="EBU209" s="36"/>
      <c r="EBV209" s="36"/>
      <c r="EBW209" s="36"/>
      <c r="EBX209" s="36"/>
      <c r="EBY209" s="36"/>
      <c r="EBZ209" s="36"/>
      <c r="ECA209" s="36"/>
      <c r="ECB209" s="36"/>
      <c r="ECC209" s="36"/>
      <c r="ECD209" s="36"/>
      <c r="ECE209" s="36"/>
      <c r="ECF209" s="36"/>
      <c r="ECG209" s="36"/>
      <c r="ECH209" s="36"/>
      <c r="ECI209" s="36"/>
      <c r="ECJ209" s="36"/>
      <c r="ECK209" s="36"/>
      <c r="ECL209" s="36"/>
      <c r="ECM209" s="36"/>
      <c r="ECN209" s="36"/>
      <c r="ECO209" s="36"/>
      <c r="ECP209" s="36"/>
      <c r="ECQ209" s="36"/>
      <c r="ECR209" s="36"/>
      <c r="ECS209" s="36"/>
      <c r="ECT209" s="36"/>
      <c r="ECU209" s="36"/>
      <c r="ECV209" s="36"/>
      <c r="ECW209" s="36"/>
      <c r="ECX209" s="36"/>
      <c r="ECY209" s="36"/>
      <c r="ECZ209" s="36"/>
      <c r="EDA209" s="36"/>
      <c r="EDB209" s="36"/>
      <c r="EDC209" s="36"/>
      <c r="EDD209" s="36"/>
      <c r="EDE209" s="36"/>
      <c r="EDF209" s="36"/>
      <c r="EDG209" s="36"/>
      <c r="EDH209" s="36"/>
      <c r="EDI209" s="36"/>
      <c r="EDJ209" s="36"/>
      <c r="EDK209" s="36"/>
      <c r="EDL209" s="36"/>
      <c r="EDM209" s="36"/>
      <c r="EDN209" s="36"/>
      <c r="EDO209" s="36"/>
      <c r="EDP209" s="36"/>
      <c r="EDQ209" s="36"/>
      <c r="EDR209" s="36"/>
      <c r="EDS209" s="36"/>
      <c r="EDT209" s="36"/>
      <c r="EDU209" s="36"/>
      <c r="EDV209" s="36"/>
      <c r="EDW209" s="36"/>
      <c r="EDX209" s="36"/>
      <c r="EDY209" s="36"/>
      <c r="EDZ209" s="36"/>
      <c r="EEA209" s="36"/>
      <c r="EEB209" s="36"/>
      <c r="EEC209" s="36"/>
      <c r="EED209" s="36"/>
      <c r="EEE209" s="36"/>
      <c r="EEF209" s="36"/>
      <c r="EEG209" s="36"/>
      <c r="EEH209" s="36"/>
      <c r="EEI209" s="36"/>
      <c r="EEJ209" s="36"/>
      <c r="EEK209" s="36"/>
      <c r="EEL209" s="36"/>
      <c r="EEM209" s="36"/>
      <c r="EEN209" s="36"/>
      <c r="EEO209" s="36"/>
      <c r="EEP209" s="36"/>
      <c r="EEQ209" s="36"/>
      <c r="EER209" s="36"/>
      <c r="EES209" s="36"/>
      <c r="EET209" s="36"/>
      <c r="EEU209" s="36"/>
      <c r="EEV209" s="36"/>
      <c r="EEW209" s="36"/>
      <c r="EEX209" s="36"/>
      <c r="EEY209" s="36"/>
      <c r="EEZ209" s="36"/>
      <c r="EFA209" s="36"/>
      <c r="EFB209" s="36"/>
      <c r="EFC209" s="36"/>
      <c r="EFD209" s="36"/>
      <c r="EFE209" s="36"/>
      <c r="EFF209" s="36"/>
      <c r="EFG209" s="36"/>
      <c r="EFH209" s="36"/>
      <c r="EFI209" s="36"/>
      <c r="EFJ209" s="36"/>
      <c r="EFK209" s="36"/>
      <c r="EFL209" s="36"/>
      <c r="EFM209" s="36"/>
      <c r="EFN209" s="36"/>
      <c r="EFO209" s="36"/>
      <c r="EFP209" s="36"/>
      <c r="EFQ209" s="36"/>
      <c r="EFR209" s="36"/>
      <c r="EFS209" s="36"/>
      <c r="EFT209" s="36"/>
      <c r="EFU209" s="36"/>
      <c r="EFV209" s="36"/>
      <c r="EFW209" s="36"/>
      <c r="EFX209" s="36"/>
      <c r="EFY209" s="36"/>
      <c r="EFZ209" s="36"/>
      <c r="EGA209" s="36"/>
      <c r="EGB209" s="36"/>
      <c r="EGC209" s="36"/>
      <c r="EGD209" s="36"/>
      <c r="EGE209" s="36"/>
      <c r="EGF209" s="36"/>
      <c r="EGG209" s="36"/>
      <c r="EGH209" s="36"/>
      <c r="EGI209" s="36"/>
      <c r="EGJ209" s="36"/>
      <c r="EGK209" s="36"/>
      <c r="EGL209" s="36"/>
      <c r="EGM209" s="36"/>
      <c r="EGN209" s="36"/>
      <c r="EGO209" s="36"/>
      <c r="EGP209" s="36"/>
      <c r="EGQ209" s="36"/>
      <c r="EGR209" s="36"/>
      <c r="EGS209" s="36"/>
      <c r="EGT209" s="36"/>
      <c r="EGU209" s="36"/>
      <c r="EGV209" s="36"/>
      <c r="EGW209" s="36"/>
      <c r="EGX209" s="36"/>
      <c r="EGY209" s="36"/>
      <c r="EGZ209" s="36"/>
      <c r="EHA209" s="36"/>
      <c r="EHB209" s="36"/>
      <c r="EHC209" s="36"/>
      <c r="EHD209" s="36"/>
      <c r="EHE209" s="36"/>
      <c r="EHF209" s="36"/>
      <c r="EHG209" s="36"/>
      <c r="EHH209" s="36"/>
      <c r="EHI209" s="36"/>
      <c r="EHJ209" s="36"/>
      <c r="EHK209" s="36"/>
      <c r="EHL209" s="36"/>
      <c r="EHM209" s="36"/>
      <c r="EHN209" s="36"/>
      <c r="EHO209" s="36"/>
      <c r="EHP209" s="36"/>
      <c r="EHQ209" s="36"/>
      <c r="EHR209" s="36"/>
      <c r="EHS209" s="36"/>
      <c r="EHT209" s="36"/>
      <c r="EHU209" s="36"/>
      <c r="EHV209" s="36"/>
      <c r="EHW209" s="36"/>
      <c r="EHX209" s="36"/>
      <c r="EHY209" s="36"/>
      <c r="EHZ209" s="36"/>
      <c r="EIA209" s="36"/>
      <c r="EIB209" s="36"/>
      <c r="EIC209" s="36"/>
      <c r="EID209" s="36"/>
      <c r="EIE209" s="36"/>
      <c r="EIF209" s="36"/>
      <c r="EIG209" s="36"/>
      <c r="EIH209" s="36"/>
      <c r="EII209" s="36"/>
      <c r="EIJ209" s="36"/>
      <c r="EIK209" s="36"/>
      <c r="EIL209" s="36"/>
      <c r="EIM209" s="36"/>
      <c r="EIN209" s="36"/>
      <c r="EIO209" s="36"/>
      <c r="EIP209" s="36"/>
      <c r="EIQ209" s="36"/>
      <c r="EIR209" s="36"/>
      <c r="EIS209" s="36"/>
      <c r="EIT209" s="36"/>
      <c r="EIU209" s="36"/>
      <c r="EIV209" s="36"/>
      <c r="EIW209" s="36"/>
      <c r="EIX209" s="36"/>
      <c r="EIY209" s="36"/>
      <c r="EIZ209" s="36"/>
      <c r="EJA209" s="36"/>
      <c r="EJB209" s="36"/>
      <c r="EJC209" s="36"/>
      <c r="EJD209" s="36"/>
      <c r="EJE209" s="36"/>
      <c r="EJF209" s="36"/>
      <c r="EJG209" s="36"/>
      <c r="EJH209" s="36"/>
      <c r="EJI209" s="36"/>
      <c r="EJJ209" s="36"/>
      <c r="EJK209" s="36"/>
      <c r="EJL209" s="36"/>
      <c r="EJM209" s="36"/>
      <c r="EJN209" s="36"/>
      <c r="EJO209" s="36"/>
      <c r="EJP209" s="36"/>
      <c r="EJQ209" s="36"/>
      <c r="EJR209" s="36"/>
      <c r="EJS209" s="36"/>
      <c r="EJT209" s="36"/>
      <c r="EJU209" s="36"/>
      <c r="EJV209" s="36"/>
      <c r="EJW209" s="36"/>
      <c r="EJX209" s="36"/>
      <c r="EJY209" s="36"/>
      <c r="EJZ209" s="36"/>
      <c r="EKA209" s="36"/>
      <c r="EKB209" s="36"/>
      <c r="EKC209" s="36"/>
      <c r="EKD209" s="36"/>
      <c r="EKE209" s="36"/>
      <c r="EKF209" s="36"/>
      <c r="EKG209" s="36"/>
      <c r="EKH209" s="36"/>
      <c r="EKI209" s="36"/>
      <c r="EKJ209" s="36"/>
      <c r="EKK209" s="36"/>
      <c r="EKL209" s="36"/>
      <c r="EKM209" s="36"/>
      <c r="EKN209" s="36"/>
      <c r="EKO209" s="36"/>
      <c r="EKP209" s="36"/>
      <c r="EKQ209" s="36"/>
      <c r="EKR209" s="36"/>
      <c r="EKS209" s="36"/>
      <c r="EKT209" s="36"/>
      <c r="EKU209" s="36"/>
      <c r="EKV209" s="36"/>
      <c r="EKW209" s="36"/>
      <c r="EKX209" s="36"/>
      <c r="EKY209" s="36"/>
      <c r="EKZ209" s="36"/>
      <c r="ELA209" s="36"/>
      <c r="ELB209" s="36"/>
      <c r="ELC209" s="36"/>
      <c r="ELD209" s="36"/>
      <c r="ELE209" s="36"/>
      <c r="ELF209" s="36"/>
      <c r="ELG209" s="36"/>
      <c r="ELH209" s="36"/>
      <c r="ELI209" s="36"/>
      <c r="ELJ209" s="36"/>
      <c r="ELK209" s="36"/>
      <c r="ELL209" s="36"/>
      <c r="ELM209" s="36"/>
      <c r="ELN209" s="36"/>
      <c r="ELO209" s="36"/>
      <c r="ELP209" s="36"/>
      <c r="ELQ209" s="36"/>
      <c r="ELR209" s="36"/>
      <c r="ELS209" s="36"/>
      <c r="ELT209" s="36"/>
      <c r="ELU209" s="36"/>
      <c r="ELV209" s="36"/>
      <c r="ELW209" s="36"/>
      <c r="ELX209" s="36"/>
      <c r="ELY209" s="36"/>
      <c r="ELZ209" s="36"/>
      <c r="EMA209" s="36"/>
      <c r="EMB209" s="36"/>
      <c r="EMC209" s="36"/>
      <c r="EMD209" s="36"/>
      <c r="EME209" s="36"/>
      <c r="EMF209" s="36"/>
      <c r="EMG209" s="36"/>
      <c r="EMH209" s="36"/>
      <c r="EMI209" s="36"/>
      <c r="EMJ209" s="36"/>
      <c r="EMK209" s="36"/>
      <c r="EML209" s="36"/>
      <c r="EMM209" s="36"/>
      <c r="EMN209" s="36"/>
      <c r="EMO209" s="36"/>
      <c r="EMP209" s="36"/>
      <c r="EMQ209" s="36"/>
      <c r="EMR209" s="36"/>
      <c r="EMS209" s="36"/>
      <c r="EMT209" s="36"/>
      <c r="EMU209" s="36"/>
      <c r="EMV209" s="36"/>
      <c r="EMW209" s="36"/>
      <c r="EMX209" s="36"/>
      <c r="EMY209" s="36"/>
      <c r="EMZ209" s="36"/>
      <c r="ENA209" s="36"/>
      <c r="ENB209" s="36"/>
      <c r="ENC209" s="36"/>
      <c r="END209" s="36"/>
      <c r="ENE209" s="36"/>
      <c r="ENF209" s="36"/>
      <c r="ENG209" s="36"/>
      <c r="ENH209" s="36"/>
      <c r="ENI209" s="36"/>
      <c r="ENJ209" s="36"/>
      <c r="ENK209" s="36"/>
      <c r="ENL209" s="36"/>
      <c r="ENM209" s="36"/>
      <c r="ENN209" s="36"/>
      <c r="ENO209" s="36"/>
      <c r="ENP209" s="36"/>
      <c r="ENQ209" s="36"/>
      <c r="ENR209" s="36"/>
      <c r="ENS209" s="36"/>
      <c r="ENT209" s="36"/>
      <c r="ENU209" s="36"/>
      <c r="ENV209" s="36"/>
      <c r="ENW209" s="36"/>
      <c r="ENX209" s="36"/>
      <c r="ENY209" s="36"/>
      <c r="ENZ209" s="36"/>
      <c r="EOA209" s="36"/>
      <c r="EOB209" s="36"/>
      <c r="EOC209" s="36"/>
      <c r="EOD209" s="36"/>
      <c r="EOE209" s="36"/>
      <c r="EOF209" s="36"/>
      <c r="EOG209" s="36"/>
      <c r="EOH209" s="36"/>
      <c r="EOI209" s="36"/>
      <c r="EOJ209" s="36"/>
      <c r="EOK209" s="36"/>
      <c r="EOL209" s="36"/>
      <c r="EOM209" s="36"/>
      <c r="EON209" s="36"/>
      <c r="EOO209" s="36"/>
      <c r="EOP209" s="36"/>
      <c r="EOQ209" s="36"/>
      <c r="EOR209" s="36"/>
      <c r="EOS209" s="36"/>
      <c r="EOT209" s="36"/>
      <c r="EOU209" s="36"/>
      <c r="EOV209" s="36"/>
      <c r="EOW209" s="36"/>
      <c r="EOX209" s="36"/>
      <c r="EOY209" s="36"/>
      <c r="EOZ209" s="36"/>
      <c r="EPA209" s="36"/>
      <c r="EPB209" s="36"/>
      <c r="EPC209" s="36"/>
      <c r="EPD209" s="36"/>
      <c r="EPE209" s="36"/>
      <c r="EPF209" s="36"/>
      <c r="EPG209" s="36"/>
      <c r="EPH209" s="36"/>
      <c r="EPI209" s="36"/>
      <c r="EPJ209" s="36"/>
      <c r="EPK209" s="36"/>
      <c r="EPL209" s="36"/>
      <c r="EPM209" s="36"/>
      <c r="EPN209" s="36"/>
      <c r="EPO209" s="36"/>
      <c r="EPP209" s="36"/>
      <c r="EPQ209" s="36"/>
      <c r="EPR209" s="36"/>
      <c r="EPS209" s="36"/>
      <c r="EPT209" s="36"/>
      <c r="EPU209" s="36"/>
      <c r="EPV209" s="36"/>
      <c r="EPW209" s="36"/>
      <c r="EPX209" s="36"/>
      <c r="EPY209" s="36"/>
      <c r="EPZ209" s="36"/>
      <c r="EQA209" s="36"/>
      <c r="EQB209" s="36"/>
      <c r="EQC209" s="36"/>
      <c r="EQD209" s="36"/>
      <c r="EQE209" s="36"/>
      <c r="EQF209" s="36"/>
      <c r="EQG209" s="36"/>
      <c r="EQH209" s="36"/>
      <c r="EQI209" s="36"/>
      <c r="EQJ209" s="36"/>
      <c r="EQK209" s="36"/>
      <c r="EQL209" s="36"/>
      <c r="EQM209" s="36"/>
      <c r="EQN209" s="36"/>
      <c r="EQO209" s="36"/>
      <c r="EQP209" s="36"/>
      <c r="EQQ209" s="36"/>
      <c r="EQR209" s="36"/>
      <c r="EQS209" s="36"/>
      <c r="EQT209" s="36"/>
      <c r="EQU209" s="36"/>
      <c r="EQV209" s="36"/>
      <c r="EQW209" s="36"/>
      <c r="EQX209" s="36"/>
      <c r="EQY209" s="36"/>
      <c r="EQZ209" s="36"/>
      <c r="ERA209" s="36"/>
      <c r="ERB209" s="36"/>
      <c r="ERC209" s="36"/>
      <c r="ERD209" s="36"/>
      <c r="ERE209" s="36"/>
      <c r="ERF209" s="36"/>
      <c r="ERG209" s="36"/>
      <c r="ERH209" s="36"/>
      <c r="ERI209" s="36"/>
      <c r="ERJ209" s="36"/>
      <c r="ERK209" s="36"/>
      <c r="ERL209" s="36"/>
      <c r="ERM209" s="36"/>
      <c r="ERN209" s="36"/>
      <c r="ERO209" s="36"/>
      <c r="ERP209" s="36"/>
      <c r="ERQ209" s="36"/>
      <c r="ERR209" s="36"/>
      <c r="ERS209" s="36"/>
      <c r="ERT209" s="36"/>
      <c r="ERU209" s="36"/>
      <c r="ERV209" s="36"/>
      <c r="ERW209" s="36"/>
      <c r="ERX209" s="36"/>
      <c r="ERY209" s="36"/>
      <c r="ERZ209" s="36"/>
      <c r="ESA209" s="36"/>
      <c r="ESB209" s="36"/>
      <c r="ESC209" s="36"/>
      <c r="ESD209" s="36"/>
      <c r="ESE209" s="36"/>
      <c r="ESF209" s="36"/>
      <c r="ESG209" s="36"/>
      <c r="ESH209" s="36"/>
      <c r="ESI209" s="36"/>
      <c r="ESJ209" s="36"/>
      <c r="ESK209" s="36"/>
      <c r="ESL209" s="36"/>
      <c r="ESM209" s="36"/>
      <c r="ESN209" s="36"/>
      <c r="ESO209" s="36"/>
      <c r="ESP209" s="36"/>
      <c r="ESQ209" s="36"/>
      <c r="ESR209" s="36"/>
      <c r="ESS209" s="36"/>
      <c r="EST209" s="36"/>
      <c r="ESU209" s="36"/>
      <c r="ESV209" s="36"/>
      <c r="ESW209" s="36"/>
      <c r="ESX209" s="36"/>
      <c r="ESY209" s="36"/>
      <c r="ESZ209" s="36"/>
      <c r="ETA209" s="36"/>
      <c r="ETB209" s="36"/>
      <c r="ETC209" s="36"/>
      <c r="ETD209" s="36"/>
      <c r="ETE209" s="36"/>
      <c r="ETF209" s="36"/>
      <c r="ETG209" s="36"/>
      <c r="ETH209" s="36"/>
      <c r="ETI209" s="36"/>
      <c r="ETJ209" s="36"/>
      <c r="ETK209" s="36"/>
      <c r="ETL209" s="36"/>
      <c r="ETM209" s="36"/>
      <c r="ETN209" s="36"/>
      <c r="ETO209" s="36"/>
      <c r="ETP209" s="36"/>
      <c r="ETQ209" s="36"/>
      <c r="ETR209" s="36"/>
      <c r="ETS209" s="36"/>
      <c r="ETT209" s="36"/>
      <c r="ETU209" s="36"/>
      <c r="ETV209" s="36"/>
      <c r="ETW209" s="36"/>
      <c r="ETX209" s="36"/>
      <c r="ETY209" s="36"/>
      <c r="ETZ209" s="36"/>
      <c r="EUA209" s="36"/>
      <c r="EUB209" s="36"/>
      <c r="EUC209" s="36"/>
      <c r="EUD209" s="36"/>
      <c r="EUE209" s="36"/>
      <c r="EUF209" s="36"/>
      <c r="EUG209" s="36"/>
      <c r="EUH209" s="36"/>
      <c r="EUI209" s="36"/>
      <c r="EUJ209" s="36"/>
      <c r="EUK209" s="36"/>
      <c r="EUL209" s="36"/>
      <c r="EUM209" s="36"/>
      <c r="EUN209" s="36"/>
      <c r="EUO209" s="36"/>
      <c r="EUP209" s="36"/>
      <c r="EUQ209" s="36"/>
      <c r="EUR209" s="36"/>
      <c r="EUS209" s="36"/>
      <c r="EUT209" s="36"/>
      <c r="EUU209" s="36"/>
      <c r="EUV209" s="36"/>
      <c r="EUW209" s="36"/>
      <c r="EUX209" s="36"/>
      <c r="EUY209" s="36"/>
      <c r="EUZ209" s="36"/>
      <c r="EVA209" s="36"/>
      <c r="EVB209" s="36"/>
      <c r="EVC209" s="36"/>
      <c r="EVD209" s="36"/>
      <c r="EVE209" s="36"/>
      <c r="EVF209" s="36"/>
      <c r="EVG209" s="36"/>
      <c r="EVH209" s="36"/>
      <c r="EVI209" s="36"/>
      <c r="EVJ209" s="36"/>
      <c r="EVK209" s="36"/>
      <c r="EVL209" s="36"/>
      <c r="EVM209" s="36"/>
      <c r="EVN209" s="36"/>
      <c r="EVO209" s="36"/>
      <c r="EVP209" s="36"/>
      <c r="EVQ209" s="36"/>
      <c r="EVR209" s="36"/>
      <c r="EVS209" s="36"/>
      <c r="EVT209" s="36"/>
      <c r="EVU209" s="36"/>
      <c r="EVV209" s="36"/>
      <c r="EVW209" s="36"/>
      <c r="EVX209" s="36"/>
      <c r="EVY209" s="36"/>
      <c r="EVZ209" s="36"/>
      <c r="EWA209" s="36"/>
      <c r="EWB209" s="36"/>
      <c r="EWC209" s="36"/>
      <c r="EWD209" s="36"/>
      <c r="EWE209" s="36"/>
      <c r="EWF209" s="36"/>
      <c r="EWG209" s="36"/>
      <c r="EWH209" s="36"/>
      <c r="EWI209" s="36"/>
      <c r="EWJ209" s="36"/>
      <c r="EWK209" s="36"/>
      <c r="EWL209" s="36"/>
      <c r="EWM209" s="36"/>
      <c r="EWN209" s="36"/>
      <c r="EWO209" s="36"/>
      <c r="EWP209" s="36"/>
      <c r="EWQ209" s="36"/>
      <c r="EWR209" s="36"/>
      <c r="EWS209" s="36"/>
      <c r="EWT209" s="36"/>
      <c r="EWU209" s="36"/>
      <c r="EWV209" s="36"/>
      <c r="EWW209" s="36"/>
      <c r="EWX209" s="36"/>
      <c r="EWY209" s="36"/>
      <c r="EWZ209" s="36"/>
      <c r="EXA209" s="36"/>
      <c r="EXB209" s="36"/>
      <c r="EXC209" s="36"/>
      <c r="EXD209" s="36"/>
      <c r="EXE209" s="36"/>
      <c r="EXF209" s="36"/>
      <c r="EXG209" s="36"/>
      <c r="EXH209" s="36"/>
      <c r="EXI209" s="36"/>
      <c r="EXJ209" s="36"/>
      <c r="EXK209" s="36"/>
      <c r="EXL209" s="36"/>
      <c r="EXM209" s="36"/>
      <c r="EXN209" s="36"/>
      <c r="EXO209" s="36"/>
      <c r="EXP209" s="36"/>
      <c r="EXQ209" s="36"/>
      <c r="EXR209" s="36"/>
      <c r="EXS209" s="36"/>
      <c r="EXT209" s="36"/>
      <c r="EXU209" s="36"/>
      <c r="EXV209" s="36"/>
      <c r="EXW209" s="36"/>
      <c r="EXX209" s="36"/>
      <c r="EXY209" s="36"/>
      <c r="EXZ209" s="36"/>
      <c r="EYA209" s="36"/>
      <c r="EYB209" s="36"/>
      <c r="EYC209" s="36"/>
      <c r="EYD209" s="36"/>
      <c r="EYE209" s="36"/>
      <c r="EYF209" s="36"/>
      <c r="EYG209" s="36"/>
      <c r="EYH209" s="36"/>
      <c r="EYI209" s="36"/>
      <c r="EYJ209" s="36"/>
      <c r="EYK209" s="36"/>
      <c r="EYL209" s="36"/>
      <c r="EYM209" s="36"/>
      <c r="EYN209" s="36"/>
      <c r="EYO209" s="36"/>
      <c r="EYP209" s="36"/>
      <c r="EYQ209" s="36"/>
      <c r="EYR209" s="36"/>
      <c r="EYS209" s="36"/>
      <c r="EYT209" s="36"/>
      <c r="EYU209" s="36"/>
      <c r="EYV209" s="36"/>
      <c r="EYW209" s="36"/>
      <c r="EYX209" s="36"/>
      <c r="EYY209" s="36"/>
      <c r="EYZ209" s="36"/>
      <c r="EZA209" s="36"/>
      <c r="EZB209" s="36"/>
      <c r="EZC209" s="36"/>
      <c r="EZD209" s="36"/>
      <c r="EZE209" s="36"/>
      <c r="EZF209" s="36"/>
      <c r="EZG209" s="36"/>
      <c r="EZH209" s="36"/>
      <c r="EZI209" s="36"/>
      <c r="EZJ209" s="36"/>
      <c r="EZK209" s="36"/>
      <c r="EZL209" s="36"/>
      <c r="EZM209" s="36"/>
      <c r="EZN209" s="36"/>
      <c r="EZO209" s="36"/>
      <c r="EZP209" s="36"/>
      <c r="EZQ209" s="36"/>
      <c r="EZR209" s="36"/>
      <c r="EZS209" s="36"/>
      <c r="EZT209" s="36"/>
      <c r="EZU209" s="36"/>
      <c r="EZV209" s="36"/>
      <c r="EZW209" s="36"/>
      <c r="EZX209" s="36"/>
      <c r="EZY209" s="36"/>
      <c r="EZZ209" s="36"/>
      <c r="FAA209" s="36"/>
      <c r="FAB209" s="36"/>
      <c r="FAC209" s="36"/>
      <c r="FAD209" s="36"/>
      <c r="FAE209" s="36"/>
      <c r="FAF209" s="36"/>
      <c r="FAG209" s="36"/>
      <c r="FAH209" s="36"/>
      <c r="FAI209" s="36"/>
      <c r="FAJ209" s="36"/>
      <c r="FAK209" s="36"/>
      <c r="FAL209" s="36"/>
      <c r="FAM209" s="36"/>
      <c r="FAN209" s="36"/>
      <c r="FAO209" s="36"/>
      <c r="FAP209" s="36"/>
      <c r="FAQ209" s="36"/>
      <c r="FAR209" s="36"/>
      <c r="FAS209" s="36"/>
      <c r="FAT209" s="36"/>
      <c r="FAU209" s="36"/>
      <c r="FAV209" s="36"/>
      <c r="FAW209" s="36"/>
      <c r="FAX209" s="36"/>
      <c r="FAY209" s="36"/>
      <c r="FAZ209" s="36"/>
      <c r="FBA209" s="36"/>
      <c r="FBB209" s="36"/>
      <c r="FBC209" s="36"/>
      <c r="FBD209" s="36"/>
      <c r="FBE209" s="36"/>
      <c r="FBF209" s="36"/>
      <c r="FBG209" s="36"/>
      <c r="FBH209" s="36"/>
      <c r="FBI209" s="36"/>
      <c r="FBJ209" s="36"/>
      <c r="FBK209" s="36"/>
      <c r="FBL209" s="36"/>
      <c r="FBM209" s="36"/>
      <c r="FBN209" s="36"/>
      <c r="FBO209" s="36"/>
      <c r="FBP209" s="36"/>
      <c r="FBQ209" s="36"/>
      <c r="FBR209" s="36"/>
      <c r="FBS209" s="36"/>
      <c r="FBT209" s="36"/>
      <c r="FBU209" s="36"/>
      <c r="FBV209" s="36"/>
      <c r="FBW209" s="36"/>
      <c r="FBX209" s="36"/>
      <c r="FBY209" s="36"/>
      <c r="FBZ209" s="36"/>
      <c r="FCA209" s="36"/>
      <c r="FCB209" s="36"/>
      <c r="FCC209" s="36"/>
      <c r="FCD209" s="36"/>
      <c r="FCE209" s="36"/>
      <c r="FCF209" s="36"/>
      <c r="FCG209" s="36"/>
      <c r="FCH209" s="36"/>
      <c r="FCI209" s="36"/>
      <c r="FCJ209" s="36"/>
      <c r="FCK209" s="36"/>
      <c r="FCL209" s="36"/>
      <c r="FCM209" s="36"/>
      <c r="FCN209" s="36"/>
      <c r="FCO209" s="36"/>
      <c r="FCP209" s="36"/>
      <c r="FCQ209" s="36"/>
      <c r="FCR209" s="36"/>
      <c r="FCS209" s="36"/>
      <c r="FCT209" s="36"/>
      <c r="FCU209" s="36"/>
      <c r="FCV209" s="36"/>
      <c r="FCW209" s="36"/>
      <c r="FCX209" s="36"/>
      <c r="FCY209" s="36"/>
      <c r="FCZ209" s="36"/>
      <c r="FDA209" s="36"/>
      <c r="FDB209" s="36"/>
      <c r="FDC209" s="36"/>
      <c r="FDD209" s="36"/>
      <c r="FDE209" s="36"/>
      <c r="FDF209" s="36"/>
      <c r="FDG209" s="36"/>
      <c r="FDH209" s="36"/>
      <c r="FDI209" s="36"/>
      <c r="FDJ209" s="36"/>
      <c r="FDK209" s="36"/>
      <c r="FDL209" s="36"/>
      <c r="FDM209" s="36"/>
      <c r="FDN209" s="36"/>
      <c r="FDO209" s="36"/>
      <c r="FDP209" s="36"/>
      <c r="FDQ209" s="36"/>
      <c r="FDR209" s="36"/>
      <c r="FDS209" s="36"/>
      <c r="FDT209" s="36"/>
      <c r="FDU209" s="36"/>
      <c r="FDV209" s="36"/>
      <c r="FDW209" s="36"/>
      <c r="FDX209" s="36"/>
      <c r="FDY209" s="36"/>
      <c r="FDZ209" s="36"/>
      <c r="FEA209" s="36"/>
      <c r="FEB209" s="36"/>
      <c r="FEC209" s="36"/>
      <c r="FED209" s="36"/>
      <c r="FEE209" s="36"/>
      <c r="FEF209" s="36"/>
      <c r="FEG209" s="36"/>
      <c r="FEH209" s="36"/>
      <c r="FEI209" s="36"/>
      <c r="FEJ209" s="36"/>
      <c r="FEK209" s="36"/>
      <c r="FEL209" s="36"/>
      <c r="FEM209" s="36"/>
      <c r="FEN209" s="36"/>
      <c r="FEO209" s="36"/>
      <c r="FEP209" s="36"/>
      <c r="FEQ209" s="36"/>
      <c r="FER209" s="36"/>
      <c r="FES209" s="36"/>
      <c r="FET209" s="36"/>
      <c r="FEU209" s="36"/>
      <c r="FEV209" s="36"/>
      <c r="FEW209" s="36"/>
      <c r="FEX209" s="36"/>
      <c r="FEY209" s="36"/>
      <c r="FEZ209" s="36"/>
      <c r="FFA209" s="36"/>
      <c r="FFB209" s="36"/>
      <c r="FFC209" s="36"/>
      <c r="FFD209" s="36"/>
      <c r="FFE209" s="36"/>
      <c r="FFF209" s="36"/>
      <c r="FFG209" s="36"/>
      <c r="FFH209" s="36"/>
      <c r="FFI209" s="36"/>
      <c r="FFJ209" s="36"/>
      <c r="FFK209" s="36"/>
      <c r="FFL209" s="36"/>
      <c r="FFM209" s="36"/>
      <c r="FFN209" s="36"/>
      <c r="FFO209" s="36"/>
      <c r="FFP209" s="36"/>
      <c r="FFQ209" s="36"/>
      <c r="FFR209" s="36"/>
      <c r="FFS209" s="36"/>
      <c r="FFT209" s="36"/>
      <c r="FFU209" s="36"/>
      <c r="FFV209" s="36"/>
      <c r="FFW209" s="36"/>
      <c r="FFX209" s="36"/>
      <c r="FFY209" s="36"/>
      <c r="FFZ209" s="36"/>
      <c r="FGA209" s="36"/>
      <c r="FGB209" s="36"/>
      <c r="FGC209" s="36"/>
      <c r="FGD209" s="36"/>
      <c r="FGE209" s="36"/>
      <c r="FGF209" s="36"/>
      <c r="FGG209" s="36"/>
      <c r="FGH209" s="36"/>
      <c r="FGI209" s="36"/>
      <c r="FGJ209" s="36"/>
      <c r="FGK209" s="36"/>
      <c r="FGL209" s="36"/>
      <c r="FGM209" s="36"/>
      <c r="FGN209" s="36"/>
      <c r="FGO209" s="36"/>
      <c r="FGP209" s="36"/>
      <c r="FGQ209" s="36"/>
      <c r="FGR209" s="36"/>
      <c r="FGS209" s="36"/>
      <c r="FGT209" s="36"/>
      <c r="FGU209" s="36"/>
      <c r="FGV209" s="36"/>
      <c r="FGW209" s="36"/>
      <c r="FGX209" s="36"/>
      <c r="FGY209" s="36"/>
      <c r="FGZ209" s="36"/>
      <c r="FHA209" s="36"/>
      <c r="FHB209" s="36"/>
      <c r="FHC209" s="36"/>
      <c r="FHD209" s="36"/>
      <c r="FHE209" s="36"/>
      <c r="FHF209" s="36"/>
      <c r="FHG209" s="36"/>
      <c r="FHH209" s="36"/>
      <c r="FHI209" s="36"/>
      <c r="FHJ209" s="36"/>
      <c r="FHK209" s="36"/>
      <c r="FHL209" s="36"/>
      <c r="FHM209" s="36"/>
      <c r="FHN209" s="36"/>
      <c r="FHO209" s="36"/>
      <c r="FHP209" s="36"/>
      <c r="FHQ209" s="36"/>
      <c r="FHR209" s="36"/>
      <c r="FHS209" s="36"/>
      <c r="FHT209" s="36"/>
      <c r="FHU209" s="36"/>
      <c r="FHV209" s="36"/>
      <c r="FHW209" s="36"/>
      <c r="FHX209" s="36"/>
      <c r="FHY209" s="36"/>
      <c r="FHZ209" s="36"/>
      <c r="FIA209" s="36"/>
      <c r="FIB209" s="36"/>
      <c r="FIC209" s="36"/>
      <c r="FID209" s="36"/>
      <c r="FIE209" s="36"/>
      <c r="FIF209" s="36"/>
      <c r="FIG209" s="36"/>
      <c r="FIH209" s="36"/>
      <c r="FII209" s="36"/>
      <c r="FIJ209" s="36"/>
      <c r="FIK209" s="36"/>
      <c r="FIL209" s="36"/>
      <c r="FIM209" s="36"/>
      <c r="FIN209" s="36"/>
      <c r="FIO209" s="36"/>
      <c r="FIP209" s="36"/>
      <c r="FIQ209" s="36"/>
      <c r="FIR209" s="36"/>
      <c r="FIS209" s="36"/>
      <c r="FIT209" s="36"/>
      <c r="FIU209" s="36"/>
      <c r="FIV209" s="36"/>
      <c r="FIW209" s="36"/>
      <c r="FIX209" s="36"/>
      <c r="FIY209" s="36"/>
      <c r="FIZ209" s="36"/>
      <c r="FJA209" s="36"/>
      <c r="FJB209" s="36"/>
      <c r="FJC209" s="36"/>
      <c r="FJD209" s="36"/>
      <c r="FJE209" s="36"/>
      <c r="FJF209" s="36"/>
      <c r="FJG209" s="36"/>
      <c r="FJH209" s="36"/>
      <c r="FJI209" s="36"/>
      <c r="FJJ209" s="36"/>
      <c r="FJK209" s="36"/>
      <c r="FJL209" s="36"/>
      <c r="FJM209" s="36"/>
      <c r="FJN209" s="36"/>
      <c r="FJO209" s="36"/>
      <c r="FJP209" s="36"/>
      <c r="FJQ209" s="36"/>
      <c r="FJR209" s="36"/>
      <c r="FJS209" s="36"/>
      <c r="FJT209" s="36"/>
      <c r="FJU209" s="36"/>
      <c r="FJV209" s="36"/>
      <c r="FJW209" s="36"/>
      <c r="FJX209" s="36"/>
      <c r="FJY209" s="36"/>
      <c r="FJZ209" s="36"/>
      <c r="FKA209" s="36"/>
      <c r="FKB209" s="36"/>
      <c r="FKC209" s="36"/>
      <c r="FKD209" s="36"/>
      <c r="FKE209" s="36"/>
      <c r="FKF209" s="36"/>
      <c r="FKG209" s="36"/>
      <c r="FKH209" s="36"/>
      <c r="FKI209" s="36"/>
      <c r="FKJ209" s="36"/>
      <c r="FKK209" s="36"/>
      <c r="FKL209" s="36"/>
      <c r="FKM209" s="36"/>
      <c r="FKN209" s="36"/>
      <c r="FKO209" s="36"/>
      <c r="FKP209" s="36"/>
      <c r="FKQ209" s="36"/>
      <c r="FKR209" s="36"/>
      <c r="FKS209" s="36"/>
      <c r="FKT209" s="36"/>
      <c r="FKU209" s="36"/>
      <c r="FKV209" s="36"/>
      <c r="FKW209" s="36"/>
      <c r="FKX209" s="36"/>
      <c r="FKY209" s="36"/>
      <c r="FKZ209" s="36"/>
      <c r="FLA209" s="36"/>
      <c r="FLB209" s="36"/>
      <c r="FLC209" s="36"/>
      <c r="FLD209" s="36"/>
      <c r="FLE209" s="36"/>
      <c r="FLF209" s="36"/>
      <c r="FLG209" s="36"/>
      <c r="FLH209" s="36"/>
      <c r="FLI209" s="36"/>
      <c r="FLJ209" s="36"/>
      <c r="FLK209" s="36"/>
      <c r="FLL209" s="36"/>
      <c r="FLM209" s="36"/>
      <c r="FLN209" s="36"/>
      <c r="FLO209" s="36"/>
      <c r="FLP209" s="36"/>
      <c r="FLQ209" s="36"/>
      <c r="FLR209" s="36"/>
      <c r="FLS209" s="36"/>
      <c r="FLT209" s="36"/>
      <c r="FLU209" s="36"/>
      <c r="FLV209" s="36"/>
      <c r="FLW209" s="36"/>
      <c r="FLX209" s="36"/>
      <c r="FLY209" s="36"/>
      <c r="FLZ209" s="36"/>
      <c r="FMA209" s="36"/>
      <c r="FMB209" s="36"/>
      <c r="FMC209" s="36"/>
      <c r="FMD209" s="36"/>
      <c r="FME209" s="36"/>
      <c r="FMF209" s="36"/>
      <c r="FMG209" s="36"/>
      <c r="FMH209" s="36"/>
      <c r="FMI209" s="36"/>
      <c r="FMJ209" s="36"/>
      <c r="FMK209" s="36"/>
      <c r="FML209" s="36"/>
      <c r="FMM209" s="36"/>
      <c r="FMN209" s="36"/>
      <c r="FMO209" s="36"/>
      <c r="FMP209" s="36"/>
      <c r="FMQ209" s="36"/>
      <c r="FMR209" s="36"/>
      <c r="FMS209" s="36"/>
      <c r="FMT209" s="36"/>
      <c r="FMU209" s="36"/>
      <c r="FMV209" s="36"/>
      <c r="FMW209" s="36"/>
      <c r="FMX209" s="36"/>
      <c r="FMY209" s="36"/>
      <c r="FMZ209" s="36"/>
      <c r="FNA209" s="36"/>
      <c r="FNB209" s="36"/>
      <c r="FNC209" s="36"/>
      <c r="FND209" s="36"/>
      <c r="FNE209" s="36"/>
      <c r="FNF209" s="36"/>
      <c r="FNG209" s="36"/>
      <c r="FNH209" s="36"/>
      <c r="FNI209" s="36"/>
      <c r="FNJ209" s="36"/>
      <c r="FNK209" s="36"/>
      <c r="FNL209" s="36"/>
      <c r="FNM209" s="36"/>
      <c r="FNN209" s="36"/>
      <c r="FNO209" s="36"/>
      <c r="FNP209" s="36"/>
      <c r="FNQ209" s="36"/>
      <c r="FNR209" s="36"/>
      <c r="FNS209" s="36"/>
      <c r="FNT209" s="36"/>
      <c r="FNU209" s="36"/>
      <c r="FNV209" s="36"/>
      <c r="FNW209" s="36"/>
      <c r="FNX209" s="36"/>
      <c r="FNY209" s="36"/>
      <c r="FNZ209" s="36"/>
      <c r="FOA209" s="36"/>
      <c r="FOB209" s="36"/>
      <c r="FOC209" s="36"/>
      <c r="FOD209" s="36"/>
      <c r="FOE209" s="36"/>
      <c r="FOF209" s="36"/>
      <c r="FOG209" s="36"/>
      <c r="FOH209" s="36"/>
      <c r="FOI209" s="36"/>
      <c r="FOJ209" s="36"/>
      <c r="FOK209" s="36"/>
      <c r="FOL209" s="36"/>
      <c r="FOM209" s="36"/>
      <c r="FON209" s="36"/>
      <c r="FOO209" s="36"/>
      <c r="FOP209" s="36"/>
      <c r="FOQ209" s="36"/>
      <c r="FOR209" s="36"/>
      <c r="FOS209" s="36"/>
      <c r="FOT209" s="36"/>
      <c r="FOU209" s="36"/>
      <c r="FOV209" s="36"/>
      <c r="FOW209" s="36"/>
      <c r="FOX209" s="36"/>
      <c r="FOY209" s="36"/>
      <c r="FOZ209" s="36"/>
      <c r="FPA209" s="36"/>
      <c r="FPB209" s="36"/>
      <c r="FPC209" s="36"/>
      <c r="FPD209" s="36"/>
      <c r="FPE209" s="36"/>
      <c r="FPF209" s="36"/>
      <c r="FPG209" s="36"/>
      <c r="FPH209" s="36"/>
      <c r="FPI209" s="36"/>
      <c r="FPJ209" s="36"/>
      <c r="FPK209" s="36"/>
      <c r="FPL209" s="36"/>
      <c r="FPM209" s="36"/>
      <c r="FPN209" s="36"/>
      <c r="FPO209" s="36"/>
      <c r="FPP209" s="36"/>
      <c r="FPQ209" s="36"/>
      <c r="FPR209" s="36"/>
      <c r="FPS209" s="36"/>
      <c r="FPT209" s="36"/>
      <c r="FPU209" s="36"/>
      <c r="FPV209" s="36"/>
      <c r="FPW209" s="36"/>
      <c r="FPX209" s="36"/>
      <c r="FPY209" s="36"/>
      <c r="FPZ209" s="36"/>
      <c r="FQA209" s="36"/>
      <c r="FQB209" s="36"/>
      <c r="FQC209" s="36"/>
      <c r="FQD209" s="36"/>
      <c r="FQE209" s="36"/>
      <c r="FQF209" s="36"/>
      <c r="FQG209" s="36"/>
      <c r="FQH209" s="36"/>
      <c r="FQI209" s="36"/>
      <c r="FQJ209" s="36"/>
      <c r="FQK209" s="36"/>
      <c r="FQL209" s="36"/>
      <c r="FQM209" s="36"/>
      <c r="FQN209" s="36"/>
      <c r="FQO209" s="36"/>
      <c r="FQP209" s="36"/>
      <c r="FQQ209" s="36"/>
      <c r="FQR209" s="36"/>
      <c r="FQS209" s="36"/>
      <c r="FQT209" s="36"/>
      <c r="FQU209" s="36"/>
      <c r="FQV209" s="36"/>
      <c r="FQW209" s="36"/>
      <c r="FQX209" s="36"/>
      <c r="FQY209" s="36"/>
      <c r="FQZ209" s="36"/>
      <c r="FRA209" s="36"/>
      <c r="FRB209" s="36"/>
      <c r="FRC209" s="36"/>
      <c r="FRD209" s="36"/>
      <c r="FRE209" s="36"/>
      <c r="FRF209" s="36"/>
      <c r="FRG209" s="36"/>
      <c r="FRH209" s="36"/>
      <c r="FRI209" s="36"/>
      <c r="FRJ209" s="36"/>
      <c r="FRK209" s="36"/>
      <c r="FRL209" s="36"/>
      <c r="FRM209" s="36"/>
      <c r="FRN209" s="36"/>
      <c r="FRO209" s="36"/>
      <c r="FRP209" s="36"/>
      <c r="FRQ209" s="36"/>
      <c r="FRR209" s="36"/>
      <c r="FRS209" s="36"/>
      <c r="FRT209" s="36"/>
      <c r="FRU209" s="36"/>
      <c r="FRV209" s="36"/>
      <c r="FRW209" s="36"/>
      <c r="FRX209" s="36"/>
      <c r="FRY209" s="36"/>
      <c r="FRZ209" s="36"/>
      <c r="FSA209" s="36"/>
      <c r="FSB209" s="36"/>
      <c r="FSC209" s="36"/>
      <c r="FSD209" s="36"/>
      <c r="FSE209" s="36"/>
      <c r="FSF209" s="36"/>
      <c r="FSG209" s="36"/>
      <c r="FSH209" s="36"/>
      <c r="FSI209" s="36"/>
      <c r="FSJ209" s="36"/>
      <c r="FSK209" s="36"/>
      <c r="FSL209" s="36"/>
      <c r="FSM209" s="36"/>
      <c r="FSN209" s="36"/>
      <c r="FSO209" s="36"/>
      <c r="FSP209" s="36"/>
      <c r="FSQ209" s="36"/>
      <c r="FSR209" s="36"/>
      <c r="FSS209" s="36"/>
      <c r="FST209" s="36"/>
      <c r="FSU209" s="36"/>
      <c r="FSV209" s="36"/>
      <c r="FSW209" s="36"/>
      <c r="FSX209" s="36"/>
      <c r="FSY209" s="36"/>
      <c r="FSZ209" s="36"/>
      <c r="FTA209" s="36"/>
      <c r="FTB209" s="36"/>
      <c r="FTC209" s="36"/>
      <c r="FTD209" s="36"/>
      <c r="FTE209" s="36"/>
      <c r="FTF209" s="36"/>
      <c r="FTG209" s="36"/>
      <c r="FTH209" s="36"/>
      <c r="FTI209" s="36"/>
      <c r="FTJ209" s="36"/>
      <c r="FTK209" s="36"/>
      <c r="FTL209" s="36"/>
      <c r="FTM209" s="36"/>
      <c r="FTN209" s="36"/>
      <c r="FTO209" s="36"/>
      <c r="FTP209" s="36"/>
      <c r="FTQ209" s="36"/>
      <c r="FTR209" s="36"/>
      <c r="FTS209" s="36"/>
      <c r="FTT209" s="36"/>
      <c r="FTU209" s="36"/>
      <c r="FTV209" s="36"/>
      <c r="FTW209" s="36"/>
      <c r="FTX209" s="36"/>
      <c r="FTY209" s="36"/>
      <c r="FTZ209" s="36"/>
      <c r="FUA209" s="36"/>
      <c r="FUB209" s="36"/>
      <c r="FUC209" s="36"/>
      <c r="FUD209" s="36"/>
      <c r="FUE209" s="36"/>
      <c r="FUF209" s="36"/>
      <c r="FUG209" s="36"/>
      <c r="FUH209" s="36"/>
      <c r="FUI209" s="36"/>
      <c r="FUJ209" s="36"/>
      <c r="FUK209" s="36"/>
      <c r="FUL209" s="36"/>
      <c r="FUM209" s="36"/>
      <c r="FUN209" s="36"/>
      <c r="FUO209" s="36"/>
      <c r="FUP209" s="36"/>
      <c r="FUQ209" s="36"/>
      <c r="FUR209" s="36"/>
      <c r="FUS209" s="36"/>
      <c r="FUT209" s="36"/>
      <c r="FUU209" s="36"/>
      <c r="FUV209" s="36"/>
      <c r="FUW209" s="36"/>
      <c r="FUX209" s="36"/>
      <c r="FUY209" s="36"/>
      <c r="FUZ209" s="36"/>
      <c r="FVA209" s="36"/>
      <c r="FVB209" s="36"/>
      <c r="FVC209" s="36"/>
      <c r="FVD209" s="36"/>
      <c r="FVE209" s="36"/>
      <c r="FVF209" s="36"/>
      <c r="FVG209" s="36"/>
      <c r="FVH209" s="36"/>
      <c r="FVI209" s="36"/>
      <c r="FVJ209" s="36"/>
      <c r="FVK209" s="36"/>
      <c r="FVL209" s="36"/>
      <c r="FVM209" s="36"/>
      <c r="FVN209" s="36"/>
      <c r="FVO209" s="36"/>
      <c r="FVP209" s="36"/>
      <c r="FVQ209" s="36"/>
      <c r="FVR209" s="36"/>
      <c r="FVS209" s="36"/>
      <c r="FVT209" s="36"/>
      <c r="FVU209" s="36"/>
      <c r="FVV209" s="36"/>
      <c r="FVW209" s="36"/>
      <c r="FVX209" s="36"/>
      <c r="FVY209" s="36"/>
      <c r="FVZ209" s="36"/>
      <c r="FWA209" s="36"/>
      <c r="FWB209" s="36"/>
      <c r="FWC209" s="36"/>
      <c r="FWD209" s="36"/>
      <c r="FWE209" s="36"/>
      <c r="FWF209" s="36"/>
      <c r="FWG209" s="36"/>
      <c r="FWH209" s="36"/>
      <c r="FWI209" s="36"/>
      <c r="FWJ209" s="36"/>
      <c r="FWK209" s="36"/>
      <c r="FWL209" s="36"/>
      <c r="FWM209" s="36"/>
      <c r="FWN209" s="36"/>
      <c r="FWO209" s="36"/>
      <c r="FWP209" s="36"/>
      <c r="FWQ209" s="36"/>
      <c r="FWR209" s="36"/>
      <c r="FWS209" s="36"/>
      <c r="FWT209" s="36"/>
      <c r="FWU209" s="36"/>
      <c r="FWV209" s="36"/>
      <c r="FWW209" s="36"/>
      <c r="FWX209" s="36"/>
      <c r="FWY209" s="36"/>
      <c r="FWZ209" s="36"/>
      <c r="FXA209" s="36"/>
      <c r="FXB209" s="36"/>
      <c r="FXC209" s="36"/>
      <c r="FXD209" s="36"/>
      <c r="FXE209" s="36"/>
      <c r="FXF209" s="36"/>
      <c r="FXG209" s="36"/>
      <c r="FXH209" s="36"/>
      <c r="FXI209" s="36"/>
      <c r="FXJ209" s="36"/>
      <c r="FXK209" s="36"/>
      <c r="FXL209" s="36"/>
      <c r="FXM209" s="36"/>
      <c r="FXN209" s="36"/>
      <c r="FXO209" s="36"/>
      <c r="FXP209" s="36"/>
      <c r="FXQ209" s="36"/>
      <c r="FXR209" s="36"/>
      <c r="FXS209" s="36"/>
      <c r="FXT209" s="36"/>
      <c r="FXU209" s="36"/>
      <c r="FXV209" s="36"/>
      <c r="FXW209" s="36"/>
      <c r="FXX209" s="36"/>
      <c r="FXY209" s="36"/>
      <c r="FXZ209" s="36"/>
      <c r="FYA209" s="36"/>
      <c r="FYB209" s="36"/>
      <c r="FYC209" s="36"/>
      <c r="FYD209" s="36"/>
      <c r="FYE209" s="36"/>
      <c r="FYF209" s="36"/>
      <c r="FYG209" s="36"/>
      <c r="FYH209" s="36"/>
      <c r="FYI209" s="36"/>
      <c r="FYJ209" s="36"/>
      <c r="FYK209" s="36"/>
      <c r="FYL209" s="36"/>
      <c r="FYM209" s="36"/>
      <c r="FYN209" s="36"/>
      <c r="FYO209" s="36"/>
      <c r="FYP209" s="36"/>
      <c r="FYQ209" s="36"/>
      <c r="FYR209" s="36"/>
      <c r="FYS209" s="36"/>
      <c r="FYT209" s="36"/>
      <c r="FYU209" s="36"/>
      <c r="FYV209" s="36"/>
      <c r="FYW209" s="36"/>
      <c r="FYX209" s="36"/>
      <c r="FYY209" s="36"/>
      <c r="FYZ209" s="36"/>
      <c r="FZA209" s="36"/>
      <c r="FZB209" s="36"/>
      <c r="FZC209" s="36"/>
      <c r="FZD209" s="36"/>
      <c r="FZE209" s="36"/>
      <c r="FZF209" s="36"/>
      <c r="FZG209" s="36"/>
      <c r="FZH209" s="36"/>
      <c r="FZI209" s="36"/>
      <c r="FZJ209" s="36"/>
      <c r="FZK209" s="36"/>
      <c r="FZL209" s="36"/>
      <c r="FZM209" s="36"/>
      <c r="FZN209" s="36"/>
      <c r="FZO209" s="36"/>
      <c r="FZP209" s="36"/>
      <c r="FZQ209" s="36"/>
      <c r="FZR209" s="36"/>
      <c r="FZS209" s="36"/>
      <c r="FZT209" s="36"/>
      <c r="FZU209" s="36"/>
      <c r="FZV209" s="36"/>
      <c r="FZW209" s="36"/>
      <c r="FZX209" s="36"/>
      <c r="FZY209" s="36"/>
      <c r="FZZ209" s="36"/>
      <c r="GAA209" s="36"/>
      <c r="GAB209" s="36"/>
      <c r="GAC209" s="36"/>
      <c r="GAD209" s="36"/>
      <c r="GAE209" s="36"/>
      <c r="GAF209" s="36"/>
      <c r="GAG209" s="36"/>
      <c r="GAH209" s="36"/>
      <c r="GAI209" s="36"/>
      <c r="GAJ209" s="36"/>
      <c r="GAK209" s="36"/>
      <c r="GAL209" s="36"/>
      <c r="GAM209" s="36"/>
      <c r="GAN209" s="36"/>
      <c r="GAO209" s="36"/>
      <c r="GAP209" s="36"/>
      <c r="GAQ209" s="36"/>
      <c r="GAR209" s="36"/>
      <c r="GAS209" s="36"/>
      <c r="GAT209" s="36"/>
      <c r="GAU209" s="36"/>
      <c r="GAV209" s="36"/>
      <c r="GAW209" s="36"/>
      <c r="GAX209" s="36"/>
      <c r="GAY209" s="36"/>
      <c r="GAZ209" s="36"/>
      <c r="GBA209" s="36"/>
      <c r="GBB209" s="36"/>
      <c r="GBC209" s="36"/>
      <c r="GBD209" s="36"/>
      <c r="GBE209" s="36"/>
      <c r="GBF209" s="36"/>
      <c r="GBG209" s="36"/>
      <c r="GBH209" s="36"/>
      <c r="GBI209" s="36"/>
      <c r="GBJ209" s="36"/>
      <c r="GBK209" s="36"/>
      <c r="GBL209" s="36"/>
      <c r="GBM209" s="36"/>
      <c r="GBN209" s="36"/>
      <c r="GBO209" s="36"/>
      <c r="GBP209" s="36"/>
      <c r="GBQ209" s="36"/>
      <c r="GBR209" s="36"/>
      <c r="GBS209" s="36"/>
      <c r="GBT209" s="36"/>
      <c r="GBU209" s="36"/>
      <c r="GBV209" s="36"/>
      <c r="GBW209" s="36"/>
      <c r="GBX209" s="36"/>
      <c r="GBY209" s="36"/>
      <c r="GBZ209" s="36"/>
      <c r="GCA209" s="36"/>
      <c r="GCB209" s="36"/>
      <c r="GCC209" s="36"/>
      <c r="GCD209" s="36"/>
      <c r="GCE209" s="36"/>
      <c r="GCF209" s="36"/>
      <c r="GCG209" s="36"/>
      <c r="GCH209" s="36"/>
      <c r="GCI209" s="36"/>
      <c r="GCJ209" s="36"/>
      <c r="GCK209" s="36"/>
      <c r="GCL209" s="36"/>
      <c r="GCM209" s="36"/>
      <c r="GCN209" s="36"/>
      <c r="GCO209" s="36"/>
      <c r="GCP209" s="36"/>
      <c r="GCQ209" s="36"/>
      <c r="GCR209" s="36"/>
      <c r="GCS209" s="36"/>
      <c r="GCT209" s="36"/>
      <c r="GCU209" s="36"/>
      <c r="GCV209" s="36"/>
      <c r="GCW209" s="36"/>
      <c r="GCX209" s="36"/>
      <c r="GCY209" s="36"/>
      <c r="GCZ209" s="36"/>
      <c r="GDA209" s="36"/>
      <c r="GDB209" s="36"/>
      <c r="GDC209" s="36"/>
      <c r="GDD209" s="36"/>
      <c r="GDE209" s="36"/>
      <c r="GDF209" s="36"/>
      <c r="GDG209" s="36"/>
      <c r="GDH209" s="36"/>
      <c r="GDI209" s="36"/>
      <c r="GDJ209" s="36"/>
      <c r="GDK209" s="36"/>
      <c r="GDL209" s="36"/>
      <c r="GDM209" s="36"/>
      <c r="GDN209" s="36"/>
      <c r="GDO209" s="36"/>
      <c r="GDP209" s="36"/>
      <c r="GDQ209" s="36"/>
      <c r="GDR209" s="36"/>
      <c r="GDS209" s="36"/>
      <c r="GDT209" s="36"/>
      <c r="GDU209" s="36"/>
      <c r="GDV209" s="36"/>
      <c r="GDW209" s="36"/>
      <c r="GDX209" s="36"/>
      <c r="GDY209" s="36"/>
      <c r="GDZ209" s="36"/>
      <c r="GEA209" s="36"/>
      <c r="GEB209" s="36"/>
      <c r="GEC209" s="36"/>
      <c r="GED209" s="36"/>
      <c r="GEE209" s="36"/>
      <c r="GEF209" s="36"/>
      <c r="GEG209" s="36"/>
      <c r="GEH209" s="36"/>
      <c r="GEI209" s="36"/>
      <c r="GEJ209" s="36"/>
      <c r="GEK209" s="36"/>
      <c r="GEL209" s="36"/>
      <c r="GEM209" s="36"/>
      <c r="GEN209" s="36"/>
      <c r="GEO209" s="36"/>
      <c r="GEP209" s="36"/>
      <c r="GEQ209" s="36"/>
      <c r="GER209" s="36"/>
      <c r="GES209" s="36"/>
      <c r="GET209" s="36"/>
      <c r="GEU209" s="36"/>
      <c r="GEV209" s="36"/>
      <c r="GEW209" s="36"/>
      <c r="GEX209" s="36"/>
      <c r="GEY209" s="36"/>
      <c r="GEZ209" s="36"/>
      <c r="GFA209" s="36"/>
      <c r="GFB209" s="36"/>
      <c r="GFC209" s="36"/>
      <c r="GFD209" s="36"/>
      <c r="GFE209" s="36"/>
      <c r="GFF209" s="36"/>
      <c r="GFG209" s="36"/>
      <c r="GFH209" s="36"/>
      <c r="GFI209" s="36"/>
      <c r="GFJ209" s="36"/>
      <c r="GFK209" s="36"/>
      <c r="GFL209" s="36"/>
      <c r="GFM209" s="36"/>
      <c r="GFN209" s="36"/>
      <c r="GFO209" s="36"/>
      <c r="GFP209" s="36"/>
      <c r="GFQ209" s="36"/>
      <c r="GFR209" s="36"/>
      <c r="GFS209" s="36"/>
      <c r="GFT209" s="36"/>
      <c r="GFU209" s="36"/>
      <c r="GFV209" s="36"/>
      <c r="GFW209" s="36"/>
      <c r="GFX209" s="36"/>
      <c r="GFY209" s="36"/>
      <c r="GFZ209" s="36"/>
      <c r="GGA209" s="36"/>
      <c r="GGB209" s="36"/>
      <c r="GGC209" s="36"/>
      <c r="GGD209" s="36"/>
      <c r="GGE209" s="36"/>
      <c r="GGF209" s="36"/>
      <c r="GGG209" s="36"/>
      <c r="GGH209" s="36"/>
      <c r="GGI209" s="36"/>
      <c r="GGJ209" s="36"/>
      <c r="GGK209" s="36"/>
      <c r="GGL209" s="36"/>
      <c r="GGM209" s="36"/>
      <c r="GGN209" s="36"/>
      <c r="GGO209" s="36"/>
      <c r="GGP209" s="36"/>
      <c r="GGQ209" s="36"/>
      <c r="GGR209" s="36"/>
      <c r="GGS209" s="36"/>
      <c r="GGT209" s="36"/>
      <c r="GGU209" s="36"/>
      <c r="GGV209" s="36"/>
      <c r="GGW209" s="36"/>
      <c r="GGX209" s="36"/>
      <c r="GGY209" s="36"/>
      <c r="GGZ209" s="36"/>
      <c r="GHA209" s="36"/>
      <c r="GHB209" s="36"/>
      <c r="GHC209" s="36"/>
      <c r="GHD209" s="36"/>
      <c r="GHE209" s="36"/>
      <c r="GHF209" s="36"/>
      <c r="GHG209" s="36"/>
      <c r="GHH209" s="36"/>
      <c r="GHI209" s="36"/>
      <c r="GHJ209" s="36"/>
      <c r="GHK209" s="36"/>
      <c r="GHL209" s="36"/>
      <c r="GHM209" s="36"/>
      <c r="GHN209" s="36"/>
      <c r="GHO209" s="36"/>
      <c r="GHP209" s="36"/>
      <c r="GHQ209" s="36"/>
      <c r="GHR209" s="36"/>
      <c r="GHS209" s="36"/>
      <c r="GHT209" s="36"/>
      <c r="GHU209" s="36"/>
      <c r="GHV209" s="36"/>
      <c r="GHW209" s="36"/>
      <c r="GHX209" s="36"/>
      <c r="GHY209" s="36"/>
      <c r="GHZ209" s="36"/>
      <c r="GIA209" s="36"/>
      <c r="GIB209" s="36"/>
      <c r="GIC209" s="36"/>
      <c r="GID209" s="36"/>
      <c r="GIE209" s="36"/>
      <c r="GIF209" s="36"/>
      <c r="GIG209" s="36"/>
      <c r="GIH209" s="36"/>
      <c r="GII209" s="36"/>
      <c r="GIJ209" s="36"/>
      <c r="GIK209" s="36"/>
      <c r="GIL209" s="36"/>
      <c r="GIM209" s="36"/>
      <c r="GIN209" s="36"/>
      <c r="GIO209" s="36"/>
      <c r="GIP209" s="36"/>
      <c r="GIQ209" s="36"/>
      <c r="GIR209" s="36"/>
      <c r="GIS209" s="36"/>
      <c r="GIT209" s="36"/>
      <c r="GIU209" s="36"/>
      <c r="GIV209" s="36"/>
      <c r="GIW209" s="36"/>
      <c r="GIX209" s="36"/>
      <c r="GIY209" s="36"/>
      <c r="GIZ209" s="36"/>
      <c r="GJA209" s="36"/>
      <c r="GJB209" s="36"/>
      <c r="GJC209" s="36"/>
      <c r="GJD209" s="36"/>
      <c r="GJE209" s="36"/>
      <c r="GJF209" s="36"/>
      <c r="GJG209" s="36"/>
      <c r="GJH209" s="36"/>
      <c r="GJI209" s="36"/>
      <c r="GJJ209" s="36"/>
      <c r="GJK209" s="36"/>
      <c r="GJL209" s="36"/>
      <c r="GJM209" s="36"/>
      <c r="GJN209" s="36"/>
      <c r="GJO209" s="36"/>
      <c r="GJP209" s="36"/>
      <c r="GJQ209" s="36"/>
      <c r="GJR209" s="36"/>
      <c r="GJS209" s="36"/>
      <c r="GJT209" s="36"/>
      <c r="GJU209" s="36"/>
      <c r="GJV209" s="36"/>
      <c r="GJW209" s="36"/>
      <c r="GJX209" s="36"/>
      <c r="GJY209" s="36"/>
      <c r="GJZ209" s="36"/>
      <c r="GKA209" s="36"/>
      <c r="GKB209" s="36"/>
      <c r="GKC209" s="36"/>
      <c r="GKD209" s="36"/>
      <c r="GKE209" s="36"/>
      <c r="GKF209" s="36"/>
      <c r="GKG209" s="36"/>
      <c r="GKH209" s="36"/>
      <c r="GKI209" s="36"/>
      <c r="GKJ209" s="36"/>
      <c r="GKK209" s="36"/>
      <c r="GKL209" s="36"/>
      <c r="GKM209" s="36"/>
      <c r="GKN209" s="36"/>
      <c r="GKO209" s="36"/>
      <c r="GKP209" s="36"/>
      <c r="GKQ209" s="36"/>
      <c r="GKR209" s="36"/>
      <c r="GKS209" s="36"/>
      <c r="GKT209" s="36"/>
      <c r="GKU209" s="36"/>
      <c r="GKV209" s="36"/>
      <c r="GKW209" s="36"/>
      <c r="GKX209" s="36"/>
      <c r="GKY209" s="36"/>
      <c r="GKZ209" s="36"/>
      <c r="GLA209" s="36"/>
      <c r="GLB209" s="36"/>
      <c r="GLC209" s="36"/>
      <c r="GLD209" s="36"/>
      <c r="GLE209" s="36"/>
      <c r="GLF209" s="36"/>
      <c r="GLG209" s="36"/>
      <c r="GLH209" s="36"/>
      <c r="GLI209" s="36"/>
      <c r="GLJ209" s="36"/>
      <c r="GLK209" s="36"/>
      <c r="GLL209" s="36"/>
      <c r="GLM209" s="36"/>
      <c r="GLN209" s="36"/>
      <c r="GLO209" s="36"/>
      <c r="GLP209" s="36"/>
      <c r="GLQ209" s="36"/>
      <c r="GLR209" s="36"/>
      <c r="GLS209" s="36"/>
      <c r="GLT209" s="36"/>
      <c r="GLU209" s="36"/>
      <c r="GLV209" s="36"/>
      <c r="GLW209" s="36"/>
      <c r="GLX209" s="36"/>
      <c r="GLY209" s="36"/>
      <c r="GLZ209" s="36"/>
      <c r="GMA209" s="36"/>
      <c r="GMB209" s="36"/>
      <c r="GMC209" s="36"/>
      <c r="GMD209" s="36"/>
      <c r="GME209" s="36"/>
      <c r="GMF209" s="36"/>
      <c r="GMG209" s="36"/>
      <c r="GMH209" s="36"/>
      <c r="GMI209" s="36"/>
      <c r="GMJ209" s="36"/>
      <c r="GMK209" s="36"/>
      <c r="GML209" s="36"/>
      <c r="GMM209" s="36"/>
      <c r="GMN209" s="36"/>
      <c r="GMO209" s="36"/>
      <c r="GMP209" s="36"/>
      <c r="GMQ209" s="36"/>
      <c r="GMR209" s="36"/>
      <c r="GMS209" s="36"/>
      <c r="GMT209" s="36"/>
      <c r="GMU209" s="36"/>
      <c r="GMV209" s="36"/>
      <c r="GMW209" s="36"/>
      <c r="GMX209" s="36"/>
      <c r="GMY209" s="36"/>
      <c r="GMZ209" s="36"/>
      <c r="GNA209" s="36"/>
      <c r="GNB209" s="36"/>
      <c r="GNC209" s="36"/>
      <c r="GND209" s="36"/>
      <c r="GNE209" s="36"/>
      <c r="GNF209" s="36"/>
      <c r="GNG209" s="36"/>
      <c r="GNH209" s="36"/>
      <c r="GNI209" s="36"/>
      <c r="GNJ209" s="36"/>
      <c r="GNK209" s="36"/>
      <c r="GNL209" s="36"/>
      <c r="GNM209" s="36"/>
      <c r="GNN209" s="36"/>
      <c r="GNO209" s="36"/>
      <c r="GNP209" s="36"/>
      <c r="GNQ209" s="36"/>
      <c r="GNR209" s="36"/>
      <c r="GNS209" s="36"/>
      <c r="GNT209" s="36"/>
      <c r="GNU209" s="36"/>
      <c r="GNV209" s="36"/>
      <c r="GNW209" s="36"/>
      <c r="GNX209" s="36"/>
      <c r="GNY209" s="36"/>
      <c r="GNZ209" s="36"/>
      <c r="GOA209" s="36"/>
      <c r="GOB209" s="36"/>
      <c r="GOC209" s="36"/>
      <c r="GOD209" s="36"/>
      <c r="GOE209" s="36"/>
      <c r="GOF209" s="36"/>
      <c r="GOG209" s="36"/>
      <c r="GOH209" s="36"/>
      <c r="GOI209" s="36"/>
      <c r="GOJ209" s="36"/>
      <c r="GOK209" s="36"/>
      <c r="GOL209" s="36"/>
      <c r="GOM209" s="36"/>
      <c r="GON209" s="36"/>
      <c r="GOO209" s="36"/>
      <c r="GOP209" s="36"/>
      <c r="GOQ209" s="36"/>
      <c r="GOR209" s="36"/>
      <c r="GOS209" s="36"/>
      <c r="GOT209" s="36"/>
      <c r="GOU209" s="36"/>
      <c r="GOV209" s="36"/>
      <c r="GOW209" s="36"/>
      <c r="GOX209" s="36"/>
      <c r="GOY209" s="36"/>
      <c r="GOZ209" s="36"/>
      <c r="GPA209" s="36"/>
      <c r="GPB209" s="36"/>
      <c r="GPC209" s="36"/>
      <c r="GPD209" s="36"/>
      <c r="GPE209" s="36"/>
      <c r="GPF209" s="36"/>
      <c r="GPG209" s="36"/>
      <c r="GPH209" s="36"/>
      <c r="GPI209" s="36"/>
      <c r="GPJ209" s="36"/>
      <c r="GPK209" s="36"/>
      <c r="GPL209" s="36"/>
      <c r="GPM209" s="36"/>
      <c r="GPN209" s="36"/>
      <c r="GPO209" s="36"/>
      <c r="GPP209" s="36"/>
      <c r="GPQ209" s="36"/>
      <c r="GPR209" s="36"/>
      <c r="GPS209" s="36"/>
      <c r="GPT209" s="36"/>
      <c r="GPU209" s="36"/>
      <c r="GPV209" s="36"/>
      <c r="GPW209" s="36"/>
      <c r="GPX209" s="36"/>
      <c r="GPY209" s="36"/>
      <c r="GPZ209" s="36"/>
      <c r="GQA209" s="36"/>
      <c r="GQB209" s="36"/>
      <c r="GQC209" s="36"/>
      <c r="GQD209" s="36"/>
      <c r="GQE209" s="36"/>
      <c r="GQF209" s="36"/>
      <c r="GQG209" s="36"/>
      <c r="GQH209" s="36"/>
      <c r="GQI209" s="36"/>
      <c r="GQJ209" s="36"/>
      <c r="GQK209" s="36"/>
      <c r="GQL209" s="36"/>
      <c r="GQM209" s="36"/>
      <c r="GQN209" s="36"/>
      <c r="GQO209" s="36"/>
      <c r="GQP209" s="36"/>
      <c r="GQQ209" s="36"/>
      <c r="GQR209" s="36"/>
      <c r="GQS209" s="36"/>
      <c r="GQT209" s="36"/>
      <c r="GQU209" s="36"/>
      <c r="GQV209" s="36"/>
      <c r="GQW209" s="36"/>
      <c r="GQX209" s="36"/>
      <c r="GQY209" s="36"/>
      <c r="GQZ209" s="36"/>
      <c r="GRA209" s="36"/>
      <c r="GRB209" s="36"/>
      <c r="GRC209" s="36"/>
      <c r="GRD209" s="36"/>
      <c r="GRE209" s="36"/>
      <c r="GRF209" s="36"/>
      <c r="GRG209" s="36"/>
      <c r="GRH209" s="36"/>
      <c r="GRI209" s="36"/>
      <c r="GRJ209" s="36"/>
      <c r="GRK209" s="36"/>
      <c r="GRL209" s="36"/>
      <c r="GRM209" s="36"/>
      <c r="GRN209" s="36"/>
      <c r="GRO209" s="36"/>
      <c r="GRP209" s="36"/>
      <c r="GRQ209" s="36"/>
      <c r="GRR209" s="36"/>
      <c r="GRS209" s="36"/>
      <c r="GRT209" s="36"/>
      <c r="GRU209" s="36"/>
      <c r="GRV209" s="36"/>
      <c r="GRW209" s="36"/>
      <c r="GRX209" s="36"/>
      <c r="GRY209" s="36"/>
      <c r="GRZ209" s="36"/>
      <c r="GSA209" s="36"/>
      <c r="GSB209" s="36"/>
      <c r="GSC209" s="36"/>
      <c r="GSD209" s="36"/>
      <c r="GSE209" s="36"/>
      <c r="GSF209" s="36"/>
      <c r="GSG209" s="36"/>
      <c r="GSH209" s="36"/>
      <c r="GSI209" s="36"/>
      <c r="GSJ209" s="36"/>
      <c r="GSK209" s="36"/>
      <c r="GSL209" s="36"/>
      <c r="GSM209" s="36"/>
      <c r="GSN209" s="36"/>
      <c r="GSO209" s="36"/>
      <c r="GSP209" s="36"/>
      <c r="GSQ209" s="36"/>
      <c r="GSR209" s="36"/>
      <c r="GSS209" s="36"/>
      <c r="GST209" s="36"/>
      <c r="GSU209" s="36"/>
      <c r="GSV209" s="36"/>
      <c r="GSW209" s="36"/>
      <c r="GSX209" s="36"/>
      <c r="GSY209" s="36"/>
      <c r="GSZ209" s="36"/>
      <c r="GTA209" s="36"/>
      <c r="GTB209" s="36"/>
      <c r="GTC209" s="36"/>
      <c r="GTD209" s="36"/>
      <c r="GTE209" s="36"/>
      <c r="GTF209" s="36"/>
      <c r="GTG209" s="36"/>
      <c r="GTH209" s="36"/>
      <c r="GTI209" s="36"/>
      <c r="GTJ209" s="36"/>
      <c r="GTK209" s="36"/>
      <c r="GTL209" s="36"/>
      <c r="GTM209" s="36"/>
      <c r="GTN209" s="36"/>
      <c r="GTO209" s="36"/>
      <c r="GTP209" s="36"/>
      <c r="GTQ209" s="36"/>
      <c r="GTR209" s="36"/>
      <c r="GTS209" s="36"/>
      <c r="GTT209" s="36"/>
      <c r="GTU209" s="36"/>
      <c r="GTV209" s="36"/>
      <c r="GTW209" s="36"/>
      <c r="GTX209" s="36"/>
      <c r="GTY209" s="36"/>
      <c r="GTZ209" s="36"/>
      <c r="GUA209" s="36"/>
      <c r="GUB209" s="36"/>
      <c r="GUC209" s="36"/>
      <c r="GUD209" s="36"/>
      <c r="GUE209" s="36"/>
      <c r="GUF209" s="36"/>
      <c r="GUG209" s="36"/>
      <c r="GUH209" s="36"/>
      <c r="GUI209" s="36"/>
      <c r="GUJ209" s="36"/>
      <c r="GUK209" s="36"/>
      <c r="GUL209" s="36"/>
      <c r="GUM209" s="36"/>
      <c r="GUN209" s="36"/>
      <c r="GUO209" s="36"/>
      <c r="GUP209" s="36"/>
      <c r="GUQ209" s="36"/>
      <c r="GUR209" s="36"/>
      <c r="GUS209" s="36"/>
      <c r="GUT209" s="36"/>
      <c r="GUU209" s="36"/>
      <c r="GUV209" s="36"/>
      <c r="GUW209" s="36"/>
      <c r="GUX209" s="36"/>
      <c r="GUY209" s="36"/>
      <c r="GUZ209" s="36"/>
      <c r="GVA209" s="36"/>
      <c r="GVB209" s="36"/>
      <c r="GVC209" s="36"/>
      <c r="GVD209" s="36"/>
      <c r="GVE209" s="36"/>
      <c r="GVF209" s="36"/>
      <c r="GVG209" s="36"/>
      <c r="GVH209" s="36"/>
      <c r="GVI209" s="36"/>
      <c r="GVJ209" s="36"/>
      <c r="GVK209" s="36"/>
      <c r="GVL209" s="36"/>
      <c r="GVM209" s="36"/>
      <c r="GVN209" s="36"/>
      <c r="GVO209" s="36"/>
      <c r="GVP209" s="36"/>
      <c r="GVQ209" s="36"/>
      <c r="GVR209" s="36"/>
      <c r="GVS209" s="36"/>
      <c r="GVT209" s="36"/>
      <c r="GVU209" s="36"/>
      <c r="GVV209" s="36"/>
      <c r="GVW209" s="36"/>
      <c r="GVX209" s="36"/>
      <c r="GVY209" s="36"/>
      <c r="GVZ209" s="36"/>
      <c r="GWA209" s="36"/>
      <c r="GWB209" s="36"/>
      <c r="GWC209" s="36"/>
      <c r="GWD209" s="36"/>
      <c r="GWE209" s="36"/>
      <c r="GWF209" s="36"/>
      <c r="GWG209" s="36"/>
      <c r="GWH209" s="36"/>
      <c r="GWI209" s="36"/>
      <c r="GWJ209" s="36"/>
      <c r="GWK209" s="36"/>
      <c r="GWL209" s="36"/>
      <c r="GWM209" s="36"/>
      <c r="GWN209" s="36"/>
      <c r="GWO209" s="36"/>
      <c r="GWP209" s="36"/>
      <c r="GWQ209" s="36"/>
      <c r="GWR209" s="36"/>
      <c r="GWS209" s="36"/>
      <c r="GWT209" s="36"/>
      <c r="GWU209" s="36"/>
      <c r="GWV209" s="36"/>
      <c r="GWW209" s="36"/>
      <c r="GWX209" s="36"/>
      <c r="GWY209" s="36"/>
      <c r="GWZ209" s="36"/>
      <c r="GXA209" s="36"/>
      <c r="GXB209" s="36"/>
      <c r="GXC209" s="36"/>
      <c r="GXD209" s="36"/>
      <c r="GXE209" s="36"/>
      <c r="GXF209" s="36"/>
      <c r="GXG209" s="36"/>
      <c r="GXH209" s="36"/>
      <c r="GXI209" s="36"/>
      <c r="GXJ209" s="36"/>
      <c r="GXK209" s="36"/>
      <c r="GXL209" s="36"/>
      <c r="GXM209" s="36"/>
      <c r="GXN209" s="36"/>
      <c r="GXO209" s="36"/>
      <c r="GXP209" s="36"/>
      <c r="GXQ209" s="36"/>
      <c r="GXR209" s="36"/>
      <c r="GXS209" s="36"/>
      <c r="GXT209" s="36"/>
      <c r="GXU209" s="36"/>
      <c r="GXV209" s="36"/>
      <c r="GXW209" s="36"/>
      <c r="GXX209" s="36"/>
      <c r="GXY209" s="36"/>
      <c r="GXZ209" s="36"/>
      <c r="GYA209" s="36"/>
      <c r="GYB209" s="36"/>
      <c r="GYC209" s="36"/>
      <c r="GYD209" s="36"/>
      <c r="GYE209" s="36"/>
      <c r="GYF209" s="36"/>
      <c r="GYG209" s="36"/>
      <c r="GYH209" s="36"/>
      <c r="GYI209" s="36"/>
      <c r="GYJ209" s="36"/>
      <c r="GYK209" s="36"/>
      <c r="GYL209" s="36"/>
      <c r="GYM209" s="36"/>
      <c r="GYN209" s="36"/>
      <c r="GYO209" s="36"/>
      <c r="GYP209" s="36"/>
      <c r="GYQ209" s="36"/>
      <c r="GYR209" s="36"/>
      <c r="GYS209" s="36"/>
      <c r="GYT209" s="36"/>
      <c r="GYU209" s="36"/>
      <c r="GYV209" s="36"/>
      <c r="GYW209" s="36"/>
      <c r="GYX209" s="36"/>
      <c r="GYY209" s="36"/>
      <c r="GYZ209" s="36"/>
      <c r="GZA209" s="36"/>
      <c r="GZB209" s="36"/>
      <c r="GZC209" s="36"/>
      <c r="GZD209" s="36"/>
      <c r="GZE209" s="36"/>
      <c r="GZF209" s="36"/>
      <c r="GZG209" s="36"/>
      <c r="GZH209" s="36"/>
      <c r="GZI209" s="36"/>
      <c r="GZJ209" s="36"/>
      <c r="GZK209" s="36"/>
      <c r="GZL209" s="36"/>
      <c r="GZM209" s="36"/>
      <c r="GZN209" s="36"/>
      <c r="GZO209" s="36"/>
      <c r="GZP209" s="36"/>
      <c r="GZQ209" s="36"/>
      <c r="GZR209" s="36"/>
      <c r="GZS209" s="36"/>
      <c r="GZT209" s="36"/>
      <c r="GZU209" s="36"/>
      <c r="GZV209" s="36"/>
      <c r="GZW209" s="36"/>
      <c r="GZX209" s="36"/>
      <c r="GZY209" s="36"/>
      <c r="GZZ209" s="36"/>
      <c r="HAA209" s="36"/>
      <c r="HAB209" s="36"/>
      <c r="HAC209" s="36"/>
      <c r="HAD209" s="36"/>
      <c r="HAE209" s="36"/>
      <c r="HAF209" s="36"/>
      <c r="HAG209" s="36"/>
      <c r="HAH209" s="36"/>
      <c r="HAI209" s="36"/>
      <c r="HAJ209" s="36"/>
      <c r="HAK209" s="36"/>
      <c r="HAL209" s="36"/>
      <c r="HAM209" s="36"/>
      <c r="HAN209" s="36"/>
      <c r="HAO209" s="36"/>
      <c r="HAP209" s="36"/>
      <c r="HAQ209" s="36"/>
      <c r="HAR209" s="36"/>
      <c r="HAS209" s="36"/>
      <c r="HAT209" s="36"/>
      <c r="HAU209" s="36"/>
      <c r="HAV209" s="36"/>
      <c r="HAW209" s="36"/>
      <c r="HAX209" s="36"/>
      <c r="HAY209" s="36"/>
      <c r="HAZ209" s="36"/>
      <c r="HBA209" s="36"/>
      <c r="HBB209" s="36"/>
      <c r="HBC209" s="36"/>
      <c r="HBD209" s="36"/>
      <c r="HBE209" s="36"/>
      <c r="HBF209" s="36"/>
      <c r="HBG209" s="36"/>
      <c r="HBH209" s="36"/>
      <c r="HBI209" s="36"/>
      <c r="HBJ209" s="36"/>
      <c r="HBK209" s="36"/>
      <c r="HBL209" s="36"/>
      <c r="HBM209" s="36"/>
      <c r="HBN209" s="36"/>
      <c r="HBO209" s="36"/>
      <c r="HBP209" s="36"/>
      <c r="HBQ209" s="36"/>
      <c r="HBR209" s="36"/>
      <c r="HBS209" s="36"/>
      <c r="HBT209" s="36"/>
      <c r="HBU209" s="36"/>
      <c r="HBV209" s="36"/>
      <c r="HBW209" s="36"/>
      <c r="HBX209" s="36"/>
      <c r="HBY209" s="36"/>
      <c r="HBZ209" s="36"/>
      <c r="HCA209" s="36"/>
      <c r="HCB209" s="36"/>
      <c r="HCC209" s="36"/>
      <c r="HCD209" s="36"/>
      <c r="HCE209" s="36"/>
      <c r="HCF209" s="36"/>
      <c r="HCG209" s="36"/>
      <c r="HCH209" s="36"/>
      <c r="HCI209" s="36"/>
      <c r="HCJ209" s="36"/>
      <c r="HCK209" s="36"/>
      <c r="HCL209" s="36"/>
      <c r="HCM209" s="36"/>
      <c r="HCN209" s="36"/>
      <c r="HCO209" s="36"/>
      <c r="HCP209" s="36"/>
      <c r="HCQ209" s="36"/>
      <c r="HCR209" s="36"/>
      <c r="HCS209" s="36"/>
      <c r="HCT209" s="36"/>
      <c r="HCU209" s="36"/>
      <c r="HCV209" s="36"/>
      <c r="HCW209" s="36"/>
      <c r="HCX209" s="36"/>
      <c r="HCY209" s="36"/>
      <c r="HCZ209" s="36"/>
      <c r="HDA209" s="36"/>
      <c r="HDB209" s="36"/>
      <c r="HDC209" s="36"/>
      <c r="HDD209" s="36"/>
      <c r="HDE209" s="36"/>
      <c r="HDF209" s="36"/>
      <c r="HDG209" s="36"/>
      <c r="HDH209" s="36"/>
      <c r="HDI209" s="36"/>
      <c r="HDJ209" s="36"/>
      <c r="HDK209" s="36"/>
      <c r="HDL209" s="36"/>
      <c r="HDM209" s="36"/>
      <c r="HDN209" s="36"/>
      <c r="HDO209" s="36"/>
      <c r="HDP209" s="36"/>
      <c r="HDQ209" s="36"/>
      <c r="HDR209" s="36"/>
      <c r="HDS209" s="36"/>
      <c r="HDT209" s="36"/>
      <c r="HDU209" s="36"/>
      <c r="HDV209" s="36"/>
      <c r="HDW209" s="36"/>
      <c r="HDX209" s="36"/>
      <c r="HDY209" s="36"/>
      <c r="HDZ209" s="36"/>
      <c r="HEA209" s="36"/>
      <c r="HEB209" s="36"/>
      <c r="HEC209" s="36"/>
      <c r="HED209" s="36"/>
      <c r="HEE209" s="36"/>
      <c r="HEF209" s="36"/>
      <c r="HEG209" s="36"/>
      <c r="HEH209" s="36"/>
      <c r="HEI209" s="36"/>
      <c r="HEJ209" s="36"/>
      <c r="HEK209" s="36"/>
      <c r="HEL209" s="36"/>
      <c r="HEM209" s="36"/>
      <c r="HEN209" s="36"/>
      <c r="HEO209" s="36"/>
      <c r="HEP209" s="36"/>
      <c r="HEQ209" s="36"/>
      <c r="HER209" s="36"/>
      <c r="HES209" s="36"/>
      <c r="HET209" s="36"/>
      <c r="HEU209" s="36"/>
      <c r="HEV209" s="36"/>
      <c r="HEW209" s="36"/>
      <c r="HEX209" s="36"/>
      <c r="HEY209" s="36"/>
      <c r="HEZ209" s="36"/>
      <c r="HFA209" s="36"/>
      <c r="HFB209" s="36"/>
      <c r="HFC209" s="36"/>
      <c r="HFD209" s="36"/>
      <c r="HFE209" s="36"/>
      <c r="HFF209" s="36"/>
      <c r="HFG209" s="36"/>
      <c r="HFH209" s="36"/>
      <c r="HFI209" s="36"/>
      <c r="HFJ209" s="36"/>
      <c r="HFK209" s="36"/>
      <c r="HFL209" s="36"/>
      <c r="HFM209" s="36"/>
      <c r="HFN209" s="36"/>
      <c r="HFO209" s="36"/>
      <c r="HFP209" s="36"/>
      <c r="HFQ209" s="36"/>
      <c r="HFR209" s="36"/>
      <c r="HFS209" s="36"/>
      <c r="HFT209" s="36"/>
      <c r="HFU209" s="36"/>
      <c r="HFV209" s="36"/>
      <c r="HFW209" s="36"/>
      <c r="HFX209" s="36"/>
      <c r="HFY209" s="36"/>
      <c r="HFZ209" s="36"/>
      <c r="HGA209" s="36"/>
      <c r="HGB209" s="36"/>
      <c r="HGC209" s="36"/>
      <c r="HGD209" s="36"/>
      <c r="HGE209" s="36"/>
      <c r="HGF209" s="36"/>
      <c r="HGG209" s="36"/>
      <c r="HGH209" s="36"/>
      <c r="HGI209" s="36"/>
      <c r="HGJ209" s="36"/>
      <c r="HGK209" s="36"/>
      <c r="HGL209" s="36"/>
      <c r="HGM209" s="36"/>
      <c r="HGN209" s="36"/>
      <c r="HGO209" s="36"/>
      <c r="HGP209" s="36"/>
      <c r="HGQ209" s="36"/>
      <c r="HGR209" s="36"/>
      <c r="HGS209" s="36"/>
      <c r="HGT209" s="36"/>
      <c r="HGU209" s="36"/>
      <c r="HGV209" s="36"/>
      <c r="HGW209" s="36"/>
      <c r="HGX209" s="36"/>
      <c r="HGY209" s="36"/>
      <c r="HGZ209" s="36"/>
      <c r="HHA209" s="36"/>
      <c r="HHB209" s="36"/>
      <c r="HHC209" s="36"/>
      <c r="HHD209" s="36"/>
      <c r="HHE209" s="36"/>
      <c r="HHF209" s="36"/>
      <c r="HHG209" s="36"/>
      <c r="HHH209" s="36"/>
      <c r="HHI209" s="36"/>
      <c r="HHJ209" s="36"/>
      <c r="HHK209" s="36"/>
      <c r="HHL209" s="36"/>
      <c r="HHM209" s="36"/>
      <c r="HHN209" s="36"/>
      <c r="HHO209" s="36"/>
      <c r="HHP209" s="36"/>
      <c r="HHQ209" s="36"/>
      <c r="HHR209" s="36"/>
      <c r="HHS209" s="36"/>
      <c r="HHT209" s="36"/>
      <c r="HHU209" s="36"/>
      <c r="HHV209" s="36"/>
      <c r="HHW209" s="36"/>
      <c r="HHX209" s="36"/>
      <c r="HHY209" s="36"/>
      <c r="HHZ209" s="36"/>
      <c r="HIA209" s="36"/>
      <c r="HIB209" s="36"/>
      <c r="HIC209" s="36"/>
      <c r="HID209" s="36"/>
      <c r="HIE209" s="36"/>
      <c r="HIF209" s="36"/>
      <c r="HIG209" s="36"/>
      <c r="HIH209" s="36"/>
      <c r="HII209" s="36"/>
      <c r="HIJ209" s="36"/>
      <c r="HIK209" s="36"/>
      <c r="HIL209" s="36"/>
      <c r="HIM209" s="36"/>
      <c r="HIN209" s="36"/>
      <c r="HIO209" s="36"/>
      <c r="HIP209" s="36"/>
      <c r="HIQ209" s="36"/>
      <c r="HIR209" s="36"/>
      <c r="HIS209" s="36"/>
      <c r="HIT209" s="36"/>
      <c r="HIU209" s="36"/>
      <c r="HIV209" s="36"/>
      <c r="HIW209" s="36"/>
      <c r="HIX209" s="36"/>
      <c r="HIY209" s="36"/>
      <c r="HIZ209" s="36"/>
      <c r="HJA209" s="36"/>
      <c r="HJB209" s="36"/>
      <c r="HJC209" s="36"/>
      <c r="HJD209" s="36"/>
      <c r="HJE209" s="36"/>
      <c r="HJF209" s="36"/>
      <c r="HJG209" s="36"/>
      <c r="HJH209" s="36"/>
      <c r="HJI209" s="36"/>
      <c r="HJJ209" s="36"/>
      <c r="HJK209" s="36"/>
      <c r="HJL209" s="36"/>
      <c r="HJM209" s="36"/>
      <c r="HJN209" s="36"/>
      <c r="HJO209" s="36"/>
      <c r="HJP209" s="36"/>
      <c r="HJQ209" s="36"/>
      <c r="HJR209" s="36"/>
      <c r="HJS209" s="36"/>
      <c r="HJT209" s="36"/>
      <c r="HJU209" s="36"/>
      <c r="HJV209" s="36"/>
      <c r="HJW209" s="36"/>
      <c r="HJX209" s="36"/>
      <c r="HJY209" s="36"/>
      <c r="HJZ209" s="36"/>
      <c r="HKA209" s="36"/>
      <c r="HKB209" s="36"/>
      <c r="HKC209" s="36"/>
      <c r="HKD209" s="36"/>
      <c r="HKE209" s="36"/>
      <c r="HKF209" s="36"/>
      <c r="HKG209" s="36"/>
      <c r="HKH209" s="36"/>
      <c r="HKI209" s="36"/>
      <c r="HKJ209" s="36"/>
      <c r="HKK209" s="36"/>
      <c r="HKL209" s="36"/>
      <c r="HKM209" s="36"/>
      <c r="HKN209" s="36"/>
      <c r="HKO209" s="36"/>
      <c r="HKP209" s="36"/>
      <c r="HKQ209" s="36"/>
      <c r="HKR209" s="36"/>
      <c r="HKS209" s="36"/>
      <c r="HKT209" s="36"/>
      <c r="HKU209" s="36"/>
      <c r="HKV209" s="36"/>
      <c r="HKW209" s="36"/>
      <c r="HKX209" s="36"/>
      <c r="HKY209" s="36"/>
      <c r="HKZ209" s="36"/>
      <c r="HLA209" s="36"/>
      <c r="HLB209" s="36"/>
      <c r="HLC209" s="36"/>
      <c r="HLD209" s="36"/>
      <c r="HLE209" s="36"/>
      <c r="HLF209" s="36"/>
      <c r="HLG209" s="36"/>
      <c r="HLH209" s="36"/>
      <c r="HLI209" s="36"/>
      <c r="HLJ209" s="36"/>
      <c r="HLK209" s="36"/>
      <c r="HLL209" s="36"/>
      <c r="HLM209" s="36"/>
      <c r="HLN209" s="36"/>
      <c r="HLO209" s="36"/>
      <c r="HLP209" s="36"/>
      <c r="HLQ209" s="36"/>
      <c r="HLR209" s="36"/>
      <c r="HLS209" s="36"/>
      <c r="HLT209" s="36"/>
      <c r="HLU209" s="36"/>
      <c r="HLV209" s="36"/>
      <c r="HLW209" s="36"/>
      <c r="HLX209" s="36"/>
      <c r="HLY209" s="36"/>
      <c r="HLZ209" s="36"/>
      <c r="HMA209" s="36"/>
      <c r="HMB209" s="36"/>
      <c r="HMC209" s="36"/>
      <c r="HMD209" s="36"/>
      <c r="HME209" s="36"/>
      <c r="HMF209" s="36"/>
      <c r="HMG209" s="36"/>
      <c r="HMH209" s="36"/>
      <c r="HMI209" s="36"/>
      <c r="HMJ209" s="36"/>
      <c r="HMK209" s="36"/>
      <c r="HML209" s="36"/>
      <c r="HMM209" s="36"/>
      <c r="HMN209" s="36"/>
      <c r="HMO209" s="36"/>
      <c r="HMP209" s="36"/>
      <c r="HMQ209" s="36"/>
      <c r="HMR209" s="36"/>
      <c r="HMS209" s="36"/>
      <c r="HMT209" s="36"/>
      <c r="HMU209" s="36"/>
      <c r="HMV209" s="36"/>
      <c r="HMW209" s="36"/>
      <c r="HMX209" s="36"/>
      <c r="HMY209" s="36"/>
      <c r="HMZ209" s="36"/>
      <c r="HNA209" s="36"/>
      <c r="HNB209" s="36"/>
      <c r="HNC209" s="36"/>
      <c r="HND209" s="36"/>
      <c r="HNE209" s="36"/>
      <c r="HNF209" s="36"/>
      <c r="HNG209" s="36"/>
      <c r="HNH209" s="36"/>
      <c r="HNI209" s="36"/>
      <c r="HNJ209" s="36"/>
      <c r="HNK209" s="36"/>
      <c r="HNL209" s="36"/>
      <c r="HNM209" s="36"/>
      <c r="HNN209" s="36"/>
      <c r="HNO209" s="36"/>
      <c r="HNP209" s="36"/>
      <c r="HNQ209" s="36"/>
      <c r="HNR209" s="36"/>
      <c r="HNS209" s="36"/>
      <c r="HNT209" s="36"/>
      <c r="HNU209" s="36"/>
      <c r="HNV209" s="36"/>
      <c r="HNW209" s="36"/>
      <c r="HNX209" s="36"/>
      <c r="HNY209" s="36"/>
      <c r="HNZ209" s="36"/>
      <c r="HOA209" s="36"/>
      <c r="HOB209" s="36"/>
      <c r="HOC209" s="36"/>
      <c r="HOD209" s="36"/>
      <c r="HOE209" s="36"/>
      <c r="HOF209" s="36"/>
      <c r="HOG209" s="36"/>
      <c r="HOH209" s="36"/>
      <c r="HOI209" s="36"/>
      <c r="HOJ209" s="36"/>
      <c r="HOK209" s="36"/>
      <c r="HOL209" s="36"/>
      <c r="HOM209" s="36"/>
      <c r="HON209" s="36"/>
      <c r="HOO209" s="36"/>
      <c r="HOP209" s="36"/>
      <c r="HOQ209" s="36"/>
      <c r="HOR209" s="36"/>
      <c r="HOS209" s="36"/>
      <c r="HOT209" s="36"/>
      <c r="HOU209" s="36"/>
      <c r="HOV209" s="36"/>
      <c r="HOW209" s="36"/>
      <c r="HOX209" s="36"/>
      <c r="HOY209" s="36"/>
      <c r="HOZ209" s="36"/>
      <c r="HPA209" s="36"/>
      <c r="HPB209" s="36"/>
      <c r="HPC209" s="36"/>
      <c r="HPD209" s="36"/>
      <c r="HPE209" s="36"/>
      <c r="HPF209" s="36"/>
      <c r="HPG209" s="36"/>
      <c r="HPH209" s="36"/>
      <c r="HPI209" s="36"/>
      <c r="HPJ209" s="36"/>
      <c r="HPK209" s="36"/>
      <c r="HPL209" s="36"/>
      <c r="HPM209" s="36"/>
      <c r="HPN209" s="36"/>
      <c r="HPO209" s="36"/>
      <c r="HPP209" s="36"/>
      <c r="HPQ209" s="36"/>
      <c r="HPR209" s="36"/>
      <c r="HPS209" s="36"/>
      <c r="HPT209" s="36"/>
      <c r="HPU209" s="36"/>
      <c r="HPV209" s="36"/>
      <c r="HPW209" s="36"/>
      <c r="HPX209" s="36"/>
      <c r="HPY209" s="36"/>
      <c r="HPZ209" s="36"/>
      <c r="HQA209" s="36"/>
      <c r="HQB209" s="36"/>
      <c r="HQC209" s="36"/>
      <c r="HQD209" s="36"/>
      <c r="HQE209" s="36"/>
      <c r="HQF209" s="36"/>
      <c r="HQG209" s="36"/>
      <c r="HQH209" s="36"/>
      <c r="HQI209" s="36"/>
      <c r="HQJ209" s="36"/>
      <c r="HQK209" s="36"/>
      <c r="HQL209" s="36"/>
      <c r="HQM209" s="36"/>
      <c r="HQN209" s="36"/>
      <c r="HQO209" s="36"/>
      <c r="HQP209" s="36"/>
      <c r="HQQ209" s="36"/>
      <c r="HQR209" s="36"/>
      <c r="HQS209" s="36"/>
      <c r="HQT209" s="36"/>
      <c r="HQU209" s="36"/>
      <c r="HQV209" s="36"/>
      <c r="HQW209" s="36"/>
      <c r="HQX209" s="36"/>
      <c r="HQY209" s="36"/>
      <c r="HQZ209" s="36"/>
      <c r="HRA209" s="36"/>
      <c r="HRB209" s="36"/>
      <c r="HRC209" s="36"/>
      <c r="HRD209" s="36"/>
      <c r="HRE209" s="36"/>
      <c r="HRF209" s="36"/>
      <c r="HRG209" s="36"/>
      <c r="HRH209" s="36"/>
      <c r="HRI209" s="36"/>
      <c r="HRJ209" s="36"/>
      <c r="HRK209" s="36"/>
      <c r="HRL209" s="36"/>
      <c r="HRM209" s="36"/>
      <c r="HRN209" s="36"/>
      <c r="HRO209" s="36"/>
      <c r="HRP209" s="36"/>
      <c r="HRQ209" s="36"/>
      <c r="HRR209" s="36"/>
      <c r="HRS209" s="36"/>
      <c r="HRT209" s="36"/>
      <c r="HRU209" s="36"/>
      <c r="HRV209" s="36"/>
      <c r="HRW209" s="36"/>
      <c r="HRX209" s="36"/>
      <c r="HRY209" s="36"/>
      <c r="HRZ209" s="36"/>
      <c r="HSA209" s="36"/>
      <c r="HSB209" s="36"/>
      <c r="HSC209" s="36"/>
      <c r="HSD209" s="36"/>
      <c r="HSE209" s="36"/>
      <c r="HSF209" s="36"/>
      <c r="HSG209" s="36"/>
      <c r="HSH209" s="36"/>
      <c r="HSI209" s="36"/>
      <c r="HSJ209" s="36"/>
      <c r="HSK209" s="36"/>
      <c r="HSL209" s="36"/>
      <c r="HSM209" s="36"/>
      <c r="HSN209" s="36"/>
      <c r="HSO209" s="36"/>
      <c r="HSP209" s="36"/>
      <c r="HSQ209" s="36"/>
      <c r="HSR209" s="36"/>
      <c r="HSS209" s="36"/>
      <c r="HST209" s="36"/>
      <c r="HSU209" s="36"/>
      <c r="HSV209" s="36"/>
      <c r="HSW209" s="36"/>
      <c r="HSX209" s="36"/>
      <c r="HSY209" s="36"/>
      <c r="HSZ209" s="36"/>
      <c r="HTA209" s="36"/>
      <c r="HTB209" s="36"/>
      <c r="HTC209" s="36"/>
      <c r="HTD209" s="36"/>
      <c r="HTE209" s="36"/>
      <c r="HTF209" s="36"/>
      <c r="HTG209" s="36"/>
      <c r="HTH209" s="36"/>
      <c r="HTI209" s="36"/>
      <c r="HTJ209" s="36"/>
      <c r="HTK209" s="36"/>
      <c r="HTL209" s="36"/>
      <c r="HTM209" s="36"/>
      <c r="HTN209" s="36"/>
      <c r="HTO209" s="36"/>
      <c r="HTP209" s="36"/>
      <c r="HTQ209" s="36"/>
      <c r="HTR209" s="36"/>
      <c r="HTS209" s="36"/>
      <c r="HTT209" s="36"/>
      <c r="HTU209" s="36"/>
      <c r="HTV209" s="36"/>
      <c r="HTW209" s="36"/>
      <c r="HTX209" s="36"/>
      <c r="HTY209" s="36"/>
      <c r="HTZ209" s="36"/>
      <c r="HUA209" s="36"/>
      <c r="HUB209" s="36"/>
      <c r="HUC209" s="36"/>
      <c r="HUD209" s="36"/>
      <c r="HUE209" s="36"/>
      <c r="HUF209" s="36"/>
      <c r="HUG209" s="36"/>
      <c r="HUH209" s="36"/>
      <c r="HUI209" s="36"/>
      <c r="HUJ209" s="36"/>
      <c r="HUK209" s="36"/>
      <c r="HUL209" s="36"/>
      <c r="HUM209" s="36"/>
      <c r="HUN209" s="36"/>
      <c r="HUO209" s="36"/>
      <c r="HUP209" s="36"/>
      <c r="HUQ209" s="36"/>
      <c r="HUR209" s="36"/>
      <c r="HUS209" s="36"/>
      <c r="HUT209" s="36"/>
      <c r="HUU209" s="36"/>
      <c r="HUV209" s="36"/>
      <c r="HUW209" s="36"/>
      <c r="HUX209" s="36"/>
      <c r="HUY209" s="36"/>
      <c r="HUZ209" s="36"/>
      <c r="HVA209" s="36"/>
      <c r="HVB209" s="36"/>
      <c r="HVC209" s="36"/>
      <c r="HVD209" s="36"/>
      <c r="HVE209" s="36"/>
      <c r="HVF209" s="36"/>
      <c r="HVG209" s="36"/>
      <c r="HVH209" s="36"/>
      <c r="HVI209" s="36"/>
      <c r="HVJ209" s="36"/>
      <c r="HVK209" s="36"/>
      <c r="HVL209" s="36"/>
      <c r="HVM209" s="36"/>
      <c r="HVN209" s="36"/>
      <c r="HVO209" s="36"/>
      <c r="HVP209" s="36"/>
      <c r="HVQ209" s="36"/>
      <c r="HVR209" s="36"/>
      <c r="HVS209" s="36"/>
      <c r="HVT209" s="36"/>
      <c r="HVU209" s="36"/>
      <c r="HVV209" s="36"/>
      <c r="HVW209" s="36"/>
      <c r="HVX209" s="36"/>
      <c r="HVY209" s="36"/>
      <c r="HVZ209" s="36"/>
      <c r="HWA209" s="36"/>
      <c r="HWB209" s="36"/>
      <c r="HWC209" s="36"/>
      <c r="HWD209" s="36"/>
      <c r="HWE209" s="36"/>
      <c r="HWF209" s="36"/>
      <c r="HWG209" s="36"/>
      <c r="HWH209" s="36"/>
      <c r="HWI209" s="36"/>
      <c r="HWJ209" s="36"/>
      <c r="HWK209" s="36"/>
      <c r="HWL209" s="36"/>
      <c r="HWM209" s="36"/>
      <c r="HWN209" s="36"/>
      <c r="HWO209" s="36"/>
      <c r="HWP209" s="36"/>
      <c r="HWQ209" s="36"/>
      <c r="HWR209" s="36"/>
      <c r="HWS209" s="36"/>
      <c r="HWT209" s="36"/>
      <c r="HWU209" s="36"/>
      <c r="HWV209" s="36"/>
      <c r="HWW209" s="36"/>
      <c r="HWX209" s="36"/>
      <c r="HWY209" s="36"/>
      <c r="HWZ209" s="36"/>
      <c r="HXA209" s="36"/>
      <c r="HXB209" s="36"/>
      <c r="HXC209" s="36"/>
      <c r="HXD209" s="36"/>
      <c r="HXE209" s="36"/>
      <c r="HXF209" s="36"/>
      <c r="HXG209" s="36"/>
      <c r="HXH209" s="36"/>
      <c r="HXI209" s="36"/>
      <c r="HXJ209" s="36"/>
      <c r="HXK209" s="36"/>
      <c r="HXL209" s="36"/>
      <c r="HXM209" s="36"/>
      <c r="HXN209" s="36"/>
      <c r="HXO209" s="36"/>
      <c r="HXP209" s="36"/>
      <c r="HXQ209" s="36"/>
      <c r="HXR209" s="36"/>
      <c r="HXS209" s="36"/>
      <c r="HXT209" s="36"/>
      <c r="HXU209" s="36"/>
      <c r="HXV209" s="36"/>
      <c r="HXW209" s="36"/>
      <c r="HXX209" s="36"/>
      <c r="HXY209" s="36"/>
      <c r="HXZ209" s="36"/>
      <c r="HYA209" s="36"/>
      <c r="HYB209" s="36"/>
      <c r="HYC209" s="36"/>
      <c r="HYD209" s="36"/>
      <c r="HYE209" s="36"/>
      <c r="HYF209" s="36"/>
      <c r="HYG209" s="36"/>
      <c r="HYH209" s="36"/>
      <c r="HYI209" s="36"/>
      <c r="HYJ209" s="36"/>
      <c r="HYK209" s="36"/>
      <c r="HYL209" s="36"/>
      <c r="HYM209" s="36"/>
      <c r="HYN209" s="36"/>
      <c r="HYO209" s="36"/>
      <c r="HYP209" s="36"/>
      <c r="HYQ209" s="36"/>
      <c r="HYR209" s="36"/>
      <c r="HYS209" s="36"/>
      <c r="HYT209" s="36"/>
      <c r="HYU209" s="36"/>
      <c r="HYV209" s="36"/>
      <c r="HYW209" s="36"/>
      <c r="HYX209" s="36"/>
      <c r="HYY209" s="36"/>
      <c r="HYZ209" s="36"/>
      <c r="HZA209" s="36"/>
      <c r="HZB209" s="36"/>
      <c r="HZC209" s="36"/>
      <c r="HZD209" s="36"/>
      <c r="HZE209" s="36"/>
      <c r="HZF209" s="36"/>
      <c r="HZG209" s="36"/>
      <c r="HZH209" s="36"/>
      <c r="HZI209" s="36"/>
      <c r="HZJ209" s="36"/>
      <c r="HZK209" s="36"/>
      <c r="HZL209" s="36"/>
      <c r="HZM209" s="36"/>
      <c r="HZN209" s="36"/>
      <c r="HZO209" s="36"/>
      <c r="HZP209" s="36"/>
      <c r="HZQ209" s="36"/>
      <c r="HZR209" s="36"/>
      <c r="HZS209" s="36"/>
      <c r="HZT209" s="36"/>
      <c r="HZU209" s="36"/>
      <c r="HZV209" s="36"/>
      <c r="HZW209" s="36"/>
      <c r="HZX209" s="36"/>
      <c r="HZY209" s="36"/>
      <c r="HZZ209" s="36"/>
      <c r="IAA209" s="36"/>
      <c r="IAB209" s="36"/>
      <c r="IAC209" s="36"/>
      <c r="IAD209" s="36"/>
      <c r="IAE209" s="36"/>
      <c r="IAF209" s="36"/>
      <c r="IAG209" s="36"/>
      <c r="IAH209" s="36"/>
      <c r="IAI209" s="36"/>
      <c r="IAJ209" s="36"/>
      <c r="IAK209" s="36"/>
      <c r="IAL209" s="36"/>
      <c r="IAM209" s="36"/>
      <c r="IAN209" s="36"/>
      <c r="IAO209" s="36"/>
      <c r="IAP209" s="36"/>
      <c r="IAQ209" s="36"/>
      <c r="IAR209" s="36"/>
      <c r="IAS209" s="36"/>
      <c r="IAT209" s="36"/>
      <c r="IAU209" s="36"/>
      <c r="IAV209" s="36"/>
      <c r="IAW209" s="36"/>
      <c r="IAX209" s="36"/>
      <c r="IAY209" s="36"/>
      <c r="IAZ209" s="36"/>
      <c r="IBA209" s="36"/>
      <c r="IBB209" s="36"/>
      <c r="IBC209" s="36"/>
      <c r="IBD209" s="36"/>
      <c r="IBE209" s="36"/>
      <c r="IBF209" s="36"/>
      <c r="IBG209" s="36"/>
      <c r="IBH209" s="36"/>
      <c r="IBI209" s="36"/>
      <c r="IBJ209" s="36"/>
      <c r="IBK209" s="36"/>
      <c r="IBL209" s="36"/>
      <c r="IBM209" s="36"/>
      <c r="IBN209" s="36"/>
      <c r="IBO209" s="36"/>
      <c r="IBP209" s="36"/>
      <c r="IBQ209" s="36"/>
      <c r="IBR209" s="36"/>
      <c r="IBS209" s="36"/>
      <c r="IBT209" s="36"/>
      <c r="IBU209" s="36"/>
      <c r="IBV209" s="36"/>
      <c r="IBW209" s="36"/>
      <c r="IBX209" s="36"/>
      <c r="IBY209" s="36"/>
      <c r="IBZ209" s="36"/>
      <c r="ICA209" s="36"/>
      <c r="ICB209" s="36"/>
      <c r="ICC209" s="36"/>
      <c r="ICD209" s="36"/>
      <c r="ICE209" s="36"/>
      <c r="ICF209" s="36"/>
      <c r="ICG209" s="36"/>
      <c r="ICH209" s="36"/>
      <c r="ICI209" s="36"/>
      <c r="ICJ209" s="36"/>
      <c r="ICK209" s="36"/>
      <c r="ICL209" s="36"/>
      <c r="ICM209" s="36"/>
      <c r="ICN209" s="36"/>
      <c r="ICO209" s="36"/>
      <c r="ICP209" s="36"/>
      <c r="ICQ209" s="36"/>
      <c r="ICR209" s="36"/>
      <c r="ICS209" s="36"/>
      <c r="ICT209" s="36"/>
      <c r="ICU209" s="36"/>
      <c r="ICV209" s="36"/>
      <c r="ICW209" s="36"/>
      <c r="ICX209" s="36"/>
      <c r="ICY209" s="36"/>
      <c r="ICZ209" s="36"/>
      <c r="IDA209" s="36"/>
      <c r="IDB209" s="36"/>
      <c r="IDC209" s="36"/>
      <c r="IDD209" s="36"/>
      <c r="IDE209" s="36"/>
      <c r="IDF209" s="36"/>
      <c r="IDG209" s="36"/>
      <c r="IDH209" s="36"/>
      <c r="IDI209" s="36"/>
      <c r="IDJ209" s="36"/>
      <c r="IDK209" s="36"/>
      <c r="IDL209" s="36"/>
      <c r="IDM209" s="36"/>
      <c r="IDN209" s="36"/>
      <c r="IDO209" s="36"/>
      <c r="IDP209" s="36"/>
      <c r="IDQ209" s="36"/>
      <c r="IDR209" s="36"/>
      <c r="IDS209" s="36"/>
      <c r="IDT209" s="36"/>
      <c r="IDU209" s="36"/>
      <c r="IDV209" s="36"/>
      <c r="IDW209" s="36"/>
      <c r="IDX209" s="36"/>
      <c r="IDY209" s="36"/>
      <c r="IDZ209" s="36"/>
      <c r="IEA209" s="36"/>
      <c r="IEB209" s="36"/>
      <c r="IEC209" s="36"/>
      <c r="IED209" s="36"/>
      <c r="IEE209" s="36"/>
      <c r="IEF209" s="36"/>
      <c r="IEG209" s="36"/>
      <c r="IEH209" s="36"/>
      <c r="IEI209" s="36"/>
      <c r="IEJ209" s="36"/>
      <c r="IEK209" s="36"/>
      <c r="IEL209" s="36"/>
      <c r="IEM209" s="36"/>
      <c r="IEN209" s="36"/>
      <c r="IEO209" s="36"/>
      <c r="IEP209" s="36"/>
      <c r="IEQ209" s="36"/>
      <c r="IER209" s="36"/>
      <c r="IES209" s="36"/>
      <c r="IET209" s="36"/>
      <c r="IEU209" s="36"/>
      <c r="IEV209" s="36"/>
      <c r="IEW209" s="36"/>
      <c r="IEX209" s="36"/>
      <c r="IEY209" s="36"/>
      <c r="IEZ209" s="36"/>
      <c r="IFA209" s="36"/>
      <c r="IFB209" s="36"/>
      <c r="IFC209" s="36"/>
      <c r="IFD209" s="36"/>
      <c r="IFE209" s="36"/>
      <c r="IFF209" s="36"/>
      <c r="IFG209" s="36"/>
      <c r="IFH209" s="36"/>
      <c r="IFI209" s="36"/>
      <c r="IFJ209" s="36"/>
      <c r="IFK209" s="36"/>
      <c r="IFL209" s="36"/>
      <c r="IFM209" s="36"/>
      <c r="IFN209" s="36"/>
      <c r="IFO209" s="36"/>
      <c r="IFP209" s="36"/>
      <c r="IFQ209" s="36"/>
      <c r="IFR209" s="36"/>
      <c r="IFS209" s="36"/>
      <c r="IFT209" s="36"/>
      <c r="IFU209" s="36"/>
      <c r="IFV209" s="36"/>
      <c r="IFW209" s="36"/>
      <c r="IFX209" s="36"/>
      <c r="IFY209" s="36"/>
      <c r="IFZ209" s="36"/>
      <c r="IGA209" s="36"/>
      <c r="IGB209" s="36"/>
      <c r="IGC209" s="36"/>
      <c r="IGD209" s="36"/>
      <c r="IGE209" s="36"/>
      <c r="IGF209" s="36"/>
      <c r="IGG209" s="36"/>
      <c r="IGH209" s="36"/>
      <c r="IGI209" s="36"/>
      <c r="IGJ209" s="36"/>
      <c r="IGK209" s="36"/>
      <c r="IGL209" s="36"/>
      <c r="IGM209" s="36"/>
      <c r="IGN209" s="36"/>
      <c r="IGO209" s="36"/>
      <c r="IGP209" s="36"/>
      <c r="IGQ209" s="36"/>
      <c r="IGR209" s="36"/>
      <c r="IGS209" s="36"/>
      <c r="IGT209" s="36"/>
      <c r="IGU209" s="36"/>
      <c r="IGV209" s="36"/>
      <c r="IGW209" s="36"/>
      <c r="IGX209" s="36"/>
      <c r="IGY209" s="36"/>
      <c r="IGZ209" s="36"/>
      <c r="IHA209" s="36"/>
      <c r="IHB209" s="36"/>
      <c r="IHC209" s="36"/>
      <c r="IHD209" s="36"/>
      <c r="IHE209" s="36"/>
      <c r="IHF209" s="36"/>
      <c r="IHG209" s="36"/>
      <c r="IHH209" s="36"/>
      <c r="IHI209" s="36"/>
      <c r="IHJ209" s="36"/>
      <c r="IHK209" s="36"/>
      <c r="IHL209" s="36"/>
      <c r="IHM209" s="36"/>
      <c r="IHN209" s="36"/>
      <c r="IHO209" s="36"/>
      <c r="IHP209" s="36"/>
      <c r="IHQ209" s="36"/>
      <c r="IHR209" s="36"/>
      <c r="IHS209" s="36"/>
      <c r="IHT209" s="36"/>
      <c r="IHU209" s="36"/>
      <c r="IHV209" s="36"/>
      <c r="IHW209" s="36"/>
      <c r="IHX209" s="36"/>
      <c r="IHY209" s="36"/>
      <c r="IHZ209" s="36"/>
      <c r="IIA209" s="36"/>
      <c r="IIB209" s="36"/>
      <c r="IIC209" s="36"/>
      <c r="IID209" s="36"/>
      <c r="IIE209" s="36"/>
      <c r="IIF209" s="36"/>
      <c r="IIG209" s="36"/>
      <c r="IIH209" s="36"/>
      <c r="III209" s="36"/>
      <c r="IIJ209" s="36"/>
      <c r="IIK209" s="36"/>
      <c r="IIL209" s="36"/>
      <c r="IIM209" s="36"/>
      <c r="IIN209" s="36"/>
      <c r="IIO209" s="36"/>
      <c r="IIP209" s="36"/>
      <c r="IIQ209" s="36"/>
      <c r="IIR209" s="36"/>
      <c r="IIS209" s="36"/>
      <c r="IIT209" s="36"/>
      <c r="IIU209" s="36"/>
      <c r="IIV209" s="36"/>
      <c r="IIW209" s="36"/>
      <c r="IIX209" s="36"/>
      <c r="IIY209" s="36"/>
      <c r="IIZ209" s="36"/>
      <c r="IJA209" s="36"/>
      <c r="IJB209" s="36"/>
      <c r="IJC209" s="36"/>
      <c r="IJD209" s="36"/>
      <c r="IJE209" s="36"/>
      <c r="IJF209" s="36"/>
      <c r="IJG209" s="36"/>
      <c r="IJH209" s="36"/>
      <c r="IJI209" s="36"/>
      <c r="IJJ209" s="36"/>
      <c r="IJK209" s="36"/>
      <c r="IJL209" s="36"/>
      <c r="IJM209" s="36"/>
      <c r="IJN209" s="36"/>
      <c r="IJO209" s="36"/>
      <c r="IJP209" s="36"/>
      <c r="IJQ209" s="36"/>
      <c r="IJR209" s="36"/>
      <c r="IJS209" s="36"/>
      <c r="IJT209" s="36"/>
      <c r="IJU209" s="36"/>
      <c r="IJV209" s="36"/>
      <c r="IJW209" s="36"/>
      <c r="IJX209" s="36"/>
      <c r="IJY209" s="36"/>
      <c r="IJZ209" s="36"/>
      <c r="IKA209" s="36"/>
      <c r="IKB209" s="36"/>
      <c r="IKC209" s="36"/>
      <c r="IKD209" s="36"/>
      <c r="IKE209" s="36"/>
      <c r="IKF209" s="36"/>
      <c r="IKG209" s="36"/>
      <c r="IKH209" s="36"/>
      <c r="IKI209" s="36"/>
      <c r="IKJ209" s="36"/>
      <c r="IKK209" s="36"/>
      <c r="IKL209" s="36"/>
      <c r="IKM209" s="36"/>
      <c r="IKN209" s="36"/>
      <c r="IKO209" s="36"/>
      <c r="IKP209" s="36"/>
      <c r="IKQ209" s="36"/>
      <c r="IKR209" s="36"/>
      <c r="IKS209" s="36"/>
      <c r="IKT209" s="36"/>
      <c r="IKU209" s="36"/>
      <c r="IKV209" s="36"/>
      <c r="IKW209" s="36"/>
      <c r="IKX209" s="36"/>
      <c r="IKY209" s="36"/>
      <c r="IKZ209" s="36"/>
      <c r="ILA209" s="36"/>
      <c r="ILB209" s="36"/>
      <c r="ILC209" s="36"/>
      <c r="ILD209" s="36"/>
      <c r="ILE209" s="36"/>
      <c r="ILF209" s="36"/>
      <c r="ILG209" s="36"/>
      <c r="ILH209" s="36"/>
      <c r="ILI209" s="36"/>
      <c r="ILJ209" s="36"/>
      <c r="ILK209" s="36"/>
      <c r="ILL209" s="36"/>
      <c r="ILM209" s="36"/>
      <c r="ILN209" s="36"/>
      <c r="ILO209" s="36"/>
      <c r="ILP209" s="36"/>
      <c r="ILQ209" s="36"/>
      <c r="ILR209" s="36"/>
      <c r="ILS209" s="36"/>
      <c r="ILT209" s="36"/>
      <c r="ILU209" s="36"/>
      <c r="ILV209" s="36"/>
      <c r="ILW209" s="36"/>
      <c r="ILX209" s="36"/>
      <c r="ILY209" s="36"/>
      <c r="ILZ209" s="36"/>
      <c r="IMA209" s="36"/>
      <c r="IMB209" s="36"/>
      <c r="IMC209" s="36"/>
      <c r="IMD209" s="36"/>
      <c r="IME209" s="36"/>
      <c r="IMF209" s="36"/>
      <c r="IMG209" s="36"/>
      <c r="IMH209" s="36"/>
      <c r="IMI209" s="36"/>
      <c r="IMJ209" s="36"/>
      <c r="IMK209" s="36"/>
      <c r="IML209" s="36"/>
      <c r="IMM209" s="36"/>
      <c r="IMN209" s="36"/>
      <c r="IMO209" s="36"/>
      <c r="IMP209" s="36"/>
      <c r="IMQ209" s="36"/>
      <c r="IMR209" s="36"/>
      <c r="IMS209" s="36"/>
      <c r="IMT209" s="36"/>
      <c r="IMU209" s="36"/>
      <c r="IMV209" s="36"/>
      <c r="IMW209" s="36"/>
      <c r="IMX209" s="36"/>
      <c r="IMY209" s="36"/>
      <c r="IMZ209" s="36"/>
      <c r="INA209" s="36"/>
      <c r="INB209" s="36"/>
      <c r="INC209" s="36"/>
      <c r="IND209" s="36"/>
      <c r="INE209" s="36"/>
      <c r="INF209" s="36"/>
      <c r="ING209" s="36"/>
      <c r="INH209" s="36"/>
      <c r="INI209" s="36"/>
      <c r="INJ209" s="36"/>
      <c r="INK209" s="36"/>
      <c r="INL209" s="36"/>
      <c r="INM209" s="36"/>
      <c r="INN209" s="36"/>
      <c r="INO209" s="36"/>
      <c r="INP209" s="36"/>
      <c r="INQ209" s="36"/>
      <c r="INR209" s="36"/>
      <c r="INS209" s="36"/>
      <c r="INT209" s="36"/>
      <c r="INU209" s="36"/>
      <c r="INV209" s="36"/>
      <c r="INW209" s="36"/>
      <c r="INX209" s="36"/>
      <c r="INY209" s="36"/>
      <c r="INZ209" s="36"/>
      <c r="IOA209" s="36"/>
      <c r="IOB209" s="36"/>
      <c r="IOC209" s="36"/>
      <c r="IOD209" s="36"/>
      <c r="IOE209" s="36"/>
      <c r="IOF209" s="36"/>
      <c r="IOG209" s="36"/>
      <c r="IOH209" s="36"/>
      <c r="IOI209" s="36"/>
      <c r="IOJ209" s="36"/>
      <c r="IOK209" s="36"/>
      <c r="IOL209" s="36"/>
      <c r="IOM209" s="36"/>
      <c r="ION209" s="36"/>
      <c r="IOO209" s="36"/>
      <c r="IOP209" s="36"/>
      <c r="IOQ209" s="36"/>
      <c r="IOR209" s="36"/>
      <c r="IOS209" s="36"/>
      <c r="IOT209" s="36"/>
      <c r="IOU209" s="36"/>
      <c r="IOV209" s="36"/>
      <c r="IOW209" s="36"/>
      <c r="IOX209" s="36"/>
      <c r="IOY209" s="36"/>
      <c r="IOZ209" s="36"/>
      <c r="IPA209" s="36"/>
      <c r="IPB209" s="36"/>
      <c r="IPC209" s="36"/>
      <c r="IPD209" s="36"/>
      <c r="IPE209" s="36"/>
      <c r="IPF209" s="36"/>
      <c r="IPG209" s="36"/>
      <c r="IPH209" s="36"/>
      <c r="IPI209" s="36"/>
      <c r="IPJ209" s="36"/>
      <c r="IPK209" s="36"/>
      <c r="IPL209" s="36"/>
      <c r="IPM209" s="36"/>
      <c r="IPN209" s="36"/>
      <c r="IPO209" s="36"/>
      <c r="IPP209" s="36"/>
      <c r="IPQ209" s="36"/>
      <c r="IPR209" s="36"/>
      <c r="IPS209" s="36"/>
      <c r="IPT209" s="36"/>
      <c r="IPU209" s="36"/>
      <c r="IPV209" s="36"/>
      <c r="IPW209" s="36"/>
      <c r="IPX209" s="36"/>
      <c r="IPY209" s="36"/>
      <c r="IPZ209" s="36"/>
      <c r="IQA209" s="36"/>
      <c r="IQB209" s="36"/>
      <c r="IQC209" s="36"/>
      <c r="IQD209" s="36"/>
      <c r="IQE209" s="36"/>
      <c r="IQF209" s="36"/>
      <c r="IQG209" s="36"/>
      <c r="IQH209" s="36"/>
      <c r="IQI209" s="36"/>
      <c r="IQJ209" s="36"/>
      <c r="IQK209" s="36"/>
      <c r="IQL209" s="36"/>
      <c r="IQM209" s="36"/>
      <c r="IQN209" s="36"/>
      <c r="IQO209" s="36"/>
      <c r="IQP209" s="36"/>
      <c r="IQQ209" s="36"/>
      <c r="IQR209" s="36"/>
      <c r="IQS209" s="36"/>
      <c r="IQT209" s="36"/>
      <c r="IQU209" s="36"/>
      <c r="IQV209" s="36"/>
      <c r="IQW209" s="36"/>
      <c r="IQX209" s="36"/>
      <c r="IQY209" s="36"/>
      <c r="IQZ209" s="36"/>
      <c r="IRA209" s="36"/>
      <c r="IRB209" s="36"/>
      <c r="IRC209" s="36"/>
      <c r="IRD209" s="36"/>
      <c r="IRE209" s="36"/>
      <c r="IRF209" s="36"/>
      <c r="IRG209" s="36"/>
      <c r="IRH209" s="36"/>
      <c r="IRI209" s="36"/>
      <c r="IRJ209" s="36"/>
      <c r="IRK209" s="36"/>
      <c r="IRL209" s="36"/>
      <c r="IRM209" s="36"/>
      <c r="IRN209" s="36"/>
      <c r="IRO209" s="36"/>
      <c r="IRP209" s="36"/>
      <c r="IRQ209" s="36"/>
      <c r="IRR209" s="36"/>
      <c r="IRS209" s="36"/>
      <c r="IRT209" s="36"/>
      <c r="IRU209" s="36"/>
      <c r="IRV209" s="36"/>
      <c r="IRW209" s="36"/>
      <c r="IRX209" s="36"/>
      <c r="IRY209" s="36"/>
      <c r="IRZ209" s="36"/>
      <c r="ISA209" s="36"/>
      <c r="ISB209" s="36"/>
      <c r="ISC209" s="36"/>
      <c r="ISD209" s="36"/>
      <c r="ISE209" s="36"/>
      <c r="ISF209" s="36"/>
      <c r="ISG209" s="36"/>
      <c r="ISH209" s="36"/>
      <c r="ISI209" s="36"/>
      <c r="ISJ209" s="36"/>
      <c r="ISK209" s="36"/>
      <c r="ISL209" s="36"/>
      <c r="ISM209" s="36"/>
      <c r="ISN209" s="36"/>
      <c r="ISO209" s="36"/>
      <c r="ISP209" s="36"/>
      <c r="ISQ209" s="36"/>
      <c r="ISR209" s="36"/>
      <c r="ISS209" s="36"/>
      <c r="IST209" s="36"/>
      <c r="ISU209" s="36"/>
      <c r="ISV209" s="36"/>
      <c r="ISW209" s="36"/>
      <c r="ISX209" s="36"/>
      <c r="ISY209" s="36"/>
      <c r="ISZ209" s="36"/>
      <c r="ITA209" s="36"/>
      <c r="ITB209" s="36"/>
      <c r="ITC209" s="36"/>
      <c r="ITD209" s="36"/>
      <c r="ITE209" s="36"/>
      <c r="ITF209" s="36"/>
      <c r="ITG209" s="36"/>
      <c r="ITH209" s="36"/>
      <c r="ITI209" s="36"/>
      <c r="ITJ209" s="36"/>
      <c r="ITK209" s="36"/>
      <c r="ITL209" s="36"/>
      <c r="ITM209" s="36"/>
      <c r="ITN209" s="36"/>
      <c r="ITO209" s="36"/>
      <c r="ITP209" s="36"/>
      <c r="ITQ209" s="36"/>
      <c r="ITR209" s="36"/>
      <c r="ITS209" s="36"/>
      <c r="ITT209" s="36"/>
      <c r="ITU209" s="36"/>
      <c r="ITV209" s="36"/>
      <c r="ITW209" s="36"/>
      <c r="ITX209" s="36"/>
      <c r="ITY209" s="36"/>
      <c r="ITZ209" s="36"/>
      <c r="IUA209" s="36"/>
      <c r="IUB209" s="36"/>
      <c r="IUC209" s="36"/>
      <c r="IUD209" s="36"/>
      <c r="IUE209" s="36"/>
      <c r="IUF209" s="36"/>
      <c r="IUG209" s="36"/>
      <c r="IUH209" s="36"/>
      <c r="IUI209" s="36"/>
      <c r="IUJ209" s="36"/>
      <c r="IUK209" s="36"/>
      <c r="IUL209" s="36"/>
      <c r="IUM209" s="36"/>
      <c r="IUN209" s="36"/>
      <c r="IUO209" s="36"/>
      <c r="IUP209" s="36"/>
      <c r="IUQ209" s="36"/>
      <c r="IUR209" s="36"/>
      <c r="IUS209" s="36"/>
      <c r="IUT209" s="36"/>
      <c r="IUU209" s="36"/>
      <c r="IUV209" s="36"/>
      <c r="IUW209" s="36"/>
      <c r="IUX209" s="36"/>
      <c r="IUY209" s="36"/>
      <c r="IUZ209" s="36"/>
      <c r="IVA209" s="36"/>
      <c r="IVB209" s="36"/>
      <c r="IVC209" s="36"/>
      <c r="IVD209" s="36"/>
      <c r="IVE209" s="36"/>
      <c r="IVF209" s="36"/>
      <c r="IVG209" s="36"/>
      <c r="IVH209" s="36"/>
      <c r="IVI209" s="36"/>
      <c r="IVJ209" s="36"/>
      <c r="IVK209" s="36"/>
      <c r="IVL209" s="36"/>
      <c r="IVM209" s="36"/>
      <c r="IVN209" s="36"/>
      <c r="IVO209" s="36"/>
      <c r="IVP209" s="36"/>
      <c r="IVQ209" s="36"/>
      <c r="IVR209" s="36"/>
      <c r="IVS209" s="36"/>
      <c r="IVT209" s="36"/>
      <c r="IVU209" s="36"/>
      <c r="IVV209" s="36"/>
      <c r="IVW209" s="36"/>
      <c r="IVX209" s="36"/>
      <c r="IVY209" s="36"/>
      <c r="IVZ209" s="36"/>
      <c r="IWA209" s="36"/>
      <c r="IWB209" s="36"/>
      <c r="IWC209" s="36"/>
      <c r="IWD209" s="36"/>
      <c r="IWE209" s="36"/>
      <c r="IWF209" s="36"/>
      <c r="IWG209" s="36"/>
      <c r="IWH209" s="36"/>
      <c r="IWI209" s="36"/>
      <c r="IWJ209" s="36"/>
      <c r="IWK209" s="36"/>
      <c r="IWL209" s="36"/>
      <c r="IWM209" s="36"/>
      <c r="IWN209" s="36"/>
      <c r="IWO209" s="36"/>
      <c r="IWP209" s="36"/>
      <c r="IWQ209" s="36"/>
      <c r="IWR209" s="36"/>
      <c r="IWS209" s="36"/>
      <c r="IWT209" s="36"/>
      <c r="IWU209" s="36"/>
      <c r="IWV209" s="36"/>
      <c r="IWW209" s="36"/>
      <c r="IWX209" s="36"/>
      <c r="IWY209" s="36"/>
      <c r="IWZ209" s="36"/>
      <c r="IXA209" s="36"/>
      <c r="IXB209" s="36"/>
      <c r="IXC209" s="36"/>
      <c r="IXD209" s="36"/>
      <c r="IXE209" s="36"/>
      <c r="IXF209" s="36"/>
      <c r="IXG209" s="36"/>
      <c r="IXH209" s="36"/>
      <c r="IXI209" s="36"/>
      <c r="IXJ209" s="36"/>
      <c r="IXK209" s="36"/>
      <c r="IXL209" s="36"/>
      <c r="IXM209" s="36"/>
      <c r="IXN209" s="36"/>
      <c r="IXO209" s="36"/>
      <c r="IXP209" s="36"/>
      <c r="IXQ209" s="36"/>
      <c r="IXR209" s="36"/>
      <c r="IXS209" s="36"/>
      <c r="IXT209" s="36"/>
      <c r="IXU209" s="36"/>
      <c r="IXV209" s="36"/>
      <c r="IXW209" s="36"/>
      <c r="IXX209" s="36"/>
      <c r="IXY209" s="36"/>
      <c r="IXZ209" s="36"/>
      <c r="IYA209" s="36"/>
      <c r="IYB209" s="36"/>
      <c r="IYC209" s="36"/>
      <c r="IYD209" s="36"/>
      <c r="IYE209" s="36"/>
      <c r="IYF209" s="36"/>
      <c r="IYG209" s="36"/>
      <c r="IYH209" s="36"/>
      <c r="IYI209" s="36"/>
      <c r="IYJ209" s="36"/>
      <c r="IYK209" s="36"/>
      <c r="IYL209" s="36"/>
      <c r="IYM209" s="36"/>
      <c r="IYN209" s="36"/>
      <c r="IYO209" s="36"/>
      <c r="IYP209" s="36"/>
      <c r="IYQ209" s="36"/>
      <c r="IYR209" s="36"/>
      <c r="IYS209" s="36"/>
      <c r="IYT209" s="36"/>
      <c r="IYU209" s="36"/>
      <c r="IYV209" s="36"/>
      <c r="IYW209" s="36"/>
      <c r="IYX209" s="36"/>
      <c r="IYY209" s="36"/>
      <c r="IYZ209" s="36"/>
      <c r="IZA209" s="36"/>
      <c r="IZB209" s="36"/>
      <c r="IZC209" s="36"/>
      <c r="IZD209" s="36"/>
      <c r="IZE209" s="36"/>
      <c r="IZF209" s="36"/>
      <c r="IZG209" s="36"/>
      <c r="IZH209" s="36"/>
      <c r="IZI209" s="36"/>
      <c r="IZJ209" s="36"/>
      <c r="IZK209" s="36"/>
      <c r="IZL209" s="36"/>
      <c r="IZM209" s="36"/>
      <c r="IZN209" s="36"/>
      <c r="IZO209" s="36"/>
      <c r="IZP209" s="36"/>
      <c r="IZQ209" s="36"/>
      <c r="IZR209" s="36"/>
      <c r="IZS209" s="36"/>
      <c r="IZT209" s="36"/>
      <c r="IZU209" s="36"/>
      <c r="IZV209" s="36"/>
      <c r="IZW209" s="36"/>
      <c r="IZX209" s="36"/>
      <c r="IZY209" s="36"/>
      <c r="IZZ209" s="36"/>
      <c r="JAA209" s="36"/>
      <c r="JAB209" s="36"/>
      <c r="JAC209" s="36"/>
      <c r="JAD209" s="36"/>
      <c r="JAE209" s="36"/>
      <c r="JAF209" s="36"/>
      <c r="JAG209" s="36"/>
      <c r="JAH209" s="36"/>
      <c r="JAI209" s="36"/>
      <c r="JAJ209" s="36"/>
      <c r="JAK209" s="36"/>
      <c r="JAL209" s="36"/>
      <c r="JAM209" s="36"/>
      <c r="JAN209" s="36"/>
      <c r="JAO209" s="36"/>
      <c r="JAP209" s="36"/>
      <c r="JAQ209" s="36"/>
      <c r="JAR209" s="36"/>
      <c r="JAS209" s="36"/>
      <c r="JAT209" s="36"/>
      <c r="JAU209" s="36"/>
      <c r="JAV209" s="36"/>
      <c r="JAW209" s="36"/>
      <c r="JAX209" s="36"/>
      <c r="JAY209" s="36"/>
      <c r="JAZ209" s="36"/>
      <c r="JBA209" s="36"/>
      <c r="JBB209" s="36"/>
      <c r="JBC209" s="36"/>
      <c r="JBD209" s="36"/>
      <c r="JBE209" s="36"/>
      <c r="JBF209" s="36"/>
      <c r="JBG209" s="36"/>
      <c r="JBH209" s="36"/>
      <c r="JBI209" s="36"/>
      <c r="JBJ209" s="36"/>
      <c r="JBK209" s="36"/>
      <c r="JBL209" s="36"/>
      <c r="JBM209" s="36"/>
      <c r="JBN209" s="36"/>
      <c r="JBO209" s="36"/>
      <c r="JBP209" s="36"/>
      <c r="JBQ209" s="36"/>
      <c r="JBR209" s="36"/>
      <c r="JBS209" s="36"/>
      <c r="JBT209" s="36"/>
      <c r="JBU209" s="36"/>
      <c r="JBV209" s="36"/>
      <c r="JBW209" s="36"/>
      <c r="JBX209" s="36"/>
      <c r="JBY209" s="36"/>
      <c r="JBZ209" s="36"/>
      <c r="JCA209" s="36"/>
      <c r="JCB209" s="36"/>
      <c r="JCC209" s="36"/>
      <c r="JCD209" s="36"/>
      <c r="JCE209" s="36"/>
      <c r="JCF209" s="36"/>
      <c r="JCG209" s="36"/>
      <c r="JCH209" s="36"/>
      <c r="JCI209" s="36"/>
      <c r="JCJ209" s="36"/>
      <c r="JCK209" s="36"/>
      <c r="JCL209" s="36"/>
      <c r="JCM209" s="36"/>
      <c r="JCN209" s="36"/>
      <c r="JCO209" s="36"/>
      <c r="JCP209" s="36"/>
      <c r="JCQ209" s="36"/>
      <c r="JCR209" s="36"/>
      <c r="JCS209" s="36"/>
      <c r="JCT209" s="36"/>
      <c r="JCU209" s="36"/>
      <c r="JCV209" s="36"/>
      <c r="JCW209" s="36"/>
      <c r="JCX209" s="36"/>
      <c r="JCY209" s="36"/>
      <c r="JCZ209" s="36"/>
      <c r="JDA209" s="36"/>
      <c r="JDB209" s="36"/>
      <c r="JDC209" s="36"/>
      <c r="JDD209" s="36"/>
      <c r="JDE209" s="36"/>
      <c r="JDF209" s="36"/>
      <c r="JDG209" s="36"/>
      <c r="JDH209" s="36"/>
      <c r="JDI209" s="36"/>
      <c r="JDJ209" s="36"/>
      <c r="JDK209" s="36"/>
      <c r="JDL209" s="36"/>
      <c r="JDM209" s="36"/>
      <c r="JDN209" s="36"/>
      <c r="JDO209" s="36"/>
      <c r="JDP209" s="36"/>
      <c r="JDQ209" s="36"/>
      <c r="JDR209" s="36"/>
      <c r="JDS209" s="36"/>
      <c r="JDT209" s="36"/>
      <c r="JDU209" s="36"/>
      <c r="JDV209" s="36"/>
      <c r="JDW209" s="36"/>
      <c r="JDX209" s="36"/>
      <c r="JDY209" s="36"/>
      <c r="JDZ209" s="36"/>
      <c r="JEA209" s="36"/>
      <c r="JEB209" s="36"/>
      <c r="JEC209" s="36"/>
      <c r="JED209" s="36"/>
      <c r="JEE209" s="36"/>
      <c r="JEF209" s="36"/>
      <c r="JEG209" s="36"/>
      <c r="JEH209" s="36"/>
      <c r="JEI209" s="36"/>
      <c r="JEJ209" s="36"/>
      <c r="JEK209" s="36"/>
      <c r="JEL209" s="36"/>
      <c r="JEM209" s="36"/>
      <c r="JEN209" s="36"/>
      <c r="JEO209" s="36"/>
      <c r="JEP209" s="36"/>
      <c r="JEQ209" s="36"/>
      <c r="JER209" s="36"/>
      <c r="JES209" s="36"/>
      <c r="JET209" s="36"/>
      <c r="JEU209" s="36"/>
      <c r="JEV209" s="36"/>
      <c r="JEW209" s="36"/>
      <c r="JEX209" s="36"/>
      <c r="JEY209" s="36"/>
      <c r="JEZ209" s="36"/>
      <c r="JFA209" s="36"/>
      <c r="JFB209" s="36"/>
      <c r="JFC209" s="36"/>
      <c r="JFD209" s="36"/>
      <c r="JFE209" s="36"/>
      <c r="JFF209" s="36"/>
      <c r="JFG209" s="36"/>
      <c r="JFH209" s="36"/>
      <c r="JFI209" s="36"/>
      <c r="JFJ209" s="36"/>
      <c r="JFK209" s="36"/>
      <c r="JFL209" s="36"/>
      <c r="JFM209" s="36"/>
      <c r="JFN209" s="36"/>
      <c r="JFO209" s="36"/>
      <c r="JFP209" s="36"/>
      <c r="JFQ209" s="36"/>
      <c r="JFR209" s="36"/>
      <c r="JFS209" s="36"/>
      <c r="JFT209" s="36"/>
      <c r="JFU209" s="36"/>
      <c r="JFV209" s="36"/>
      <c r="JFW209" s="36"/>
      <c r="JFX209" s="36"/>
      <c r="JFY209" s="36"/>
      <c r="JFZ209" s="36"/>
      <c r="JGA209" s="36"/>
      <c r="JGB209" s="36"/>
      <c r="JGC209" s="36"/>
      <c r="JGD209" s="36"/>
      <c r="JGE209" s="36"/>
      <c r="JGF209" s="36"/>
      <c r="JGG209" s="36"/>
      <c r="JGH209" s="36"/>
      <c r="JGI209" s="36"/>
      <c r="JGJ209" s="36"/>
      <c r="JGK209" s="36"/>
      <c r="JGL209" s="36"/>
      <c r="JGM209" s="36"/>
      <c r="JGN209" s="36"/>
      <c r="JGO209" s="36"/>
      <c r="JGP209" s="36"/>
      <c r="JGQ209" s="36"/>
      <c r="JGR209" s="36"/>
      <c r="JGS209" s="36"/>
      <c r="JGT209" s="36"/>
      <c r="JGU209" s="36"/>
      <c r="JGV209" s="36"/>
      <c r="JGW209" s="36"/>
      <c r="JGX209" s="36"/>
      <c r="JGY209" s="36"/>
      <c r="JGZ209" s="36"/>
      <c r="JHA209" s="36"/>
      <c r="JHB209" s="36"/>
      <c r="JHC209" s="36"/>
      <c r="JHD209" s="36"/>
      <c r="JHE209" s="36"/>
      <c r="JHF209" s="36"/>
      <c r="JHG209" s="36"/>
      <c r="JHH209" s="36"/>
      <c r="JHI209" s="36"/>
      <c r="JHJ209" s="36"/>
      <c r="JHK209" s="36"/>
      <c r="JHL209" s="36"/>
      <c r="JHM209" s="36"/>
      <c r="JHN209" s="36"/>
      <c r="JHO209" s="36"/>
      <c r="JHP209" s="36"/>
      <c r="JHQ209" s="36"/>
      <c r="JHR209" s="36"/>
      <c r="JHS209" s="36"/>
      <c r="JHT209" s="36"/>
      <c r="JHU209" s="36"/>
      <c r="JHV209" s="36"/>
      <c r="JHW209" s="36"/>
      <c r="JHX209" s="36"/>
      <c r="JHY209" s="36"/>
      <c r="JHZ209" s="36"/>
      <c r="JIA209" s="36"/>
      <c r="JIB209" s="36"/>
      <c r="JIC209" s="36"/>
      <c r="JID209" s="36"/>
      <c r="JIE209" s="36"/>
      <c r="JIF209" s="36"/>
      <c r="JIG209" s="36"/>
      <c r="JIH209" s="36"/>
      <c r="JII209" s="36"/>
      <c r="JIJ209" s="36"/>
      <c r="JIK209" s="36"/>
      <c r="JIL209" s="36"/>
      <c r="JIM209" s="36"/>
      <c r="JIN209" s="36"/>
      <c r="JIO209" s="36"/>
      <c r="JIP209" s="36"/>
      <c r="JIQ209" s="36"/>
      <c r="JIR209" s="36"/>
      <c r="JIS209" s="36"/>
      <c r="JIT209" s="36"/>
      <c r="JIU209" s="36"/>
      <c r="JIV209" s="36"/>
      <c r="JIW209" s="36"/>
      <c r="JIX209" s="36"/>
      <c r="JIY209" s="36"/>
      <c r="JIZ209" s="36"/>
      <c r="JJA209" s="36"/>
      <c r="JJB209" s="36"/>
      <c r="JJC209" s="36"/>
      <c r="JJD209" s="36"/>
      <c r="JJE209" s="36"/>
      <c r="JJF209" s="36"/>
      <c r="JJG209" s="36"/>
      <c r="JJH209" s="36"/>
      <c r="JJI209" s="36"/>
      <c r="JJJ209" s="36"/>
      <c r="JJK209" s="36"/>
      <c r="JJL209" s="36"/>
      <c r="JJM209" s="36"/>
      <c r="JJN209" s="36"/>
      <c r="JJO209" s="36"/>
      <c r="JJP209" s="36"/>
      <c r="JJQ209" s="36"/>
      <c r="JJR209" s="36"/>
      <c r="JJS209" s="36"/>
      <c r="JJT209" s="36"/>
      <c r="JJU209" s="36"/>
      <c r="JJV209" s="36"/>
      <c r="JJW209" s="36"/>
      <c r="JJX209" s="36"/>
      <c r="JJY209" s="36"/>
      <c r="JJZ209" s="36"/>
      <c r="JKA209" s="36"/>
      <c r="JKB209" s="36"/>
      <c r="JKC209" s="36"/>
      <c r="JKD209" s="36"/>
      <c r="JKE209" s="36"/>
      <c r="JKF209" s="36"/>
      <c r="JKG209" s="36"/>
      <c r="JKH209" s="36"/>
      <c r="JKI209" s="36"/>
      <c r="JKJ209" s="36"/>
      <c r="JKK209" s="36"/>
      <c r="JKL209" s="36"/>
      <c r="JKM209" s="36"/>
      <c r="JKN209" s="36"/>
      <c r="JKO209" s="36"/>
      <c r="JKP209" s="36"/>
      <c r="JKQ209" s="36"/>
      <c r="JKR209" s="36"/>
      <c r="JKS209" s="36"/>
      <c r="JKT209" s="36"/>
      <c r="JKU209" s="36"/>
      <c r="JKV209" s="36"/>
      <c r="JKW209" s="36"/>
      <c r="JKX209" s="36"/>
      <c r="JKY209" s="36"/>
      <c r="JKZ209" s="36"/>
      <c r="JLA209" s="36"/>
      <c r="JLB209" s="36"/>
      <c r="JLC209" s="36"/>
      <c r="JLD209" s="36"/>
      <c r="JLE209" s="36"/>
      <c r="JLF209" s="36"/>
      <c r="JLG209" s="36"/>
      <c r="JLH209" s="36"/>
      <c r="JLI209" s="36"/>
      <c r="JLJ209" s="36"/>
      <c r="JLK209" s="36"/>
      <c r="JLL209" s="36"/>
      <c r="JLM209" s="36"/>
      <c r="JLN209" s="36"/>
      <c r="JLO209" s="36"/>
      <c r="JLP209" s="36"/>
      <c r="JLQ209" s="36"/>
      <c r="JLR209" s="36"/>
      <c r="JLS209" s="36"/>
      <c r="JLT209" s="36"/>
      <c r="JLU209" s="36"/>
      <c r="JLV209" s="36"/>
      <c r="JLW209" s="36"/>
      <c r="JLX209" s="36"/>
      <c r="JLY209" s="36"/>
      <c r="JLZ209" s="36"/>
      <c r="JMA209" s="36"/>
      <c r="JMB209" s="36"/>
      <c r="JMC209" s="36"/>
      <c r="JMD209" s="36"/>
      <c r="JME209" s="36"/>
      <c r="JMF209" s="36"/>
      <c r="JMG209" s="36"/>
      <c r="JMH209" s="36"/>
      <c r="JMI209" s="36"/>
      <c r="JMJ209" s="36"/>
      <c r="JMK209" s="36"/>
      <c r="JML209" s="36"/>
      <c r="JMM209" s="36"/>
      <c r="JMN209" s="36"/>
      <c r="JMO209" s="36"/>
      <c r="JMP209" s="36"/>
      <c r="JMQ209" s="36"/>
      <c r="JMR209" s="36"/>
      <c r="JMS209" s="36"/>
      <c r="JMT209" s="36"/>
      <c r="JMU209" s="36"/>
      <c r="JMV209" s="36"/>
      <c r="JMW209" s="36"/>
      <c r="JMX209" s="36"/>
      <c r="JMY209" s="36"/>
      <c r="JMZ209" s="36"/>
      <c r="JNA209" s="36"/>
      <c r="JNB209" s="36"/>
      <c r="JNC209" s="36"/>
      <c r="JND209" s="36"/>
      <c r="JNE209" s="36"/>
      <c r="JNF209" s="36"/>
      <c r="JNG209" s="36"/>
      <c r="JNH209" s="36"/>
      <c r="JNI209" s="36"/>
      <c r="JNJ209" s="36"/>
      <c r="JNK209" s="36"/>
      <c r="JNL209" s="36"/>
      <c r="JNM209" s="36"/>
      <c r="JNN209" s="36"/>
      <c r="JNO209" s="36"/>
      <c r="JNP209" s="36"/>
      <c r="JNQ209" s="36"/>
      <c r="JNR209" s="36"/>
      <c r="JNS209" s="36"/>
      <c r="JNT209" s="36"/>
      <c r="JNU209" s="36"/>
      <c r="JNV209" s="36"/>
      <c r="JNW209" s="36"/>
      <c r="JNX209" s="36"/>
      <c r="JNY209" s="36"/>
      <c r="JNZ209" s="36"/>
      <c r="JOA209" s="36"/>
      <c r="JOB209" s="36"/>
      <c r="JOC209" s="36"/>
      <c r="JOD209" s="36"/>
      <c r="JOE209" s="36"/>
      <c r="JOF209" s="36"/>
      <c r="JOG209" s="36"/>
      <c r="JOH209" s="36"/>
      <c r="JOI209" s="36"/>
      <c r="JOJ209" s="36"/>
      <c r="JOK209" s="36"/>
      <c r="JOL209" s="36"/>
      <c r="JOM209" s="36"/>
      <c r="JON209" s="36"/>
      <c r="JOO209" s="36"/>
      <c r="JOP209" s="36"/>
      <c r="JOQ209" s="36"/>
      <c r="JOR209" s="36"/>
      <c r="JOS209" s="36"/>
      <c r="JOT209" s="36"/>
      <c r="JOU209" s="36"/>
      <c r="JOV209" s="36"/>
      <c r="JOW209" s="36"/>
      <c r="JOX209" s="36"/>
      <c r="JOY209" s="36"/>
      <c r="JOZ209" s="36"/>
      <c r="JPA209" s="36"/>
      <c r="JPB209" s="36"/>
      <c r="JPC209" s="36"/>
      <c r="JPD209" s="36"/>
      <c r="JPE209" s="36"/>
      <c r="JPF209" s="36"/>
      <c r="JPG209" s="36"/>
      <c r="JPH209" s="36"/>
      <c r="JPI209" s="36"/>
      <c r="JPJ209" s="36"/>
      <c r="JPK209" s="36"/>
      <c r="JPL209" s="36"/>
      <c r="JPM209" s="36"/>
      <c r="JPN209" s="36"/>
      <c r="JPO209" s="36"/>
      <c r="JPP209" s="36"/>
      <c r="JPQ209" s="36"/>
      <c r="JPR209" s="36"/>
      <c r="JPS209" s="36"/>
      <c r="JPT209" s="36"/>
      <c r="JPU209" s="36"/>
      <c r="JPV209" s="36"/>
      <c r="JPW209" s="36"/>
      <c r="JPX209" s="36"/>
      <c r="JPY209" s="36"/>
      <c r="JPZ209" s="36"/>
      <c r="JQA209" s="36"/>
      <c r="JQB209" s="36"/>
      <c r="JQC209" s="36"/>
      <c r="JQD209" s="36"/>
      <c r="JQE209" s="36"/>
      <c r="JQF209" s="36"/>
      <c r="JQG209" s="36"/>
      <c r="JQH209" s="36"/>
      <c r="JQI209" s="36"/>
      <c r="JQJ209" s="36"/>
      <c r="JQK209" s="36"/>
      <c r="JQL209" s="36"/>
      <c r="JQM209" s="36"/>
      <c r="JQN209" s="36"/>
      <c r="JQO209" s="36"/>
      <c r="JQP209" s="36"/>
      <c r="JQQ209" s="36"/>
      <c r="JQR209" s="36"/>
      <c r="JQS209" s="36"/>
      <c r="JQT209" s="36"/>
      <c r="JQU209" s="36"/>
      <c r="JQV209" s="36"/>
      <c r="JQW209" s="36"/>
      <c r="JQX209" s="36"/>
      <c r="JQY209" s="36"/>
      <c r="JQZ209" s="36"/>
      <c r="JRA209" s="36"/>
      <c r="JRB209" s="36"/>
      <c r="JRC209" s="36"/>
      <c r="JRD209" s="36"/>
      <c r="JRE209" s="36"/>
      <c r="JRF209" s="36"/>
      <c r="JRG209" s="36"/>
      <c r="JRH209" s="36"/>
      <c r="JRI209" s="36"/>
      <c r="JRJ209" s="36"/>
      <c r="JRK209" s="36"/>
      <c r="JRL209" s="36"/>
      <c r="JRM209" s="36"/>
      <c r="JRN209" s="36"/>
      <c r="JRO209" s="36"/>
      <c r="JRP209" s="36"/>
      <c r="JRQ209" s="36"/>
      <c r="JRR209" s="36"/>
      <c r="JRS209" s="36"/>
      <c r="JRT209" s="36"/>
      <c r="JRU209" s="36"/>
      <c r="JRV209" s="36"/>
      <c r="JRW209" s="36"/>
      <c r="JRX209" s="36"/>
      <c r="JRY209" s="36"/>
      <c r="JRZ209" s="36"/>
      <c r="JSA209" s="36"/>
      <c r="JSB209" s="36"/>
      <c r="JSC209" s="36"/>
      <c r="JSD209" s="36"/>
      <c r="JSE209" s="36"/>
      <c r="JSF209" s="36"/>
      <c r="JSG209" s="36"/>
      <c r="JSH209" s="36"/>
      <c r="JSI209" s="36"/>
      <c r="JSJ209" s="36"/>
      <c r="JSK209" s="36"/>
      <c r="JSL209" s="36"/>
      <c r="JSM209" s="36"/>
      <c r="JSN209" s="36"/>
      <c r="JSO209" s="36"/>
      <c r="JSP209" s="36"/>
      <c r="JSQ209" s="36"/>
      <c r="JSR209" s="36"/>
      <c r="JSS209" s="36"/>
      <c r="JST209" s="36"/>
      <c r="JSU209" s="36"/>
      <c r="JSV209" s="36"/>
      <c r="JSW209" s="36"/>
      <c r="JSX209" s="36"/>
      <c r="JSY209" s="36"/>
      <c r="JSZ209" s="36"/>
      <c r="JTA209" s="36"/>
      <c r="JTB209" s="36"/>
      <c r="JTC209" s="36"/>
      <c r="JTD209" s="36"/>
      <c r="JTE209" s="36"/>
      <c r="JTF209" s="36"/>
      <c r="JTG209" s="36"/>
      <c r="JTH209" s="36"/>
      <c r="JTI209" s="36"/>
      <c r="JTJ209" s="36"/>
      <c r="JTK209" s="36"/>
      <c r="JTL209" s="36"/>
      <c r="JTM209" s="36"/>
      <c r="JTN209" s="36"/>
      <c r="JTO209" s="36"/>
      <c r="JTP209" s="36"/>
      <c r="JTQ209" s="36"/>
      <c r="JTR209" s="36"/>
      <c r="JTS209" s="36"/>
      <c r="JTT209" s="36"/>
      <c r="JTU209" s="36"/>
      <c r="JTV209" s="36"/>
      <c r="JTW209" s="36"/>
      <c r="JTX209" s="36"/>
      <c r="JTY209" s="36"/>
      <c r="JTZ209" s="36"/>
      <c r="JUA209" s="36"/>
      <c r="JUB209" s="36"/>
      <c r="JUC209" s="36"/>
      <c r="JUD209" s="36"/>
      <c r="JUE209" s="36"/>
      <c r="JUF209" s="36"/>
      <c r="JUG209" s="36"/>
      <c r="JUH209" s="36"/>
      <c r="JUI209" s="36"/>
      <c r="JUJ209" s="36"/>
      <c r="JUK209" s="36"/>
      <c r="JUL209" s="36"/>
      <c r="JUM209" s="36"/>
      <c r="JUN209" s="36"/>
      <c r="JUO209" s="36"/>
      <c r="JUP209" s="36"/>
      <c r="JUQ209" s="36"/>
      <c r="JUR209" s="36"/>
      <c r="JUS209" s="36"/>
      <c r="JUT209" s="36"/>
      <c r="JUU209" s="36"/>
      <c r="JUV209" s="36"/>
      <c r="JUW209" s="36"/>
      <c r="JUX209" s="36"/>
      <c r="JUY209" s="36"/>
      <c r="JUZ209" s="36"/>
      <c r="JVA209" s="36"/>
      <c r="JVB209" s="36"/>
      <c r="JVC209" s="36"/>
      <c r="JVD209" s="36"/>
      <c r="JVE209" s="36"/>
      <c r="JVF209" s="36"/>
      <c r="JVG209" s="36"/>
      <c r="JVH209" s="36"/>
      <c r="JVI209" s="36"/>
      <c r="JVJ209" s="36"/>
      <c r="JVK209" s="36"/>
      <c r="JVL209" s="36"/>
      <c r="JVM209" s="36"/>
      <c r="JVN209" s="36"/>
      <c r="JVO209" s="36"/>
      <c r="JVP209" s="36"/>
      <c r="JVQ209" s="36"/>
      <c r="JVR209" s="36"/>
      <c r="JVS209" s="36"/>
      <c r="JVT209" s="36"/>
      <c r="JVU209" s="36"/>
      <c r="JVV209" s="36"/>
      <c r="JVW209" s="36"/>
      <c r="JVX209" s="36"/>
      <c r="JVY209" s="36"/>
      <c r="JVZ209" s="36"/>
      <c r="JWA209" s="36"/>
      <c r="JWB209" s="36"/>
      <c r="JWC209" s="36"/>
      <c r="JWD209" s="36"/>
      <c r="JWE209" s="36"/>
      <c r="JWF209" s="36"/>
      <c r="JWG209" s="36"/>
      <c r="JWH209" s="36"/>
      <c r="JWI209" s="36"/>
      <c r="JWJ209" s="36"/>
      <c r="JWK209" s="36"/>
      <c r="JWL209" s="36"/>
      <c r="JWM209" s="36"/>
      <c r="JWN209" s="36"/>
      <c r="JWO209" s="36"/>
      <c r="JWP209" s="36"/>
      <c r="JWQ209" s="36"/>
      <c r="JWR209" s="36"/>
      <c r="JWS209" s="36"/>
      <c r="JWT209" s="36"/>
      <c r="JWU209" s="36"/>
      <c r="JWV209" s="36"/>
      <c r="JWW209" s="36"/>
      <c r="JWX209" s="36"/>
      <c r="JWY209" s="36"/>
      <c r="JWZ209" s="36"/>
      <c r="JXA209" s="36"/>
      <c r="JXB209" s="36"/>
      <c r="JXC209" s="36"/>
      <c r="JXD209" s="36"/>
      <c r="JXE209" s="36"/>
      <c r="JXF209" s="36"/>
      <c r="JXG209" s="36"/>
      <c r="JXH209" s="36"/>
      <c r="JXI209" s="36"/>
      <c r="JXJ209" s="36"/>
      <c r="JXK209" s="36"/>
      <c r="JXL209" s="36"/>
      <c r="JXM209" s="36"/>
      <c r="JXN209" s="36"/>
      <c r="JXO209" s="36"/>
      <c r="JXP209" s="36"/>
      <c r="JXQ209" s="36"/>
      <c r="JXR209" s="36"/>
      <c r="JXS209" s="36"/>
      <c r="JXT209" s="36"/>
      <c r="JXU209" s="36"/>
      <c r="JXV209" s="36"/>
      <c r="JXW209" s="36"/>
      <c r="JXX209" s="36"/>
      <c r="JXY209" s="36"/>
      <c r="JXZ209" s="36"/>
      <c r="JYA209" s="36"/>
      <c r="JYB209" s="36"/>
      <c r="JYC209" s="36"/>
      <c r="JYD209" s="36"/>
      <c r="JYE209" s="36"/>
      <c r="JYF209" s="36"/>
      <c r="JYG209" s="36"/>
      <c r="JYH209" s="36"/>
      <c r="JYI209" s="36"/>
      <c r="JYJ209" s="36"/>
      <c r="JYK209" s="36"/>
      <c r="JYL209" s="36"/>
      <c r="JYM209" s="36"/>
      <c r="JYN209" s="36"/>
      <c r="JYO209" s="36"/>
      <c r="JYP209" s="36"/>
      <c r="JYQ209" s="36"/>
      <c r="JYR209" s="36"/>
      <c r="JYS209" s="36"/>
      <c r="JYT209" s="36"/>
      <c r="JYU209" s="36"/>
      <c r="JYV209" s="36"/>
      <c r="JYW209" s="36"/>
      <c r="JYX209" s="36"/>
      <c r="JYY209" s="36"/>
      <c r="JYZ209" s="36"/>
      <c r="JZA209" s="36"/>
      <c r="JZB209" s="36"/>
      <c r="JZC209" s="36"/>
      <c r="JZD209" s="36"/>
      <c r="JZE209" s="36"/>
      <c r="JZF209" s="36"/>
      <c r="JZG209" s="36"/>
      <c r="JZH209" s="36"/>
      <c r="JZI209" s="36"/>
      <c r="JZJ209" s="36"/>
      <c r="JZK209" s="36"/>
      <c r="JZL209" s="36"/>
      <c r="JZM209" s="36"/>
      <c r="JZN209" s="36"/>
      <c r="JZO209" s="36"/>
      <c r="JZP209" s="36"/>
      <c r="JZQ209" s="36"/>
      <c r="JZR209" s="36"/>
      <c r="JZS209" s="36"/>
      <c r="JZT209" s="36"/>
      <c r="JZU209" s="36"/>
      <c r="JZV209" s="36"/>
      <c r="JZW209" s="36"/>
      <c r="JZX209" s="36"/>
      <c r="JZY209" s="36"/>
      <c r="JZZ209" s="36"/>
      <c r="KAA209" s="36"/>
      <c r="KAB209" s="36"/>
      <c r="KAC209" s="36"/>
      <c r="KAD209" s="36"/>
      <c r="KAE209" s="36"/>
      <c r="KAF209" s="36"/>
      <c r="KAG209" s="36"/>
      <c r="KAH209" s="36"/>
      <c r="KAI209" s="36"/>
      <c r="KAJ209" s="36"/>
      <c r="KAK209" s="36"/>
      <c r="KAL209" s="36"/>
      <c r="KAM209" s="36"/>
      <c r="KAN209" s="36"/>
      <c r="KAO209" s="36"/>
      <c r="KAP209" s="36"/>
      <c r="KAQ209" s="36"/>
      <c r="KAR209" s="36"/>
      <c r="KAS209" s="36"/>
      <c r="KAT209" s="36"/>
      <c r="KAU209" s="36"/>
      <c r="KAV209" s="36"/>
      <c r="KAW209" s="36"/>
      <c r="KAX209" s="36"/>
      <c r="KAY209" s="36"/>
      <c r="KAZ209" s="36"/>
      <c r="KBA209" s="36"/>
      <c r="KBB209" s="36"/>
      <c r="KBC209" s="36"/>
      <c r="KBD209" s="36"/>
      <c r="KBE209" s="36"/>
      <c r="KBF209" s="36"/>
      <c r="KBG209" s="36"/>
      <c r="KBH209" s="36"/>
      <c r="KBI209" s="36"/>
      <c r="KBJ209" s="36"/>
      <c r="KBK209" s="36"/>
      <c r="KBL209" s="36"/>
      <c r="KBM209" s="36"/>
      <c r="KBN209" s="36"/>
      <c r="KBO209" s="36"/>
      <c r="KBP209" s="36"/>
      <c r="KBQ209" s="36"/>
      <c r="KBR209" s="36"/>
      <c r="KBS209" s="36"/>
      <c r="KBT209" s="36"/>
      <c r="KBU209" s="36"/>
      <c r="KBV209" s="36"/>
      <c r="KBW209" s="36"/>
      <c r="KBX209" s="36"/>
      <c r="KBY209" s="36"/>
      <c r="KBZ209" s="36"/>
      <c r="KCA209" s="36"/>
      <c r="KCB209" s="36"/>
      <c r="KCC209" s="36"/>
      <c r="KCD209" s="36"/>
      <c r="KCE209" s="36"/>
      <c r="KCF209" s="36"/>
      <c r="KCG209" s="36"/>
      <c r="KCH209" s="36"/>
      <c r="KCI209" s="36"/>
      <c r="KCJ209" s="36"/>
      <c r="KCK209" s="36"/>
      <c r="KCL209" s="36"/>
      <c r="KCM209" s="36"/>
      <c r="KCN209" s="36"/>
      <c r="KCO209" s="36"/>
      <c r="KCP209" s="36"/>
      <c r="KCQ209" s="36"/>
      <c r="KCR209" s="36"/>
      <c r="KCS209" s="36"/>
      <c r="KCT209" s="36"/>
      <c r="KCU209" s="36"/>
      <c r="KCV209" s="36"/>
      <c r="KCW209" s="36"/>
      <c r="KCX209" s="36"/>
      <c r="KCY209" s="36"/>
      <c r="KCZ209" s="36"/>
      <c r="KDA209" s="36"/>
      <c r="KDB209" s="36"/>
      <c r="KDC209" s="36"/>
      <c r="KDD209" s="36"/>
      <c r="KDE209" s="36"/>
      <c r="KDF209" s="36"/>
      <c r="KDG209" s="36"/>
      <c r="KDH209" s="36"/>
      <c r="KDI209" s="36"/>
      <c r="KDJ209" s="36"/>
      <c r="KDK209" s="36"/>
      <c r="KDL209" s="36"/>
      <c r="KDM209" s="36"/>
      <c r="KDN209" s="36"/>
      <c r="KDO209" s="36"/>
      <c r="KDP209" s="36"/>
      <c r="KDQ209" s="36"/>
      <c r="KDR209" s="36"/>
      <c r="KDS209" s="36"/>
      <c r="KDT209" s="36"/>
      <c r="KDU209" s="36"/>
      <c r="KDV209" s="36"/>
      <c r="KDW209" s="36"/>
      <c r="KDX209" s="36"/>
      <c r="KDY209" s="36"/>
      <c r="KDZ209" s="36"/>
      <c r="KEA209" s="36"/>
      <c r="KEB209" s="36"/>
      <c r="KEC209" s="36"/>
      <c r="KED209" s="36"/>
      <c r="KEE209" s="36"/>
      <c r="KEF209" s="36"/>
      <c r="KEG209" s="36"/>
      <c r="KEH209" s="36"/>
      <c r="KEI209" s="36"/>
      <c r="KEJ209" s="36"/>
      <c r="KEK209" s="36"/>
      <c r="KEL209" s="36"/>
      <c r="KEM209" s="36"/>
      <c r="KEN209" s="36"/>
      <c r="KEO209" s="36"/>
      <c r="KEP209" s="36"/>
      <c r="KEQ209" s="36"/>
      <c r="KER209" s="36"/>
      <c r="KES209" s="36"/>
      <c r="KET209" s="36"/>
      <c r="KEU209" s="36"/>
      <c r="KEV209" s="36"/>
      <c r="KEW209" s="36"/>
      <c r="KEX209" s="36"/>
      <c r="KEY209" s="36"/>
      <c r="KEZ209" s="36"/>
      <c r="KFA209" s="36"/>
      <c r="KFB209" s="36"/>
      <c r="KFC209" s="36"/>
      <c r="KFD209" s="36"/>
      <c r="KFE209" s="36"/>
      <c r="KFF209" s="36"/>
      <c r="KFG209" s="36"/>
      <c r="KFH209" s="36"/>
      <c r="KFI209" s="36"/>
      <c r="KFJ209" s="36"/>
      <c r="KFK209" s="36"/>
      <c r="KFL209" s="36"/>
      <c r="KFM209" s="36"/>
      <c r="KFN209" s="36"/>
      <c r="KFO209" s="36"/>
      <c r="KFP209" s="36"/>
      <c r="KFQ209" s="36"/>
      <c r="KFR209" s="36"/>
      <c r="KFS209" s="36"/>
      <c r="KFT209" s="36"/>
      <c r="KFU209" s="36"/>
      <c r="KFV209" s="36"/>
      <c r="KFW209" s="36"/>
      <c r="KFX209" s="36"/>
      <c r="KFY209" s="36"/>
      <c r="KFZ209" s="36"/>
      <c r="KGA209" s="36"/>
      <c r="KGB209" s="36"/>
      <c r="KGC209" s="36"/>
      <c r="KGD209" s="36"/>
      <c r="KGE209" s="36"/>
      <c r="KGF209" s="36"/>
      <c r="KGG209" s="36"/>
      <c r="KGH209" s="36"/>
      <c r="KGI209" s="36"/>
      <c r="KGJ209" s="36"/>
      <c r="KGK209" s="36"/>
      <c r="KGL209" s="36"/>
      <c r="KGM209" s="36"/>
      <c r="KGN209" s="36"/>
      <c r="KGO209" s="36"/>
      <c r="KGP209" s="36"/>
      <c r="KGQ209" s="36"/>
      <c r="KGR209" s="36"/>
      <c r="KGS209" s="36"/>
      <c r="KGT209" s="36"/>
      <c r="KGU209" s="36"/>
      <c r="KGV209" s="36"/>
      <c r="KGW209" s="36"/>
      <c r="KGX209" s="36"/>
      <c r="KGY209" s="36"/>
      <c r="KGZ209" s="36"/>
      <c r="KHA209" s="36"/>
      <c r="KHB209" s="36"/>
      <c r="KHC209" s="36"/>
      <c r="KHD209" s="36"/>
      <c r="KHE209" s="36"/>
      <c r="KHF209" s="36"/>
      <c r="KHG209" s="36"/>
      <c r="KHH209" s="36"/>
      <c r="KHI209" s="36"/>
      <c r="KHJ209" s="36"/>
      <c r="KHK209" s="36"/>
      <c r="KHL209" s="36"/>
      <c r="KHM209" s="36"/>
      <c r="KHN209" s="36"/>
      <c r="KHO209" s="36"/>
      <c r="KHP209" s="36"/>
      <c r="KHQ209" s="36"/>
      <c r="KHR209" s="36"/>
      <c r="KHS209" s="36"/>
      <c r="KHT209" s="36"/>
      <c r="KHU209" s="36"/>
      <c r="KHV209" s="36"/>
      <c r="KHW209" s="36"/>
      <c r="KHX209" s="36"/>
      <c r="KHY209" s="36"/>
      <c r="KHZ209" s="36"/>
      <c r="KIA209" s="36"/>
      <c r="KIB209" s="36"/>
      <c r="KIC209" s="36"/>
      <c r="KID209" s="36"/>
      <c r="KIE209" s="36"/>
      <c r="KIF209" s="36"/>
      <c r="KIG209" s="36"/>
      <c r="KIH209" s="36"/>
      <c r="KII209" s="36"/>
      <c r="KIJ209" s="36"/>
      <c r="KIK209" s="36"/>
      <c r="KIL209" s="36"/>
      <c r="KIM209" s="36"/>
      <c r="KIN209" s="36"/>
      <c r="KIO209" s="36"/>
      <c r="KIP209" s="36"/>
      <c r="KIQ209" s="36"/>
      <c r="KIR209" s="36"/>
      <c r="KIS209" s="36"/>
      <c r="KIT209" s="36"/>
      <c r="KIU209" s="36"/>
      <c r="KIV209" s="36"/>
      <c r="KIW209" s="36"/>
      <c r="KIX209" s="36"/>
      <c r="KIY209" s="36"/>
      <c r="KIZ209" s="36"/>
      <c r="KJA209" s="36"/>
      <c r="KJB209" s="36"/>
      <c r="KJC209" s="36"/>
      <c r="KJD209" s="36"/>
      <c r="KJE209" s="36"/>
      <c r="KJF209" s="36"/>
      <c r="KJG209" s="36"/>
      <c r="KJH209" s="36"/>
      <c r="KJI209" s="36"/>
      <c r="KJJ209" s="36"/>
      <c r="KJK209" s="36"/>
      <c r="KJL209" s="36"/>
      <c r="KJM209" s="36"/>
      <c r="KJN209" s="36"/>
      <c r="KJO209" s="36"/>
      <c r="KJP209" s="36"/>
      <c r="KJQ209" s="36"/>
      <c r="KJR209" s="36"/>
      <c r="KJS209" s="36"/>
      <c r="KJT209" s="36"/>
      <c r="KJU209" s="36"/>
      <c r="KJV209" s="36"/>
      <c r="KJW209" s="36"/>
      <c r="KJX209" s="36"/>
      <c r="KJY209" s="36"/>
      <c r="KJZ209" s="36"/>
      <c r="KKA209" s="36"/>
      <c r="KKB209" s="36"/>
      <c r="KKC209" s="36"/>
      <c r="KKD209" s="36"/>
      <c r="KKE209" s="36"/>
      <c r="KKF209" s="36"/>
      <c r="KKG209" s="36"/>
      <c r="KKH209" s="36"/>
      <c r="KKI209" s="36"/>
      <c r="KKJ209" s="36"/>
      <c r="KKK209" s="36"/>
      <c r="KKL209" s="36"/>
      <c r="KKM209" s="36"/>
      <c r="KKN209" s="36"/>
      <c r="KKO209" s="36"/>
      <c r="KKP209" s="36"/>
      <c r="KKQ209" s="36"/>
      <c r="KKR209" s="36"/>
      <c r="KKS209" s="36"/>
      <c r="KKT209" s="36"/>
      <c r="KKU209" s="36"/>
      <c r="KKV209" s="36"/>
      <c r="KKW209" s="36"/>
      <c r="KKX209" s="36"/>
      <c r="KKY209" s="36"/>
      <c r="KKZ209" s="36"/>
      <c r="KLA209" s="36"/>
      <c r="KLB209" s="36"/>
      <c r="KLC209" s="36"/>
      <c r="KLD209" s="36"/>
      <c r="KLE209" s="36"/>
      <c r="KLF209" s="36"/>
      <c r="KLG209" s="36"/>
      <c r="KLH209" s="36"/>
      <c r="KLI209" s="36"/>
      <c r="KLJ209" s="36"/>
      <c r="KLK209" s="36"/>
      <c r="KLL209" s="36"/>
      <c r="KLM209" s="36"/>
      <c r="KLN209" s="36"/>
      <c r="KLO209" s="36"/>
      <c r="KLP209" s="36"/>
      <c r="KLQ209" s="36"/>
      <c r="KLR209" s="36"/>
      <c r="KLS209" s="36"/>
      <c r="KLT209" s="36"/>
      <c r="KLU209" s="36"/>
      <c r="KLV209" s="36"/>
      <c r="KLW209" s="36"/>
      <c r="KLX209" s="36"/>
      <c r="KLY209" s="36"/>
      <c r="KLZ209" s="36"/>
      <c r="KMA209" s="36"/>
      <c r="KMB209" s="36"/>
      <c r="KMC209" s="36"/>
      <c r="KMD209" s="36"/>
      <c r="KME209" s="36"/>
      <c r="KMF209" s="36"/>
      <c r="KMG209" s="36"/>
      <c r="KMH209" s="36"/>
      <c r="KMI209" s="36"/>
      <c r="KMJ209" s="36"/>
      <c r="KMK209" s="36"/>
      <c r="KML209" s="36"/>
      <c r="KMM209" s="36"/>
      <c r="KMN209" s="36"/>
      <c r="KMO209" s="36"/>
      <c r="KMP209" s="36"/>
      <c r="KMQ209" s="36"/>
      <c r="KMR209" s="36"/>
      <c r="KMS209" s="36"/>
      <c r="KMT209" s="36"/>
      <c r="KMU209" s="36"/>
      <c r="KMV209" s="36"/>
      <c r="KMW209" s="36"/>
      <c r="KMX209" s="36"/>
      <c r="KMY209" s="36"/>
      <c r="KMZ209" s="36"/>
      <c r="KNA209" s="36"/>
      <c r="KNB209" s="36"/>
      <c r="KNC209" s="36"/>
      <c r="KND209" s="36"/>
      <c r="KNE209" s="36"/>
      <c r="KNF209" s="36"/>
      <c r="KNG209" s="36"/>
      <c r="KNH209" s="36"/>
      <c r="KNI209" s="36"/>
      <c r="KNJ209" s="36"/>
      <c r="KNK209" s="36"/>
      <c r="KNL209" s="36"/>
      <c r="KNM209" s="36"/>
      <c r="KNN209" s="36"/>
      <c r="KNO209" s="36"/>
      <c r="KNP209" s="36"/>
      <c r="KNQ209" s="36"/>
      <c r="KNR209" s="36"/>
      <c r="KNS209" s="36"/>
      <c r="KNT209" s="36"/>
      <c r="KNU209" s="36"/>
      <c r="KNV209" s="36"/>
      <c r="KNW209" s="36"/>
      <c r="KNX209" s="36"/>
      <c r="KNY209" s="36"/>
      <c r="KNZ209" s="36"/>
      <c r="KOA209" s="36"/>
      <c r="KOB209" s="36"/>
      <c r="KOC209" s="36"/>
      <c r="KOD209" s="36"/>
      <c r="KOE209" s="36"/>
      <c r="KOF209" s="36"/>
      <c r="KOG209" s="36"/>
      <c r="KOH209" s="36"/>
      <c r="KOI209" s="36"/>
      <c r="KOJ209" s="36"/>
      <c r="KOK209" s="36"/>
      <c r="KOL209" s="36"/>
      <c r="KOM209" s="36"/>
      <c r="KON209" s="36"/>
      <c r="KOO209" s="36"/>
      <c r="KOP209" s="36"/>
      <c r="KOQ209" s="36"/>
      <c r="KOR209" s="36"/>
      <c r="KOS209" s="36"/>
      <c r="KOT209" s="36"/>
      <c r="KOU209" s="36"/>
      <c r="KOV209" s="36"/>
      <c r="KOW209" s="36"/>
      <c r="KOX209" s="36"/>
      <c r="KOY209" s="36"/>
      <c r="KOZ209" s="36"/>
      <c r="KPA209" s="36"/>
      <c r="KPB209" s="36"/>
      <c r="KPC209" s="36"/>
      <c r="KPD209" s="36"/>
      <c r="KPE209" s="36"/>
      <c r="KPF209" s="36"/>
      <c r="KPG209" s="36"/>
      <c r="KPH209" s="36"/>
      <c r="KPI209" s="36"/>
      <c r="KPJ209" s="36"/>
      <c r="KPK209" s="36"/>
      <c r="KPL209" s="36"/>
      <c r="KPM209" s="36"/>
      <c r="KPN209" s="36"/>
      <c r="KPO209" s="36"/>
      <c r="KPP209" s="36"/>
      <c r="KPQ209" s="36"/>
      <c r="KPR209" s="36"/>
      <c r="KPS209" s="36"/>
      <c r="KPT209" s="36"/>
      <c r="KPU209" s="36"/>
      <c r="KPV209" s="36"/>
      <c r="KPW209" s="36"/>
      <c r="KPX209" s="36"/>
      <c r="KPY209" s="36"/>
      <c r="KPZ209" s="36"/>
      <c r="KQA209" s="36"/>
      <c r="KQB209" s="36"/>
      <c r="KQC209" s="36"/>
      <c r="KQD209" s="36"/>
      <c r="KQE209" s="36"/>
      <c r="KQF209" s="36"/>
      <c r="KQG209" s="36"/>
      <c r="KQH209" s="36"/>
      <c r="KQI209" s="36"/>
      <c r="KQJ209" s="36"/>
      <c r="KQK209" s="36"/>
      <c r="KQL209" s="36"/>
      <c r="KQM209" s="36"/>
      <c r="KQN209" s="36"/>
      <c r="KQO209" s="36"/>
      <c r="KQP209" s="36"/>
      <c r="KQQ209" s="36"/>
      <c r="KQR209" s="36"/>
      <c r="KQS209" s="36"/>
      <c r="KQT209" s="36"/>
      <c r="KQU209" s="36"/>
      <c r="KQV209" s="36"/>
      <c r="KQW209" s="36"/>
      <c r="KQX209" s="36"/>
      <c r="KQY209" s="36"/>
      <c r="KQZ209" s="36"/>
      <c r="KRA209" s="36"/>
      <c r="KRB209" s="36"/>
      <c r="KRC209" s="36"/>
      <c r="KRD209" s="36"/>
      <c r="KRE209" s="36"/>
      <c r="KRF209" s="36"/>
      <c r="KRG209" s="36"/>
      <c r="KRH209" s="36"/>
      <c r="KRI209" s="36"/>
      <c r="KRJ209" s="36"/>
      <c r="KRK209" s="36"/>
      <c r="KRL209" s="36"/>
      <c r="KRM209" s="36"/>
      <c r="KRN209" s="36"/>
      <c r="KRO209" s="36"/>
      <c r="KRP209" s="36"/>
      <c r="KRQ209" s="36"/>
      <c r="KRR209" s="36"/>
      <c r="KRS209" s="36"/>
      <c r="KRT209" s="36"/>
      <c r="KRU209" s="36"/>
      <c r="KRV209" s="36"/>
      <c r="KRW209" s="36"/>
      <c r="KRX209" s="36"/>
      <c r="KRY209" s="36"/>
      <c r="KRZ209" s="36"/>
      <c r="KSA209" s="36"/>
      <c r="KSB209" s="36"/>
      <c r="KSC209" s="36"/>
      <c r="KSD209" s="36"/>
      <c r="KSE209" s="36"/>
      <c r="KSF209" s="36"/>
      <c r="KSG209" s="36"/>
      <c r="KSH209" s="36"/>
      <c r="KSI209" s="36"/>
      <c r="KSJ209" s="36"/>
      <c r="KSK209" s="36"/>
      <c r="KSL209" s="36"/>
      <c r="KSM209" s="36"/>
      <c r="KSN209" s="36"/>
      <c r="KSO209" s="36"/>
      <c r="KSP209" s="36"/>
      <c r="KSQ209" s="36"/>
      <c r="KSR209" s="36"/>
      <c r="KSS209" s="36"/>
      <c r="KST209" s="36"/>
      <c r="KSU209" s="36"/>
      <c r="KSV209" s="36"/>
      <c r="KSW209" s="36"/>
      <c r="KSX209" s="36"/>
      <c r="KSY209" s="36"/>
      <c r="KSZ209" s="36"/>
      <c r="KTA209" s="36"/>
      <c r="KTB209" s="36"/>
      <c r="KTC209" s="36"/>
      <c r="KTD209" s="36"/>
      <c r="KTE209" s="36"/>
      <c r="KTF209" s="36"/>
      <c r="KTG209" s="36"/>
      <c r="KTH209" s="36"/>
      <c r="KTI209" s="36"/>
      <c r="KTJ209" s="36"/>
      <c r="KTK209" s="36"/>
      <c r="KTL209" s="36"/>
      <c r="KTM209" s="36"/>
      <c r="KTN209" s="36"/>
      <c r="KTO209" s="36"/>
      <c r="KTP209" s="36"/>
      <c r="KTQ209" s="36"/>
      <c r="KTR209" s="36"/>
      <c r="KTS209" s="36"/>
      <c r="KTT209" s="36"/>
      <c r="KTU209" s="36"/>
      <c r="KTV209" s="36"/>
      <c r="KTW209" s="36"/>
      <c r="KTX209" s="36"/>
      <c r="KTY209" s="36"/>
      <c r="KTZ209" s="36"/>
      <c r="KUA209" s="36"/>
      <c r="KUB209" s="36"/>
      <c r="KUC209" s="36"/>
      <c r="KUD209" s="36"/>
      <c r="KUE209" s="36"/>
      <c r="KUF209" s="36"/>
      <c r="KUG209" s="36"/>
      <c r="KUH209" s="36"/>
      <c r="KUI209" s="36"/>
      <c r="KUJ209" s="36"/>
      <c r="KUK209" s="36"/>
      <c r="KUL209" s="36"/>
      <c r="KUM209" s="36"/>
      <c r="KUN209" s="36"/>
      <c r="KUO209" s="36"/>
      <c r="KUP209" s="36"/>
      <c r="KUQ209" s="36"/>
      <c r="KUR209" s="36"/>
      <c r="KUS209" s="36"/>
      <c r="KUT209" s="36"/>
      <c r="KUU209" s="36"/>
      <c r="KUV209" s="36"/>
      <c r="KUW209" s="36"/>
      <c r="KUX209" s="36"/>
      <c r="KUY209" s="36"/>
      <c r="KUZ209" s="36"/>
      <c r="KVA209" s="36"/>
      <c r="KVB209" s="36"/>
      <c r="KVC209" s="36"/>
      <c r="KVD209" s="36"/>
      <c r="KVE209" s="36"/>
      <c r="KVF209" s="36"/>
      <c r="KVG209" s="36"/>
      <c r="KVH209" s="36"/>
      <c r="KVI209" s="36"/>
      <c r="KVJ209" s="36"/>
      <c r="KVK209" s="36"/>
      <c r="KVL209" s="36"/>
      <c r="KVM209" s="36"/>
      <c r="KVN209" s="36"/>
      <c r="KVO209" s="36"/>
      <c r="KVP209" s="36"/>
      <c r="KVQ209" s="36"/>
      <c r="KVR209" s="36"/>
      <c r="KVS209" s="36"/>
      <c r="KVT209" s="36"/>
      <c r="KVU209" s="36"/>
      <c r="KVV209" s="36"/>
      <c r="KVW209" s="36"/>
      <c r="KVX209" s="36"/>
      <c r="KVY209" s="36"/>
      <c r="KVZ209" s="36"/>
      <c r="KWA209" s="36"/>
      <c r="KWB209" s="36"/>
      <c r="KWC209" s="36"/>
      <c r="KWD209" s="36"/>
      <c r="KWE209" s="36"/>
      <c r="KWF209" s="36"/>
      <c r="KWG209" s="36"/>
      <c r="KWH209" s="36"/>
      <c r="KWI209" s="36"/>
      <c r="KWJ209" s="36"/>
      <c r="KWK209" s="36"/>
      <c r="KWL209" s="36"/>
      <c r="KWM209" s="36"/>
      <c r="KWN209" s="36"/>
      <c r="KWO209" s="36"/>
      <c r="KWP209" s="36"/>
      <c r="KWQ209" s="36"/>
      <c r="KWR209" s="36"/>
      <c r="KWS209" s="36"/>
      <c r="KWT209" s="36"/>
      <c r="KWU209" s="36"/>
      <c r="KWV209" s="36"/>
      <c r="KWW209" s="36"/>
      <c r="KWX209" s="36"/>
      <c r="KWY209" s="36"/>
      <c r="KWZ209" s="36"/>
      <c r="KXA209" s="36"/>
      <c r="KXB209" s="36"/>
      <c r="KXC209" s="36"/>
      <c r="KXD209" s="36"/>
      <c r="KXE209" s="36"/>
      <c r="KXF209" s="36"/>
      <c r="KXG209" s="36"/>
      <c r="KXH209" s="36"/>
      <c r="KXI209" s="36"/>
      <c r="KXJ209" s="36"/>
      <c r="KXK209" s="36"/>
      <c r="KXL209" s="36"/>
      <c r="KXM209" s="36"/>
      <c r="KXN209" s="36"/>
      <c r="KXO209" s="36"/>
      <c r="KXP209" s="36"/>
      <c r="KXQ209" s="36"/>
      <c r="KXR209" s="36"/>
      <c r="KXS209" s="36"/>
      <c r="KXT209" s="36"/>
      <c r="KXU209" s="36"/>
      <c r="KXV209" s="36"/>
      <c r="KXW209" s="36"/>
      <c r="KXX209" s="36"/>
      <c r="KXY209" s="36"/>
      <c r="KXZ209" s="36"/>
      <c r="KYA209" s="36"/>
      <c r="KYB209" s="36"/>
      <c r="KYC209" s="36"/>
      <c r="KYD209" s="36"/>
      <c r="KYE209" s="36"/>
      <c r="KYF209" s="36"/>
      <c r="KYG209" s="36"/>
      <c r="KYH209" s="36"/>
      <c r="KYI209" s="36"/>
      <c r="KYJ209" s="36"/>
      <c r="KYK209" s="36"/>
      <c r="KYL209" s="36"/>
      <c r="KYM209" s="36"/>
      <c r="KYN209" s="36"/>
      <c r="KYO209" s="36"/>
      <c r="KYP209" s="36"/>
      <c r="KYQ209" s="36"/>
      <c r="KYR209" s="36"/>
      <c r="KYS209" s="36"/>
      <c r="KYT209" s="36"/>
      <c r="KYU209" s="36"/>
      <c r="KYV209" s="36"/>
      <c r="KYW209" s="36"/>
      <c r="KYX209" s="36"/>
      <c r="KYY209" s="36"/>
      <c r="KYZ209" s="36"/>
      <c r="KZA209" s="36"/>
      <c r="KZB209" s="36"/>
      <c r="KZC209" s="36"/>
      <c r="KZD209" s="36"/>
      <c r="KZE209" s="36"/>
      <c r="KZF209" s="36"/>
      <c r="KZG209" s="36"/>
      <c r="KZH209" s="36"/>
      <c r="KZI209" s="36"/>
      <c r="KZJ209" s="36"/>
      <c r="KZK209" s="36"/>
      <c r="KZL209" s="36"/>
      <c r="KZM209" s="36"/>
      <c r="KZN209" s="36"/>
      <c r="KZO209" s="36"/>
      <c r="KZP209" s="36"/>
      <c r="KZQ209" s="36"/>
      <c r="KZR209" s="36"/>
      <c r="KZS209" s="36"/>
      <c r="KZT209" s="36"/>
      <c r="KZU209" s="36"/>
      <c r="KZV209" s="36"/>
      <c r="KZW209" s="36"/>
      <c r="KZX209" s="36"/>
      <c r="KZY209" s="36"/>
      <c r="KZZ209" s="36"/>
      <c r="LAA209" s="36"/>
      <c r="LAB209" s="36"/>
      <c r="LAC209" s="36"/>
      <c r="LAD209" s="36"/>
      <c r="LAE209" s="36"/>
      <c r="LAF209" s="36"/>
      <c r="LAG209" s="36"/>
      <c r="LAH209" s="36"/>
      <c r="LAI209" s="36"/>
      <c r="LAJ209" s="36"/>
      <c r="LAK209" s="36"/>
      <c r="LAL209" s="36"/>
      <c r="LAM209" s="36"/>
      <c r="LAN209" s="36"/>
      <c r="LAO209" s="36"/>
      <c r="LAP209" s="36"/>
      <c r="LAQ209" s="36"/>
      <c r="LAR209" s="36"/>
      <c r="LAS209" s="36"/>
      <c r="LAT209" s="36"/>
      <c r="LAU209" s="36"/>
      <c r="LAV209" s="36"/>
      <c r="LAW209" s="36"/>
      <c r="LAX209" s="36"/>
      <c r="LAY209" s="36"/>
      <c r="LAZ209" s="36"/>
      <c r="LBA209" s="36"/>
      <c r="LBB209" s="36"/>
      <c r="LBC209" s="36"/>
      <c r="LBD209" s="36"/>
      <c r="LBE209" s="36"/>
      <c r="LBF209" s="36"/>
      <c r="LBG209" s="36"/>
      <c r="LBH209" s="36"/>
      <c r="LBI209" s="36"/>
      <c r="LBJ209" s="36"/>
      <c r="LBK209" s="36"/>
      <c r="LBL209" s="36"/>
      <c r="LBM209" s="36"/>
      <c r="LBN209" s="36"/>
      <c r="LBO209" s="36"/>
      <c r="LBP209" s="36"/>
      <c r="LBQ209" s="36"/>
      <c r="LBR209" s="36"/>
      <c r="LBS209" s="36"/>
      <c r="LBT209" s="36"/>
      <c r="LBU209" s="36"/>
      <c r="LBV209" s="36"/>
      <c r="LBW209" s="36"/>
      <c r="LBX209" s="36"/>
      <c r="LBY209" s="36"/>
      <c r="LBZ209" s="36"/>
      <c r="LCA209" s="36"/>
      <c r="LCB209" s="36"/>
      <c r="LCC209" s="36"/>
      <c r="LCD209" s="36"/>
      <c r="LCE209" s="36"/>
      <c r="LCF209" s="36"/>
      <c r="LCG209" s="36"/>
      <c r="LCH209" s="36"/>
      <c r="LCI209" s="36"/>
      <c r="LCJ209" s="36"/>
      <c r="LCK209" s="36"/>
      <c r="LCL209" s="36"/>
      <c r="LCM209" s="36"/>
      <c r="LCN209" s="36"/>
      <c r="LCO209" s="36"/>
      <c r="LCP209" s="36"/>
      <c r="LCQ209" s="36"/>
      <c r="LCR209" s="36"/>
      <c r="LCS209" s="36"/>
      <c r="LCT209" s="36"/>
      <c r="LCU209" s="36"/>
      <c r="LCV209" s="36"/>
      <c r="LCW209" s="36"/>
      <c r="LCX209" s="36"/>
      <c r="LCY209" s="36"/>
      <c r="LCZ209" s="36"/>
      <c r="LDA209" s="36"/>
      <c r="LDB209" s="36"/>
      <c r="LDC209" s="36"/>
      <c r="LDD209" s="36"/>
      <c r="LDE209" s="36"/>
      <c r="LDF209" s="36"/>
      <c r="LDG209" s="36"/>
      <c r="LDH209" s="36"/>
      <c r="LDI209" s="36"/>
      <c r="LDJ209" s="36"/>
      <c r="LDK209" s="36"/>
      <c r="LDL209" s="36"/>
      <c r="LDM209" s="36"/>
      <c r="LDN209" s="36"/>
      <c r="LDO209" s="36"/>
      <c r="LDP209" s="36"/>
      <c r="LDQ209" s="36"/>
      <c r="LDR209" s="36"/>
      <c r="LDS209" s="36"/>
      <c r="LDT209" s="36"/>
      <c r="LDU209" s="36"/>
      <c r="LDV209" s="36"/>
      <c r="LDW209" s="36"/>
      <c r="LDX209" s="36"/>
      <c r="LDY209" s="36"/>
      <c r="LDZ209" s="36"/>
      <c r="LEA209" s="36"/>
      <c r="LEB209" s="36"/>
      <c r="LEC209" s="36"/>
      <c r="LED209" s="36"/>
      <c r="LEE209" s="36"/>
      <c r="LEF209" s="36"/>
      <c r="LEG209" s="36"/>
      <c r="LEH209" s="36"/>
      <c r="LEI209" s="36"/>
      <c r="LEJ209" s="36"/>
      <c r="LEK209" s="36"/>
      <c r="LEL209" s="36"/>
      <c r="LEM209" s="36"/>
      <c r="LEN209" s="36"/>
      <c r="LEO209" s="36"/>
      <c r="LEP209" s="36"/>
      <c r="LEQ209" s="36"/>
      <c r="LER209" s="36"/>
      <c r="LES209" s="36"/>
      <c r="LET209" s="36"/>
      <c r="LEU209" s="36"/>
      <c r="LEV209" s="36"/>
      <c r="LEW209" s="36"/>
      <c r="LEX209" s="36"/>
      <c r="LEY209" s="36"/>
      <c r="LEZ209" s="36"/>
      <c r="LFA209" s="36"/>
      <c r="LFB209" s="36"/>
      <c r="LFC209" s="36"/>
      <c r="LFD209" s="36"/>
      <c r="LFE209" s="36"/>
      <c r="LFF209" s="36"/>
      <c r="LFG209" s="36"/>
      <c r="LFH209" s="36"/>
      <c r="LFI209" s="36"/>
      <c r="LFJ209" s="36"/>
      <c r="LFK209" s="36"/>
      <c r="LFL209" s="36"/>
      <c r="LFM209" s="36"/>
      <c r="LFN209" s="36"/>
      <c r="LFO209" s="36"/>
      <c r="LFP209" s="36"/>
      <c r="LFQ209" s="36"/>
      <c r="LFR209" s="36"/>
      <c r="LFS209" s="36"/>
      <c r="LFT209" s="36"/>
      <c r="LFU209" s="36"/>
      <c r="LFV209" s="36"/>
      <c r="LFW209" s="36"/>
      <c r="LFX209" s="36"/>
      <c r="LFY209" s="36"/>
      <c r="LFZ209" s="36"/>
      <c r="LGA209" s="36"/>
      <c r="LGB209" s="36"/>
      <c r="LGC209" s="36"/>
      <c r="LGD209" s="36"/>
      <c r="LGE209" s="36"/>
      <c r="LGF209" s="36"/>
      <c r="LGG209" s="36"/>
      <c r="LGH209" s="36"/>
      <c r="LGI209" s="36"/>
      <c r="LGJ209" s="36"/>
      <c r="LGK209" s="36"/>
      <c r="LGL209" s="36"/>
      <c r="LGM209" s="36"/>
      <c r="LGN209" s="36"/>
      <c r="LGO209" s="36"/>
      <c r="LGP209" s="36"/>
      <c r="LGQ209" s="36"/>
      <c r="LGR209" s="36"/>
      <c r="LGS209" s="36"/>
      <c r="LGT209" s="36"/>
      <c r="LGU209" s="36"/>
      <c r="LGV209" s="36"/>
      <c r="LGW209" s="36"/>
      <c r="LGX209" s="36"/>
      <c r="LGY209" s="36"/>
      <c r="LGZ209" s="36"/>
      <c r="LHA209" s="36"/>
      <c r="LHB209" s="36"/>
      <c r="LHC209" s="36"/>
      <c r="LHD209" s="36"/>
      <c r="LHE209" s="36"/>
      <c r="LHF209" s="36"/>
      <c r="LHG209" s="36"/>
      <c r="LHH209" s="36"/>
      <c r="LHI209" s="36"/>
      <c r="LHJ209" s="36"/>
      <c r="LHK209" s="36"/>
      <c r="LHL209" s="36"/>
      <c r="LHM209" s="36"/>
      <c r="LHN209" s="36"/>
      <c r="LHO209" s="36"/>
      <c r="LHP209" s="36"/>
      <c r="LHQ209" s="36"/>
      <c r="LHR209" s="36"/>
      <c r="LHS209" s="36"/>
      <c r="LHT209" s="36"/>
      <c r="LHU209" s="36"/>
      <c r="LHV209" s="36"/>
      <c r="LHW209" s="36"/>
      <c r="LHX209" s="36"/>
      <c r="LHY209" s="36"/>
      <c r="LHZ209" s="36"/>
      <c r="LIA209" s="36"/>
      <c r="LIB209" s="36"/>
      <c r="LIC209" s="36"/>
      <c r="LID209" s="36"/>
      <c r="LIE209" s="36"/>
      <c r="LIF209" s="36"/>
      <c r="LIG209" s="36"/>
      <c r="LIH209" s="36"/>
      <c r="LII209" s="36"/>
      <c r="LIJ209" s="36"/>
      <c r="LIK209" s="36"/>
      <c r="LIL209" s="36"/>
      <c r="LIM209" s="36"/>
      <c r="LIN209" s="36"/>
      <c r="LIO209" s="36"/>
      <c r="LIP209" s="36"/>
      <c r="LIQ209" s="36"/>
      <c r="LIR209" s="36"/>
      <c r="LIS209" s="36"/>
      <c r="LIT209" s="36"/>
      <c r="LIU209" s="36"/>
      <c r="LIV209" s="36"/>
      <c r="LIW209" s="36"/>
      <c r="LIX209" s="36"/>
      <c r="LIY209" s="36"/>
      <c r="LIZ209" s="36"/>
      <c r="LJA209" s="36"/>
      <c r="LJB209" s="36"/>
      <c r="LJC209" s="36"/>
      <c r="LJD209" s="36"/>
      <c r="LJE209" s="36"/>
      <c r="LJF209" s="36"/>
      <c r="LJG209" s="36"/>
      <c r="LJH209" s="36"/>
      <c r="LJI209" s="36"/>
      <c r="LJJ209" s="36"/>
      <c r="LJK209" s="36"/>
      <c r="LJL209" s="36"/>
      <c r="LJM209" s="36"/>
      <c r="LJN209" s="36"/>
      <c r="LJO209" s="36"/>
      <c r="LJP209" s="36"/>
      <c r="LJQ209" s="36"/>
      <c r="LJR209" s="36"/>
      <c r="LJS209" s="36"/>
      <c r="LJT209" s="36"/>
      <c r="LJU209" s="36"/>
      <c r="LJV209" s="36"/>
      <c r="LJW209" s="36"/>
      <c r="LJX209" s="36"/>
      <c r="LJY209" s="36"/>
      <c r="LJZ209" s="36"/>
      <c r="LKA209" s="36"/>
      <c r="LKB209" s="36"/>
      <c r="LKC209" s="36"/>
      <c r="LKD209" s="36"/>
      <c r="LKE209" s="36"/>
      <c r="LKF209" s="36"/>
      <c r="LKG209" s="36"/>
      <c r="LKH209" s="36"/>
      <c r="LKI209" s="36"/>
      <c r="LKJ209" s="36"/>
      <c r="LKK209" s="36"/>
      <c r="LKL209" s="36"/>
      <c r="LKM209" s="36"/>
      <c r="LKN209" s="36"/>
      <c r="LKO209" s="36"/>
      <c r="LKP209" s="36"/>
      <c r="LKQ209" s="36"/>
      <c r="LKR209" s="36"/>
      <c r="LKS209" s="36"/>
      <c r="LKT209" s="36"/>
      <c r="LKU209" s="36"/>
      <c r="LKV209" s="36"/>
      <c r="LKW209" s="36"/>
      <c r="LKX209" s="36"/>
      <c r="LKY209" s="36"/>
      <c r="LKZ209" s="36"/>
      <c r="LLA209" s="36"/>
      <c r="LLB209" s="36"/>
      <c r="LLC209" s="36"/>
      <c r="LLD209" s="36"/>
      <c r="LLE209" s="36"/>
      <c r="LLF209" s="36"/>
      <c r="LLG209" s="36"/>
      <c r="LLH209" s="36"/>
      <c r="LLI209" s="36"/>
      <c r="LLJ209" s="36"/>
      <c r="LLK209" s="36"/>
      <c r="LLL209" s="36"/>
      <c r="LLM209" s="36"/>
      <c r="LLN209" s="36"/>
      <c r="LLO209" s="36"/>
      <c r="LLP209" s="36"/>
      <c r="LLQ209" s="36"/>
      <c r="LLR209" s="36"/>
      <c r="LLS209" s="36"/>
      <c r="LLT209" s="36"/>
      <c r="LLU209" s="36"/>
      <c r="LLV209" s="36"/>
      <c r="LLW209" s="36"/>
      <c r="LLX209" s="36"/>
      <c r="LLY209" s="36"/>
      <c r="LLZ209" s="36"/>
      <c r="LMA209" s="36"/>
      <c r="LMB209" s="36"/>
      <c r="LMC209" s="36"/>
      <c r="LMD209" s="36"/>
      <c r="LME209" s="36"/>
      <c r="LMF209" s="36"/>
      <c r="LMG209" s="36"/>
      <c r="LMH209" s="36"/>
      <c r="LMI209" s="36"/>
      <c r="LMJ209" s="36"/>
      <c r="LMK209" s="36"/>
      <c r="LML209" s="36"/>
      <c r="LMM209" s="36"/>
      <c r="LMN209" s="36"/>
      <c r="LMO209" s="36"/>
      <c r="LMP209" s="36"/>
      <c r="LMQ209" s="36"/>
      <c r="LMR209" s="36"/>
      <c r="LMS209" s="36"/>
      <c r="LMT209" s="36"/>
      <c r="LMU209" s="36"/>
      <c r="LMV209" s="36"/>
      <c r="LMW209" s="36"/>
      <c r="LMX209" s="36"/>
      <c r="LMY209" s="36"/>
      <c r="LMZ209" s="36"/>
      <c r="LNA209" s="36"/>
      <c r="LNB209" s="36"/>
      <c r="LNC209" s="36"/>
      <c r="LND209" s="36"/>
      <c r="LNE209" s="36"/>
      <c r="LNF209" s="36"/>
      <c r="LNG209" s="36"/>
      <c r="LNH209" s="36"/>
      <c r="LNI209" s="36"/>
      <c r="LNJ209" s="36"/>
      <c r="LNK209" s="36"/>
      <c r="LNL209" s="36"/>
      <c r="LNM209" s="36"/>
      <c r="LNN209" s="36"/>
      <c r="LNO209" s="36"/>
      <c r="LNP209" s="36"/>
      <c r="LNQ209" s="36"/>
      <c r="LNR209" s="36"/>
      <c r="LNS209" s="36"/>
      <c r="LNT209" s="36"/>
      <c r="LNU209" s="36"/>
      <c r="LNV209" s="36"/>
      <c r="LNW209" s="36"/>
      <c r="LNX209" s="36"/>
      <c r="LNY209" s="36"/>
      <c r="LNZ209" s="36"/>
      <c r="LOA209" s="36"/>
      <c r="LOB209" s="36"/>
      <c r="LOC209" s="36"/>
      <c r="LOD209" s="36"/>
      <c r="LOE209" s="36"/>
      <c r="LOF209" s="36"/>
      <c r="LOG209" s="36"/>
      <c r="LOH209" s="36"/>
      <c r="LOI209" s="36"/>
      <c r="LOJ209" s="36"/>
      <c r="LOK209" s="36"/>
      <c r="LOL209" s="36"/>
      <c r="LOM209" s="36"/>
      <c r="LON209" s="36"/>
      <c r="LOO209" s="36"/>
      <c r="LOP209" s="36"/>
      <c r="LOQ209" s="36"/>
      <c r="LOR209" s="36"/>
      <c r="LOS209" s="36"/>
      <c r="LOT209" s="36"/>
      <c r="LOU209" s="36"/>
      <c r="LOV209" s="36"/>
      <c r="LOW209" s="36"/>
      <c r="LOX209" s="36"/>
      <c r="LOY209" s="36"/>
      <c r="LOZ209" s="36"/>
      <c r="LPA209" s="36"/>
      <c r="LPB209" s="36"/>
      <c r="LPC209" s="36"/>
      <c r="LPD209" s="36"/>
      <c r="LPE209" s="36"/>
      <c r="LPF209" s="36"/>
      <c r="LPG209" s="36"/>
      <c r="LPH209" s="36"/>
      <c r="LPI209" s="36"/>
      <c r="LPJ209" s="36"/>
      <c r="LPK209" s="36"/>
      <c r="LPL209" s="36"/>
      <c r="LPM209" s="36"/>
      <c r="LPN209" s="36"/>
      <c r="LPO209" s="36"/>
      <c r="LPP209" s="36"/>
      <c r="LPQ209" s="36"/>
      <c r="LPR209" s="36"/>
      <c r="LPS209" s="36"/>
      <c r="LPT209" s="36"/>
      <c r="LPU209" s="36"/>
      <c r="LPV209" s="36"/>
      <c r="LPW209" s="36"/>
      <c r="LPX209" s="36"/>
      <c r="LPY209" s="36"/>
      <c r="LPZ209" s="36"/>
      <c r="LQA209" s="36"/>
      <c r="LQB209" s="36"/>
      <c r="LQC209" s="36"/>
      <c r="LQD209" s="36"/>
      <c r="LQE209" s="36"/>
      <c r="LQF209" s="36"/>
      <c r="LQG209" s="36"/>
      <c r="LQH209" s="36"/>
      <c r="LQI209" s="36"/>
      <c r="LQJ209" s="36"/>
      <c r="LQK209" s="36"/>
      <c r="LQL209" s="36"/>
      <c r="LQM209" s="36"/>
      <c r="LQN209" s="36"/>
      <c r="LQO209" s="36"/>
      <c r="LQP209" s="36"/>
      <c r="LQQ209" s="36"/>
      <c r="LQR209" s="36"/>
      <c r="LQS209" s="36"/>
      <c r="LQT209" s="36"/>
      <c r="LQU209" s="36"/>
      <c r="LQV209" s="36"/>
      <c r="LQW209" s="36"/>
      <c r="LQX209" s="36"/>
      <c r="LQY209" s="36"/>
      <c r="LQZ209" s="36"/>
      <c r="LRA209" s="36"/>
      <c r="LRB209" s="36"/>
      <c r="LRC209" s="36"/>
      <c r="LRD209" s="36"/>
      <c r="LRE209" s="36"/>
      <c r="LRF209" s="36"/>
      <c r="LRG209" s="36"/>
      <c r="LRH209" s="36"/>
      <c r="LRI209" s="36"/>
      <c r="LRJ209" s="36"/>
      <c r="LRK209" s="36"/>
      <c r="LRL209" s="36"/>
      <c r="LRM209" s="36"/>
      <c r="LRN209" s="36"/>
      <c r="LRO209" s="36"/>
      <c r="LRP209" s="36"/>
      <c r="LRQ209" s="36"/>
      <c r="LRR209" s="36"/>
      <c r="LRS209" s="36"/>
      <c r="LRT209" s="36"/>
      <c r="LRU209" s="36"/>
      <c r="LRV209" s="36"/>
      <c r="LRW209" s="36"/>
      <c r="LRX209" s="36"/>
      <c r="LRY209" s="36"/>
      <c r="LRZ209" s="36"/>
      <c r="LSA209" s="36"/>
      <c r="LSB209" s="36"/>
      <c r="LSC209" s="36"/>
      <c r="LSD209" s="36"/>
      <c r="LSE209" s="36"/>
      <c r="LSF209" s="36"/>
      <c r="LSG209" s="36"/>
      <c r="LSH209" s="36"/>
      <c r="LSI209" s="36"/>
      <c r="LSJ209" s="36"/>
      <c r="LSK209" s="36"/>
      <c r="LSL209" s="36"/>
      <c r="LSM209" s="36"/>
      <c r="LSN209" s="36"/>
      <c r="LSO209" s="36"/>
      <c r="LSP209" s="36"/>
      <c r="LSQ209" s="36"/>
      <c r="LSR209" s="36"/>
      <c r="LSS209" s="36"/>
      <c r="LST209" s="36"/>
      <c r="LSU209" s="36"/>
      <c r="LSV209" s="36"/>
      <c r="LSW209" s="36"/>
      <c r="LSX209" s="36"/>
      <c r="LSY209" s="36"/>
      <c r="LSZ209" s="36"/>
      <c r="LTA209" s="36"/>
      <c r="LTB209" s="36"/>
      <c r="LTC209" s="36"/>
      <c r="LTD209" s="36"/>
      <c r="LTE209" s="36"/>
      <c r="LTF209" s="36"/>
      <c r="LTG209" s="36"/>
      <c r="LTH209" s="36"/>
      <c r="LTI209" s="36"/>
      <c r="LTJ209" s="36"/>
      <c r="LTK209" s="36"/>
      <c r="LTL209" s="36"/>
      <c r="LTM209" s="36"/>
      <c r="LTN209" s="36"/>
      <c r="LTO209" s="36"/>
      <c r="LTP209" s="36"/>
      <c r="LTQ209" s="36"/>
      <c r="LTR209" s="36"/>
      <c r="LTS209" s="36"/>
      <c r="LTT209" s="36"/>
      <c r="LTU209" s="36"/>
      <c r="LTV209" s="36"/>
      <c r="LTW209" s="36"/>
      <c r="LTX209" s="36"/>
      <c r="LTY209" s="36"/>
      <c r="LTZ209" s="36"/>
      <c r="LUA209" s="36"/>
      <c r="LUB209" s="36"/>
      <c r="LUC209" s="36"/>
      <c r="LUD209" s="36"/>
      <c r="LUE209" s="36"/>
      <c r="LUF209" s="36"/>
      <c r="LUG209" s="36"/>
      <c r="LUH209" s="36"/>
      <c r="LUI209" s="36"/>
      <c r="LUJ209" s="36"/>
      <c r="LUK209" s="36"/>
      <c r="LUL209" s="36"/>
      <c r="LUM209" s="36"/>
      <c r="LUN209" s="36"/>
      <c r="LUO209" s="36"/>
      <c r="LUP209" s="36"/>
      <c r="LUQ209" s="36"/>
      <c r="LUR209" s="36"/>
      <c r="LUS209" s="36"/>
      <c r="LUT209" s="36"/>
      <c r="LUU209" s="36"/>
      <c r="LUV209" s="36"/>
      <c r="LUW209" s="36"/>
      <c r="LUX209" s="36"/>
      <c r="LUY209" s="36"/>
      <c r="LUZ209" s="36"/>
      <c r="LVA209" s="36"/>
      <c r="LVB209" s="36"/>
      <c r="LVC209" s="36"/>
      <c r="LVD209" s="36"/>
      <c r="LVE209" s="36"/>
      <c r="LVF209" s="36"/>
      <c r="LVG209" s="36"/>
      <c r="LVH209" s="36"/>
      <c r="LVI209" s="36"/>
      <c r="LVJ209" s="36"/>
      <c r="LVK209" s="36"/>
      <c r="LVL209" s="36"/>
      <c r="LVM209" s="36"/>
      <c r="LVN209" s="36"/>
      <c r="LVO209" s="36"/>
      <c r="LVP209" s="36"/>
      <c r="LVQ209" s="36"/>
      <c r="LVR209" s="36"/>
      <c r="LVS209" s="36"/>
      <c r="LVT209" s="36"/>
      <c r="LVU209" s="36"/>
      <c r="LVV209" s="36"/>
      <c r="LVW209" s="36"/>
      <c r="LVX209" s="36"/>
      <c r="LVY209" s="36"/>
      <c r="LVZ209" s="36"/>
      <c r="LWA209" s="36"/>
      <c r="LWB209" s="36"/>
      <c r="LWC209" s="36"/>
      <c r="LWD209" s="36"/>
      <c r="LWE209" s="36"/>
      <c r="LWF209" s="36"/>
      <c r="LWG209" s="36"/>
      <c r="LWH209" s="36"/>
      <c r="LWI209" s="36"/>
      <c r="LWJ209" s="36"/>
      <c r="LWK209" s="36"/>
      <c r="LWL209" s="36"/>
      <c r="LWM209" s="36"/>
      <c r="LWN209" s="36"/>
      <c r="LWO209" s="36"/>
      <c r="LWP209" s="36"/>
      <c r="LWQ209" s="36"/>
      <c r="LWR209" s="36"/>
      <c r="LWS209" s="36"/>
      <c r="LWT209" s="36"/>
      <c r="LWU209" s="36"/>
      <c r="LWV209" s="36"/>
      <c r="LWW209" s="36"/>
      <c r="LWX209" s="36"/>
      <c r="LWY209" s="36"/>
      <c r="LWZ209" s="36"/>
      <c r="LXA209" s="36"/>
      <c r="LXB209" s="36"/>
      <c r="LXC209" s="36"/>
      <c r="LXD209" s="36"/>
      <c r="LXE209" s="36"/>
      <c r="LXF209" s="36"/>
      <c r="LXG209" s="36"/>
      <c r="LXH209" s="36"/>
      <c r="LXI209" s="36"/>
      <c r="LXJ209" s="36"/>
      <c r="LXK209" s="36"/>
      <c r="LXL209" s="36"/>
      <c r="LXM209" s="36"/>
      <c r="LXN209" s="36"/>
      <c r="LXO209" s="36"/>
      <c r="LXP209" s="36"/>
      <c r="LXQ209" s="36"/>
      <c r="LXR209" s="36"/>
      <c r="LXS209" s="36"/>
      <c r="LXT209" s="36"/>
      <c r="LXU209" s="36"/>
      <c r="LXV209" s="36"/>
      <c r="LXW209" s="36"/>
      <c r="LXX209" s="36"/>
      <c r="LXY209" s="36"/>
      <c r="LXZ209" s="36"/>
      <c r="LYA209" s="36"/>
      <c r="LYB209" s="36"/>
      <c r="LYC209" s="36"/>
      <c r="LYD209" s="36"/>
      <c r="LYE209" s="36"/>
      <c r="LYF209" s="36"/>
      <c r="LYG209" s="36"/>
      <c r="LYH209" s="36"/>
      <c r="LYI209" s="36"/>
      <c r="LYJ209" s="36"/>
      <c r="LYK209" s="36"/>
      <c r="LYL209" s="36"/>
      <c r="LYM209" s="36"/>
      <c r="LYN209" s="36"/>
      <c r="LYO209" s="36"/>
      <c r="LYP209" s="36"/>
      <c r="LYQ209" s="36"/>
      <c r="LYR209" s="36"/>
      <c r="LYS209" s="36"/>
      <c r="LYT209" s="36"/>
      <c r="LYU209" s="36"/>
      <c r="LYV209" s="36"/>
      <c r="LYW209" s="36"/>
      <c r="LYX209" s="36"/>
      <c r="LYY209" s="36"/>
      <c r="LYZ209" s="36"/>
      <c r="LZA209" s="36"/>
      <c r="LZB209" s="36"/>
      <c r="LZC209" s="36"/>
      <c r="LZD209" s="36"/>
      <c r="LZE209" s="36"/>
      <c r="LZF209" s="36"/>
      <c r="LZG209" s="36"/>
      <c r="LZH209" s="36"/>
      <c r="LZI209" s="36"/>
      <c r="LZJ209" s="36"/>
      <c r="LZK209" s="36"/>
      <c r="LZL209" s="36"/>
      <c r="LZM209" s="36"/>
      <c r="LZN209" s="36"/>
      <c r="LZO209" s="36"/>
      <c r="LZP209" s="36"/>
      <c r="LZQ209" s="36"/>
      <c r="LZR209" s="36"/>
      <c r="LZS209" s="36"/>
      <c r="LZT209" s="36"/>
      <c r="LZU209" s="36"/>
      <c r="LZV209" s="36"/>
      <c r="LZW209" s="36"/>
      <c r="LZX209" s="36"/>
      <c r="LZY209" s="36"/>
      <c r="LZZ209" s="36"/>
      <c r="MAA209" s="36"/>
      <c r="MAB209" s="36"/>
      <c r="MAC209" s="36"/>
      <c r="MAD209" s="36"/>
      <c r="MAE209" s="36"/>
      <c r="MAF209" s="36"/>
      <c r="MAG209" s="36"/>
      <c r="MAH209" s="36"/>
      <c r="MAI209" s="36"/>
      <c r="MAJ209" s="36"/>
      <c r="MAK209" s="36"/>
      <c r="MAL209" s="36"/>
      <c r="MAM209" s="36"/>
      <c r="MAN209" s="36"/>
      <c r="MAO209" s="36"/>
      <c r="MAP209" s="36"/>
      <c r="MAQ209" s="36"/>
      <c r="MAR209" s="36"/>
      <c r="MAS209" s="36"/>
      <c r="MAT209" s="36"/>
      <c r="MAU209" s="36"/>
      <c r="MAV209" s="36"/>
      <c r="MAW209" s="36"/>
      <c r="MAX209" s="36"/>
      <c r="MAY209" s="36"/>
      <c r="MAZ209" s="36"/>
      <c r="MBA209" s="36"/>
      <c r="MBB209" s="36"/>
      <c r="MBC209" s="36"/>
      <c r="MBD209" s="36"/>
      <c r="MBE209" s="36"/>
      <c r="MBF209" s="36"/>
      <c r="MBG209" s="36"/>
      <c r="MBH209" s="36"/>
      <c r="MBI209" s="36"/>
      <c r="MBJ209" s="36"/>
      <c r="MBK209" s="36"/>
      <c r="MBL209" s="36"/>
      <c r="MBM209" s="36"/>
      <c r="MBN209" s="36"/>
      <c r="MBO209" s="36"/>
      <c r="MBP209" s="36"/>
      <c r="MBQ209" s="36"/>
      <c r="MBR209" s="36"/>
      <c r="MBS209" s="36"/>
      <c r="MBT209" s="36"/>
      <c r="MBU209" s="36"/>
      <c r="MBV209" s="36"/>
      <c r="MBW209" s="36"/>
      <c r="MBX209" s="36"/>
      <c r="MBY209" s="36"/>
      <c r="MBZ209" s="36"/>
      <c r="MCA209" s="36"/>
      <c r="MCB209" s="36"/>
      <c r="MCC209" s="36"/>
      <c r="MCD209" s="36"/>
      <c r="MCE209" s="36"/>
      <c r="MCF209" s="36"/>
      <c r="MCG209" s="36"/>
      <c r="MCH209" s="36"/>
      <c r="MCI209" s="36"/>
      <c r="MCJ209" s="36"/>
      <c r="MCK209" s="36"/>
      <c r="MCL209" s="36"/>
      <c r="MCM209" s="36"/>
      <c r="MCN209" s="36"/>
      <c r="MCO209" s="36"/>
      <c r="MCP209" s="36"/>
      <c r="MCQ209" s="36"/>
      <c r="MCR209" s="36"/>
      <c r="MCS209" s="36"/>
      <c r="MCT209" s="36"/>
      <c r="MCU209" s="36"/>
      <c r="MCV209" s="36"/>
      <c r="MCW209" s="36"/>
      <c r="MCX209" s="36"/>
      <c r="MCY209" s="36"/>
      <c r="MCZ209" s="36"/>
      <c r="MDA209" s="36"/>
      <c r="MDB209" s="36"/>
      <c r="MDC209" s="36"/>
      <c r="MDD209" s="36"/>
      <c r="MDE209" s="36"/>
      <c r="MDF209" s="36"/>
      <c r="MDG209" s="36"/>
      <c r="MDH209" s="36"/>
      <c r="MDI209" s="36"/>
      <c r="MDJ209" s="36"/>
      <c r="MDK209" s="36"/>
      <c r="MDL209" s="36"/>
      <c r="MDM209" s="36"/>
      <c r="MDN209" s="36"/>
      <c r="MDO209" s="36"/>
      <c r="MDP209" s="36"/>
      <c r="MDQ209" s="36"/>
      <c r="MDR209" s="36"/>
      <c r="MDS209" s="36"/>
      <c r="MDT209" s="36"/>
      <c r="MDU209" s="36"/>
      <c r="MDV209" s="36"/>
      <c r="MDW209" s="36"/>
      <c r="MDX209" s="36"/>
      <c r="MDY209" s="36"/>
      <c r="MDZ209" s="36"/>
      <c r="MEA209" s="36"/>
      <c r="MEB209" s="36"/>
      <c r="MEC209" s="36"/>
      <c r="MED209" s="36"/>
      <c r="MEE209" s="36"/>
      <c r="MEF209" s="36"/>
      <c r="MEG209" s="36"/>
      <c r="MEH209" s="36"/>
      <c r="MEI209" s="36"/>
      <c r="MEJ209" s="36"/>
      <c r="MEK209" s="36"/>
      <c r="MEL209" s="36"/>
      <c r="MEM209" s="36"/>
      <c r="MEN209" s="36"/>
      <c r="MEO209" s="36"/>
      <c r="MEP209" s="36"/>
      <c r="MEQ209" s="36"/>
      <c r="MER209" s="36"/>
      <c r="MES209" s="36"/>
      <c r="MET209" s="36"/>
      <c r="MEU209" s="36"/>
      <c r="MEV209" s="36"/>
      <c r="MEW209" s="36"/>
      <c r="MEX209" s="36"/>
      <c r="MEY209" s="36"/>
      <c r="MEZ209" s="36"/>
      <c r="MFA209" s="36"/>
      <c r="MFB209" s="36"/>
      <c r="MFC209" s="36"/>
      <c r="MFD209" s="36"/>
      <c r="MFE209" s="36"/>
      <c r="MFF209" s="36"/>
      <c r="MFG209" s="36"/>
      <c r="MFH209" s="36"/>
      <c r="MFI209" s="36"/>
      <c r="MFJ209" s="36"/>
      <c r="MFK209" s="36"/>
      <c r="MFL209" s="36"/>
      <c r="MFM209" s="36"/>
      <c r="MFN209" s="36"/>
      <c r="MFO209" s="36"/>
      <c r="MFP209" s="36"/>
      <c r="MFQ209" s="36"/>
      <c r="MFR209" s="36"/>
      <c r="MFS209" s="36"/>
      <c r="MFT209" s="36"/>
      <c r="MFU209" s="36"/>
      <c r="MFV209" s="36"/>
      <c r="MFW209" s="36"/>
      <c r="MFX209" s="36"/>
      <c r="MFY209" s="36"/>
      <c r="MFZ209" s="36"/>
      <c r="MGA209" s="36"/>
      <c r="MGB209" s="36"/>
      <c r="MGC209" s="36"/>
      <c r="MGD209" s="36"/>
      <c r="MGE209" s="36"/>
      <c r="MGF209" s="36"/>
      <c r="MGG209" s="36"/>
      <c r="MGH209" s="36"/>
      <c r="MGI209" s="36"/>
      <c r="MGJ209" s="36"/>
      <c r="MGK209" s="36"/>
      <c r="MGL209" s="36"/>
      <c r="MGM209" s="36"/>
      <c r="MGN209" s="36"/>
      <c r="MGO209" s="36"/>
      <c r="MGP209" s="36"/>
      <c r="MGQ209" s="36"/>
      <c r="MGR209" s="36"/>
      <c r="MGS209" s="36"/>
      <c r="MGT209" s="36"/>
      <c r="MGU209" s="36"/>
      <c r="MGV209" s="36"/>
      <c r="MGW209" s="36"/>
      <c r="MGX209" s="36"/>
      <c r="MGY209" s="36"/>
      <c r="MGZ209" s="36"/>
      <c r="MHA209" s="36"/>
      <c r="MHB209" s="36"/>
      <c r="MHC209" s="36"/>
      <c r="MHD209" s="36"/>
      <c r="MHE209" s="36"/>
      <c r="MHF209" s="36"/>
      <c r="MHG209" s="36"/>
      <c r="MHH209" s="36"/>
      <c r="MHI209" s="36"/>
      <c r="MHJ209" s="36"/>
      <c r="MHK209" s="36"/>
      <c r="MHL209" s="36"/>
      <c r="MHM209" s="36"/>
      <c r="MHN209" s="36"/>
      <c r="MHO209" s="36"/>
      <c r="MHP209" s="36"/>
      <c r="MHQ209" s="36"/>
      <c r="MHR209" s="36"/>
      <c r="MHS209" s="36"/>
      <c r="MHT209" s="36"/>
      <c r="MHU209" s="36"/>
      <c r="MHV209" s="36"/>
      <c r="MHW209" s="36"/>
      <c r="MHX209" s="36"/>
      <c r="MHY209" s="36"/>
      <c r="MHZ209" s="36"/>
      <c r="MIA209" s="36"/>
      <c r="MIB209" s="36"/>
      <c r="MIC209" s="36"/>
      <c r="MID209" s="36"/>
      <c r="MIE209" s="36"/>
      <c r="MIF209" s="36"/>
      <c r="MIG209" s="36"/>
      <c r="MIH209" s="36"/>
      <c r="MII209" s="36"/>
      <c r="MIJ209" s="36"/>
      <c r="MIK209" s="36"/>
      <c r="MIL209" s="36"/>
      <c r="MIM209" s="36"/>
      <c r="MIN209" s="36"/>
      <c r="MIO209" s="36"/>
      <c r="MIP209" s="36"/>
      <c r="MIQ209" s="36"/>
      <c r="MIR209" s="36"/>
      <c r="MIS209" s="36"/>
      <c r="MIT209" s="36"/>
      <c r="MIU209" s="36"/>
      <c r="MIV209" s="36"/>
      <c r="MIW209" s="36"/>
      <c r="MIX209" s="36"/>
      <c r="MIY209" s="36"/>
      <c r="MIZ209" s="36"/>
      <c r="MJA209" s="36"/>
      <c r="MJB209" s="36"/>
      <c r="MJC209" s="36"/>
      <c r="MJD209" s="36"/>
      <c r="MJE209" s="36"/>
      <c r="MJF209" s="36"/>
      <c r="MJG209" s="36"/>
      <c r="MJH209" s="36"/>
      <c r="MJI209" s="36"/>
      <c r="MJJ209" s="36"/>
      <c r="MJK209" s="36"/>
      <c r="MJL209" s="36"/>
      <c r="MJM209" s="36"/>
      <c r="MJN209" s="36"/>
      <c r="MJO209" s="36"/>
      <c r="MJP209" s="36"/>
      <c r="MJQ209" s="36"/>
      <c r="MJR209" s="36"/>
      <c r="MJS209" s="36"/>
      <c r="MJT209" s="36"/>
      <c r="MJU209" s="36"/>
      <c r="MJV209" s="36"/>
      <c r="MJW209" s="36"/>
      <c r="MJX209" s="36"/>
      <c r="MJY209" s="36"/>
      <c r="MJZ209" s="36"/>
      <c r="MKA209" s="36"/>
      <c r="MKB209" s="36"/>
      <c r="MKC209" s="36"/>
      <c r="MKD209" s="36"/>
      <c r="MKE209" s="36"/>
      <c r="MKF209" s="36"/>
      <c r="MKG209" s="36"/>
      <c r="MKH209" s="36"/>
      <c r="MKI209" s="36"/>
      <c r="MKJ209" s="36"/>
      <c r="MKK209" s="36"/>
      <c r="MKL209" s="36"/>
      <c r="MKM209" s="36"/>
      <c r="MKN209" s="36"/>
      <c r="MKO209" s="36"/>
      <c r="MKP209" s="36"/>
      <c r="MKQ209" s="36"/>
      <c r="MKR209" s="36"/>
      <c r="MKS209" s="36"/>
      <c r="MKT209" s="36"/>
      <c r="MKU209" s="36"/>
      <c r="MKV209" s="36"/>
      <c r="MKW209" s="36"/>
      <c r="MKX209" s="36"/>
      <c r="MKY209" s="36"/>
      <c r="MKZ209" s="36"/>
      <c r="MLA209" s="36"/>
      <c r="MLB209" s="36"/>
      <c r="MLC209" s="36"/>
      <c r="MLD209" s="36"/>
      <c r="MLE209" s="36"/>
      <c r="MLF209" s="36"/>
      <c r="MLG209" s="36"/>
      <c r="MLH209" s="36"/>
      <c r="MLI209" s="36"/>
      <c r="MLJ209" s="36"/>
      <c r="MLK209" s="36"/>
      <c r="MLL209" s="36"/>
      <c r="MLM209" s="36"/>
      <c r="MLN209" s="36"/>
      <c r="MLO209" s="36"/>
      <c r="MLP209" s="36"/>
      <c r="MLQ209" s="36"/>
      <c r="MLR209" s="36"/>
      <c r="MLS209" s="36"/>
      <c r="MLT209" s="36"/>
      <c r="MLU209" s="36"/>
      <c r="MLV209" s="36"/>
      <c r="MLW209" s="36"/>
      <c r="MLX209" s="36"/>
      <c r="MLY209" s="36"/>
      <c r="MLZ209" s="36"/>
      <c r="MMA209" s="36"/>
      <c r="MMB209" s="36"/>
      <c r="MMC209" s="36"/>
      <c r="MMD209" s="36"/>
      <c r="MME209" s="36"/>
      <c r="MMF209" s="36"/>
      <c r="MMG209" s="36"/>
      <c r="MMH209" s="36"/>
      <c r="MMI209" s="36"/>
      <c r="MMJ209" s="36"/>
      <c r="MMK209" s="36"/>
      <c r="MML209" s="36"/>
      <c r="MMM209" s="36"/>
      <c r="MMN209" s="36"/>
      <c r="MMO209" s="36"/>
      <c r="MMP209" s="36"/>
      <c r="MMQ209" s="36"/>
      <c r="MMR209" s="36"/>
      <c r="MMS209" s="36"/>
      <c r="MMT209" s="36"/>
      <c r="MMU209" s="36"/>
      <c r="MMV209" s="36"/>
      <c r="MMW209" s="36"/>
      <c r="MMX209" s="36"/>
      <c r="MMY209" s="36"/>
      <c r="MMZ209" s="36"/>
      <c r="MNA209" s="36"/>
      <c r="MNB209" s="36"/>
      <c r="MNC209" s="36"/>
      <c r="MND209" s="36"/>
      <c r="MNE209" s="36"/>
      <c r="MNF209" s="36"/>
      <c r="MNG209" s="36"/>
      <c r="MNH209" s="36"/>
      <c r="MNI209" s="36"/>
      <c r="MNJ209" s="36"/>
      <c r="MNK209" s="36"/>
      <c r="MNL209" s="36"/>
      <c r="MNM209" s="36"/>
      <c r="MNN209" s="36"/>
      <c r="MNO209" s="36"/>
      <c r="MNP209" s="36"/>
      <c r="MNQ209" s="36"/>
      <c r="MNR209" s="36"/>
      <c r="MNS209" s="36"/>
      <c r="MNT209" s="36"/>
      <c r="MNU209" s="36"/>
      <c r="MNV209" s="36"/>
      <c r="MNW209" s="36"/>
      <c r="MNX209" s="36"/>
      <c r="MNY209" s="36"/>
      <c r="MNZ209" s="36"/>
      <c r="MOA209" s="36"/>
      <c r="MOB209" s="36"/>
      <c r="MOC209" s="36"/>
      <c r="MOD209" s="36"/>
      <c r="MOE209" s="36"/>
      <c r="MOF209" s="36"/>
      <c r="MOG209" s="36"/>
      <c r="MOH209" s="36"/>
      <c r="MOI209" s="36"/>
      <c r="MOJ209" s="36"/>
      <c r="MOK209" s="36"/>
      <c r="MOL209" s="36"/>
      <c r="MOM209" s="36"/>
      <c r="MON209" s="36"/>
      <c r="MOO209" s="36"/>
      <c r="MOP209" s="36"/>
      <c r="MOQ209" s="36"/>
      <c r="MOR209" s="36"/>
      <c r="MOS209" s="36"/>
      <c r="MOT209" s="36"/>
      <c r="MOU209" s="36"/>
      <c r="MOV209" s="36"/>
      <c r="MOW209" s="36"/>
      <c r="MOX209" s="36"/>
      <c r="MOY209" s="36"/>
      <c r="MOZ209" s="36"/>
      <c r="MPA209" s="36"/>
      <c r="MPB209" s="36"/>
      <c r="MPC209" s="36"/>
      <c r="MPD209" s="36"/>
      <c r="MPE209" s="36"/>
      <c r="MPF209" s="36"/>
      <c r="MPG209" s="36"/>
      <c r="MPH209" s="36"/>
      <c r="MPI209" s="36"/>
      <c r="MPJ209" s="36"/>
      <c r="MPK209" s="36"/>
      <c r="MPL209" s="36"/>
      <c r="MPM209" s="36"/>
      <c r="MPN209" s="36"/>
      <c r="MPO209" s="36"/>
      <c r="MPP209" s="36"/>
      <c r="MPQ209" s="36"/>
      <c r="MPR209" s="36"/>
      <c r="MPS209" s="36"/>
      <c r="MPT209" s="36"/>
      <c r="MPU209" s="36"/>
      <c r="MPV209" s="36"/>
      <c r="MPW209" s="36"/>
      <c r="MPX209" s="36"/>
      <c r="MPY209" s="36"/>
      <c r="MPZ209" s="36"/>
      <c r="MQA209" s="36"/>
      <c r="MQB209" s="36"/>
      <c r="MQC209" s="36"/>
      <c r="MQD209" s="36"/>
      <c r="MQE209" s="36"/>
      <c r="MQF209" s="36"/>
      <c r="MQG209" s="36"/>
      <c r="MQH209" s="36"/>
      <c r="MQI209" s="36"/>
      <c r="MQJ209" s="36"/>
      <c r="MQK209" s="36"/>
      <c r="MQL209" s="36"/>
      <c r="MQM209" s="36"/>
      <c r="MQN209" s="36"/>
      <c r="MQO209" s="36"/>
      <c r="MQP209" s="36"/>
      <c r="MQQ209" s="36"/>
      <c r="MQR209" s="36"/>
      <c r="MQS209" s="36"/>
      <c r="MQT209" s="36"/>
      <c r="MQU209" s="36"/>
      <c r="MQV209" s="36"/>
      <c r="MQW209" s="36"/>
      <c r="MQX209" s="36"/>
      <c r="MQY209" s="36"/>
      <c r="MQZ209" s="36"/>
      <c r="MRA209" s="36"/>
      <c r="MRB209" s="36"/>
      <c r="MRC209" s="36"/>
      <c r="MRD209" s="36"/>
      <c r="MRE209" s="36"/>
      <c r="MRF209" s="36"/>
      <c r="MRG209" s="36"/>
      <c r="MRH209" s="36"/>
      <c r="MRI209" s="36"/>
      <c r="MRJ209" s="36"/>
      <c r="MRK209" s="36"/>
      <c r="MRL209" s="36"/>
      <c r="MRM209" s="36"/>
      <c r="MRN209" s="36"/>
      <c r="MRO209" s="36"/>
      <c r="MRP209" s="36"/>
      <c r="MRQ209" s="36"/>
      <c r="MRR209" s="36"/>
      <c r="MRS209" s="36"/>
      <c r="MRT209" s="36"/>
      <c r="MRU209" s="36"/>
      <c r="MRV209" s="36"/>
      <c r="MRW209" s="36"/>
      <c r="MRX209" s="36"/>
      <c r="MRY209" s="36"/>
      <c r="MRZ209" s="36"/>
      <c r="MSA209" s="36"/>
      <c r="MSB209" s="36"/>
      <c r="MSC209" s="36"/>
      <c r="MSD209" s="36"/>
      <c r="MSE209" s="36"/>
      <c r="MSF209" s="36"/>
      <c r="MSG209" s="36"/>
      <c r="MSH209" s="36"/>
      <c r="MSI209" s="36"/>
      <c r="MSJ209" s="36"/>
      <c r="MSK209" s="36"/>
      <c r="MSL209" s="36"/>
      <c r="MSM209" s="36"/>
      <c r="MSN209" s="36"/>
      <c r="MSO209" s="36"/>
      <c r="MSP209" s="36"/>
      <c r="MSQ209" s="36"/>
      <c r="MSR209" s="36"/>
      <c r="MSS209" s="36"/>
      <c r="MST209" s="36"/>
      <c r="MSU209" s="36"/>
      <c r="MSV209" s="36"/>
      <c r="MSW209" s="36"/>
      <c r="MSX209" s="36"/>
      <c r="MSY209" s="36"/>
      <c r="MSZ209" s="36"/>
      <c r="MTA209" s="36"/>
      <c r="MTB209" s="36"/>
      <c r="MTC209" s="36"/>
      <c r="MTD209" s="36"/>
      <c r="MTE209" s="36"/>
      <c r="MTF209" s="36"/>
      <c r="MTG209" s="36"/>
      <c r="MTH209" s="36"/>
      <c r="MTI209" s="36"/>
      <c r="MTJ209" s="36"/>
      <c r="MTK209" s="36"/>
      <c r="MTL209" s="36"/>
      <c r="MTM209" s="36"/>
      <c r="MTN209" s="36"/>
      <c r="MTO209" s="36"/>
      <c r="MTP209" s="36"/>
      <c r="MTQ209" s="36"/>
      <c r="MTR209" s="36"/>
      <c r="MTS209" s="36"/>
      <c r="MTT209" s="36"/>
      <c r="MTU209" s="36"/>
      <c r="MTV209" s="36"/>
      <c r="MTW209" s="36"/>
      <c r="MTX209" s="36"/>
      <c r="MTY209" s="36"/>
      <c r="MTZ209" s="36"/>
      <c r="MUA209" s="36"/>
      <c r="MUB209" s="36"/>
      <c r="MUC209" s="36"/>
      <c r="MUD209" s="36"/>
      <c r="MUE209" s="36"/>
      <c r="MUF209" s="36"/>
      <c r="MUG209" s="36"/>
      <c r="MUH209" s="36"/>
      <c r="MUI209" s="36"/>
      <c r="MUJ209" s="36"/>
      <c r="MUK209" s="36"/>
      <c r="MUL209" s="36"/>
      <c r="MUM209" s="36"/>
      <c r="MUN209" s="36"/>
      <c r="MUO209" s="36"/>
      <c r="MUP209" s="36"/>
      <c r="MUQ209" s="36"/>
      <c r="MUR209" s="36"/>
      <c r="MUS209" s="36"/>
      <c r="MUT209" s="36"/>
      <c r="MUU209" s="36"/>
      <c r="MUV209" s="36"/>
      <c r="MUW209" s="36"/>
      <c r="MUX209" s="36"/>
      <c r="MUY209" s="36"/>
      <c r="MUZ209" s="36"/>
      <c r="MVA209" s="36"/>
      <c r="MVB209" s="36"/>
      <c r="MVC209" s="36"/>
      <c r="MVD209" s="36"/>
      <c r="MVE209" s="36"/>
      <c r="MVF209" s="36"/>
      <c r="MVG209" s="36"/>
      <c r="MVH209" s="36"/>
      <c r="MVI209" s="36"/>
      <c r="MVJ209" s="36"/>
      <c r="MVK209" s="36"/>
      <c r="MVL209" s="36"/>
      <c r="MVM209" s="36"/>
      <c r="MVN209" s="36"/>
      <c r="MVO209" s="36"/>
      <c r="MVP209" s="36"/>
      <c r="MVQ209" s="36"/>
      <c r="MVR209" s="36"/>
      <c r="MVS209" s="36"/>
      <c r="MVT209" s="36"/>
      <c r="MVU209" s="36"/>
      <c r="MVV209" s="36"/>
      <c r="MVW209" s="36"/>
      <c r="MVX209" s="36"/>
      <c r="MVY209" s="36"/>
      <c r="MVZ209" s="36"/>
      <c r="MWA209" s="36"/>
      <c r="MWB209" s="36"/>
      <c r="MWC209" s="36"/>
      <c r="MWD209" s="36"/>
      <c r="MWE209" s="36"/>
      <c r="MWF209" s="36"/>
      <c r="MWG209" s="36"/>
      <c r="MWH209" s="36"/>
      <c r="MWI209" s="36"/>
      <c r="MWJ209" s="36"/>
      <c r="MWK209" s="36"/>
      <c r="MWL209" s="36"/>
      <c r="MWM209" s="36"/>
      <c r="MWN209" s="36"/>
      <c r="MWO209" s="36"/>
      <c r="MWP209" s="36"/>
      <c r="MWQ209" s="36"/>
      <c r="MWR209" s="36"/>
      <c r="MWS209" s="36"/>
      <c r="MWT209" s="36"/>
      <c r="MWU209" s="36"/>
      <c r="MWV209" s="36"/>
      <c r="MWW209" s="36"/>
      <c r="MWX209" s="36"/>
      <c r="MWY209" s="36"/>
      <c r="MWZ209" s="36"/>
      <c r="MXA209" s="36"/>
      <c r="MXB209" s="36"/>
      <c r="MXC209" s="36"/>
      <c r="MXD209" s="36"/>
      <c r="MXE209" s="36"/>
      <c r="MXF209" s="36"/>
      <c r="MXG209" s="36"/>
      <c r="MXH209" s="36"/>
      <c r="MXI209" s="36"/>
      <c r="MXJ209" s="36"/>
      <c r="MXK209" s="36"/>
      <c r="MXL209" s="36"/>
      <c r="MXM209" s="36"/>
      <c r="MXN209" s="36"/>
      <c r="MXO209" s="36"/>
      <c r="MXP209" s="36"/>
      <c r="MXQ209" s="36"/>
      <c r="MXR209" s="36"/>
      <c r="MXS209" s="36"/>
      <c r="MXT209" s="36"/>
      <c r="MXU209" s="36"/>
      <c r="MXV209" s="36"/>
      <c r="MXW209" s="36"/>
      <c r="MXX209" s="36"/>
      <c r="MXY209" s="36"/>
      <c r="MXZ209" s="36"/>
      <c r="MYA209" s="36"/>
      <c r="MYB209" s="36"/>
      <c r="MYC209" s="36"/>
      <c r="MYD209" s="36"/>
      <c r="MYE209" s="36"/>
      <c r="MYF209" s="36"/>
      <c r="MYG209" s="36"/>
      <c r="MYH209" s="36"/>
      <c r="MYI209" s="36"/>
      <c r="MYJ209" s="36"/>
      <c r="MYK209" s="36"/>
      <c r="MYL209" s="36"/>
      <c r="MYM209" s="36"/>
      <c r="MYN209" s="36"/>
      <c r="MYO209" s="36"/>
      <c r="MYP209" s="36"/>
      <c r="MYQ209" s="36"/>
      <c r="MYR209" s="36"/>
      <c r="MYS209" s="36"/>
      <c r="MYT209" s="36"/>
      <c r="MYU209" s="36"/>
      <c r="MYV209" s="36"/>
      <c r="MYW209" s="36"/>
      <c r="MYX209" s="36"/>
      <c r="MYY209" s="36"/>
      <c r="MYZ209" s="36"/>
      <c r="MZA209" s="36"/>
      <c r="MZB209" s="36"/>
      <c r="MZC209" s="36"/>
      <c r="MZD209" s="36"/>
      <c r="MZE209" s="36"/>
      <c r="MZF209" s="36"/>
      <c r="MZG209" s="36"/>
      <c r="MZH209" s="36"/>
      <c r="MZI209" s="36"/>
      <c r="MZJ209" s="36"/>
      <c r="MZK209" s="36"/>
      <c r="MZL209" s="36"/>
      <c r="MZM209" s="36"/>
      <c r="MZN209" s="36"/>
      <c r="MZO209" s="36"/>
      <c r="MZP209" s="36"/>
      <c r="MZQ209" s="36"/>
      <c r="MZR209" s="36"/>
      <c r="MZS209" s="36"/>
      <c r="MZT209" s="36"/>
      <c r="MZU209" s="36"/>
      <c r="MZV209" s="36"/>
      <c r="MZW209" s="36"/>
      <c r="MZX209" s="36"/>
      <c r="MZY209" s="36"/>
      <c r="MZZ209" s="36"/>
      <c r="NAA209" s="36"/>
      <c r="NAB209" s="36"/>
      <c r="NAC209" s="36"/>
      <c r="NAD209" s="36"/>
      <c r="NAE209" s="36"/>
      <c r="NAF209" s="36"/>
      <c r="NAG209" s="36"/>
      <c r="NAH209" s="36"/>
      <c r="NAI209" s="36"/>
      <c r="NAJ209" s="36"/>
      <c r="NAK209" s="36"/>
      <c r="NAL209" s="36"/>
      <c r="NAM209" s="36"/>
      <c r="NAN209" s="36"/>
      <c r="NAO209" s="36"/>
      <c r="NAP209" s="36"/>
      <c r="NAQ209" s="36"/>
      <c r="NAR209" s="36"/>
      <c r="NAS209" s="36"/>
      <c r="NAT209" s="36"/>
      <c r="NAU209" s="36"/>
      <c r="NAV209" s="36"/>
      <c r="NAW209" s="36"/>
      <c r="NAX209" s="36"/>
      <c r="NAY209" s="36"/>
      <c r="NAZ209" s="36"/>
      <c r="NBA209" s="36"/>
      <c r="NBB209" s="36"/>
      <c r="NBC209" s="36"/>
      <c r="NBD209" s="36"/>
      <c r="NBE209" s="36"/>
      <c r="NBF209" s="36"/>
      <c r="NBG209" s="36"/>
      <c r="NBH209" s="36"/>
      <c r="NBI209" s="36"/>
      <c r="NBJ209" s="36"/>
      <c r="NBK209" s="36"/>
      <c r="NBL209" s="36"/>
      <c r="NBM209" s="36"/>
      <c r="NBN209" s="36"/>
      <c r="NBO209" s="36"/>
      <c r="NBP209" s="36"/>
      <c r="NBQ209" s="36"/>
      <c r="NBR209" s="36"/>
      <c r="NBS209" s="36"/>
      <c r="NBT209" s="36"/>
      <c r="NBU209" s="36"/>
      <c r="NBV209" s="36"/>
      <c r="NBW209" s="36"/>
      <c r="NBX209" s="36"/>
      <c r="NBY209" s="36"/>
      <c r="NBZ209" s="36"/>
      <c r="NCA209" s="36"/>
      <c r="NCB209" s="36"/>
      <c r="NCC209" s="36"/>
      <c r="NCD209" s="36"/>
      <c r="NCE209" s="36"/>
      <c r="NCF209" s="36"/>
      <c r="NCG209" s="36"/>
      <c r="NCH209" s="36"/>
      <c r="NCI209" s="36"/>
      <c r="NCJ209" s="36"/>
      <c r="NCK209" s="36"/>
      <c r="NCL209" s="36"/>
      <c r="NCM209" s="36"/>
      <c r="NCN209" s="36"/>
      <c r="NCO209" s="36"/>
      <c r="NCP209" s="36"/>
      <c r="NCQ209" s="36"/>
      <c r="NCR209" s="36"/>
      <c r="NCS209" s="36"/>
      <c r="NCT209" s="36"/>
      <c r="NCU209" s="36"/>
      <c r="NCV209" s="36"/>
      <c r="NCW209" s="36"/>
      <c r="NCX209" s="36"/>
      <c r="NCY209" s="36"/>
      <c r="NCZ209" s="36"/>
      <c r="NDA209" s="36"/>
      <c r="NDB209" s="36"/>
      <c r="NDC209" s="36"/>
      <c r="NDD209" s="36"/>
      <c r="NDE209" s="36"/>
      <c r="NDF209" s="36"/>
      <c r="NDG209" s="36"/>
      <c r="NDH209" s="36"/>
      <c r="NDI209" s="36"/>
      <c r="NDJ209" s="36"/>
      <c r="NDK209" s="36"/>
      <c r="NDL209" s="36"/>
      <c r="NDM209" s="36"/>
      <c r="NDN209" s="36"/>
      <c r="NDO209" s="36"/>
      <c r="NDP209" s="36"/>
      <c r="NDQ209" s="36"/>
      <c r="NDR209" s="36"/>
      <c r="NDS209" s="36"/>
      <c r="NDT209" s="36"/>
      <c r="NDU209" s="36"/>
      <c r="NDV209" s="36"/>
      <c r="NDW209" s="36"/>
      <c r="NDX209" s="36"/>
      <c r="NDY209" s="36"/>
      <c r="NDZ209" s="36"/>
      <c r="NEA209" s="36"/>
      <c r="NEB209" s="36"/>
      <c r="NEC209" s="36"/>
      <c r="NED209" s="36"/>
      <c r="NEE209" s="36"/>
      <c r="NEF209" s="36"/>
      <c r="NEG209" s="36"/>
      <c r="NEH209" s="36"/>
      <c r="NEI209" s="36"/>
      <c r="NEJ209" s="36"/>
      <c r="NEK209" s="36"/>
      <c r="NEL209" s="36"/>
      <c r="NEM209" s="36"/>
      <c r="NEN209" s="36"/>
      <c r="NEO209" s="36"/>
      <c r="NEP209" s="36"/>
      <c r="NEQ209" s="36"/>
      <c r="NER209" s="36"/>
      <c r="NES209" s="36"/>
      <c r="NET209" s="36"/>
      <c r="NEU209" s="36"/>
      <c r="NEV209" s="36"/>
      <c r="NEW209" s="36"/>
      <c r="NEX209" s="36"/>
      <c r="NEY209" s="36"/>
      <c r="NEZ209" s="36"/>
      <c r="NFA209" s="36"/>
      <c r="NFB209" s="36"/>
      <c r="NFC209" s="36"/>
      <c r="NFD209" s="36"/>
      <c r="NFE209" s="36"/>
      <c r="NFF209" s="36"/>
      <c r="NFG209" s="36"/>
      <c r="NFH209" s="36"/>
      <c r="NFI209" s="36"/>
      <c r="NFJ209" s="36"/>
      <c r="NFK209" s="36"/>
      <c r="NFL209" s="36"/>
      <c r="NFM209" s="36"/>
      <c r="NFN209" s="36"/>
      <c r="NFO209" s="36"/>
      <c r="NFP209" s="36"/>
      <c r="NFQ209" s="36"/>
      <c r="NFR209" s="36"/>
      <c r="NFS209" s="36"/>
      <c r="NFT209" s="36"/>
      <c r="NFU209" s="36"/>
      <c r="NFV209" s="36"/>
      <c r="NFW209" s="36"/>
      <c r="NFX209" s="36"/>
      <c r="NFY209" s="36"/>
      <c r="NFZ209" s="36"/>
      <c r="NGA209" s="36"/>
      <c r="NGB209" s="36"/>
      <c r="NGC209" s="36"/>
      <c r="NGD209" s="36"/>
      <c r="NGE209" s="36"/>
      <c r="NGF209" s="36"/>
      <c r="NGG209" s="36"/>
      <c r="NGH209" s="36"/>
      <c r="NGI209" s="36"/>
      <c r="NGJ209" s="36"/>
      <c r="NGK209" s="36"/>
      <c r="NGL209" s="36"/>
      <c r="NGM209" s="36"/>
      <c r="NGN209" s="36"/>
      <c r="NGO209" s="36"/>
      <c r="NGP209" s="36"/>
      <c r="NGQ209" s="36"/>
      <c r="NGR209" s="36"/>
      <c r="NGS209" s="36"/>
      <c r="NGT209" s="36"/>
      <c r="NGU209" s="36"/>
      <c r="NGV209" s="36"/>
      <c r="NGW209" s="36"/>
      <c r="NGX209" s="36"/>
      <c r="NGY209" s="36"/>
      <c r="NGZ209" s="36"/>
      <c r="NHA209" s="36"/>
      <c r="NHB209" s="36"/>
      <c r="NHC209" s="36"/>
      <c r="NHD209" s="36"/>
      <c r="NHE209" s="36"/>
      <c r="NHF209" s="36"/>
      <c r="NHG209" s="36"/>
      <c r="NHH209" s="36"/>
      <c r="NHI209" s="36"/>
      <c r="NHJ209" s="36"/>
      <c r="NHK209" s="36"/>
      <c r="NHL209" s="36"/>
      <c r="NHM209" s="36"/>
      <c r="NHN209" s="36"/>
      <c r="NHO209" s="36"/>
      <c r="NHP209" s="36"/>
      <c r="NHQ209" s="36"/>
      <c r="NHR209" s="36"/>
      <c r="NHS209" s="36"/>
      <c r="NHT209" s="36"/>
      <c r="NHU209" s="36"/>
      <c r="NHV209" s="36"/>
      <c r="NHW209" s="36"/>
      <c r="NHX209" s="36"/>
      <c r="NHY209" s="36"/>
      <c r="NHZ209" s="36"/>
      <c r="NIA209" s="36"/>
      <c r="NIB209" s="36"/>
      <c r="NIC209" s="36"/>
      <c r="NID209" s="36"/>
      <c r="NIE209" s="36"/>
      <c r="NIF209" s="36"/>
      <c r="NIG209" s="36"/>
      <c r="NIH209" s="36"/>
      <c r="NII209" s="36"/>
      <c r="NIJ209" s="36"/>
      <c r="NIK209" s="36"/>
      <c r="NIL209" s="36"/>
      <c r="NIM209" s="36"/>
      <c r="NIN209" s="36"/>
      <c r="NIO209" s="36"/>
      <c r="NIP209" s="36"/>
      <c r="NIQ209" s="36"/>
      <c r="NIR209" s="36"/>
      <c r="NIS209" s="36"/>
      <c r="NIT209" s="36"/>
      <c r="NIU209" s="36"/>
      <c r="NIV209" s="36"/>
      <c r="NIW209" s="36"/>
      <c r="NIX209" s="36"/>
      <c r="NIY209" s="36"/>
      <c r="NIZ209" s="36"/>
      <c r="NJA209" s="36"/>
      <c r="NJB209" s="36"/>
      <c r="NJC209" s="36"/>
      <c r="NJD209" s="36"/>
      <c r="NJE209" s="36"/>
      <c r="NJF209" s="36"/>
      <c r="NJG209" s="36"/>
      <c r="NJH209" s="36"/>
      <c r="NJI209" s="36"/>
      <c r="NJJ209" s="36"/>
      <c r="NJK209" s="36"/>
      <c r="NJL209" s="36"/>
      <c r="NJM209" s="36"/>
      <c r="NJN209" s="36"/>
      <c r="NJO209" s="36"/>
      <c r="NJP209" s="36"/>
      <c r="NJQ209" s="36"/>
      <c r="NJR209" s="36"/>
      <c r="NJS209" s="36"/>
      <c r="NJT209" s="36"/>
      <c r="NJU209" s="36"/>
      <c r="NJV209" s="36"/>
      <c r="NJW209" s="36"/>
      <c r="NJX209" s="36"/>
      <c r="NJY209" s="36"/>
      <c r="NJZ209" s="36"/>
      <c r="NKA209" s="36"/>
      <c r="NKB209" s="36"/>
      <c r="NKC209" s="36"/>
      <c r="NKD209" s="36"/>
      <c r="NKE209" s="36"/>
      <c r="NKF209" s="36"/>
      <c r="NKG209" s="36"/>
      <c r="NKH209" s="36"/>
      <c r="NKI209" s="36"/>
      <c r="NKJ209" s="36"/>
      <c r="NKK209" s="36"/>
      <c r="NKL209" s="36"/>
      <c r="NKM209" s="36"/>
      <c r="NKN209" s="36"/>
      <c r="NKO209" s="36"/>
      <c r="NKP209" s="36"/>
      <c r="NKQ209" s="36"/>
      <c r="NKR209" s="36"/>
      <c r="NKS209" s="36"/>
      <c r="NKT209" s="36"/>
      <c r="NKU209" s="36"/>
      <c r="NKV209" s="36"/>
      <c r="NKW209" s="36"/>
      <c r="NKX209" s="36"/>
      <c r="NKY209" s="36"/>
      <c r="NKZ209" s="36"/>
      <c r="NLA209" s="36"/>
      <c r="NLB209" s="36"/>
      <c r="NLC209" s="36"/>
      <c r="NLD209" s="36"/>
      <c r="NLE209" s="36"/>
      <c r="NLF209" s="36"/>
      <c r="NLG209" s="36"/>
      <c r="NLH209" s="36"/>
      <c r="NLI209" s="36"/>
      <c r="NLJ209" s="36"/>
      <c r="NLK209" s="36"/>
      <c r="NLL209" s="36"/>
      <c r="NLM209" s="36"/>
      <c r="NLN209" s="36"/>
      <c r="NLO209" s="36"/>
      <c r="NLP209" s="36"/>
      <c r="NLQ209" s="36"/>
      <c r="NLR209" s="36"/>
      <c r="NLS209" s="36"/>
      <c r="NLT209" s="36"/>
      <c r="NLU209" s="36"/>
      <c r="NLV209" s="36"/>
      <c r="NLW209" s="36"/>
      <c r="NLX209" s="36"/>
      <c r="NLY209" s="36"/>
      <c r="NLZ209" s="36"/>
      <c r="NMA209" s="36"/>
      <c r="NMB209" s="36"/>
      <c r="NMC209" s="36"/>
      <c r="NMD209" s="36"/>
      <c r="NME209" s="36"/>
      <c r="NMF209" s="36"/>
      <c r="NMG209" s="36"/>
      <c r="NMH209" s="36"/>
      <c r="NMI209" s="36"/>
      <c r="NMJ209" s="36"/>
      <c r="NMK209" s="36"/>
      <c r="NML209" s="36"/>
      <c r="NMM209" s="36"/>
      <c r="NMN209" s="36"/>
      <c r="NMO209" s="36"/>
      <c r="NMP209" s="36"/>
      <c r="NMQ209" s="36"/>
      <c r="NMR209" s="36"/>
      <c r="NMS209" s="36"/>
      <c r="NMT209" s="36"/>
      <c r="NMU209" s="36"/>
      <c r="NMV209" s="36"/>
      <c r="NMW209" s="36"/>
      <c r="NMX209" s="36"/>
      <c r="NMY209" s="36"/>
      <c r="NMZ209" s="36"/>
      <c r="NNA209" s="36"/>
      <c r="NNB209" s="36"/>
      <c r="NNC209" s="36"/>
      <c r="NND209" s="36"/>
      <c r="NNE209" s="36"/>
      <c r="NNF209" s="36"/>
      <c r="NNG209" s="36"/>
      <c r="NNH209" s="36"/>
      <c r="NNI209" s="36"/>
      <c r="NNJ209" s="36"/>
      <c r="NNK209" s="36"/>
      <c r="NNL209" s="36"/>
      <c r="NNM209" s="36"/>
      <c r="NNN209" s="36"/>
      <c r="NNO209" s="36"/>
      <c r="NNP209" s="36"/>
      <c r="NNQ209" s="36"/>
      <c r="NNR209" s="36"/>
      <c r="NNS209" s="36"/>
      <c r="NNT209" s="36"/>
      <c r="NNU209" s="36"/>
      <c r="NNV209" s="36"/>
      <c r="NNW209" s="36"/>
      <c r="NNX209" s="36"/>
      <c r="NNY209" s="36"/>
      <c r="NNZ209" s="36"/>
      <c r="NOA209" s="36"/>
      <c r="NOB209" s="36"/>
      <c r="NOC209" s="36"/>
      <c r="NOD209" s="36"/>
      <c r="NOE209" s="36"/>
      <c r="NOF209" s="36"/>
      <c r="NOG209" s="36"/>
      <c r="NOH209" s="36"/>
      <c r="NOI209" s="36"/>
      <c r="NOJ209" s="36"/>
      <c r="NOK209" s="36"/>
      <c r="NOL209" s="36"/>
      <c r="NOM209" s="36"/>
      <c r="NON209" s="36"/>
      <c r="NOO209" s="36"/>
      <c r="NOP209" s="36"/>
      <c r="NOQ209" s="36"/>
      <c r="NOR209" s="36"/>
      <c r="NOS209" s="36"/>
      <c r="NOT209" s="36"/>
      <c r="NOU209" s="36"/>
      <c r="NOV209" s="36"/>
      <c r="NOW209" s="36"/>
      <c r="NOX209" s="36"/>
      <c r="NOY209" s="36"/>
      <c r="NOZ209" s="36"/>
      <c r="NPA209" s="36"/>
      <c r="NPB209" s="36"/>
      <c r="NPC209" s="36"/>
      <c r="NPD209" s="36"/>
      <c r="NPE209" s="36"/>
      <c r="NPF209" s="36"/>
      <c r="NPG209" s="36"/>
      <c r="NPH209" s="36"/>
      <c r="NPI209" s="36"/>
      <c r="NPJ209" s="36"/>
      <c r="NPK209" s="36"/>
      <c r="NPL209" s="36"/>
      <c r="NPM209" s="36"/>
      <c r="NPN209" s="36"/>
      <c r="NPO209" s="36"/>
      <c r="NPP209" s="36"/>
      <c r="NPQ209" s="36"/>
      <c r="NPR209" s="36"/>
      <c r="NPS209" s="36"/>
      <c r="NPT209" s="36"/>
      <c r="NPU209" s="36"/>
      <c r="NPV209" s="36"/>
      <c r="NPW209" s="36"/>
      <c r="NPX209" s="36"/>
      <c r="NPY209" s="36"/>
      <c r="NPZ209" s="36"/>
      <c r="NQA209" s="36"/>
      <c r="NQB209" s="36"/>
      <c r="NQC209" s="36"/>
      <c r="NQD209" s="36"/>
      <c r="NQE209" s="36"/>
      <c r="NQF209" s="36"/>
      <c r="NQG209" s="36"/>
      <c r="NQH209" s="36"/>
      <c r="NQI209" s="36"/>
      <c r="NQJ209" s="36"/>
      <c r="NQK209" s="36"/>
      <c r="NQL209" s="36"/>
      <c r="NQM209" s="36"/>
      <c r="NQN209" s="36"/>
      <c r="NQO209" s="36"/>
      <c r="NQP209" s="36"/>
      <c r="NQQ209" s="36"/>
      <c r="NQR209" s="36"/>
      <c r="NQS209" s="36"/>
      <c r="NQT209" s="36"/>
      <c r="NQU209" s="36"/>
      <c r="NQV209" s="36"/>
      <c r="NQW209" s="36"/>
      <c r="NQX209" s="36"/>
      <c r="NQY209" s="36"/>
      <c r="NQZ209" s="36"/>
      <c r="NRA209" s="36"/>
      <c r="NRB209" s="36"/>
      <c r="NRC209" s="36"/>
      <c r="NRD209" s="36"/>
      <c r="NRE209" s="36"/>
      <c r="NRF209" s="36"/>
      <c r="NRG209" s="36"/>
      <c r="NRH209" s="36"/>
      <c r="NRI209" s="36"/>
      <c r="NRJ209" s="36"/>
      <c r="NRK209" s="36"/>
      <c r="NRL209" s="36"/>
      <c r="NRM209" s="36"/>
      <c r="NRN209" s="36"/>
      <c r="NRO209" s="36"/>
      <c r="NRP209" s="36"/>
      <c r="NRQ209" s="36"/>
      <c r="NRR209" s="36"/>
      <c r="NRS209" s="36"/>
      <c r="NRT209" s="36"/>
      <c r="NRU209" s="36"/>
      <c r="NRV209" s="36"/>
      <c r="NRW209" s="36"/>
      <c r="NRX209" s="36"/>
      <c r="NRY209" s="36"/>
      <c r="NRZ209" s="36"/>
      <c r="NSA209" s="36"/>
      <c r="NSB209" s="36"/>
      <c r="NSC209" s="36"/>
      <c r="NSD209" s="36"/>
      <c r="NSE209" s="36"/>
      <c r="NSF209" s="36"/>
      <c r="NSG209" s="36"/>
      <c r="NSH209" s="36"/>
      <c r="NSI209" s="36"/>
      <c r="NSJ209" s="36"/>
      <c r="NSK209" s="36"/>
      <c r="NSL209" s="36"/>
      <c r="NSM209" s="36"/>
      <c r="NSN209" s="36"/>
      <c r="NSO209" s="36"/>
      <c r="NSP209" s="36"/>
      <c r="NSQ209" s="36"/>
      <c r="NSR209" s="36"/>
      <c r="NSS209" s="36"/>
      <c r="NST209" s="36"/>
      <c r="NSU209" s="36"/>
      <c r="NSV209" s="36"/>
      <c r="NSW209" s="36"/>
      <c r="NSX209" s="36"/>
      <c r="NSY209" s="36"/>
      <c r="NSZ209" s="36"/>
      <c r="NTA209" s="36"/>
      <c r="NTB209" s="36"/>
      <c r="NTC209" s="36"/>
      <c r="NTD209" s="36"/>
      <c r="NTE209" s="36"/>
      <c r="NTF209" s="36"/>
      <c r="NTG209" s="36"/>
      <c r="NTH209" s="36"/>
      <c r="NTI209" s="36"/>
      <c r="NTJ209" s="36"/>
      <c r="NTK209" s="36"/>
      <c r="NTL209" s="36"/>
      <c r="NTM209" s="36"/>
      <c r="NTN209" s="36"/>
      <c r="NTO209" s="36"/>
      <c r="NTP209" s="36"/>
      <c r="NTQ209" s="36"/>
      <c r="NTR209" s="36"/>
      <c r="NTS209" s="36"/>
      <c r="NTT209" s="36"/>
      <c r="NTU209" s="36"/>
      <c r="NTV209" s="36"/>
      <c r="NTW209" s="36"/>
      <c r="NTX209" s="36"/>
      <c r="NTY209" s="36"/>
      <c r="NTZ209" s="36"/>
      <c r="NUA209" s="36"/>
      <c r="NUB209" s="36"/>
      <c r="NUC209" s="36"/>
      <c r="NUD209" s="36"/>
      <c r="NUE209" s="36"/>
      <c r="NUF209" s="36"/>
      <c r="NUG209" s="36"/>
      <c r="NUH209" s="36"/>
      <c r="NUI209" s="36"/>
      <c r="NUJ209" s="36"/>
      <c r="NUK209" s="36"/>
      <c r="NUL209" s="36"/>
      <c r="NUM209" s="36"/>
      <c r="NUN209" s="36"/>
      <c r="NUO209" s="36"/>
      <c r="NUP209" s="36"/>
      <c r="NUQ209" s="36"/>
      <c r="NUR209" s="36"/>
      <c r="NUS209" s="36"/>
      <c r="NUT209" s="36"/>
      <c r="NUU209" s="36"/>
      <c r="NUV209" s="36"/>
      <c r="NUW209" s="36"/>
      <c r="NUX209" s="36"/>
      <c r="NUY209" s="36"/>
      <c r="NUZ209" s="36"/>
      <c r="NVA209" s="36"/>
      <c r="NVB209" s="36"/>
      <c r="NVC209" s="36"/>
      <c r="NVD209" s="36"/>
      <c r="NVE209" s="36"/>
      <c r="NVF209" s="36"/>
      <c r="NVG209" s="36"/>
      <c r="NVH209" s="36"/>
      <c r="NVI209" s="36"/>
      <c r="NVJ209" s="36"/>
      <c r="NVK209" s="36"/>
      <c r="NVL209" s="36"/>
      <c r="NVM209" s="36"/>
      <c r="NVN209" s="36"/>
      <c r="NVO209" s="36"/>
      <c r="NVP209" s="36"/>
      <c r="NVQ209" s="36"/>
      <c r="NVR209" s="36"/>
      <c r="NVS209" s="36"/>
      <c r="NVT209" s="36"/>
      <c r="NVU209" s="36"/>
      <c r="NVV209" s="36"/>
      <c r="NVW209" s="36"/>
      <c r="NVX209" s="36"/>
      <c r="NVY209" s="36"/>
      <c r="NVZ209" s="36"/>
      <c r="NWA209" s="36"/>
      <c r="NWB209" s="36"/>
      <c r="NWC209" s="36"/>
      <c r="NWD209" s="36"/>
      <c r="NWE209" s="36"/>
      <c r="NWF209" s="36"/>
      <c r="NWG209" s="36"/>
      <c r="NWH209" s="36"/>
      <c r="NWI209" s="36"/>
      <c r="NWJ209" s="36"/>
      <c r="NWK209" s="36"/>
      <c r="NWL209" s="36"/>
      <c r="NWM209" s="36"/>
      <c r="NWN209" s="36"/>
      <c r="NWO209" s="36"/>
      <c r="NWP209" s="36"/>
      <c r="NWQ209" s="36"/>
      <c r="NWR209" s="36"/>
      <c r="NWS209" s="36"/>
      <c r="NWT209" s="36"/>
      <c r="NWU209" s="36"/>
      <c r="NWV209" s="36"/>
      <c r="NWW209" s="36"/>
      <c r="NWX209" s="36"/>
      <c r="NWY209" s="36"/>
      <c r="NWZ209" s="36"/>
      <c r="NXA209" s="36"/>
      <c r="NXB209" s="36"/>
      <c r="NXC209" s="36"/>
      <c r="NXD209" s="36"/>
      <c r="NXE209" s="36"/>
      <c r="NXF209" s="36"/>
      <c r="NXG209" s="36"/>
      <c r="NXH209" s="36"/>
      <c r="NXI209" s="36"/>
      <c r="NXJ209" s="36"/>
      <c r="NXK209" s="36"/>
      <c r="NXL209" s="36"/>
      <c r="NXM209" s="36"/>
      <c r="NXN209" s="36"/>
      <c r="NXO209" s="36"/>
      <c r="NXP209" s="36"/>
      <c r="NXQ209" s="36"/>
      <c r="NXR209" s="36"/>
      <c r="NXS209" s="36"/>
      <c r="NXT209" s="36"/>
      <c r="NXU209" s="36"/>
      <c r="NXV209" s="36"/>
      <c r="NXW209" s="36"/>
      <c r="NXX209" s="36"/>
      <c r="NXY209" s="36"/>
      <c r="NXZ209" s="36"/>
      <c r="NYA209" s="36"/>
      <c r="NYB209" s="36"/>
      <c r="NYC209" s="36"/>
      <c r="NYD209" s="36"/>
      <c r="NYE209" s="36"/>
      <c r="NYF209" s="36"/>
      <c r="NYG209" s="36"/>
      <c r="NYH209" s="36"/>
      <c r="NYI209" s="36"/>
      <c r="NYJ209" s="36"/>
      <c r="NYK209" s="36"/>
      <c r="NYL209" s="36"/>
      <c r="NYM209" s="36"/>
      <c r="NYN209" s="36"/>
      <c r="NYO209" s="36"/>
      <c r="NYP209" s="36"/>
      <c r="NYQ209" s="36"/>
      <c r="NYR209" s="36"/>
      <c r="NYS209" s="36"/>
      <c r="NYT209" s="36"/>
      <c r="NYU209" s="36"/>
      <c r="NYV209" s="36"/>
      <c r="NYW209" s="36"/>
      <c r="NYX209" s="36"/>
      <c r="NYY209" s="36"/>
      <c r="NYZ209" s="36"/>
      <c r="NZA209" s="36"/>
      <c r="NZB209" s="36"/>
      <c r="NZC209" s="36"/>
      <c r="NZD209" s="36"/>
      <c r="NZE209" s="36"/>
      <c r="NZF209" s="36"/>
      <c r="NZG209" s="36"/>
      <c r="NZH209" s="36"/>
      <c r="NZI209" s="36"/>
      <c r="NZJ209" s="36"/>
      <c r="NZK209" s="36"/>
      <c r="NZL209" s="36"/>
      <c r="NZM209" s="36"/>
      <c r="NZN209" s="36"/>
      <c r="NZO209" s="36"/>
      <c r="NZP209" s="36"/>
      <c r="NZQ209" s="36"/>
      <c r="NZR209" s="36"/>
      <c r="NZS209" s="36"/>
      <c r="NZT209" s="36"/>
      <c r="NZU209" s="36"/>
      <c r="NZV209" s="36"/>
      <c r="NZW209" s="36"/>
      <c r="NZX209" s="36"/>
      <c r="NZY209" s="36"/>
      <c r="NZZ209" s="36"/>
      <c r="OAA209" s="36"/>
      <c r="OAB209" s="36"/>
      <c r="OAC209" s="36"/>
      <c r="OAD209" s="36"/>
      <c r="OAE209" s="36"/>
      <c r="OAF209" s="36"/>
      <c r="OAG209" s="36"/>
      <c r="OAH209" s="36"/>
      <c r="OAI209" s="36"/>
      <c r="OAJ209" s="36"/>
      <c r="OAK209" s="36"/>
      <c r="OAL209" s="36"/>
      <c r="OAM209" s="36"/>
      <c r="OAN209" s="36"/>
      <c r="OAO209" s="36"/>
      <c r="OAP209" s="36"/>
      <c r="OAQ209" s="36"/>
      <c r="OAR209" s="36"/>
      <c r="OAS209" s="36"/>
      <c r="OAT209" s="36"/>
      <c r="OAU209" s="36"/>
      <c r="OAV209" s="36"/>
      <c r="OAW209" s="36"/>
      <c r="OAX209" s="36"/>
      <c r="OAY209" s="36"/>
      <c r="OAZ209" s="36"/>
      <c r="OBA209" s="36"/>
      <c r="OBB209" s="36"/>
      <c r="OBC209" s="36"/>
      <c r="OBD209" s="36"/>
      <c r="OBE209" s="36"/>
      <c r="OBF209" s="36"/>
      <c r="OBG209" s="36"/>
      <c r="OBH209" s="36"/>
      <c r="OBI209" s="36"/>
      <c r="OBJ209" s="36"/>
      <c r="OBK209" s="36"/>
      <c r="OBL209" s="36"/>
      <c r="OBM209" s="36"/>
      <c r="OBN209" s="36"/>
      <c r="OBO209" s="36"/>
      <c r="OBP209" s="36"/>
      <c r="OBQ209" s="36"/>
      <c r="OBR209" s="36"/>
      <c r="OBS209" s="36"/>
      <c r="OBT209" s="36"/>
      <c r="OBU209" s="36"/>
      <c r="OBV209" s="36"/>
      <c r="OBW209" s="36"/>
      <c r="OBX209" s="36"/>
      <c r="OBY209" s="36"/>
      <c r="OBZ209" s="36"/>
      <c r="OCA209" s="36"/>
      <c r="OCB209" s="36"/>
      <c r="OCC209" s="36"/>
      <c r="OCD209" s="36"/>
      <c r="OCE209" s="36"/>
      <c r="OCF209" s="36"/>
      <c r="OCG209" s="36"/>
      <c r="OCH209" s="36"/>
      <c r="OCI209" s="36"/>
      <c r="OCJ209" s="36"/>
      <c r="OCK209" s="36"/>
      <c r="OCL209" s="36"/>
      <c r="OCM209" s="36"/>
      <c r="OCN209" s="36"/>
      <c r="OCO209" s="36"/>
      <c r="OCP209" s="36"/>
      <c r="OCQ209" s="36"/>
      <c r="OCR209" s="36"/>
      <c r="OCS209" s="36"/>
      <c r="OCT209" s="36"/>
      <c r="OCU209" s="36"/>
      <c r="OCV209" s="36"/>
      <c r="OCW209" s="36"/>
      <c r="OCX209" s="36"/>
      <c r="OCY209" s="36"/>
      <c r="OCZ209" s="36"/>
      <c r="ODA209" s="36"/>
      <c r="ODB209" s="36"/>
      <c r="ODC209" s="36"/>
      <c r="ODD209" s="36"/>
      <c r="ODE209" s="36"/>
      <c r="ODF209" s="36"/>
      <c r="ODG209" s="36"/>
      <c r="ODH209" s="36"/>
      <c r="ODI209" s="36"/>
      <c r="ODJ209" s="36"/>
      <c r="ODK209" s="36"/>
      <c r="ODL209" s="36"/>
      <c r="ODM209" s="36"/>
      <c r="ODN209" s="36"/>
      <c r="ODO209" s="36"/>
      <c r="ODP209" s="36"/>
      <c r="ODQ209" s="36"/>
      <c r="ODR209" s="36"/>
      <c r="ODS209" s="36"/>
      <c r="ODT209" s="36"/>
      <c r="ODU209" s="36"/>
      <c r="ODV209" s="36"/>
      <c r="ODW209" s="36"/>
      <c r="ODX209" s="36"/>
      <c r="ODY209" s="36"/>
      <c r="ODZ209" s="36"/>
      <c r="OEA209" s="36"/>
      <c r="OEB209" s="36"/>
      <c r="OEC209" s="36"/>
      <c r="OED209" s="36"/>
      <c r="OEE209" s="36"/>
      <c r="OEF209" s="36"/>
      <c r="OEG209" s="36"/>
      <c r="OEH209" s="36"/>
      <c r="OEI209" s="36"/>
      <c r="OEJ209" s="36"/>
      <c r="OEK209" s="36"/>
      <c r="OEL209" s="36"/>
      <c r="OEM209" s="36"/>
      <c r="OEN209" s="36"/>
      <c r="OEO209" s="36"/>
      <c r="OEP209" s="36"/>
      <c r="OEQ209" s="36"/>
      <c r="OER209" s="36"/>
      <c r="OES209" s="36"/>
      <c r="OET209" s="36"/>
      <c r="OEU209" s="36"/>
      <c r="OEV209" s="36"/>
      <c r="OEW209" s="36"/>
      <c r="OEX209" s="36"/>
      <c r="OEY209" s="36"/>
      <c r="OEZ209" s="36"/>
      <c r="OFA209" s="36"/>
      <c r="OFB209" s="36"/>
      <c r="OFC209" s="36"/>
      <c r="OFD209" s="36"/>
      <c r="OFE209" s="36"/>
      <c r="OFF209" s="36"/>
      <c r="OFG209" s="36"/>
      <c r="OFH209" s="36"/>
      <c r="OFI209" s="36"/>
      <c r="OFJ209" s="36"/>
      <c r="OFK209" s="36"/>
      <c r="OFL209" s="36"/>
      <c r="OFM209" s="36"/>
      <c r="OFN209" s="36"/>
      <c r="OFO209" s="36"/>
      <c r="OFP209" s="36"/>
      <c r="OFQ209" s="36"/>
      <c r="OFR209" s="36"/>
      <c r="OFS209" s="36"/>
      <c r="OFT209" s="36"/>
      <c r="OFU209" s="36"/>
      <c r="OFV209" s="36"/>
      <c r="OFW209" s="36"/>
      <c r="OFX209" s="36"/>
      <c r="OFY209" s="36"/>
      <c r="OFZ209" s="36"/>
      <c r="OGA209" s="36"/>
      <c r="OGB209" s="36"/>
      <c r="OGC209" s="36"/>
      <c r="OGD209" s="36"/>
      <c r="OGE209" s="36"/>
      <c r="OGF209" s="36"/>
      <c r="OGG209" s="36"/>
      <c r="OGH209" s="36"/>
      <c r="OGI209" s="36"/>
      <c r="OGJ209" s="36"/>
      <c r="OGK209" s="36"/>
      <c r="OGL209" s="36"/>
      <c r="OGM209" s="36"/>
      <c r="OGN209" s="36"/>
      <c r="OGO209" s="36"/>
      <c r="OGP209" s="36"/>
      <c r="OGQ209" s="36"/>
      <c r="OGR209" s="36"/>
      <c r="OGS209" s="36"/>
      <c r="OGT209" s="36"/>
      <c r="OGU209" s="36"/>
      <c r="OGV209" s="36"/>
      <c r="OGW209" s="36"/>
      <c r="OGX209" s="36"/>
      <c r="OGY209" s="36"/>
      <c r="OGZ209" s="36"/>
      <c r="OHA209" s="36"/>
      <c r="OHB209" s="36"/>
      <c r="OHC209" s="36"/>
      <c r="OHD209" s="36"/>
      <c r="OHE209" s="36"/>
      <c r="OHF209" s="36"/>
      <c r="OHG209" s="36"/>
      <c r="OHH209" s="36"/>
      <c r="OHI209" s="36"/>
      <c r="OHJ209" s="36"/>
      <c r="OHK209" s="36"/>
      <c r="OHL209" s="36"/>
      <c r="OHM209" s="36"/>
      <c r="OHN209" s="36"/>
      <c r="OHO209" s="36"/>
      <c r="OHP209" s="36"/>
      <c r="OHQ209" s="36"/>
      <c r="OHR209" s="36"/>
      <c r="OHS209" s="36"/>
      <c r="OHT209" s="36"/>
      <c r="OHU209" s="36"/>
      <c r="OHV209" s="36"/>
      <c r="OHW209" s="36"/>
      <c r="OHX209" s="36"/>
      <c r="OHY209" s="36"/>
      <c r="OHZ209" s="36"/>
      <c r="OIA209" s="36"/>
      <c r="OIB209" s="36"/>
      <c r="OIC209" s="36"/>
      <c r="OID209" s="36"/>
      <c r="OIE209" s="36"/>
      <c r="OIF209" s="36"/>
      <c r="OIG209" s="36"/>
      <c r="OIH209" s="36"/>
      <c r="OII209" s="36"/>
      <c r="OIJ209" s="36"/>
      <c r="OIK209" s="36"/>
      <c r="OIL209" s="36"/>
      <c r="OIM209" s="36"/>
      <c r="OIN209" s="36"/>
      <c r="OIO209" s="36"/>
      <c r="OIP209" s="36"/>
      <c r="OIQ209" s="36"/>
      <c r="OIR209" s="36"/>
      <c r="OIS209" s="36"/>
      <c r="OIT209" s="36"/>
      <c r="OIU209" s="36"/>
      <c r="OIV209" s="36"/>
      <c r="OIW209" s="36"/>
      <c r="OIX209" s="36"/>
      <c r="OIY209" s="36"/>
      <c r="OIZ209" s="36"/>
      <c r="OJA209" s="36"/>
      <c r="OJB209" s="36"/>
      <c r="OJC209" s="36"/>
      <c r="OJD209" s="36"/>
      <c r="OJE209" s="36"/>
      <c r="OJF209" s="36"/>
      <c r="OJG209" s="36"/>
      <c r="OJH209" s="36"/>
      <c r="OJI209" s="36"/>
      <c r="OJJ209" s="36"/>
      <c r="OJK209" s="36"/>
      <c r="OJL209" s="36"/>
      <c r="OJM209" s="36"/>
      <c r="OJN209" s="36"/>
      <c r="OJO209" s="36"/>
      <c r="OJP209" s="36"/>
      <c r="OJQ209" s="36"/>
      <c r="OJR209" s="36"/>
      <c r="OJS209" s="36"/>
      <c r="OJT209" s="36"/>
      <c r="OJU209" s="36"/>
      <c r="OJV209" s="36"/>
      <c r="OJW209" s="36"/>
      <c r="OJX209" s="36"/>
      <c r="OJY209" s="36"/>
      <c r="OJZ209" s="36"/>
      <c r="OKA209" s="36"/>
      <c r="OKB209" s="36"/>
      <c r="OKC209" s="36"/>
      <c r="OKD209" s="36"/>
      <c r="OKE209" s="36"/>
      <c r="OKF209" s="36"/>
      <c r="OKG209" s="36"/>
      <c r="OKH209" s="36"/>
      <c r="OKI209" s="36"/>
      <c r="OKJ209" s="36"/>
      <c r="OKK209" s="36"/>
      <c r="OKL209" s="36"/>
      <c r="OKM209" s="36"/>
      <c r="OKN209" s="36"/>
      <c r="OKO209" s="36"/>
      <c r="OKP209" s="36"/>
      <c r="OKQ209" s="36"/>
      <c r="OKR209" s="36"/>
      <c r="OKS209" s="36"/>
      <c r="OKT209" s="36"/>
      <c r="OKU209" s="36"/>
      <c r="OKV209" s="36"/>
      <c r="OKW209" s="36"/>
      <c r="OKX209" s="36"/>
      <c r="OKY209" s="36"/>
      <c r="OKZ209" s="36"/>
      <c r="OLA209" s="36"/>
      <c r="OLB209" s="36"/>
      <c r="OLC209" s="36"/>
      <c r="OLD209" s="36"/>
      <c r="OLE209" s="36"/>
      <c r="OLF209" s="36"/>
      <c r="OLG209" s="36"/>
      <c r="OLH209" s="36"/>
      <c r="OLI209" s="36"/>
      <c r="OLJ209" s="36"/>
      <c r="OLK209" s="36"/>
      <c r="OLL209" s="36"/>
      <c r="OLM209" s="36"/>
      <c r="OLN209" s="36"/>
      <c r="OLO209" s="36"/>
      <c r="OLP209" s="36"/>
      <c r="OLQ209" s="36"/>
      <c r="OLR209" s="36"/>
      <c r="OLS209" s="36"/>
      <c r="OLT209" s="36"/>
      <c r="OLU209" s="36"/>
      <c r="OLV209" s="36"/>
      <c r="OLW209" s="36"/>
      <c r="OLX209" s="36"/>
      <c r="OLY209" s="36"/>
      <c r="OLZ209" s="36"/>
      <c r="OMA209" s="36"/>
      <c r="OMB209" s="36"/>
      <c r="OMC209" s="36"/>
      <c r="OMD209" s="36"/>
      <c r="OME209" s="36"/>
      <c r="OMF209" s="36"/>
      <c r="OMG209" s="36"/>
      <c r="OMH209" s="36"/>
      <c r="OMI209" s="36"/>
      <c r="OMJ209" s="36"/>
      <c r="OMK209" s="36"/>
      <c r="OML209" s="36"/>
      <c r="OMM209" s="36"/>
      <c r="OMN209" s="36"/>
      <c r="OMO209" s="36"/>
      <c r="OMP209" s="36"/>
      <c r="OMQ209" s="36"/>
      <c r="OMR209" s="36"/>
      <c r="OMS209" s="36"/>
      <c r="OMT209" s="36"/>
      <c r="OMU209" s="36"/>
      <c r="OMV209" s="36"/>
      <c r="OMW209" s="36"/>
      <c r="OMX209" s="36"/>
      <c r="OMY209" s="36"/>
      <c r="OMZ209" s="36"/>
      <c r="ONA209" s="36"/>
      <c r="ONB209" s="36"/>
      <c r="ONC209" s="36"/>
      <c r="OND209" s="36"/>
      <c r="ONE209" s="36"/>
      <c r="ONF209" s="36"/>
      <c r="ONG209" s="36"/>
      <c r="ONH209" s="36"/>
      <c r="ONI209" s="36"/>
      <c r="ONJ209" s="36"/>
      <c r="ONK209" s="36"/>
      <c r="ONL209" s="36"/>
      <c r="ONM209" s="36"/>
      <c r="ONN209" s="36"/>
      <c r="ONO209" s="36"/>
      <c r="ONP209" s="36"/>
      <c r="ONQ209" s="36"/>
      <c r="ONR209" s="36"/>
      <c r="ONS209" s="36"/>
      <c r="ONT209" s="36"/>
      <c r="ONU209" s="36"/>
      <c r="ONV209" s="36"/>
      <c r="ONW209" s="36"/>
      <c r="ONX209" s="36"/>
      <c r="ONY209" s="36"/>
      <c r="ONZ209" s="36"/>
      <c r="OOA209" s="36"/>
      <c r="OOB209" s="36"/>
      <c r="OOC209" s="36"/>
      <c r="OOD209" s="36"/>
      <c r="OOE209" s="36"/>
      <c r="OOF209" s="36"/>
      <c r="OOG209" s="36"/>
      <c r="OOH209" s="36"/>
      <c r="OOI209" s="36"/>
      <c r="OOJ209" s="36"/>
      <c r="OOK209" s="36"/>
      <c r="OOL209" s="36"/>
      <c r="OOM209" s="36"/>
      <c r="OON209" s="36"/>
      <c r="OOO209" s="36"/>
      <c r="OOP209" s="36"/>
      <c r="OOQ209" s="36"/>
      <c r="OOR209" s="36"/>
      <c r="OOS209" s="36"/>
      <c r="OOT209" s="36"/>
      <c r="OOU209" s="36"/>
      <c r="OOV209" s="36"/>
      <c r="OOW209" s="36"/>
      <c r="OOX209" s="36"/>
      <c r="OOY209" s="36"/>
      <c r="OOZ209" s="36"/>
      <c r="OPA209" s="36"/>
      <c r="OPB209" s="36"/>
      <c r="OPC209" s="36"/>
      <c r="OPD209" s="36"/>
      <c r="OPE209" s="36"/>
      <c r="OPF209" s="36"/>
      <c r="OPG209" s="36"/>
      <c r="OPH209" s="36"/>
      <c r="OPI209" s="36"/>
      <c r="OPJ209" s="36"/>
      <c r="OPK209" s="36"/>
      <c r="OPL209" s="36"/>
      <c r="OPM209" s="36"/>
      <c r="OPN209" s="36"/>
      <c r="OPO209" s="36"/>
      <c r="OPP209" s="36"/>
      <c r="OPQ209" s="36"/>
      <c r="OPR209" s="36"/>
      <c r="OPS209" s="36"/>
      <c r="OPT209" s="36"/>
      <c r="OPU209" s="36"/>
      <c r="OPV209" s="36"/>
      <c r="OPW209" s="36"/>
      <c r="OPX209" s="36"/>
      <c r="OPY209" s="36"/>
      <c r="OPZ209" s="36"/>
      <c r="OQA209" s="36"/>
      <c r="OQB209" s="36"/>
      <c r="OQC209" s="36"/>
      <c r="OQD209" s="36"/>
      <c r="OQE209" s="36"/>
      <c r="OQF209" s="36"/>
      <c r="OQG209" s="36"/>
      <c r="OQH209" s="36"/>
      <c r="OQI209" s="36"/>
      <c r="OQJ209" s="36"/>
      <c r="OQK209" s="36"/>
      <c r="OQL209" s="36"/>
      <c r="OQM209" s="36"/>
      <c r="OQN209" s="36"/>
      <c r="OQO209" s="36"/>
      <c r="OQP209" s="36"/>
      <c r="OQQ209" s="36"/>
      <c r="OQR209" s="36"/>
      <c r="OQS209" s="36"/>
      <c r="OQT209" s="36"/>
      <c r="OQU209" s="36"/>
      <c r="OQV209" s="36"/>
      <c r="OQW209" s="36"/>
      <c r="OQX209" s="36"/>
      <c r="OQY209" s="36"/>
      <c r="OQZ209" s="36"/>
      <c r="ORA209" s="36"/>
      <c r="ORB209" s="36"/>
      <c r="ORC209" s="36"/>
      <c r="ORD209" s="36"/>
      <c r="ORE209" s="36"/>
      <c r="ORF209" s="36"/>
      <c r="ORG209" s="36"/>
      <c r="ORH209" s="36"/>
      <c r="ORI209" s="36"/>
      <c r="ORJ209" s="36"/>
      <c r="ORK209" s="36"/>
      <c r="ORL209" s="36"/>
      <c r="ORM209" s="36"/>
      <c r="ORN209" s="36"/>
      <c r="ORO209" s="36"/>
      <c r="ORP209" s="36"/>
      <c r="ORQ209" s="36"/>
      <c r="ORR209" s="36"/>
      <c r="ORS209" s="36"/>
      <c r="ORT209" s="36"/>
      <c r="ORU209" s="36"/>
      <c r="ORV209" s="36"/>
      <c r="ORW209" s="36"/>
      <c r="ORX209" s="36"/>
      <c r="ORY209" s="36"/>
      <c r="ORZ209" s="36"/>
      <c r="OSA209" s="36"/>
      <c r="OSB209" s="36"/>
      <c r="OSC209" s="36"/>
      <c r="OSD209" s="36"/>
      <c r="OSE209" s="36"/>
      <c r="OSF209" s="36"/>
      <c r="OSG209" s="36"/>
      <c r="OSH209" s="36"/>
      <c r="OSI209" s="36"/>
      <c r="OSJ209" s="36"/>
      <c r="OSK209" s="36"/>
      <c r="OSL209" s="36"/>
      <c r="OSM209" s="36"/>
      <c r="OSN209" s="36"/>
      <c r="OSO209" s="36"/>
      <c r="OSP209" s="36"/>
      <c r="OSQ209" s="36"/>
      <c r="OSR209" s="36"/>
      <c r="OSS209" s="36"/>
      <c r="OST209" s="36"/>
      <c r="OSU209" s="36"/>
      <c r="OSV209" s="36"/>
      <c r="OSW209" s="36"/>
      <c r="OSX209" s="36"/>
      <c r="OSY209" s="36"/>
      <c r="OSZ209" s="36"/>
      <c r="OTA209" s="36"/>
      <c r="OTB209" s="36"/>
      <c r="OTC209" s="36"/>
      <c r="OTD209" s="36"/>
      <c r="OTE209" s="36"/>
      <c r="OTF209" s="36"/>
      <c r="OTG209" s="36"/>
      <c r="OTH209" s="36"/>
      <c r="OTI209" s="36"/>
      <c r="OTJ209" s="36"/>
      <c r="OTK209" s="36"/>
      <c r="OTL209" s="36"/>
      <c r="OTM209" s="36"/>
      <c r="OTN209" s="36"/>
      <c r="OTO209" s="36"/>
      <c r="OTP209" s="36"/>
      <c r="OTQ209" s="36"/>
      <c r="OTR209" s="36"/>
      <c r="OTS209" s="36"/>
      <c r="OTT209" s="36"/>
      <c r="OTU209" s="36"/>
      <c r="OTV209" s="36"/>
      <c r="OTW209" s="36"/>
      <c r="OTX209" s="36"/>
      <c r="OTY209" s="36"/>
      <c r="OTZ209" s="36"/>
      <c r="OUA209" s="36"/>
      <c r="OUB209" s="36"/>
      <c r="OUC209" s="36"/>
      <c r="OUD209" s="36"/>
      <c r="OUE209" s="36"/>
      <c r="OUF209" s="36"/>
      <c r="OUG209" s="36"/>
      <c r="OUH209" s="36"/>
      <c r="OUI209" s="36"/>
      <c r="OUJ209" s="36"/>
      <c r="OUK209" s="36"/>
      <c r="OUL209" s="36"/>
      <c r="OUM209" s="36"/>
      <c r="OUN209" s="36"/>
      <c r="OUO209" s="36"/>
      <c r="OUP209" s="36"/>
      <c r="OUQ209" s="36"/>
      <c r="OUR209" s="36"/>
      <c r="OUS209" s="36"/>
      <c r="OUT209" s="36"/>
      <c r="OUU209" s="36"/>
      <c r="OUV209" s="36"/>
      <c r="OUW209" s="36"/>
      <c r="OUX209" s="36"/>
      <c r="OUY209" s="36"/>
      <c r="OUZ209" s="36"/>
      <c r="OVA209" s="36"/>
      <c r="OVB209" s="36"/>
      <c r="OVC209" s="36"/>
      <c r="OVD209" s="36"/>
      <c r="OVE209" s="36"/>
      <c r="OVF209" s="36"/>
      <c r="OVG209" s="36"/>
      <c r="OVH209" s="36"/>
      <c r="OVI209" s="36"/>
      <c r="OVJ209" s="36"/>
      <c r="OVK209" s="36"/>
      <c r="OVL209" s="36"/>
      <c r="OVM209" s="36"/>
      <c r="OVN209" s="36"/>
      <c r="OVO209" s="36"/>
      <c r="OVP209" s="36"/>
      <c r="OVQ209" s="36"/>
      <c r="OVR209" s="36"/>
      <c r="OVS209" s="36"/>
      <c r="OVT209" s="36"/>
      <c r="OVU209" s="36"/>
      <c r="OVV209" s="36"/>
      <c r="OVW209" s="36"/>
      <c r="OVX209" s="36"/>
      <c r="OVY209" s="36"/>
      <c r="OVZ209" s="36"/>
      <c r="OWA209" s="36"/>
      <c r="OWB209" s="36"/>
      <c r="OWC209" s="36"/>
      <c r="OWD209" s="36"/>
      <c r="OWE209" s="36"/>
      <c r="OWF209" s="36"/>
      <c r="OWG209" s="36"/>
      <c r="OWH209" s="36"/>
      <c r="OWI209" s="36"/>
      <c r="OWJ209" s="36"/>
      <c r="OWK209" s="36"/>
      <c r="OWL209" s="36"/>
      <c r="OWM209" s="36"/>
      <c r="OWN209" s="36"/>
      <c r="OWO209" s="36"/>
      <c r="OWP209" s="36"/>
      <c r="OWQ209" s="36"/>
      <c r="OWR209" s="36"/>
      <c r="OWS209" s="36"/>
      <c r="OWT209" s="36"/>
      <c r="OWU209" s="36"/>
      <c r="OWV209" s="36"/>
      <c r="OWW209" s="36"/>
      <c r="OWX209" s="36"/>
      <c r="OWY209" s="36"/>
      <c r="OWZ209" s="36"/>
      <c r="OXA209" s="36"/>
      <c r="OXB209" s="36"/>
      <c r="OXC209" s="36"/>
      <c r="OXD209" s="36"/>
      <c r="OXE209" s="36"/>
      <c r="OXF209" s="36"/>
      <c r="OXG209" s="36"/>
      <c r="OXH209" s="36"/>
      <c r="OXI209" s="36"/>
      <c r="OXJ209" s="36"/>
      <c r="OXK209" s="36"/>
      <c r="OXL209" s="36"/>
      <c r="OXM209" s="36"/>
      <c r="OXN209" s="36"/>
      <c r="OXO209" s="36"/>
      <c r="OXP209" s="36"/>
      <c r="OXQ209" s="36"/>
      <c r="OXR209" s="36"/>
      <c r="OXS209" s="36"/>
      <c r="OXT209" s="36"/>
      <c r="OXU209" s="36"/>
      <c r="OXV209" s="36"/>
      <c r="OXW209" s="36"/>
      <c r="OXX209" s="36"/>
      <c r="OXY209" s="36"/>
      <c r="OXZ209" s="36"/>
      <c r="OYA209" s="36"/>
      <c r="OYB209" s="36"/>
      <c r="OYC209" s="36"/>
      <c r="OYD209" s="36"/>
      <c r="OYE209" s="36"/>
      <c r="OYF209" s="36"/>
      <c r="OYG209" s="36"/>
      <c r="OYH209" s="36"/>
      <c r="OYI209" s="36"/>
      <c r="OYJ209" s="36"/>
      <c r="OYK209" s="36"/>
      <c r="OYL209" s="36"/>
      <c r="OYM209" s="36"/>
      <c r="OYN209" s="36"/>
      <c r="OYO209" s="36"/>
      <c r="OYP209" s="36"/>
      <c r="OYQ209" s="36"/>
      <c r="OYR209" s="36"/>
      <c r="OYS209" s="36"/>
      <c r="OYT209" s="36"/>
      <c r="OYU209" s="36"/>
      <c r="OYV209" s="36"/>
      <c r="OYW209" s="36"/>
      <c r="OYX209" s="36"/>
      <c r="OYY209" s="36"/>
      <c r="OYZ209" s="36"/>
      <c r="OZA209" s="36"/>
      <c r="OZB209" s="36"/>
      <c r="OZC209" s="36"/>
      <c r="OZD209" s="36"/>
      <c r="OZE209" s="36"/>
      <c r="OZF209" s="36"/>
      <c r="OZG209" s="36"/>
      <c r="OZH209" s="36"/>
      <c r="OZI209" s="36"/>
      <c r="OZJ209" s="36"/>
      <c r="OZK209" s="36"/>
      <c r="OZL209" s="36"/>
      <c r="OZM209" s="36"/>
      <c r="OZN209" s="36"/>
      <c r="OZO209" s="36"/>
      <c r="OZP209" s="36"/>
      <c r="OZQ209" s="36"/>
      <c r="OZR209" s="36"/>
      <c r="OZS209" s="36"/>
      <c r="OZT209" s="36"/>
      <c r="OZU209" s="36"/>
      <c r="OZV209" s="36"/>
      <c r="OZW209" s="36"/>
      <c r="OZX209" s="36"/>
      <c r="OZY209" s="36"/>
      <c r="OZZ209" s="36"/>
      <c r="PAA209" s="36"/>
      <c r="PAB209" s="36"/>
      <c r="PAC209" s="36"/>
      <c r="PAD209" s="36"/>
      <c r="PAE209" s="36"/>
      <c r="PAF209" s="36"/>
      <c r="PAG209" s="36"/>
      <c r="PAH209" s="36"/>
      <c r="PAI209" s="36"/>
      <c r="PAJ209" s="36"/>
      <c r="PAK209" s="36"/>
      <c r="PAL209" s="36"/>
      <c r="PAM209" s="36"/>
      <c r="PAN209" s="36"/>
      <c r="PAO209" s="36"/>
      <c r="PAP209" s="36"/>
      <c r="PAQ209" s="36"/>
      <c r="PAR209" s="36"/>
      <c r="PAS209" s="36"/>
      <c r="PAT209" s="36"/>
      <c r="PAU209" s="36"/>
      <c r="PAV209" s="36"/>
      <c r="PAW209" s="36"/>
      <c r="PAX209" s="36"/>
      <c r="PAY209" s="36"/>
      <c r="PAZ209" s="36"/>
      <c r="PBA209" s="36"/>
      <c r="PBB209" s="36"/>
      <c r="PBC209" s="36"/>
      <c r="PBD209" s="36"/>
      <c r="PBE209" s="36"/>
      <c r="PBF209" s="36"/>
      <c r="PBG209" s="36"/>
      <c r="PBH209" s="36"/>
      <c r="PBI209" s="36"/>
      <c r="PBJ209" s="36"/>
      <c r="PBK209" s="36"/>
      <c r="PBL209" s="36"/>
      <c r="PBM209" s="36"/>
      <c r="PBN209" s="36"/>
      <c r="PBO209" s="36"/>
      <c r="PBP209" s="36"/>
      <c r="PBQ209" s="36"/>
      <c r="PBR209" s="36"/>
      <c r="PBS209" s="36"/>
      <c r="PBT209" s="36"/>
      <c r="PBU209" s="36"/>
      <c r="PBV209" s="36"/>
      <c r="PBW209" s="36"/>
      <c r="PBX209" s="36"/>
      <c r="PBY209" s="36"/>
      <c r="PBZ209" s="36"/>
      <c r="PCA209" s="36"/>
      <c r="PCB209" s="36"/>
      <c r="PCC209" s="36"/>
      <c r="PCD209" s="36"/>
      <c r="PCE209" s="36"/>
      <c r="PCF209" s="36"/>
      <c r="PCG209" s="36"/>
      <c r="PCH209" s="36"/>
      <c r="PCI209" s="36"/>
      <c r="PCJ209" s="36"/>
      <c r="PCK209" s="36"/>
      <c r="PCL209" s="36"/>
      <c r="PCM209" s="36"/>
      <c r="PCN209" s="36"/>
      <c r="PCO209" s="36"/>
      <c r="PCP209" s="36"/>
      <c r="PCQ209" s="36"/>
      <c r="PCR209" s="36"/>
      <c r="PCS209" s="36"/>
      <c r="PCT209" s="36"/>
      <c r="PCU209" s="36"/>
      <c r="PCV209" s="36"/>
      <c r="PCW209" s="36"/>
      <c r="PCX209" s="36"/>
      <c r="PCY209" s="36"/>
      <c r="PCZ209" s="36"/>
      <c r="PDA209" s="36"/>
      <c r="PDB209" s="36"/>
      <c r="PDC209" s="36"/>
      <c r="PDD209" s="36"/>
      <c r="PDE209" s="36"/>
      <c r="PDF209" s="36"/>
      <c r="PDG209" s="36"/>
      <c r="PDH209" s="36"/>
      <c r="PDI209" s="36"/>
      <c r="PDJ209" s="36"/>
      <c r="PDK209" s="36"/>
      <c r="PDL209" s="36"/>
      <c r="PDM209" s="36"/>
      <c r="PDN209" s="36"/>
      <c r="PDO209" s="36"/>
      <c r="PDP209" s="36"/>
      <c r="PDQ209" s="36"/>
      <c r="PDR209" s="36"/>
      <c r="PDS209" s="36"/>
      <c r="PDT209" s="36"/>
      <c r="PDU209" s="36"/>
      <c r="PDV209" s="36"/>
      <c r="PDW209" s="36"/>
      <c r="PDX209" s="36"/>
      <c r="PDY209" s="36"/>
      <c r="PDZ209" s="36"/>
      <c r="PEA209" s="36"/>
      <c r="PEB209" s="36"/>
      <c r="PEC209" s="36"/>
      <c r="PED209" s="36"/>
      <c r="PEE209" s="36"/>
      <c r="PEF209" s="36"/>
      <c r="PEG209" s="36"/>
      <c r="PEH209" s="36"/>
      <c r="PEI209" s="36"/>
      <c r="PEJ209" s="36"/>
      <c r="PEK209" s="36"/>
      <c r="PEL209" s="36"/>
      <c r="PEM209" s="36"/>
      <c r="PEN209" s="36"/>
      <c r="PEO209" s="36"/>
      <c r="PEP209" s="36"/>
      <c r="PEQ209" s="36"/>
      <c r="PER209" s="36"/>
      <c r="PES209" s="36"/>
      <c r="PET209" s="36"/>
      <c r="PEU209" s="36"/>
      <c r="PEV209" s="36"/>
      <c r="PEW209" s="36"/>
      <c r="PEX209" s="36"/>
      <c r="PEY209" s="36"/>
      <c r="PEZ209" s="36"/>
      <c r="PFA209" s="36"/>
      <c r="PFB209" s="36"/>
      <c r="PFC209" s="36"/>
      <c r="PFD209" s="36"/>
      <c r="PFE209" s="36"/>
      <c r="PFF209" s="36"/>
      <c r="PFG209" s="36"/>
      <c r="PFH209" s="36"/>
      <c r="PFI209" s="36"/>
      <c r="PFJ209" s="36"/>
      <c r="PFK209" s="36"/>
      <c r="PFL209" s="36"/>
      <c r="PFM209" s="36"/>
      <c r="PFN209" s="36"/>
      <c r="PFO209" s="36"/>
      <c r="PFP209" s="36"/>
      <c r="PFQ209" s="36"/>
      <c r="PFR209" s="36"/>
      <c r="PFS209" s="36"/>
      <c r="PFT209" s="36"/>
      <c r="PFU209" s="36"/>
      <c r="PFV209" s="36"/>
      <c r="PFW209" s="36"/>
      <c r="PFX209" s="36"/>
      <c r="PFY209" s="36"/>
      <c r="PFZ209" s="36"/>
      <c r="PGA209" s="36"/>
      <c r="PGB209" s="36"/>
      <c r="PGC209" s="36"/>
      <c r="PGD209" s="36"/>
      <c r="PGE209" s="36"/>
      <c r="PGF209" s="36"/>
      <c r="PGG209" s="36"/>
      <c r="PGH209" s="36"/>
      <c r="PGI209" s="36"/>
      <c r="PGJ209" s="36"/>
      <c r="PGK209" s="36"/>
      <c r="PGL209" s="36"/>
      <c r="PGM209" s="36"/>
      <c r="PGN209" s="36"/>
      <c r="PGO209" s="36"/>
      <c r="PGP209" s="36"/>
      <c r="PGQ209" s="36"/>
      <c r="PGR209" s="36"/>
      <c r="PGS209" s="36"/>
      <c r="PGT209" s="36"/>
      <c r="PGU209" s="36"/>
      <c r="PGV209" s="36"/>
      <c r="PGW209" s="36"/>
      <c r="PGX209" s="36"/>
      <c r="PGY209" s="36"/>
      <c r="PGZ209" s="36"/>
      <c r="PHA209" s="36"/>
      <c r="PHB209" s="36"/>
      <c r="PHC209" s="36"/>
      <c r="PHD209" s="36"/>
      <c r="PHE209" s="36"/>
      <c r="PHF209" s="36"/>
      <c r="PHG209" s="36"/>
      <c r="PHH209" s="36"/>
      <c r="PHI209" s="36"/>
      <c r="PHJ209" s="36"/>
      <c r="PHK209" s="36"/>
      <c r="PHL209" s="36"/>
      <c r="PHM209" s="36"/>
      <c r="PHN209" s="36"/>
      <c r="PHO209" s="36"/>
      <c r="PHP209" s="36"/>
      <c r="PHQ209" s="36"/>
      <c r="PHR209" s="36"/>
      <c r="PHS209" s="36"/>
      <c r="PHT209" s="36"/>
      <c r="PHU209" s="36"/>
      <c r="PHV209" s="36"/>
      <c r="PHW209" s="36"/>
      <c r="PHX209" s="36"/>
      <c r="PHY209" s="36"/>
      <c r="PHZ209" s="36"/>
      <c r="PIA209" s="36"/>
      <c r="PIB209" s="36"/>
      <c r="PIC209" s="36"/>
      <c r="PID209" s="36"/>
      <c r="PIE209" s="36"/>
      <c r="PIF209" s="36"/>
      <c r="PIG209" s="36"/>
      <c r="PIH209" s="36"/>
      <c r="PII209" s="36"/>
      <c r="PIJ209" s="36"/>
      <c r="PIK209" s="36"/>
      <c r="PIL209" s="36"/>
      <c r="PIM209" s="36"/>
      <c r="PIN209" s="36"/>
      <c r="PIO209" s="36"/>
      <c r="PIP209" s="36"/>
      <c r="PIQ209" s="36"/>
      <c r="PIR209" s="36"/>
      <c r="PIS209" s="36"/>
      <c r="PIT209" s="36"/>
      <c r="PIU209" s="36"/>
      <c r="PIV209" s="36"/>
      <c r="PIW209" s="36"/>
      <c r="PIX209" s="36"/>
      <c r="PIY209" s="36"/>
      <c r="PIZ209" s="36"/>
      <c r="PJA209" s="36"/>
      <c r="PJB209" s="36"/>
      <c r="PJC209" s="36"/>
      <c r="PJD209" s="36"/>
      <c r="PJE209" s="36"/>
      <c r="PJF209" s="36"/>
      <c r="PJG209" s="36"/>
      <c r="PJH209" s="36"/>
      <c r="PJI209" s="36"/>
      <c r="PJJ209" s="36"/>
      <c r="PJK209" s="36"/>
      <c r="PJL209" s="36"/>
      <c r="PJM209" s="36"/>
      <c r="PJN209" s="36"/>
      <c r="PJO209" s="36"/>
      <c r="PJP209" s="36"/>
      <c r="PJQ209" s="36"/>
      <c r="PJR209" s="36"/>
      <c r="PJS209" s="36"/>
      <c r="PJT209" s="36"/>
      <c r="PJU209" s="36"/>
      <c r="PJV209" s="36"/>
      <c r="PJW209" s="36"/>
      <c r="PJX209" s="36"/>
      <c r="PJY209" s="36"/>
      <c r="PJZ209" s="36"/>
      <c r="PKA209" s="36"/>
      <c r="PKB209" s="36"/>
      <c r="PKC209" s="36"/>
      <c r="PKD209" s="36"/>
      <c r="PKE209" s="36"/>
      <c r="PKF209" s="36"/>
      <c r="PKG209" s="36"/>
      <c r="PKH209" s="36"/>
      <c r="PKI209" s="36"/>
      <c r="PKJ209" s="36"/>
      <c r="PKK209" s="36"/>
      <c r="PKL209" s="36"/>
      <c r="PKM209" s="36"/>
      <c r="PKN209" s="36"/>
      <c r="PKO209" s="36"/>
      <c r="PKP209" s="36"/>
      <c r="PKQ209" s="36"/>
      <c r="PKR209" s="36"/>
      <c r="PKS209" s="36"/>
      <c r="PKT209" s="36"/>
      <c r="PKU209" s="36"/>
      <c r="PKV209" s="36"/>
      <c r="PKW209" s="36"/>
      <c r="PKX209" s="36"/>
      <c r="PKY209" s="36"/>
      <c r="PKZ209" s="36"/>
      <c r="PLA209" s="36"/>
      <c r="PLB209" s="36"/>
      <c r="PLC209" s="36"/>
      <c r="PLD209" s="36"/>
      <c r="PLE209" s="36"/>
      <c r="PLF209" s="36"/>
      <c r="PLG209" s="36"/>
      <c r="PLH209" s="36"/>
      <c r="PLI209" s="36"/>
      <c r="PLJ209" s="36"/>
      <c r="PLK209" s="36"/>
      <c r="PLL209" s="36"/>
      <c r="PLM209" s="36"/>
      <c r="PLN209" s="36"/>
      <c r="PLO209" s="36"/>
      <c r="PLP209" s="36"/>
      <c r="PLQ209" s="36"/>
      <c r="PLR209" s="36"/>
      <c r="PLS209" s="36"/>
      <c r="PLT209" s="36"/>
      <c r="PLU209" s="36"/>
      <c r="PLV209" s="36"/>
      <c r="PLW209" s="36"/>
      <c r="PLX209" s="36"/>
      <c r="PLY209" s="36"/>
      <c r="PLZ209" s="36"/>
      <c r="PMA209" s="36"/>
      <c r="PMB209" s="36"/>
      <c r="PMC209" s="36"/>
      <c r="PMD209" s="36"/>
      <c r="PME209" s="36"/>
      <c r="PMF209" s="36"/>
      <c r="PMG209" s="36"/>
      <c r="PMH209" s="36"/>
      <c r="PMI209" s="36"/>
      <c r="PMJ209" s="36"/>
      <c r="PMK209" s="36"/>
      <c r="PML209" s="36"/>
      <c r="PMM209" s="36"/>
      <c r="PMN209" s="36"/>
      <c r="PMO209" s="36"/>
      <c r="PMP209" s="36"/>
      <c r="PMQ209" s="36"/>
      <c r="PMR209" s="36"/>
      <c r="PMS209" s="36"/>
      <c r="PMT209" s="36"/>
      <c r="PMU209" s="36"/>
      <c r="PMV209" s="36"/>
      <c r="PMW209" s="36"/>
      <c r="PMX209" s="36"/>
      <c r="PMY209" s="36"/>
      <c r="PMZ209" s="36"/>
      <c r="PNA209" s="36"/>
      <c r="PNB209" s="36"/>
      <c r="PNC209" s="36"/>
      <c r="PND209" s="36"/>
      <c r="PNE209" s="36"/>
      <c r="PNF209" s="36"/>
      <c r="PNG209" s="36"/>
      <c r="PNH209" s="36"/>
      <c r="PNI209" s="36"/>
      <c r="PNJ209" s="36"/>
      <c r="PNK209" s="36"/>
      <c r="PNL209" s="36"/>
      <c r="PNM209" s="36"/>
      <c r="PNN209" s="36"/>
      <c r="PNO209" s="36"/>
      <c r="PNP209" s="36"/>
      <c r="PNQ209" s="36"/>
      <c r="PNR209" s="36"/>
      <c r="PNS209" s="36"/>
      <c r="PNT209" s="36"/>
      <c r="PNU209" s="36"/>
      <c r="PNV209" s="36"/>
      <c r="PNW209" s="36"/>
      <c r="PNX209" s="36"/>
      <c r="PNY209" s="36"/>
      <c r="PNZ209" s="36"/>
      <c r="POA209" s="36"/>
      <c r="POB209" s="36"/>
      <c r="POC209" s="36"/>
      <c r="POD209" s="36"/>
      <c r="POE209" s="36"/>
      <c r="POF209" s="36"/>
      <c r="POG209" s="36"/>
      <c r="POH209" s="36"/>
      <c r="POI209" s="36"/>
      <c r="POJ209" s="36"/>
      <c r="POK209" s="36"/>
      <c r="POL209" s="36"/>
      <c r="POM209" s="36"/>
      <c r="PON209" s="36"/>
      <c r="POO209" s="36"/>
      <c r="POP209" s="36"/>
      <c r="POQ209" s="36"/>
      <c r="POR209" s="36"/>
      <c r="POS209" s="36"/>
      <c r="POT209" s="36"/>
      <c r="POU209" s="36"/>
      <c r="POV209" s="36"/>
      <c r="POW209" s="36"/>
      <c r="POX209" s="36"/>
      <c r="POY209" s="36"/>
      <c r="POZ209" s="36"/>
      <c r="PPA209" s="36"/>
      <c r="PPB209" s="36"/>
      <c r="PPC209" s="36"/>
      <c r="PPD209" s="36"/>
      <c r="PPE209" s="36"/>
      <c r="PPF209" s="36"/>
      <c r="PPG209" s="36"/>
      <c r="PPH209" s="36"/>
      <c r="PPI209" s="36"/>
      <c r="PPJ209" s="36"/>
      <c r="PPK209" s="36"/>
      <c r="PPL209" s="36"/>
      <c r="PPM209" s="36"/>
      <c r="PPN209" s="36"/>
      <c r="PPO209" s="36"/>
      <c r="PPP209" s="36"/>
      <c r="PPQ209" s="36"/>
      <c r="PPR209" s="36"/>
      <c r="PPS209" s="36"/>
      <c r="PPT209" s="36"/>
      <c r="PPU209" s="36"/>
      <c r="PPV209" s="36"/>
      <c r="PPW209" s="36"/>
      <c r="PPX209" s="36"/>
      <c r="PPY209" s="36"/>
      <c r="PPZ209" s="36"/>
      <c r="PQA209" s="36"/>
      <c r="PQB209" s="36"/>
      <c r="PQC209" s="36"/>
      <c r="PQD209" s="36"/>
      <c r="PQE209" s="36"/>
      <c r="PQF209" s="36"/>
      <c r="PQG209" s="36"/>
      <c r="PQH209" s="36"/>
      <c r="PQI209" s="36"/>
      <c r="PQJ209" s="36"/>
      <c r="PQK209" s="36"/>
      <c r="PQL209" s="36"/>
      <c r="PQM209" s="36"/>
      <c r="PQN209" s="36"/>
      <c r="PQO209" s="36"/>
      <c r="PQP209" s="36"/>
      <c r="PQQ209" s="36"/>
      <c r="PQR209" s="36"/>
      <c r="PQS209" s="36"/>
      <c r="PQT209" s="36"/>
      <c r="PQU209" s="36"/>
      <c r="PQV209" s="36"/>
      <c r="PQW209" s="36"/>
      <c r="PQX209" s="36"/>
      <c r="PQY209" s="36"/>
      <c r="PQZ209" s="36"/>
      <c r="PRA209" s="36"/>
      <c r="PRB209" s="36"/>
      <c r="PRC209" s="36"/>
      <c r="PRD209" s="36"/>
      <c r="PRE209" s="36"/>
      <c r="PRF209" s="36"/>
      <c r="PRG209" s="36"/>
      <c r="PRH209" s="36"/>
      <c r="PRI209" s="36"/>
      <c r="PRJ209" s="36"/>
      <c r="PRK209" s="36"/>
      <c r="PRL209" s="36"/>
      <c r="PRM209" s="36"/>
      <c r="PRN209" s="36"/>
      <c r="PRO209" s="36"/>
      <c r="PRP209" s="36"/>
      <c r="PRQ209" s="36"/>
      <c r="PRR209" s="36"/>
      <c r="PRS209" s="36"/>
      <c r="PRT209" s="36"/>
      <c r="PRU209" s="36"/>
      <c r="PRV209" s="36"/>
      <c r="PRW209" s="36"/>
      <c r="PRX209" s="36"/>
      <c r="PRY209" s="36"/>
      <c r="PRZ209" s="36"/>
      <c r="PSA209" s="36"/>
      <c r="PSB209" s="36"/>
      <c r="PSC209" s="36"/>
      <c r="PSD209" s="36"/>
      <c r="PSE209" s="36"/>
      <c r="PSF209" s="36"/>
      <c r="PSG209" s="36"/>
      <c r="PSH209" s="36"/>
      <c r="PSI209" s="36"/>
      <c r="PSJ209" s="36"/>
      <c r="PSK209" s="36"/>
      <c r="PSL209" s="36"/>
      <c r="PSM209" s="36"/>
      <c r="PSN209" s="36"/>
      <c r="PSO209" s="36"/>
      <c r="PSP209" s="36"/>
      <c r="PSQ209" s="36"/>
      <c r="PSR209" s="36"/>
      <c r="PSS209" s="36"/>
      <c r="PST209" s="36"/>
      <c r="PSU209" s="36"/>
      <c r="PSV209" s="36"/>
      <c r="PSW209" s="36"/>
      <c r="PSX209" s="36"/>
      <c r="PSY209" s="36"/>
      <c r="PSZ209" s="36"/>
      <c r="PTA209" s="36"/>
      <c r="PTB209" s="36"/>
      <c r="PTC209" s="36"/>
      <c r="PTD209" s="36"/>
      <c r="PTE209" s="36"/>
      <c r="PTF209" s="36"/>
      <c r="PTG209" s="36"/>
      <c r="PTH209" s="36"/>
      <c r="PTI209" s="36"/>
      <c r="PTJ209" s="36"/>
      <c r="PTK209" s="36"/>
      <c r="PTL209" s="36"/>
      <c r="PTM209" s="36"/>
      <c r="PTN209" s="36"/>
      <c r="PTO209" s="36"/>
      <c r="PTP209" s="36"/>
      <c r="PTQ209" s="36"/>
      <c r="PTR209" s="36"/>
      <c r="PTS209" s="36"/>
      <c r="PTT209" s="36"/>
      <c r="PTU209" s="36"/>
      <c r="PTV209" s="36"/>
      <c r="PTW209" s="36"/>
      <c r="PTX209" s="36"/>
      <c r="PTY209" s="36"/>
      <c r="PTZ209" s="36"/>
      <c r="PUA209" s="36"/>
      <c r="PUB209" s="36"/>
      <c r="PUC209" s="36"/>
      <c r="PUD209" s="36"/>
      <c r="PUE209" s="36"/>
      <c r="PUF209" s="36"/>
      <c r="PUG209" s="36"/>
      <c r="PUH209" s="36"/>
      <c r="PUI209" s="36"/>
      <c r="PUJ209" s="36"/>
      <c r="PUK209" s="36"/>
      <c r="PUL209" s="36"/>
      <c r="PUM209" s="36"/>
      <c r="PUN209" s="36"/>
      <c r="PUO209" s="36"/>
      <c r="PUP209" s="36"/>
      <c r="PUQ209" s="36"/>
      <c r="PUR209" s="36"/>
      <c r="PUS209" s="36"/>
      <c r="PUT209" s="36"/>
      <c r="PUU209" s="36"/>
      <c r="PUV209" s="36"/>
      <c r="PUW209" s="36"/>
      <c r="PUX209" s="36"/>
      <c r="PUY209" s="36"/>
      <c r="PUZ209" s="36"/>
      <c r="PVA209" s="36"/>
      <c r="PVB209" s="36"/>
      <c r="PVC209" s="36"/>
      <c r="PVD209" s="36"/>
      <c r="PVE209" s="36"/>
      <c r="PVF209" s="36"/>
      <c r="PVG209" s="36"/>
      <c r="PVH209" s="36"/>
      <c r="PVI209" s="36"/>
      <c r="PVJ209" s="36"/>
      <c r="PVK209" s="36"/>
      <c r="PVL209" s="36"/>
      <c r="PVM209" s="36"/>
      <c r="PVN209" s="36"/>
      <c r="PVO209" s="36"/>
      <c r="PVP209" s="36"/>
      <c r="PVQ209" s="36"/>
      <c r="PVR209" s="36"/>
      <c r="PVS209" s="36"/>
      <c r="PVT209" s="36"/>
      <c r="PVU209" s="36"/>
      <c r="PVV209" s="36"/>
      <c r="PVW209" s="36"/>
      <c r="PVX209" s="36"/>
      <c r="PVY209" s="36"/>
      <c r="PVZ209" s="36"/>
      <c r="PWA209" s="36"/>
      <c r="PWB209" s="36"/>
      <c r="PWC209" s="36"/>
      <c r="PWD209" s="36"/>
      <c r="PWE209" s="36"/>
      <c r="PWF209" s="36"/>
      <c r="PWG209" s="36"/>
      <c r="PWH209" s="36"/>
      <c r="PWI209" s="36"/>
      <c r="PWJ209" s="36"/>
      <c r="PWK209" s="36"/>
      <c r="PWL209" s="36"/>
      <c r="PWM209" s="36"/>
      <c r="PWN209" s="36"/>
      <c r="PWO209" s="36"/>
      <c r="PWP209" s="36"/>
      <c r="PWQ209" s="36"/>
      <c r="PWR209" s="36"/>
      <c r="PWS209" s="36"/>
      <c r="PWT209" s="36"/>
      <c r="PWU209" s="36"/>
      <c r="PWV209" s="36"/>
      <c r="PWW209" s="36"/>
      <c r="PWX209" s="36"/>
      <c r="PWY209" s="36"/>
      <c r="PWZ209" s="36"/>
      <c r="PXA209" s="36"/>
      <c r="PXB209" s="36"/>
      <c r="PXC209" s="36"/>
      <c r="PXD209" s="36"/>
      <c r="PXE209" s="36"/>
      <c r="PXF209" s="36"/>
      <c r="PXG209" s="36"/>
      <c r="PXH209" s="36"/>
      <c r="PXI209" s="36"/>
      <c r="PXJ209" s="36"/>
      <c r="PXK209" s="36"/>
      <c r="PXL209" s="36"/>
      <c r="PXM209" s="36"/>
      <c r="PXN209" s="36"/>
      <c r="PXO209" s="36"/>
      <c r="PXP209" s="36"/>
      <c r="PXQ209" s="36"/>
      <c r="PXR209" s="36"/>
      <c r="PXS209" s="36"/>
      <c r="PXT209" s="36"/>
      <c r="PXU209" s="36"/>
      <c r="PXV209" s="36"/>
      <c r="PXW209" s="36"/>
      <c r="PXX209" s="36"/>
      <c r="PXY209" s="36"/>
      <c r="PXZ209" s="36"/>
      <c r="PYA209" s="36"/>
      <c r="PYB209" s="36"/>
      <c r="PYC209" s="36"/>
      <c r="PYD209" s="36"/>
      <c r="PYE209" s="36"/>
      <c r="PYF209" s="36"/>
      <c r="PYG209" s="36"/>
      <c r="PYH209" s="36"/>
      <c r="PYI209" s="36"/>
      <c r="PYJ209" s="36"/>
      <c r="PYK209" s="36"/>
      <c r="PYL209" s="36"/>
      <c r="PYM209" s="36"/>
      <c r="PYN209" s="36"/>
      <c r="PYO209" s="36"/>
      <c r="PYP209" s="36"/>
      <c r="PYQ209" s="36"/>
      <c r="PYR209" s="36"/>
      <c r="PYS209" s="36"/>
      <c r="PYT209" s="36"/>
      <c r="PYU209" s="36"/>
      <c r="PYV209" s="36"/>
      <c r="PYW209" s="36"/>
      <c r="PYX209" s="36"/>
      <c r="PYY209" s="36"/>
      <c r="PYZ209" s="36"/>
      <c r="PZA209" s="36"/>
      <c r="PZB209" s="36"/>
      <c r="PZC209" s="36"/>
      <c r="PZD209" s="36"/>
      <c r="PZE209" s="36"/>
      <c r="PZF209" s="36"/>
      <c r="PZG209" s="36"/>
      <c r="PZH209" s="36"/>
      <c r="PZI209" s="36"/>
      <c r="PZJ209" s="36"/>
      <c r="PZK209" s="36"/>
      <c r="PZL209" s="36"/>
      <c r="PZM209" s="36"/>
      <c r="PZN209" s="36"/>
      <c r="PZO209" s="36"/>
      <c r="PZP209" s="36"/>
      <c r="PZQ209" s="36"/>
      <c r="PZR209" s="36"/>
      <c r="PZS209" s="36"/>
      <c r="PZT209" s="36"/>
      <c r="PZU209" s="36"/>
      <c r="PZV209" s="36"/>
      <c r="PZW209" s="36"/>
      <c r="PZX209" s="36"/>
      <c r="PZY209" s="36"/>
      <c r="PZZ209" s="36"/>
      <c r="QAA209" s="36"/>
      <c r="QAB209" s="36"/>
      <c r="QAC209" s="36"/>
      <c r="QAD209" s="36"/>
      <c r="QAE209" s="36"/>
      <c r="QAF209" s="36"/>
      <c r="QAG209" s="36"/>
      <c r="QAH209" s="36"/>
      <c r="QAI209" s="36"/>
      <c r="QAJ209" s="36"/>
      <c r="QAK209" s="36"/>
      <c r="QAL209" s="36"/>
      <c r="QAM209" s="36"/>
      <c r="QAN209" s="36"/>
      <c r="QAO209" s="36"/>
      <c r="QAP209" s="36"/>
      <c r="QAQ209" s="36"/>
      <c r="QAR209" s="36"/>
      <c r="QAS209" s="36"/>
      <c r="QAT209" s="36"/>
      <c r="QAU209" s="36"/>
      <c r="QAV209" s="36"/>
      <c r="QAW209" s="36"/>
      <c r="QAX209" s="36"/>
      <c r="QAY209" s="36"/>
      <c r="QAZ209" s="36"/>
      <c r="QBA209" s="36"/>
      <c r="QBB209" s="36"/>
      <c r="QBC209" s="36"/>
      <c r="QBD209" s="36"/>
      <c r="QBE209" s="36"/>
      <c r="QBF209" s="36"/>
      <c r="QBG209" s="36"/>
      <c r="QBH209" s="36"/>
      <c r="QBI209" s="36"/>
      <c r="QBJ209" s="36"/>
      <c r="QBK209" s="36"/>
      <c r="QBL209" s="36"/>
      <c r="QBM209" s="36"/>
      <c r="QBN209" s="36"/>
      <c r="QBO209" s="36"/>
      <c r="QBP209" s="36"/>
      <c r="QBQ209" s="36"/>
      <c r="QBR209" s="36"/>
      <c r="QBS209" s="36"/>
      <c r="QBT209" s="36"/>
      <c r="QBU209" s="36"/>
      <c r="QBV209" s="36"/>
      <c r="QBW209" s="36"/>
      <c r="QBX209" s="36"/>
      <c r="QBY209" s="36"/>
      <c r="QBZ209" s="36"/>
      <c r="QCA209" s="36"/>
      <c r="QCB209" s="36"/>
      <c r="QCC209" s="36"/>
      <c r="QCD209" s="36"/>
      <c r="QCE209" s="36"/>
      <c r="QCF209" s="36"/>
      <c r="QCG209" s="36"/>
      <c r="QCH209" s="36"/>
      <c r="QCI209" s="36"/>
      <c r="QCJ209" s="36"/>
      <c r="QCK209" s="36"/>
      <c r="QCL209" s="36"/>
      <c r="QCM209" s="36"/>
      <c r="QCN209" s="36"/>
      <c r="QCO209" s="36"/>
      <c r="QCP209" s="36"/>
      <c r="QCQ209" s="36"/>
      <c r="QCR209" s="36"/>
      <c r="QCS209" s="36"/>
      <c r="QCT209" s="36"/>
      <c r="QCU209" s="36"/>
      <c r="QCV209" s="36"/>
      <c r="QCW209" s="36"/>
      <c r="QCX209" s="36"/>
      <c r="QCY209" s="36"/>
      <c r="QCZ209" s="36"/>
      <c r="QDA209" s="36"/>
      <c r="QDB209" s="36"/>
      <c r="QDC209" s="36"/>
      <c r="QDD209" s="36"/>
      <c r="QDE209" s="36"/>
      <c r="QDF209" s="36"/>
      <c r="QDG209" s="36"/>
      <c r="QDH209" s="36"/>
      <c r="QDI209" s="36"/>
      <c r="QDJ209" s="36"/>
      <c r="QDK209" s="36"/>
      <c r="QDL209" s="36"/>
      <c r="QDM209" s="36"/>
      <c r="QDN209" s="36"/>
      <c r="QDO209" s="36"/>
      <c r="QDP209" s="36"/>
      <c r="QDQ209" s="36"/>
      <c r="QDR209" s="36"/>
      <c r="QDS209" s="36"/>
      <c r="QDT209" s="36"/>
      <c r="QDU209" s="36"/>
      <c r="QDV209" s="36"/>
      <c r="QDW209" s="36"/>
      <c r="QDX209" s="36"/>
      <c r="QDY209" s="36"/>
      <c r="QDZ209" s="36"/>
      <c r="QEA209" s="36"/>
      <c r="QEB209" s="36"/>
      <c r="QEC209" s="36"/>
      <c r="QED209" s="36"/>
      <c r="QEE209" s="36"/>
      <c r="QEF209" s="36"/>
      <c r="QEG209" s="36"/>
      <c r="QEH209" s="36"/>
      <c r="QEI209" s="36"/>
      <c r="QEJ209" s="36"/>
      <c r="QEK209" s="36"/>
      <c r="QEL209" s="36"/>
      <c r="QEM209" s="36"/>
      <c r="QEN209" s="36"/>
      <c r="QEO209" s="36"/>
      <c r="QEP209" s="36"/>
      <c r="QEQ209" s="36"/>
      <c r="QER209" s="36"/>
      <c r="QES209" s="36"/>
      <c r="QET209" s="36"/>
      <c r="QEU209" s="36"/>
      <c r="QEV209" s="36"/>
      <c r="QEW209" s="36"/>
      <c r="QEX209" s="36"/>
      <c r="QEY209" s="36"/>
      <c r="QEZ209" s="36"/>
      <c r="QFA209" s="36"/>
      <c r="QFB209" s="36"/>
      <c r="QFC209" s="36"/>
      <c r="QFD209" s="36"/>
      <c r="QFE209" s="36"/>
      <c r="QFF209" s="36"/>
      <c r="QFG209" s="36"/>
      <c r="QFH209" s="36"/>
      <c r="QFI209" s="36"/>
      <c r="QFJ209" s="36"/>
      <c r="QFK209" s="36"/>
      <c r="QFL209" s="36"/>
      <c r="QFM209" s="36"/>
      <c r="QFN209" s="36"/>
      <c r="QFO209" s="36"/>
      <c r="QFP209" s="36"/>
      <c r="QFQ209" s="36"/>
      <c r="QFR209" s="36"/>
      <c r="QFS209" s="36"/>
      <c r="QFT209" s="36"/>
      <c r="QFU209" s="36"/>
      <c r="QFV209" s="36"/>
      <c r="QFW209" s="36"/>
      <c r="QFX209" s="36"/>
      <c r="QFY209" s="36"/>
      <c r="QFZ209" s="36"/>
      <c r="QGA209" s="36"/>
      <c r="QGB209" s="36"/>
      <c r="QGC209" s="36"/>
      <c r="QGD209" s="36"/>
      <c r="QGE209" s="36"/>
      <c r="QGF209" s="36"/>
      <c r="QGG209" s="36"/>
      <c r="QGH209" s="36"/>
      <c r="QGI209" s="36"/>
      <c r="QGJ209" s="36"/>
      <c r="QGK209" s="36"/>
      <c r="QGL209" s="36"/>
      <c r="QGM209" s="36"/>
      <c r="QGN209" s="36"/>
      <c r="QGO209" s="36"/>
      <c r="QGP209" s="36"/>
      <c r="QGQ209" s="36"/>
      <c r="QGR209" s="36"/>
      <c r="QGS209" s="36"/>
      <c r="QGT209" s="36"/>
      <c r="QGU209" s="36"/>
      <c r="QGV209" s="36"/>
      <c r="QGW209" s="36"/>
      <c r="QGX209" s="36"/>
      <c r="QGY209" s="36"/>
      <c r="QGZ209" s="36"/>
      <c r="QHA209" s="36"/>
      <c r="QHB209" s="36"/>
      <c r="QHC209" s="36"/>
      <c r="QHD209" s="36"/>
      <c r="QHE209" s="36"/>
      <c r="QHF209" s="36"/>
      <c r="QHG209" s="36"/>
      <c r="QHH209" s="36"/>
      <c r="QHI209" s="36"/>
      <c r="QHJ209" s="36"/>
      <c r="QHK209" s="36"/>
      <c r="QHL209" s="36"/>
      <c r="QHM209" s="36"/>
      <c r="QHN209" s="36"/>
      <c r="QHO209" s="36"/>
      <c r="QHP209" s="36"/>
      <c r="QHQ209" s="36"/>
      <c r="QHR209" s="36"/>
      <c r="QHS209" s="36"/>
      <c r="QHT209" s="36"/>
      <c r="QHU209" s="36"/>
      <c r="QHV209" s="36"/>
      <c r="QHW209" s="36"/>
      <c r="QHX209" s="36"/>
      <c r="QHY209" s="36"/>
      <c r="QHZ209" s="36"/>
      <c r="QIA209" s="36"/>
      <c r="QIB209" s="36"/>
      <c r="QIC209" s="36"/>
      <c r="QID209" s="36"/>
      <c r="QIE209" s="36"/>
      <c r="QIF209" s="36"/>
      <c r="QIG209" s="36"/>
      <c r="QIH209" s="36"/>
      <c r="QII209" s="36"/>
      <c r="QIJ209" s="36"/>
      <c r="QIK209" s="36"/>
      <c r="QIL209" s="36"/>
      <c r="QIM209" s="36"/>
      <c r="QIN209" s="36"/>
      <c r="QIO209" s="36"/>
      <c r="QIP209" s="36"/>
      <c r="QIQ209" s="36"/>
      <c r="QIR209" s="36"/>
      <c r="QIS209" s="36"/>
      <c r="QIT209" s="36"/>
      <c r="QIU209" s="36"/>
      <c r="QIV209" s="36"/>
      <c r="QIW209" s="36"/>
      <c r="QIX209" s="36"/>
      <c r="QIY209" s="36"/>
      <c r="QIZ209" s="36"/>
      <c r="QJA209" s="36"/>
      <c r="QJB209" s="36"/>
      <c r="QJC209" s="36"/>
      <c r="QJD209" s="36"/>
      <c r="QJE209" s="36"/>
      <c r="QJF209" s="36"/>
      <c r="QJG209" s="36"/>
      <c r="QJH209" s="36"/>
      <c r="QJI209" s="36"/>
      <c r="QJJ209" s="36"/>
      <c r="QJK209" s="36"/>
      <c r="QJL209" s="36"/>
      <c r="QJM209" s="36"/>
      <c r="QJN209" s="36"/>
      <c r="QJO209" s="36"/>
      <c r="QJP209" s="36"/>
      <c r="QJQ209" s="36"/>
      <c r="QJR209" s="36"/>
      <c r="QJS209" s="36"/>
      <c r="QJT209" s="36"/>
      <c r="QJU209" s="36"/>
      <c r="QJV209" s="36"/>
      <c r="QJW209" s="36"/>
      <c r="QJX209" s="36"/>
      <c r="QJY209" s="36"/>
      <c r="QJZ209" s="36"/>
      <c r="QKA209" s="36"/>
      <c r="QKB209" s="36"/>
      <c r="QKC209" s="36"/>
      <c r="QKD209" s="36"/>
      <c r="QKE209" s="36"/>
      <c r="QKF209" s="36"/>
      <c r="QKG209" s="36"/>
      <c r="QKH209" s="36"/>
      <c r="QKI209" s="36"/>
      <c r="QKJ209" s="36"/>
      <c r="QKK209" s="36"/>
      <c r="QKL209" s="36"/>
      <c r="QKM209" s="36"/>
      <c r="QKN209" s="36"/>
      <c r="QKO209" s="36"/>
      <c r="QKP209" s="36"/>
      <c r="QKQ209" s="36"/>
      <c r="QKR209" s="36"/>
      <c r="QKS209" s="36"/>
      <c r="QKT209" s="36"/>
      <c r="QKU209" s="36"/>
      <c r="QKV209" s="36"/>
      <c r="QKW209" s="36"/>
      <c r="QKX209" s="36"/>
      <c r="QKY209" s="36"/>
      <c r="QKZ209" s="36"/>
      <c r="QLA209" s="36"/>
      <c r="QLB209" s="36"/>
      <c r="QLC209" s="36"/>
      <c r="QLD209" s="36"/>
      <c r="QLE209" s="36"/>
      <c r="QLF209" s="36"/>
      <c r="QLG209" s="36"/>
      <c r="QLH209" s="36"/>
      <c r="QLI209" s="36"/>
      <c r="QLJ209" s="36"/>
      <c r="QLK209" s="36"/>
      <c r="QLL209" s="36"/>
      <c r="QLM209" s="36"/>
      <c r="QLN209" s="36"/>
      <c r="QLO209" s="36"/>
      <c r="QLP209" s="36"/>
      <c r="QLQ209" s="36"/>
      <c r="QLR209" s="36"/>
      <c r="QLS209" s="36"/>
      <c r="QLT209" s="36"/>
      <c r="QLU209" s="36"/>
      <c r="QLV209" s="36"/>
      <c r="QLW209" s="36"/>
      <c r="QLX209" s="36"/>
      <c r="QLY209" s="36"/>
      <c r="QLZ209" s="36"/>
      <c r="QMA209" s="36"/>
      <c r="QMB209" s="36"/>
      <c r="QMC209" s="36"/>
      <c r="QMD209" s="36"/>
      <c r="QME209" s="36"/>
      <c r="QMF209" s="36"/>
      <c r="QMG209" s="36"/>
      <c r="QMH209" s="36"/>
      <c r="QMI209" s="36"/>
      <c r="QMJ209" s="36"/>
      <c r="QMK209" s="36"/>
      <c r="QML209" s="36"/>
      <c r="QMM209" s="36"/>
      <c r="QMN209" s="36"/>
      <c r="QMO209" s="36"/>
      <c r="QMP209" s="36"/>
      <c r="QMQ209" s="36"/>
      <c r="QMR209" s="36"/>
      <c r="QMS209" s="36"/>
      <c r="QMT209" s="36"/>
      <c r="QMU209" s="36"/>
      <c r="QMV209" s="36"/>
      <c r="QMW209" s="36"/>
      <c r="QMX209" s="36"/>
      <c r="QMY209" s="36"/>
      <c r="QMZ209" s="36"/>
      <c r="QNA209" s="36"/>
      <c r="QNB209" s="36"/>
      <c r="QNC209" s="36"/>
      <c r="QND209" s="36"/>
      <c r="QNE209" s="36"/>
      <c r="QNF209" s="36"/>
      <c r="QNG209" s="36"/>
      <c r="QNH209" s="36"/>
      <c r="QNI209" s="36"/>
      <c r="QNJ209" s="36"/>
      <c r="QNK209" s="36"/>
      <c r="QNL209" s="36"/>
      <c r="QNM209" s="36"/>
      <c r="QNN209" s="36"/>
      <c r="QNO209" s="36"/>
      <c r="QNP209" s="36"/>
      <c r="QNQ209" s="36"/>
      <c r="QNR209" s="36"/>
      <c r="QNS209" s="36"/>
      <c r="QNT209" s="36"/>
      <c r="QNU209" s="36"/>
      <c r="QNV209" s="36"/>
      <c r="QNW209" s="36"/>
      <c r="QNX209" s="36"/>
      <c r="QNY209" s="36"/>
      <c r="QNZ209" s="36"/>
      <c r="QOA209" s="36"/>
      <c r="QOB209" s="36"/>
      <c r="QOC209" s="36"/>
      <c r="QOD209" s="36"/>
      <c r="QOE209" s="36"/>
      <c r="QOF209" s="36"/>
      <c r="QOG209" s="36"/>
      <c r="QOH209" s="36"/>
      <c r="QOI209" s="36"/>
      <c r="QOJ209" s="36"/>
      <c r="QOK209" s="36"/>
      <c r="QOL209" s="36"/>
      <c r="QOM209" s="36"/>
      <c r="QON209" s="36"/>
      <c r="QOO209" s="36"/>
      <c r="QOP209" s="36"/>
      <c r="QOQ209" s="36"/>
      <c r="QOR209" s="36"/>
      <c r="QOS209" s="36"/>
      <c r="QOT209" s="36"/>
      <c r="QOU209" s="36"/>
      <c r="QOV209" s="36"/>
      <c r="QOW209" s="36"/>
      <c r="QOX209" s="36"/>
      <c r="QOY209" s="36"/>
      <c r="QOZ209" s="36"/>
      <c r="QPA209" s="36"/>
      <c r="QPB209" s="36"/>
      <c r="QPC209" s="36"/>
      <c r="QPD209" s="36"/>
      <c r="QPE209" s="36"/>
      <c r="QPF209" s="36"/>
      <c r="QPG209" s="36"/>
      <c r="QPH209" s="36"/>
      <c r="QPI209" s="36"/>
      <c r="QPJ209" s="36"/>
      <c r="QPK209" s="36"/>
      <c r="QPL209" s="36"/>
      <c r="QPM209" s="36"/>
      <c r="QPN209" s="36"/>
      <c r="QPO209" s="36"/>
      <c r="QPP209" s="36"/>
      <c r="QPQ209" s="36"/>
      <c r="QPR209" s="36"/>
      <c r="QPS209" s="36"/>
      <c r="QPT209" s="36"/>
      <c r="QPU209" s="36"/>
      <c r="QPV209" s="36"/>
      <c r="QPW209" s="36"/>
      <c r="QPX209" s="36"/>
      <c r="QPY209" s="36"/>
      <c r="QPZ209" s="36"/>
      <c r="QQA209" s="36"/>
      <c r="QQB209" s="36"/>
      <c r="QQC209" s="36"/>
      <c r="QQD209" s="36"/>
      <c r="QQE209" s="36"/>
      <c r="QQF209" s="36"/>
      <c r="QQG209" s="36"/>
      <c r="QQH209" s="36"/>
      <c r="QQI209" s="36"/>
      <c r="QQJ209" s="36"/>
      <c r="QQK209" s="36"/>
      <c r="QQL209" s="36"/>
      <c r="QQM209" s="36"/>
      <c r="QQN209" s="36"/>
      <c r="QQO209" s="36"/>
      <c r="QQP209" s="36"/>
      <c r="QQQ209" s="36"/>
      <c r="QQR209" s="36"/>
      <c r="QQS209" s="36"/>
      <c r="QQT209" s="36"/>
      <c r="QQU209" s="36"/>
      <c r="QQV209" s="36"/>
      <c r="QQW209" s="36"/>
      <c r="QQX209" s="36"/>
      <c r="QQY209" s="36"/>
      <c r="QQZ209" s="36"/>
      <c r="QRA209" s="36"/>
      <c r="QRB209" s="36"/>
      <c r="QRC209" s="36"/>
      <c r="QRD209" s="36"/>
      <c r="QRE209" s="36"/>
      <c r="QRF209" s="36"/>
      <c r="QRG209" s="36"/>
      <c r="QRH209" s="36"/>
      <c r="QRI209" s="36"/>
      <c r="QRJ209" s="36"/>
      <c r="QRK209" s="36"/>
      <c r="QRL209" s="36"/>
      <c r="QRM209" s="36"/>
      <c r="QRN209" s="36"/>
      <c r="QRO209" s="36"/>
      <c r="QRP209" s="36"/>
      <c r="QRQ209" s="36"/>
      <c r="QRR209" s="36"/>
      <c r="QRS209" s="36"/>
      <c r="QRT209" s="36"/>
      <c r="QRU209" s="36"/>
      <c r="QRV209" s="36"/>
      <c r="QRW209" s="36"/>
      <c r="QRX209" s="36"/>
      <c r="QRY209" s="36"/>
      <c r="QRZ209" s="36"/>
      <c r="QSA209" s="36"/>
      <c r="QSB209" s="36"/>
      <c r="QSC209" s="36"/>
      <c r="QSD209" s="36"/>
      <c r="QSE209" s="36"/>
      <c r="QSF209" s="36"/>
      <c r="QSG209" s="36"/>
      <c r="QSH209" s="36"/>
      <c r="QSI209" s="36"/>
      <c r="QSJ209" s="36"/>
      <c r="QSK209" s="36"/>
      <c r="QSL209" s="36"/>
      <c r="QSM209" s="36"/>
      <c r="QSN209" s="36"/>
      <c r="QSO209" s="36"/>
      <c r="QSP209" s="36"/>
      <c r="QSQ209" s="36"/>
      <c r="QSR209" s="36"/>
      <c r="QSS209" s="36"/>
      <c r="QST209" s="36"/>
      <c r="QSU209" s="36"/>
      <c r="QSV209" s="36"/>
      <c r="QSW209" s="36"/>
      <c r="QSX209" s="36"/>
      <c r="QSY209" s="36"/>
      <c r="QSZ209" s="36"/>
      <c r="QTA209" s="36"/>
      <c r="QTB209" s="36"/>
      <c r="QTC209" s="36"/>
      <c r="QTD209" s="36"/>
      <c r="QTE209" s="36"/>
      <c r="QTF209" s="36"/>
      <c r="QTG209" s="36"/>
      <c r="QTH209" s="36"/>
      <c r="QTI209" s="36"/>
      <c r="QTJ209" s="36"/>
      <c r="QTK209" s="36"/>
      <c r="QTL209" s="36"/>
      <c r="QTM209" s="36"/>
      <c r="QTN209" s="36"/>
      <c r="QTO209" s="36"/>
      <c r="QTP209" s="36"/>
      <c r="QTQ209" s="36"/>
      <c r="QTR209" s="36"/>
      <c r="QTS209" s="36"/>
      <c r="QTT209" s="36"/>
      <c r="QTU209" s="36"/>
      <c r="QTV209" s="36"/>
      <c r="QTW209" s="36"/>
      <c r="QTX209" s="36"/>
      <c r="QTY209" s="36"/>
      <c r="QTZ209" s="36"/>
      <c r="QUA209" s="36"/>
      <c r="QUB209" s="36"/>
      <c r="QUC209" s="36"/>
      <c r="QUD209" s="36"/>
      <c r="QUE209" s="36"/>
      <c r="QUF209" s="36"/>
      <c r="QUG209" s="36"/>
      <c r="QUH209" s="36"/>
      <c r="QUI209" s="36"/>
      <c r="QUJ209" s="36"/>
      <c r="QUK209" s="36"/>
      <c r="QUL209" s="36"/>
      <c r="QUM209" s="36"/>
      <c r="QUN209" s="36"/>
      <c r="QUO209" s="36"/>
      <c r="QUP209" s="36"/>
      <c r="QUQ209" s="36"/>
      <c r="QUR209" s="36"/>
      <c r="QUS209" s="36"/>
      <c r="QUT209" s="36"/>
      <c r="QUU209" s="36"/>
      <c r="QUV209" s="36"/>
      <c r="QUW209" s="36"/>
      <c r="QUX209" s="36"/>
      <c r="QUY209" s="36"/>
      <c r="QUZ209" s="36"/>
      <c r="QVA209" s="36"/>
      <c r="QVB209" s="36"/>
      <c r="QVC209" s="36"/>
      <c r="QVD209" s="36"/>
      <c r="QVE209" s="36"/>
      <c r="QVF209" s="36"/>
      <c r="QVG209" s="36"/>
      <c r="QVH209" s="36"/>
      <c r="QVI209" s="36"/>
      <c r="QVJ209" s="36"/>
      <c r="QVK209" s="36"/>
      <c r="QVL209" s="36"/>
      <c r="QVM209" s="36"/>
      <c r="QVN209" s="36"/>
      <c r="QVO209" s="36"/>
      <c r="QVP209" s="36"/>
      <c r="QVQ209" s="36"/>
      <c r="QVR209" s="36"/>
      <c r="QVS209" s="36"/>
      <c r="QVT209" s="36"/>
      <c r="QVU209" s="36"/>
      <c r="QVV209" s="36"/>
      <c r="QVW209" s="36"/>
      <c r="QVX209" s="36"/>
      <c r="QVY209" s="36"/>
      <c r="QVZ209" s="36"/>
      <c r="QWA209" s="36"/>
      <c r="QWB209" s="36"/>
      <c r="QWC209" s="36"/>
      <c r="QWD209" s="36"/>
      <c r="QWE209" s="36"/>
      <c r="QWF209" s="36"/>
      <c r="QWG209" s="36"/>
      <c r="QWH209" s="36"/>
      <c r="QWI209" s="36"/>
      <c r="QWJ209" s="36"/>
      <c r="QWK209" s="36"/>
      <c r="QWL209" s="36"/>
      <c r="QWM209" s="36"/>
      <c r="QWN209" s="36"/>
      <c r="QWO209" s="36"/>
      <c r="QWP209" s="36"/>
      <c r="QWQ209" s="36"/>
      <c r="QWR209" s="36"/>
      <c r="QWS209" s="36"/>
      <c r="QWT209" s="36"/>
      <c r="QWU209" s="36"/>
      <c r="QWV209" s="36"/>
      <c r="QWW209" s="36"/>
      <c r="QWX209" s="36"/>
      <c r="QWY209" s="36"/>
      <c r="QWZ209" s="36"/>
      <c r="QXA209" s="36"/>
      <c r="QXB209" s="36"/>
      <c r="QXC209" s="36"/>
      <c r="QXD209" s="36"/>
      <c r="QXE209" s="36"/>
      <c r="QXF209" s="36"/>
      <c r="QXG209" s="36"/>
      <c r="QXH209" s="36"/>
      <c r="QXI209" s="36"/>
      <c r="QXJ209" s="36"/>
      <c r="QXK209" s="36"/>
      <c r="QXL209" s="36"/>
      <c r="QXM209" s="36"/>
      <c r="QXN209" s="36"/>
      <c r="QXO209" s="36"/>
      <c r="QXP209" s="36"/>
      <c r="QXQ209" s="36"/>
      <c r="QXR209" s="36"/>
      <c r="QXS209" s="36"/>
      <c r="QXT209" s="36"/>
      <c r="QXU209" s="36"/>
      <c r="QXV209" s="36"/>
      <c r="QXW209" s="36"/>
      <c r="QXX209" s="36"/>
      <c r="QXY209" s="36"/>
      <c r="QXZ209" s="36"/>
      <c r="QYA209" s="36"/>
      <c r="QYB209" s="36"/>
      <c r="QYC209" s="36"/>
      <c r="QYD209" s="36"/>
      <c r="QYE209" s="36"/>
      <c r="QYF209" s="36"/>
      <c r="QYG209" s="36"/>
      <c r="QYH209" s="36"/>
      <c r="QYI209" s="36"/>
      <c r="QYJ209" s="36"/>
      <c r="QYK209" s="36"/>
      <c r="QYL209" s="36"/>
      <c r="QYM209" s="36"/>
      <c r="QYN209" s="36"/>
      <c r="QYO209" s="36"/>
      <c r="QYP209" s="36"/>
      <c r="QYQ209" s="36"/>
      <c r="QYR209" s="36"/>
      <c r="QYS209" s="36"/>
      <c r="QYT209" s="36"/>
      <c r="QYU209" s="36"/>
      <c r="QYV209" s="36"/>
      <c r="QYW209" s="36"/>
      <c r="QYX209" s="36"/>
      <c r="QYY209" s="36"/>
      <c r="QYZ209" s="36"/>
      <c r="QZA209" s="36"/>
      <c r="QZB209" s="36"/>
      <c r="QZC209" s="36"/>
      <c r="QZD209" s="36"/>
      <c r="QZE209" s="36"/>
      <c r="QZF209" s="36"/>
      <c r="QZG209" s="36"/>
      <c r="QZH209" s="36"/>
      <c r="QZI209" s="36"/>
      <c r="QZJ209" s="36"/>
      <c r="QZK209" s="36"/>
      <c r="QZL209" s="36"/>
      <c r="QZM209" s="36"/>
      <c r="QZN209" s="36"/>
      <c r="QZO209" s="36"/>
      <c r="QZP209" s="36"/>
      <c r="QZQ209" s="36"/>
      <c r="QZR209" s="36"/>
      <c r="QZS209" s="36"/>
      <c r="QZT209" s="36"/>
      <c r="QZU209" s="36"/>
      <c r="QZV209" s="36"/>
      <c r="QZW209" s="36"/>
      <c r="QZX209" s="36"/>
      <c r="QZY209" s="36"/>
      <c r="QZZ209" s="36"/>
      <c r="RAA209" s="36"/>
      <c r="RAB209" s="36"/>
      <c r="RAC209" s="36"/>
      <c r="RAD209" s="36"/>
      <c r="RAE209" s="36"/>
      <c r="RAF209" s="36"/>
      <c r="RAG209" s="36"/>
      <c r="RAH209" s="36"/>
      <c r="RAI209" s="36"/>
      <c r="RAJ209" s="36"/>
      <c r="RAK209" s="36"/>
      <c r="RAL209" s="36"/>
      <c r="RAM209" s="36"/>
      <c r="RAN209" s="36"/>
      <c r="RAO209" s="36"/>
      <c r="RAP209" s="36"/>
      <c r="RAQ209" s="36"/>
      <c r="RAR209" s="36"/>
      <c r="RAS209" s="36"/>
      <c r="RAT209" s="36"/>
      <c r="RAU209" s="36"/>
      <c r="RAV209" s="36"/>
      <c r="RAW209" s="36"/>
      <c r="RAX209" s="36"/>
      <c r="RAY209" s="36"/>
      <c r="RAZ209" s="36"/>
      <c r="RBA209" s="36"/>
      <c r="RBB209" s="36"/>
      <c r="RBC209" s="36"/>
      <c r="RBD209" s="36"/>
      <c r="RBE209" s="36"/>
      <c r="RBF209" s="36"/>
      <c r="RBG209" s="36"/>
      <c r="RBH209" s="36"/>
      <c r="RBI209" s="36"/>
      <c r="RBJ209" s="36"/>
      <c r="RBK209" s="36"/>
      <c r="RBL209" s="36"/>
      <c r="RBM209" s="36"/>
      <c r="RBN209" s="36"/>
      <c r="RBO209" s="36"/>
      <c r="RBP209" s="36"/>
      <c r="RBQ209" s="36"/>
      <c r="RBR209" s="36"/>
      <c r="RBS209" s="36"/>
      <c r="RBT209" s="36"/>
      <c r="RBU209" s="36"/>
      <c r="RBV209" s="36"/>
      <c r="RBW209" s="36"/>
      <c r="RBX209" s="36"/>
      <c r="RBY209" s="36"/>
      <c r="RBZ209" s="36"/>
      <c r="RCA209" s="36"/>
      <c r="RCB209" s="36"/>
      <c r="RCC209" s="36"/>
      <c r="RCD209" s="36"/>
      <c r="RCE209" s="36"/>
      <c r="RCF209" s="36"/>
      <c r="RCG209" s="36"/>
      <c r="RCH209" s="36"/>
      <c r="RCI209" s="36"/>
      <c r="RCJ209" s="36"/>
      <c r="RCK209" s="36"/>
      <c r="RCL209" s="36"/>
      <c r="RCM209" s="36"/>
      <c r="RCN209" s="36"/>
      <c r="RCO209" s="36"/>
      <c r="RCP209" s="36"/>
      <c r="RCQ209" s="36"/>
      <c r="RCR209" s="36"/>
      <c r="RCS209" s="36"/>
      <c r="RCT209" s="36"/>
      <c r="RCU209" s="36"/>
      <c r="RCV209" s="36"/>
      <c r="RCW209" s="36"/>
      <c r="RCX209" s="36"/>
      <c r="RCY209" s="36"/>
      <c r="RCZ209" s="36"/>
      <c r="RDA209" s="36"/>
      <c r="RDB209" s="36"/>
      <c r="RDC209" s="36"/>
      <c r="RDD209" s="36"/>
      <c r="RDE209" s="36"/>
      <c r="RDF209" s="36"/>
      <c r="RDG209" s="36"/>
      <c r="RDH209" s="36"/>
      <c r="RDI209" s="36"/>
      <c r="RDJ209" s="36"/>
      <c r="RDK209" s="36"/>
      <c r="RDL209" s="36"/>
      <c r="RDM209" s="36"/>
      <c r="RDN209" s="36"/>
      <c r="RDO209" s="36"/>
      <c r="RDP209" s="36"/>
      <c r="RDQ209" s="36"/>
      <c r="RDR209" s="36"/>
      <c r="RDS209" s="36"/>
      <c r="RDT209" s="36"/>
      <c r="RDU209" s="36"/>
      <c r="RDV209" s="36"/>
      <c r="RDW209" s="36"/>
      <c r="RDX209" s="36"/>
      <c r="RDY209" s="36"/>
      <c r="RDZ209" s="36"/>
      <c r="REA209" s="36"/>
      <c r="REB209" s="36"/>
      <c r="REC209" s="36"/>
      <c r="RED209" s="36"/>
      <c r="REE209" s="36"/>
      <c r="REF209" s="36"/>
      <c r="REG209" s="36"/>
      <c r="REH209" s="36"/>
      <c r="REI209" s="36"/>
      <c r="REJ209" s="36"/>
      <c r="REK209" s="36"/>
      <c r="REL209" s="36"/>
      <c r="REM209" s="36"/>
      <c r="REN209" s="36"/>
      <c r="REO209" s="36"/>
      <c r="REP209" s="36"/>
      <c r="REQ209" s="36"/>
      <c r="RER209" s="36"/>
      <c r="RES209" s="36"/>
      <c r="RET209" s="36"/>
      <c r="REU209" s="36"/>
      <c r="REV209" s="36"/>
      <c r="REW209" s="36"/>
      <c r="REX209" s="36"/>
      <c r="REY209" s="36"/>
      <c r="REZ209" s="36"/>
      <c r="RFA209" s="36"/>
      <c r="RFB209" s="36"/>
      <c r="RFC209" s="36"/>
      <c r="RFD209" s="36"/>
      <c r="RFE209" s="36"/>
      <c r="RFF209" s="36"/>
      <c r="RFG209" s="36"/>
      <c r="RFH209" s="36"/>
      <c r="RFI209" s="36"/>
      <c r="RFJ209" s="36"/>
      <c r="RFK209" s="36"/>
      <c r="RFL209" s="36"/>
      <c r="RFM209" s="36"/>
      <c r="RFN209" s="36"/>
      <c r="RFO209" s="36"/>
      <c r="RFP209" s="36"/>
      <c r="RFQ209" s="36"/>
      <c r="RFR209" s="36"/>
      <c r="RFS209" s="36"/>
      <c r="RFT209" s="36"/>
      <c r="RFU209" s="36"/>
      <c r="RFV209" s="36"/>
      <c r="RFW209" s="36"/>
      <c r="RFX209" s="36"/>
      <c r="RFY209" s="36"/>
      <c r="RFZ209" s="36"/>
      <c r="RGA209" s="36"/>
      <c r="RGB209" s="36"/>
      <c r="RGC209" s="36"/>
      <c r="RGD209" s="36"/>
      <c r="RGE209" s="36"/>
      <c r="RGF209" s="36"/>
      <c r="RGG209" s="36"/>
      <c r="RGH209" s="36"/>
      <c r="RGI209" s="36"/>
      <c r="RGJ209" s="36"/>
      <c r="RGK209" s="36"/>
      <c r="RGL209" s="36"/>
      <c r="RGM209" s="36"/>
      <c r="RGN209" s="36"/>
      <c r="RGO209" s="36"/>
      <c r="RGP209" s="36"/>
      <c r="RGQ209" s="36"/>
      <c r="RGR209" s="36"/>
      <c r="RGS209" s="36"/>
      <c r="RGT209" s="36"/>
      <c r="RGU209" s="36"/>
      <c r="RGV209" s="36"/>
      <c r="RGW209" s="36"/>
      <c r="RGX209" s="36"/>
      <c r="RGY209" s="36"/>
      <c r="RGZ209" s="36"/>
      <c r="RHA209" s="36"/>
      <c r="RHB209" s="36"/>
      <c r="RHC209" s="36"/>
      <c r="RHD209" s="36"/>
      <c r="RHE209" s="36"/>
      <c r="RHF209" s="36"/>
      <c r="RHG209" s="36"/>
      <c r="RHH209" s="36"/>
      <c r="RHI209" s="36"/>
      <c r="RHJ209" s="36"/>
      <c r="RHK209" s="36"/>
      <c r="RHL209" s="36"/>
      <c r="RHM209" s="36"/>
      <c r="RHN209" s="36"/>
      <c r="RHO209" s="36"/>
      <c r="RHP209" s="36"/>
      <c r="RHQ209" s="36"/>
      <c r="RHR209" s="36"/>
      <c r="RHS209" s="36"/>
      <c r="RHT209" s="36"/>
      <c r="RHU209" s="36"/>
      <c r="RHV209" s="36"/>
      <c r="RHW209" s="36"/>
      <c r="RHX209" s="36"/>
      <c r="RHY209" s="36"/>
      <c r="RHZ209" s="36"/>
      <c r="RIA209" s="36"/>
      <c r="RIB209" s="36"/>
      <c r="RIC209" s="36"/>
      <c r="RID209" s="36"/>
      <c r="RIE209" s="36"/>
      <c r="RIF209" s="36"/>
      <c r="RIG209" s="36"/>
      <c r="RIH209" s="36"/>
      <c r="RII209" s="36"/>
      <c r="RIJ209" s="36"/>
      <c r="RIK209" s="36"/>
      <c r="RIL209" s="36"/>
      <c r="RIM209" s="36"/>
      <c r="RIN209" s="36"/>
      <c r="RIO209" s="36"/>
      <c r="RIP209" s="36"/>
      <c r="RIQ209" s="36"/>
      <c r="RIR209" s="36"/>
      <c r="RIS209" s="36"/>
      <c r="RIT209" s="36"/>
      <c r="RIU209" s="36"/>
      <c r="RIV209" s="36"/>
      <c r="RIW209" s="36"/>
      <c r="RIX209" s="36"/>
      <c r="RIY209" s="36"/>
      <c r="RIZ209" s="36"/>
      <c r="RJA209" s="36"/>
      <c r="RJB209" s="36"/>
      <c r="RJC209" s="36"/>
      <c r="RJD209" s="36"/>
      <c r="RJE209" s="36"/>
      <c r="RJF209" s="36"/>
      <c r="RJG209" s="36"/>
      <c r="RJH209" s="36"/>
      <c r="RJI209" s="36"/>
      <c r="RJJ209" s="36"/>
      <c r="RJK209" s="36"/>
      <c r="RJL209" s="36"/>
      <c r="RJM209" s="36"/>
      <c r="RJN209" s="36"/>
      <c r="RJO209" s="36"/>
      <c r="RJP209" s="36"/>
      <c r="RJQ209" s="36"/>
      <c r="RJR209" s="36"/>
      <c r="RJS209" s="36"/>
      <c r="RJT209" s="36"/>
      <c r="RJU209" s="36"/>
      <c r="RJV209" s="36"/>
      <c r="RJW209" s="36"/>
      <c r="RJX209" s="36"/>
      <c r="RJY209" s="36"/>
      <c r="RJZ209" s="36"/>
      <c r="RKA209" s="36"/>
      <c r="RKB209" s="36"/>
      <c r="RKC209" s="36"/>
      <c r="RKD209" s="36"/>
      <c r="RKE209" s="36"/>
      <c r="RKF209" s="36"/>
      <c r="RKG209" s="36"/>
      <c r="RKH209" s="36"/>
      <c r="RKI209" s="36"/>
      <c r="RKJ209" s="36"/>
      <c r="RKK209" s="36"/>
      <c r="RKL209" s="36"/>
      <c r="RKM209" s="36"/>
      <c r="RKN209" s="36"/>
      <c r="RKO209" s="36"/>
      <c r="RKP209" s="36"/>
      <c r="RKQ209" s="36"/>
      <c r="RKR209" s="36"/>
      <c r="RKS209" s="36"/>
      <c r="RKT209" s="36"/>
      <c r="RKU209" s="36"/>
      <c r="RKV209" s="36"/>
      <c r="RKW209" s="36"/>
      <c r="RKX209" s="36"/>
      <c r="RKY209" s="36"/>
      <c r="RKZ209" s="36"/>
      <c r="RLA209" s="36"/>
      <c r="RLB209" s="36"/>
      <c r="RLC209" s="36"/>
      <c r="RLD209" s="36"/>
      <c r="RLE209" s="36"/>
      <c r="RLF209" s="36"/>
      <c r="RLG209" s="36"/>
      <c r="RLH209" s="36"/>
      <c r="RLI209" s="36"/>
      <c r="RLJ209" s="36"/>
      <c r="RLK209" s="36"/>
      <c r="RLL209" s="36"/>
      <c r="RLM209" s="36"/>
      <c r="RLN209" s="36"/>
      <c r="RLO209" s="36"/>
      <c r="RLP209" s="36"/>
      <c r="RLQ209" s="36"/>
      <c r="RLR209" s="36"/>
      <c r="RLS209" s="36"/>
      <c r="RLT209" s="36"/>
      <c r="RLU209" s="36"/>
      <c r="RLV209" s="36"/>
      <c r="RLW209" s="36"/>
      <c r="RLX209" s="36"/>
      <c r="RLY209" s="36"/>
      <c r="RLZ209" s="36"/>
      <c r="RMA209" s="36"/>
      <c r="RMB209" s="36"/>
      <c r="RMC209" s="36"/>
      <c r="RMD209" s="36"/>
      <c r="RME209" s="36"/>
      <c r="RMF209" s="36"/>
      <c r="RMG209" s="36"/>
      <c r="RMH209" s="36"/>
      <c r="RMI209" s="36"/>
      <c r="RMJ209" s="36"/>
      <c r="RMK209" s="36"/>
      <c r="RML209" s="36"/>
      <c r="RMM209" s="36"/>
      <c r="RMN209" s="36"/>
      <c r="RMO209" s="36"/>
      <c r="RMP209" s="36"/>
      <c r="RMQ209" s="36"/>
      <c r="RMR209" s="36"/>
      <c r="RMS209" s="36"/>
      <c r="RMT209" s="36"/>
      <c r="RMU209" s="36"/>
      <c r="RMV209" s="36"/>
      <c r="RMW209" s="36"/>
      <c r="RMX209" s="36"/>
      <c r="RMY209" s="36"/>
      <c r="RMZ209" s="36"/>
      <c r="RNA209" s="36"/>
      <c r="RNB209" s="36"/>
      <c r="RNC209" s="36"/>
      <c r="RND209" s="36"/>
      <c r="RNE209" s="36"/>
      <c r="RNF209" s="36"/>
      <c r="RNG209" s="36"/>
      <c r="RNH209" s="36"/>
      <c r="RNI209" s="36"/>
      <c r="RNJ209" s="36"/>
      <c r="RNK209" s="36"/>
      <c r="RNL209" s="36"/>
      <c r="RNM209" s="36"/>
      <c r="RNN209" s="36"/>
      <c r="RNO209" s="36"/>
      <c r="RNP209" s="36"/>
      <c r="RNQ209" s="36"/>
      <c r="RNR209" s="36"/>
      <c r="RNS209" s="36"/>
      <c r="RNT209" s="36"/>
      <c r="RNU209" s="36"/>
      <c r="RNV209" s="36"/>
      <c r="RNW209" s="36"/>
      <c r="RNX209" s="36"/>
      <c r="RNY209" s="36"/>
      <c r="RNZ209" s="36"/>
      <c r="ROA209" s="36"/>
      <c r="ROB209" s="36"/>
      <c r="ROC209" s="36"/>
      <c r="ROD209" s="36"/>
      <c r="ROE209" s="36"/>
      <c r="ROF209" s="36"/>
      <c r="ROG209" s="36"/>
      <c r="ROH209" s="36"/>
      <c r="ROI209" s="36"/>
      <c r="ROJ209" s="36"/>
      <c r="ROK209" s="36"/>
      <c r="ROL209" s="36"/>
      <c r="ROM209" s="36"/>
      <c r="RON209" s="36"/>
      <c r="ROO209" s="36"/>
      <c r="ROP209" s="36"/>
      <c r="ROQ209" s="36"/>
      <c r="ROR209" s="36"/>
      <c r="ROS209" s="36"/>
      <c r="ROT209" s="36"/>
      <c r="ROU209" s="36"/>
      <c r="ROV209" s="36"/>
      <c r="ROW209" s="36"/>
      <c r="ROX209" s="36"/>
      <c r="ROY209" s="36"/>
      <c r="ROZ209" s="36"/>
      <c r="RPA209" s="36"/>
      <c r="RPB209" s="36"/>
      <c r="RPC209" s="36"/>
      <c r="RPD209" s="36"/>
      <c r="RPE209" s="36"/>
      <c r="RPF209" s="36"/>
      <c r="RPG209" s="36"/>
      <c r="RPH209" s="36"/>
      <c r="RPI209" s="36"/>
      <c r="RPJ209" s="36"/>
      <c r="RPK209" s="36"/>
      <c r="RPL209" s="36"/>
      <c r="RPM209" s="36"/>
      <c r="RPN209" s="36"/>
      <c r="RPO209" s="36"/>
      <c r="RPP209" s="36"/>
      <c r="RPQ209" s="36"/>
      <c r="RPR209" s="36"/>
      <c r="RPS209" s="36"/>
      <c r="RPT209" s="36"/>
      <c r="RPU209" s="36"/>
      <c r="RPV209" s="36"/>
      <c r="RPW209" s="36"/>
      <c r="RPX209" s="36"/>
      <c r="RPY209" s="36"/>
      <c r="RPZ209" s="36"/>
      <c r="RQA209" s="36"/>
      <c r="RQB209" s="36"/>
      <c r="RQC209" s="36"/>
      <c r="RQD209" s="36"/>
      <c r="RQE209" s="36"/>
      <c r="RQF209" s="36"/>
      <c r="RQG209" s="36"/>
      <c r="RQH209" s="36"/>
      <c r="RQI209" s="36"/>
      <c r="RQJ209" s="36"/>
      <c r="RQK209" s="36"/>
      <c r="RQL209" s="36"/>
      <c r="RQM209" s="36"/>
      <c r="RQN209" s="36"/>
      <c r="RQO209" s="36"/>
      <c r="RQP209" s="36"/>
      <c r="RQQ209" s="36"/>
      <c r="RQR209" s="36"/>
      <c r="RQS209" s="36"/>
      <c r="RQT209" s="36"/>
      <c r="RQU209" s="36"/>
      <c r="RQV209" s="36"/>
      <c r="RQW209" s="36"/>
      <c r="RQX209" s="36"/>
      <c r="RQY209" s="36"/>
      <c r="RQZ209" s="36"/>
      <c r="RRA209" s="36"/>
      <c r="RRB209" s="36"/>
      <c r="RRC209" s="36"/>
      <c r="RRD209" s="36"/>
      <c r="RRE209" s="36"/>
      <c r="RRF209" s="36"/>
      <c r="RRG209" s="36"/>
      <c r="RRH209" s="36"/>
      <c r="RRI209" s="36"/>
      <c r="RRJ209" s="36"/>
      <c r="RRK209" s="36"/>
      <c r="RRL209" s="36"/>
      <c r="RRM209" s="36"/>
      <c r="RRN209" s="36"/>
      <c r="RRO209" s="36"/>
      <c r="RRP209" s="36"/>
      <c r="RRQ209" s="36"/>
      <c r="RRR209" s="36"/>
      <c r="RRS209" s="36"/>
      <c r="RRT209" s="36"/>
      <c r="RRU209" s="36"/>
      <c r="RRV209" s="36"/>
      <c r="RRW209" s="36"/>
      <c r="RRX209" s="36"/>
      <c r="RRY209" s="36"/>
      <c r="RRZ209" s="36"/>
      <c r="RSA209" s="36"/>
      <c r="RSB209" s="36"/>
      <c r="RSC209" s="36"/>
      <c r="RSD209" s="36"/>
      <c r="RSE209" s="36"/>
      <c r="RSF209" s="36"/>
      <c r="RSG209" s="36"/>
      <c r="RSH209" s="36"/>
      <c r="RSI209" s="36"/>
      <c r="RSJ209" s="36"/>
      <c r="RSK209" s="36"/>
      <c r="RSL209" s="36"/>
      <c r="RSM209" s="36"/>
      <c r="RSN209" s="36"/>
      <c r="RSO209" s="36"/>
      <c r="RSP209" s="36"/>
      <c r="RSQ209" s="36"/>
      <c r="RSR209" s="36"/>
      <c r="RSS209" s="36"/>
      <c r="RST209" s="36"/>
      <c r="RSU209" s="36"/>
      <c r="RSV209" s="36"/>
      <c r="RSW209" s="36"/>
      <c r="RSX209" s="36"/>
      <c r="RSY209" s="36"/>
      <c r="RSZ209" s="36"/>
      <c r="RTA209" s="36"/>
      <c r="RTB209" s="36"/>
      <c r="RTC209" s="36"/>
      <c r="RTD209" s="36"/>
      <c r="RTE209" s="36"/>
      <c r="RTF209" s="36"/>
      <c r="RTG209" s="36"/>
      <c r="RTH209" s="36"/>
      <c r="RTI209" s="36"/>
      <c r="RTJ209" s="36"/>
      <c r="RTK209" s="36"/>
      <c r="RTL209" s="36"/>
      <c r="RTM209" s="36"/>
      <c r="RTN209" s="36"/>
      <c r="RTO209" s="36"/>
      <c r="RTP209" s="36"/>
      <c r="RTQ209" s="36"/>
      <c r="RTR209" s="36"/>
      <c r="RTS209" s="36"/>
      <c r="RTT209" s="36"/>
      <c r="RTU209" s="36"/>
      <c r="RTV209" s="36"/>
      <c r="RTW209" s="36"/>
      <c r="RTX209" s="36"/>
      <c r="RTY209" s="36"/>
      <c r="RTZ209" s="36"/>
      <c r="RUA209" s="36"/>
      <c r="RUB209" s="36"/>
      <c r="RUC209" s="36"/>
      <c r="RUD209" s="36"/>
      <c r="RUE209" s="36"/>
      <c r="RUF209" s="36"/>
      <c r="RUG209" s="36"/>
      <c r="RUH209" s="36"/>
      <c r="RUI209" s="36"/>
      <c r="RUJ209" s="36"/>
      <c r="RUK209" s="36"/>
      <c r="RUL209" s="36"/>
      <c r="RUM209" s="36"/>
      <c r="RUN209" s="36"/>
      <c r="RUO209" s="36"/>
      <c r="RUP209" s="36"/>
      <c r="RUQ209" s="36"/>
      <c r="RUR209" s="36"/>
      <c r="RUS209" s="36"/>
      <c r="RUT209" s="36"/>
      <c r="RUU209" s="36"/>
      <c r="RUV209" s="36"/>
      <c r="RUW209" s="36"/>
      <c r="RUX209" s="36"/>
      <c r="RUY209" s="36"/>
      <c r="RUZ209" s="36"/>
      <c r="RVA209" s="36"/>
      <c r="RVB209" s="36"/>
      <c r="RVC209" s="36"/>
      <c r="RVD209" s="36"/>
      <c r="RVE209" s="36"/>
      <c r="RVF209" s="36"/>
      <c r="RVG209" s="36"/>
      <c r="RVH209" s="36"/>
      <c r="RVI209" s="36"/>
      <c r="RVJ209" s="36"/>
      <c r="RVK209" s="36"/>
      <c r="RVL209" s="36"/>
      <c r="RVM209" s="36"/>
      <c r="RVN209" s="36"/>
      <c r="RVO209" s="36"/>
      <c r="RVP209" s="36"/>
      <c r="RVQ209" s="36"/>
      <c r="RVR209" s="36"/>
      <c r="RVS209" s="36"/>
      <c r="RVT209" s="36"/>
      <c r="RVU209" s="36"/>
      <c r="RVV209" s="36"/>
      <c r="RVW209" s="36"/>
      <c r="RVX209" s="36"/>
      <c r="RVY209" s="36"/>
      <c r="RVZ209" s="36"/>
      <c r="RWA209" s="36"/>
      <c r="RWB209" s="36"/>
      <c r="RWC209" s="36"/>
      <c r="RWD209" s="36"/>
      <c r="RWE209" s="36"/>
      <c r="RWF209" s="36"/>
      <c r="RWG209" s="36"/>
      <c r="RWH209" s="36"/>
      <c r="RWI209" s="36"/>
      <c r="RWJ209" s="36"/>
      <c r="RWK209" s="36"/>
      <c r="RWL209" s="36"/>
      <c r="RWM209" s="36"/>
      <c r="RWN209" s="36"/>
      <c r="RWO209" s="36"/>
      <c r="RWP209" s="36"/>
      <c r="RWQ209" s="36"/>
      <c r="RWR209" s="36"/>
      <c r="RWS209" s="36"/>
      <c r="RWT209" s="36"/>
      <c r="RWU209" s="36"/>
      <c r="RWV209" s="36"/>
      <c r="RWW209" s="36"/>
      <c r="RWX209" s="36"/>
      <c r="RWY209" s="36"/>
      <c r="RWZ209" s="36"/>
      <c r="RXA209" s="36"/>
      <c r="RXB209" s="36"/>
      <c r="RXC209" s="36"/>
      <c r="RXD209" s="36"/>
      <c r="RXE209" s="36"/>
      <c r="RXF209" s="36"/>
      <c r="RXG209" s="36"/>
      <c r="RXH209" s="36"/>
      <c r="RXI209" s="36"/>
      <c r="RXJ209" s="36"/>
      <c r="RXK209" s="36"/>
      <c r="RXL209" s="36"/>
      <c r="RXM209" s="36"/>
      <c r="RXN209" s="36"/>
      <c r="RXO209" s="36"/>
      <c r="RXP209" s="36"/>
      <c r="RXQ209" s="36"/>
      <c r="RXR209" s="36"/>
      <c r="RXS209" s="36"/>
      <c r="RXT209" s="36"/>
      <c r="RXU209" s="36"/>
      <c r="RXV209" s="36"/>
      <c r="RXW209" s="36"/>
      <c r="RXX209" s="36"/>
      <c r="RXY209" s="36"/>
      <c r="RXZ209" s="36"/>
      <c r="RYA209" s="36"/>
      <c r="RYB209" s="36"/>
      <c r="RYC209" s="36"/>
      <c r="RYD209" s="36"/>
      <c r="RYE209" s="36"/>
      <c r="RYF209" s="36"/>
      <c r="RYG209" s="36"/>
      <c r="RYH209" s="36"/>
      <c r="RYI209" s="36"/>
      <c r="RYJ209" s="36"/>
      <c r="RYK209" s="36"/>
      <c r="RYL209" s="36"/>
      <c r="RYM209" s="36"/>
      <c r="RYN209" s="36"/>
      <c r="RYO209" s="36"/>
      <c r="RYP209" s="36"/>
      <c r="RYQ209" s="36"/>
      <c r="RYR209" s="36"/>
      <c r="RYS209" s="36"/>
      <c r="RYT209" s="36"/>
      <c r="RYU209" s="36"/>
      <c r="RYV209" s="36"/>
      <c r="RYW209" s="36"/>
      <c r="RYX209" s="36"/>
      <c r="RYY209" s="36"/>
      <c r="RYZ209" s="36"/>
      <c r="RZA209" s="36"/>
      <c r="RZB209" s="36"/>
      <c r="RZC209" s="36"/>
      <c r="RZD209" s="36"/>
      <c r="RZE209" s="36"/>
      <c r="RZF209" s="36"/>
      <c r="RZG209" s="36"/>
      <c r="RZH209" s="36"/>
      <c r="RZI209" s="36"/>
      <c r="RZJ209" s="36"/>
      <c r="RZK209" s="36"/>
      <c r="RZL209" s="36"/>
      <c r="RZM209" s="36"/>
      <c r="RZN209" s="36"/>
      <c r="RZO209" s="36"/>
      <c r="RZP209" s="36"/>
      <c r="RZQ209" s="36"/>
      <c r="RZR209" s="36"/>
      <c r="RZS209" s="36"/>
      <c r="RZT209" s="36"/>
      <c r="RZU209" s="36"/>
      <c r="RZV209" s="36"/>
      <c r="RZW209" s="36"/>
      <c r="RZX209" s="36"/>
      <c r="RZY209" s="36"/>
      <c r="RZZ209" s="36"/>
      <c r="SAA209" s="36"/>
      <c r="SAB209" s="36"/>
      <c r="SAC209" s="36"/>
      <c r="SAD209" s="36"/>
      <c r="SAE209" s="36"/>
      <c r="SAF209" s="36"/>
      <c r="SAG209" s="36"/>
      <c r="SAH209" s="36"/>
      <c r="SAI209" s="36"/>
      <c r="SAJ209" s="36"/>
      <c r="SAK209" s="36"/>
      <c r="SAL209" s="36"/>
      <c r="SAM209" s="36"/>
      <c r="SAN209" s="36"/>
      <c r="SAO209" s="36"/>
      <c r="SAP209" s="36"/>
      <c r="SAQ209" s="36"/>
      <c r="SAR209" s="36"/>
      <c r="SAS209" s="36"/>
      <c r="SAT209" s="36"/>
      <c r="SAU209" s="36"/>
      <c r="SAV209" s="36"/>
      <c r="SAW209" s="36"/>
      <c r="SAX209" s="36"/>
      <c r="SAY209" s="36"/>
      <c r="SAZ209" s="36"/>
      <c r="SBA209" s="36"/>
      <c r="SBB209" s="36"/>
      <c r="SBC209" s="36"/>
      <c r="SBD209" s="36"/>
      <c r="SBE209" s="36"/>
      <c r="SBF209" s="36"/>
      <c r="SBG209" s="36"/>
      <c r="SBH209" s="36"/>
      <c r="SBI209" s="36"/>
      <c r="SBJ209" s="36"/>
      <c r="SBK209" s="36"/>
      <c r="SBL209" s="36"/>
      <c r="SBM209" s="36"/>
      <c r="SBN209" s="36"/>
      <c r="SBO209" s="36"/>
      <c r="SBP209" s="36"/>
      <c r="SBQ209" s="36"/>
      <c r="SBR209" s="36"/>
      <c r="SBS209" s="36"/>
      <c r="SBT209" s="36"/>
      <c r="SBU209" s="36"/>
      <c r="SBV209" s="36"/>
      <c r="SBW209" s="36"/>
      <c r="SBX209" s="36"/>
      <c r="SBY209" s="36"/>
      <c r="SBZ209" s="36"/>
      <c r="SCA209" s="36"/>
      <c r="SCB209" s="36"/>
      <c r="SCC209" s="36"/>
      <c r="SCD209" s="36"/>
      <c r="SCE209" s="36"/>
      <c r="SCF209" s="36"/>
      <c r="SCG209" s="36"/>
      <c r="SCH209" s="36"/>
      <c r="SCI209" s="36"/>
      <c r="SCJ209" s="36"/>
      <c r="SCK209" s="36"/>
      <c r="SCL209" s="36"/>
      <c r="SCM209" s="36"/>
      <c r="SCN209" s="36"/>
      <c r="SCO209" s="36"/>
      <c r="SCP209" s="36"/>
      <c r="SCQ209" s="36"/>
      <c r="SCR209" s="36"/>
      <c r="SCS209" s="36"/>
      <c r="SCT209" s="36"/>
      <c r="SCU209" s="36"/>
      <c r="SCV209" s="36"/>
      <c r="SCW209" s="36"/>
      <c r="SCX209" s="36"/>
      <c r="SCY209" s="36"/>
      <c r="SCZ209" s="36"/>
      <c r="SDA209" s="36"/>
      <c r="SDB209" s="36"/>
      <c r="SDC209" s="36"/>
      <c r="SDD209" s="36"/>
      <c r="SDE209" s="36"/>
      <c r="SDF209" s="36"/>
      <c r="SDG209" s="36"/>
      <c r="SDH209" s="36"/>
      <c r="SDI209" s="36"/>
      <c r="SDJ209" s="36"/>
      <c r="SDK209" s="36"/>
      <c r="SDL209" s="36"/>
      <c r="SDM209" s="36"/>
      <c r="SDN209" s="36"/>
      <c r="SDO209" s="36"/>
      <c r="SDP209" s="36"/>
      <c r="SDQ209" s="36"/>
      <c r="SDR209" s="36"/>
      <c r="SDS209" s="36"/>
      <c r="SDT209" s="36"/>
      <c r="SDU209" s="36"/>
      <c r="SDV209" s="36"/>
      <c r="SDW209" s="36"/>
      <c r="SDX209" s="36"/>
      <c r="SDY209" s="36"/>
      <c r="SDZ209" s="36"/>
      <c r="SEA209" s="36"/>
      <c r="SEB209" s="36"/>
      <c r="SEC209" s="36"/>
      <c r="SED209" s="36"/>
      <c r="SEE209" s="36"/>
      <c r="SEF209" s="36"/>
      <c r="SEG209" s="36"/>
      <c r="SEH209" s="36"/>
      <c r="SEI209" s="36"/>
      <c r="SEJ209" s="36"/>
      <c r="SEK209" s="36"/>
      <c r="SEL209" s="36"/>
      <c r="SEM209" s="36"/>
      <c r="SEN209" s="36"/>
      <c r="SEO209" s="36"/>
      <c r="SEP209" s="36"/>
      <c r="SEQ209" s="36"/>
      <c r="SER209" s="36"/>
      <c r="SES209" s="36"/>
      <c r="SET209" s="36"/>
      <c r="SEU209" s="36"/>
      <c r="SEV209" s="36"/>
      <c r="SEW209" s="36"/>
      <c r="SEX209" s="36"/>
      <c r="SEY209" s="36"/>
      <c r="SEZ209" s="36"/>
      <c r="SFA209" s="36"/>
      <c r="SFB209" s="36"/>
      <c r="SFC209" s="36"/>
      <c r="SFD209" s="36"/>
      <c r="SFE209" s="36"/>
      <c r="SFF209" s="36"/>
      <c r="SFG209" s="36"/>
      <c r="SFH209" s="36"/>
      <c r="SFI209" s="36"/>
      <c r="SFJ209" s="36"/>
      <c r="SFK209" s="36"/>
      <c r="SFL209" s="36"/>
      <c r="SFM209" s="36"/>
      <c r="SFN209" s="36"/>
      <c r="SFO209" s="36"/>
      <c r="SFP209" s="36"/>
      <c r="SFQ209" s="36"/>
      <c r="SFR209" s="36"/>
      <c r="SFS209" s="36"/>
      <c r="SFT209" s="36"/>
      <c r="SFU209" s="36"/>
      <c r="SFV209" s="36"/>
      <c r="SFW209" s="36"/>
      <c r="SFX209" s="36"/>
      <c r="SFY209" s="36"/>
      <c r="SFZ209" s="36"/>
      <c r="SGA209" s="36"/>
      <c r="SGB209" s="36"/>
      <c r="SGC209" s="36"/>
      <c r="SGD209" s="36"/>
      <c r="SGE209" s="36"/>
      <c r="SGF209" s="36"/>
      <c r="SGG209" s="36"/>
      <c r="SGH209" s="36"/>
      <c r="SGI209" s="36"/>
      <c r="SGJ209" s="36"/>
      <c r="SGK209" s="36"/>
      <c r="SGL209" s="36"/>
      <c r="SGM209" s="36"/>
      <c r="SGN209" s="36"/>
      <c r="SGO209" s="36"/>
      <c r="SGP209" s="36"/>
      <c r="SGQ209" s="36"/>
      <c r="SGR209" s="36"/>
      <c r="SGS209" s="36"/>
      <c r="SGT209" s="36"/>
      <c r="SGU209" s="36"/>
      <c r="SGV209" s="36"/>
      <c r="SGW209" s="36"/>
      <c r="SGX209" s="36"/>
      <c r="SGY209" s="36"/>
      <c r="SGZ209" s="36"/>
      <c r="SHA209" s="36"/>
      <c r="SHB209" s="36"/>
      <c r="SHC209" s="36"/>
      <c r="SHD209" s="36"/>
      <c r="SHE209" s="36"/>
      <c r="SHF209" s="36"/>
      <c r="SHG209" s="36"/>
      <c r="SHH209" s="36"/>
      <c r="SHI209" s="36"/>
      <c r="SHJ209" s="36"/>
      <c r="SHK209" s="36"/>
      <c r="SHL209" s="36"/>
      <c r="SHM209" s="36"/>
      <c r="SHN209" s="36"/>
      <c r="SHO209" s="36"/>
      <c r="SHP209" s="36"/>
      <c r="SHQ209" s="36"/>
      <c r="SHR209" s="36"/>
      <c r="SHS209" s="36"/>
      <c r="SHT209" s="36"/>
      <c r="SHU209" s="36"/>
      <c r="SHV209" s="36"/>
      <c r="SHW209" s="36"/>
      <c r="SHX209" s="36"/>
      <c r="SHY209" s="36"/>
      <c r="SHZ209" s="36"/>
      <c r="SIA209" s="36"/>
      <c r="SIB209" s="36"/>
      <c r="SIC209" s="36"/>
      <c r="SID209" s="36"/>
      <c r="SIE209" s="36"/>
      <c r="SIF209" s="36"/>
      <c r="SIG209" s="36"/>
      <c r="SIH209" s="36"/>
      <c r="SII209" s="36"/>
      <c r="SIJ209" s="36"/>
      <c r="SIK209" s="36"/>
      <c r="SIL209" s="36"/>
      <c r="SIM209" s="36"/>
      <c r="SIN209" s="36"/>
      <c r="SIO209" s="36"/>
      <c r="SIP209" s="36"/>
      <c r="SIQ209" s="36"/>
      <c r="SIR209" s="36"/>
      <c r="SIS209" s="36"/>
      <c r="SIT209" s="36"/>
      <c r="SIU209" s="36"/>
      <c r="SIV209" s="36"/>
      <c r="SIW209" s="36"/>
      <c r="SIX209" s="36"/>
      <c r="SIY209" s="36"/>
      <c r="SIZ209" s="36"/>
      <c r="SJA209" s="36"/>
      <c r="SJB209" s="36"/>
      <c r="SJC209" s="36"/>
      <c r="SJD209" s="36"/>
      <c r="SJE209" s="36"/>
      <c r="SJF209" s="36"/>
      <c r="SJG209" s="36"/>
      <c r="SJH209" s="36"/>
      <c r="SJI209" s="36"/>
      <c r="SJJ209" s="36"/>
      <c r="SJK209" s="36"/>
      <c r="SJL209" s="36"/>
      <c r="SJM209" s="36"/>
      <c r="SJN209" s="36"/>
      <c r="SJO209" s="36"/>
      <c r="SJP209" s="36"/>
      <c r="SJQ209" s="36"/>
      <c r="SJR209" s="36"/>
      <c r="SJS209" s="36"/>
      <c r="SJT209" s="36"/>
      <c r="SJU209" s="36"/>
      <c r="SJV209" s="36"/>
      <c r="SJW209" s="36"/>
      <c r="SJX209" s="36"/>
      <c r="SJY209" s="36"/>
      <c r="SJZ209" s="36"/>
      <c r="SKA209" s="36"/>
      <c r="SKB209" s="36"/>
      <c r="SKC209" s="36"/>
      <c r="SKD209" s="36"/>
      <c r="SKE209" s="36"/>
      <c r="SKF209" s="36"/>
      <c r="SKG209" s="36"/>
      <c r="SKH209" s="36"/>
      <c r="SKI209" s="36"/>
      <c r="SKJ209" s="36"/>
      <c r="SKK209" s="36"/>
      <c r="SKL209" s="36"/>
      <c r="SKM209" s="36"/>
      <c r="SKN209" s="36"/>
      <c r="SKO209" s="36"/>
      <c r="SKP209" s="36"/>
      <c r="SKQ209" s="36"/>
      <c r="SKR209" s="36"/>
      <c r="SKS209" s="36"/>
      <c r="SKT209" s="36"/>
      <c r="SKU209" s="36"/>
      <c r="SKV209" s="36"/>
      <c r="SKW209" s="36"/>
      <c r="SKX209" s="36"/>
      <c r="SKY209" s="36"/>
      <c r="SKZ209" s="36"/>
      <c r="SLA209" s="36"/>
      <c r="SLB209" s="36"/>
      <c r="SLC209" s="36"/>
      <c r="SLD209" s="36"/>
      <c r="SLE209" s="36"/>
      <c r="SLF209" s="36"/>
      <c r="SLG209" s="36"/>
      <c r="SLH209" s="36"/>
      <c r="SLI209" s="36"/>
      <c r="SLJ209" s="36"/>
      <c r="SLK209" s="36"/>
      <c r="SLL209" s="36"/>
      <c r="SLM209" s="36"/>
      <c r="SLN209" s="36"/>
      <c r="SLO209" s="36"/>
      <c r="SLP209" s="36"/>
      <c r="SLQ209" s="36"/>
      <c r="SLR209" s="36"/>
      <c r="SLS209" s="36"/>
      <c r="SLT209" s="36"/>
      <c r="SLU209" s="36"/>
      <c r="SLV209" s="36"/>
      <c r="SLW209" s="36"/>
      <c r="SLX209" s="36"/>
      <c r="SLY209" s="36"/>
      <c r="SLZ209" s="36"/>
      <c r="SMA209" s="36"/>
      <c r="SMB209" s="36"/>
      <c r="SMC209" s="36"/>
      <c r="SMD209" s="36"/>
      <c r="SME209" s="36"/>
      <c r="SMF209" s="36"/>
      <c r="SMG209" s="36"/>
      <c r="SMH209" s="36"/>
      <c r="SMI209" s="36"/>
      <c r="SMJ209" s="36"/>
      <c r="SMK209" s="36"/>
      <c r="SML209" s="36"/>
      <c r="SMM209" s="36"/>
      <c r="SMN209" s="36"/>
      <c r="SMO209" s="36"/>
      <c r="SMP209" s="36"/>
      <c r="SMQ209" s="36"/>
      <c r="SMR209" s="36"/>
      <c r="SMS209" s="36"/>
      <c r="SMT209" s="36"/>
      <c r="SMU209" s="36"/>
      <c r="SMV209" s="36"/>
      <c r="SMW209" s="36"/>
      <c r="SMX209" s="36"/>
      <c r="SMY209" s="36"/>
      <c r="SMZ209" s="36"/>
      <c r="SNA209" s="36"/>
      <c r="SNB209" s="36"/>
      <c r="SNC209" s="36"/>
      <c r="SND209" s="36"/>
      <c r="SNE209" s="36"/>
      <c r="SNF209" s="36"/>
      <c r="SNG209" s="36"/>
      <c r="SNH209" s="36"/>
      <c r="SNI209" s="36"/>
      <c r="SNJ209" s="36"/>
      <c r="SNK209" s="36"/>
      <c r="SNL209" s="36"/>
      <c r="SNM209" s="36"/>
      <c r="SNN209" s="36"/>
      <c r="SNO209" s="36"/>
      <c r="SNP209" s="36"/>
      <c r="SNQ209" s="36"/>
      <c r="SNR209" s="36"/>
      <c r="SNS209" s="36"/>
      <c r="SNT209" s="36"/>
      <c r="SNU209" s="36"/>
      <c r="SNV209" s="36"/>
      <c r="SNW209" s="36"/>
      <c r="SNX209" s="36"/>
      <c r="SNY209" s="36"/>
      <c r="SNZ209" s="36"/>
      <c r="SOA209" s="36"/>
      <c r="SOB209" s="36"/>
      <c r="SOC209" s="36"/>
      <c r="SOD209" s="36"/>
      <c r="SOE209" s="36"/>
      <c r="SOF209" s="36"/>
      <c r="SOG209" s="36"/>
      <c r="SOH209" s="36"/>
      <c r="SOI209" s="36"/>
      <c r="SOJ209" s="36"/>
      <c r="SOK209" s="36"/>
      <c r="SOL209" s="36"/>
      <c r="SOM209" s="36"/>
      <c r="SON209" s="36"/>
      <c r="SOO209" s="36"/>
      <c r="SOP209" s="36"/>
      <c r="SOQ209" s="36"/>
      <c r="SOR209" s="36"/>
      <c r="SOS209" s="36"/>
      <c r="SOT209" s="36"/>
      <c r="SOU209" s="36"/>
      <c r="SOV209" s="36"/>
      <c r="SOW209" s="36"/>
      <c r="SOX209" s="36"/>
      <c r="SOY209" s="36"/>
      <c r="SOZ209" s="36"/>
      <c r="SPA209" s="36"/>
      <c r="SPB209" s="36"/>
      <c r="SPC209" s="36"/>
      <c r="SPD209" s="36"/>
      <c r="SPE209" s="36"/>
      <c r="SPF209" s="36"/>
      <c r="SPG209" s="36"/>
      <c r="SPH209" s="36"/>
      <c r="SPI209" s="36"/>
      <c r="SPJ209" s="36"/>
      <c r="SPK209" s="36"/>
      <c r="SPL209" s="36"/>
      <c r="SPM209" s="36"/>
      <c r="SPN209" s="36"/>
      <c r="SPO209" s="36"/>
      <c r="SPP209" s="36"/>
      <c r="SPQ209" s="36"/>
      <c r="SPR209" s="36"/>
      <c r="SPS209" s="36"/>
      <c r="SPT209" s="36"/>
      <c r="SPU209" s="36"/>
      <c r="SPV209" s="36"/>
      <c r="SPW209" s="36"/>
      <c r="SPX209" s="36"/>
      <c r="SPY209" s="36"/>
      <c r="SPZ209" s="36"/>
      <c r="SQA209" s="36"/>
      <c r="SQB209" s="36"/>
      <c r="SQC209" s="36"/>
      <c r="SQD209" s="36"/>
      <c r="SQE209" s="36"/>
      <c r="SQF209" s="36"/>
      <c r="SQG209" s="36"/>
      <c r="SQH209" s="36"/>
      <c r="SQI209" s="36"/>
      <c r="SQJ209" s="36"/>
      <c r="SQK209" s="36"/>
      <c r="SQL209" s="36"/>
      <c r="SQM209" s="36"/>
      <c r="SQN209" s="36"/>
      <c r="SQO209" s="36"/>
      <c r="SQP209" s="36"/>
      <c r="SQQ209" s="36"/>
      <c r="SQR209" s="36"/>
      <c r="SQS209" s="36"/>
      <c r="SQT209" s="36"/>
      <c r="SQU209" s="36"/>
      <c r="SQV209" s="36"/>
      <c r="SQW209" s="36"/>
      <c r="SQX209" s="36"/>
      <c r="SQY209" s="36"/>
      <c r="SQZ209" s="36"/>
      <c r="SRA209" s="36"/>
      <c r="SRB209" s="36"/>
      <c r="SRC209" s="36"/>
      <c r="SRD209" s="36"/>
      <c r="SRE209" s="36"/>
      <c r="SRF209" s="36"/>
      <c r="SRG209" s="36"/>
      <c r="SRH209" s="36"/>
      <c r="SRI209" s="36"/>
      <c r="SRJ209" s="36"/>
      <c r="SRK209" s="36"/>
      <c r="SRL209" s="36"/>
      <c r="SRM209" s="36"/>
      <c r="SRN209" s="36"/>
      <c r="SRO209" s="36"/>
      <c r="SRP209" s="36"/>
      <c r="SRQ209" s="36"/>
      <c r="SRR209" s="36"/>
      <c r="SRS209" s="36"/>
      <c r="SRT209" s="36"/>
      <c r="SRU209" s="36"/>
      <c r="SRV209" s="36"/>
      <c r="SRW209" s="36"/>
      <c r="SRX209" s="36"/>
      <c r="SRY209" s="36"/>
      <c r="SRZ209" s="36"/>
      <c r="SSA209" s="36"/>
      <c r="SSB209" s="36"/>
      <c r="SSC209" s="36"/>
      <c r="SSD209" s="36"/>
      <c r="SSE209" s="36"/>
      <c r="SSF209" s="36"/>
      <c r="SSG209" s="36"/>
      <c r="SSH209" s="36"/>
      <c r="SSI209" s="36"/>
      <c r="SSJ209" s="36"/>
      <c r="SSK209" s="36"/>
      <c r="SSL209" s="36"/>
      <c r="SSM209" s="36"/>
      <c r="SSN209" s="36"/>
      <c r="SSO209" s="36"/>
      <c r="SSP209" s="36"/>
      <c r="SSQ209" s="36"/>
      <c r="SSR209" s="36"/>
      <c r="SSS209" s="36"/>
      <c r="SST209" s="36"/>
      <c r="SSU209" s="36"/>
      <c r="SSV209" s="36"/>
      <c r="SSW209" s="36"/>
      <c r="SSX209" s="36"/>
      <c r="SSY209" s="36"/>
      <c r="SSZ209" s="36"/>
      <c r="STA209" s="36"/>
      <c r="STB209" s="36"/>
      <c r="STC209" s="36"/>
      <c r="STD209" s="36"/>
      <c r="STE209" s="36"/>
      <c r="STF209" s="36"/>
      <c r="STG209" s="36"/>
      <c r="STH209" s="36"/>
      <c r="STI209" s="36"/>
      <c r="STJ209" s="36"/>
      <c r="STK209" s="36"/>
      <c r="STL209" s="36"/>
      <c r="STM209" s="36"/>
      <c r="STN209" s="36"/>
      <c r="STO209" s="36"/>
      <c r="STP209" s="36"/>
      <c r="STQ209" s="36"/>
      <c r="STR209" s="36"/>
      <c r="STS209" s="36"/>
      <c r="STT209" s="36"/>
      <c r="STU209" s="36"/>
      <c r="STV209" s="36"/>
      <c r="STW209" s="36"/>
      <c r="STX209" s="36"/>
      <c r="STY209" s="36"/>
      <c r="STZ209" s="36"/>
      <c r="SUA209" s="36"/>
      <c r="SUB209" s="36"/>
      <c r="SUC209" s="36"/>
      <c r="SUD209" s="36"/>
      <c r="SUE209" s="36"/>
      <c r="SUF209" s="36"/>
      <c r="SUG209" s="36"/>
      <c r="SUH209" s="36"/>
      <c r="SUI209" s="36"/>
      <c r="SUJ209" s="36"/>
      <c r="SUK209" s="36"/>
      <c r="SUL209" s="36"/>
      <c r="SUM209" s="36"/>
      <c r="SUN209" s="36"/>
      <c r="SUO209" s="36"/>
      <c r="SUP209" s="36"/>
      <c r="SUQ209" s="36"/>
      <c r="SUR209" s="36"/>
      <c r="SUS209" s="36"/>
      <c r="SUT209" s="36"/>
      <c r="SUU209" s="36"/>
      <c r="SUV209" s="36"/>
      <c r="SUW209" s="36"/>
      <c r="SUX209" s="36"/>
      <c r="SUY209" s="36"/>
      <c r="SUZ209" s="36"/>
      <c r="SVA209" s="36"/>
      <c r="SVB209" s="36"/>
      <c r="SVC209" s="36"/>
      <c r="SVD209" s="36"/>
      <c r="SVE209" s="36"/>
      <c r="SVF209" s="36"/>
      <c r="SVG209" s="36"/>
      <c r="SVH209" s="36"/>
      <c r="SVI209" s="36"/>
      <c r="SVJ209" s="36"/>
      <c r="SVK209" s="36"/>
      <c r="SVL209" s="36"/>
      <c r="SVM209" s="36"/>
      <c r="SVN209" s="36"/>
      <c r="SVO209" s="36"/>
      <c r="SVP209" s="36"/>
      <c r="SVQ209" s="36"/>
      <c r="SVR209" s="36"/>
      <c r="SVS209" s="36"/>
      <c r="SVT209" s="36"/>
      <c r="SVU209" s="36"/>
      <c r="SVV209" s="36"/>
      <c r="SVW209" s="36"/>
      <c r="SVX209" s="36"/>
      <c r="SVY209" s="36"/>
      <c r="SVZ209" s="36"/>
      <c r="SWA209" s="36"/>
      <c r="SWB209" s="36"/>
      <c r="SWC209" s="36"/>
      <c r="SWD209" s="36"/>
      <c r="SWE209" s="36"/>
      <c r="SWF209" s="36"/>
      <c r="SWG209" s="36"/>
      <c r="SWH209" s="36"/>
      <c r="SWI209" s="36"/>
      <c r="SWJ209" s="36"/>
      <c r="SWK209" s="36"/>
      <c r="SWL209" s="36"/>
      <c r="SWM209" s="36"/>
      <c r="SWN209" s="36"/>
      <c r="SWO209" s="36"/>
      <c r="SWP209" s="36"/>
      <c r="SWQ209" s="36"/>
      <c r="SWR209" s="36"/>
      <c r="SWS209" s="36"/>
      <c r="SWT209" s="36"/>
      <c r="SWU209" s="36"/>
      <c r="SWV209" s="36"/>
      <c r="SWW209" s="36"/>
      <c r="SWX209" s="36"/>
      <c r="SWY209" s="36"/>
      <c r="SWZ209" s="36"/>
      <c r="SXA209" s="36"/>
      <c r="SXB209" s="36"/>
      <c r="SXC209" s="36"/>
      <c r="SXD209" s="36"/>
      <c r="SXE209" s="36"/>
      <c r="SXF209" s="36"/>
      <c r="SXG209" s="36"/>
      <c r="SXH209" s="36"/>
      <c r="SXI209" s="36"/>
      <c r="SXJ209" s="36"/>
      <c r="SXK209" s="36"/>
      <c r="SXL209" s="36"/>
      <c r="SXM209" s="36"/>
      <c r="SXN209" s="36"/>
      <c r="SXO209" s="36"/>
      <c r="SXP209" s="36"/>
      <c r="SXQ209" s="36"/>
      <c r="SXR209" s="36"/>
      <c r="SXS209" s="36"/>
      <c r="SXT209" s="36"/>
      <c r="SXU209" s="36"/>
      <c r="SXV209" s="36"/>
      <c r="SXW209" s="36"/>
      <c r="SXX209" s="36"/>
      <c r="SXY209" s="36"/>
      <c r="SXZ209" s="36"/>
      <c r="SYA209" s="36"/>
      <c r="SYB209" s="36"/>
      <c r="SYC209" s="36"/>
      <c r="SYD209" s="36"/>
      <c r="SYE209" s="36"/>
      <c r="SYF209" s="36"/>
      <c r="SYG209" s="36"/>
      <c r="SYH209" s="36"/>
      <c r="SYI209" s="36"/>
      <c r="SYJ209" s="36"/>
      <c r="SYK209" s="36"/>
      <c r="SYL209" s="36"/>
      <c r="SYM209" s="36"/>
      <c r="SYN209" s="36"/>
      <c r="SYO209" s="36"/>
      <c r="SYP209" s="36"/>
      <c r="SYQ209" s="36"/>
      <c r="SYR209" s="36"/>
      <c r="SYS209" s="36"/>
      <c r="SYT209" s="36"/>
      <c r="SYU209" s="36"/>
      <c r="SYV209" s="36"/>
      <c r="SYW209" s="36"/>
      <c r="SYX209" s="36"/>
      <c r="SYY209" s="36"/>
      <c r="SYZ209" s="36"/>
      <c r="SZA209" s="36"/>
      <c r="SZB209" s="36"/>
      <c r="SZC209" s="36"/>
      <c r="SZD209" s="36"/>
      <c r="SZE209" s="36"/>
      <c r="SZF209" s="36"/>
      <c r="SZG209" s="36"/>
      <c r="SZH209" s="36"/>
      <c r="SZI209" s="36"/>
      <c r="SZJ209" s="36"/>
      <c r="SZK209" s="36"/>
      <c r="SZL209" s="36"/>
      <c r="SZM209" s="36"/>
      <c r="SZN209" s="36"/>
      <c r="SZO209" s="36"/>
      <c r="SZP209" s="36"/>
      <c r="SZQ209" s="36"/>
      <c r="SZR209" s="36"/>
      <c r="SZS209" s="36"/>
      <c r="SZT209" s="36"/>
      <c r="SZU209" s="36"/>
      <c r="SZV209" s="36"/>
      <c r="SZW209" s="36"/>
      <c r="SZX209" s="36"/>
      <c r="SZY209" s="36"/>
      <c r="SZZ209" s="36"/>
      <c r="TAA209" s="36"/>
      <c r="TAB209" s="36"/>
      <c r="TAC209" s="36"/>
      <c r="TAD209" s="36"/>
      <c r="TAE209" s="36"/>
      <c r="TAF209" s="36"/>
      <c r="TAG209" s="36"/>
      <c r="TAH209" s="36"/>
      <c r="TAI209" s="36"/>
      <c r="TAJ209" s="36"/>
      <c r="TAK209" s="36"/>
      <c r="TAL209" s="36"/>
      <c r="TAM209" s="36"/>
      <c r="TAN209" s="36"/>
      <c r="TAO209" s="36"/>
      <c r="TAP209" s="36"/>
      <c r="TAQ209" s="36"/>
      <c r="TAR209" s="36"/>
      <c r="TAS209" s="36"/>
      <c r="TAT209" s="36"/>
      <c r="TAU209" s="36"/>
      <c r="TAV209" s="36"/>
      <c r="TAW209" s="36"/>
      <c r="TAX209" s="36"/>
      <c r="TAY209" s="36"/>
      <c r="TAZ209" s="36"/>
      <c r="TBA209" s="36"/>
      <c r="TBB209" s="36"/>
      <c r="TBC209" s="36"/>
      <c r="TBD209" s="36"/>
      <c r="TBE209" s="36"/>
      <c r="TBF209" s="36"/>
      <c r="TBG209" s="36"/>
      <c r="TBH209" s="36"/>
      <c r="TBI209" s="36"/>
      <c r="TBJ209" s="36"/>
      <c r="TBK209" s="36"/>
      <c r="TBL209" s="36"/>
      <c r="TBM209" s="36"/>
      <c r="TBN209" s="36"/>
      <c r="TBO209" s="36"/>
      <c r="TBP209" s="36"/>
      <c r="TBQ209" s="36"/>
      <c r="TBR209" s="36"/>
      <c r="TBS209" s="36"/>
      <c r="TBT209" s="36"/>
      <c r="TBU209" s="36"/>
      <c r="TBV209" s="36"/>
      <c r="TBW209" s="36"/>
      <c r="TBX209" s="36"/>
      <c r="TBY209" s="36"/>
      <c r="TBZ209" s="36"/>
      <c r="TCA209" s="36"/>
      <c r="TCB209" s="36"/>
      <c r="TCC209" s="36"/>
      <c r="TCD209" s="36"/>
      <c r="TCE209" s="36"/>
      <c r="TCF209" s="36"/>
      <c r="TCG209" s="36"/>
      <c r="TCH209" s="36"/>
      <c r="TCI209" s="36"/>
      <c r="TCJ209" s="36"/>
      <c r="TCK209" s="36"/>
      <c r="TCL209" s="36"/>
      <c r="TCM209" s="36"/>
      <c r="TCN209" s="36"/>
      <c r="TCO209" s="36"/>
      <c r="TCP209" s="36"/>
      <c r="TCQ209" s="36"/>
      <c r="TCR209" s="36"/>
      <c r="TCS209" s="36"/>
      <c r="TCT209" s="36"/>
      <c r="TCU209" s="36"/>
      <c r="TCV209" s="36"/>
      <c r="TCW209" s="36"/>
      <c r="TCX209" s="36"/>
      <c r="TCY209" s="36"/>
      <c r="TCZ209" s="36"/>
      <c r="TDA209" s="36"/>
      <c r="TDB209" s="36"/>
      <c r="TDC209" s="36"/>
      <c r="TDD209" s="36"/>
      <c r="TDE209" s="36"/>
      <c r="TDF209" s="36"/>
      <c r="TDG209" s="36"/>
      <c r="TDH209" s="36"/>
      <c r="TDI209" s="36"/>
      <c r="TDJ209" s="36"/>
      <c r="TDK209" s="36"/>
      <c r="TDL209" s="36"/>
      <c r="TDM209" s="36"/>
      <c r="TDN209" s="36"/>
      <c r="TDO209" s="36"/>
      <c r="TDP209" s="36"/>
      <c r="TDQ209" s="36"/>
      <c r="TDR209" s="36"/>
      <c r="TDS209" s="36"/>
      <c r="TDT209" s="36"/>
      <c r="TDU209" s="36"/>
      <c r="TDV209" s="36"/>
      <c r="TDW209" s="36"/>
      <c r="TDX209" s="36"/>
      <c r="TDY209" s="36"/>
      <c r="TDZ209" s="36"/>
      <c r="TEA209" s="36"/>
      <c r="TEB209" s="36"/>
      <c r="TEC209" s="36"/>
      <c r="TED209" s="36"/>
      <c r="TEE209" s="36"/>
      <c r="TEF209" s="36"/>
      <c r="TEG209" s="36"/>
      <c r="TEH209" s="36"/>
      <c r="TEI209" s="36"/>
      <c r="TEJ209" s="36"/>
      <c r="TEK209" s="36"/>
      <c r="TEL209" s="36"/>
      <c r="TEM209" s="36"/>
      <c r="TEN209" s="36"/>
      <c r="TEO209" s="36"/>
      <c r="TEP209" s="36"/>
      <c r="TEQ209" s="36"/>
      <c r="TER209" s="36"/>
      <c r="TES209" s="36"/>
      <c r="TET209" s="36"/>
      <c r="TEU209" s="36"/>
      <c r="TEV209" s="36"/>
      <c r="TEW209" s="36"/>
      <c r="TEX209" s="36"/>
      <c r="TEY209" s="36"/>
      <c r="TEZ209" s="36"/>
      <c r="TFA209" s="36"/>
      <c r="TFB209" s="36"/>
      <c r="TFC209" s="36"/>
      <c r="TFD209" s="36"/>
      <c r="TFE209" s="36"/>
      <c r="TFF209" s="36"/>
      <c r="TFG209" s="36"/>
      <c r="TFH209" s="36"/>
      <c r="TFI209" s="36"/>
      <c r="TFJ209" s="36"/>
      <c r="TFK209" s="36"/>
      <c r="TFL209" s="36"/>
      <c r="TFM209" s="36"/>
      <c r="TFN209" s="36"/>
      <c r="TFO209" s="36"/>
      <c r="TFP209" s="36"/>
      <c r="TFQ209" s="36"/>
      <c r="TFR209" s="36"/>
      <c r="TFS209" s="36"/>
      <c r="TFT209" s="36"/>
      <c r="TFU209" s="36"/>
      <c r="TFV209" s="36"/>
      <c r="TFW209" s="36"/>
      <c r="TFX209" s="36"/>
      <c r="TFY209" s="36"/>
      <c r="TFZ209" s="36"/>
      <c r="TGA209" s="36"/>
      <c r="TGB209" s="36"/>
      <c r="TGC209" s="36"/>
      <c r="TGD209" s="36"/>
      <c r="TGE209" s="36"/>
      <c r="TGF209" s="36"/>
      <c r="TGG209" s="36"/>
      <c r="TGH209" s="36"/>
      <c r="TGI209" s="36"/>
      <c r="TGJ209" s="36"/>
      <c r="TGK209" s="36"/>
      <c r="TGL209" s="36"/>
      <c r="TGM209" s="36"/>
      <c r="TGN209" s="36"/>
      <c r="TGO209" s="36"/>
      <c r="TGP209" s="36"/>
      <c r="TGQ209" s="36"/>
      <c r="TGR209" s="36"/>
      <c r="TGS209" s="36"/>
      <c r="TGT209" s="36"/>
      <c r="TGU209" s="36"/>
      <c r="TGV209" s="36"/>
      <c r="TGW209" s="36"/>
      <c r="TGX209" s="36"/>
      <c r="TGY209" s="36"/>
      <c r="TGZ209" s="36"/>
      <c r="THA209" s="36"/>
      <c r="THB209" s="36"/>
      <c r="THC209" s="36"/>
      <c r="THD209" s="36"/>
      <c r="THE209" s="36"/>
      <c r="THF209" s="36"/>
      <c r="THG209" s="36"/>
      <c r="THH209" s="36"/>
      <c r="THI209" s="36"/>
      <c r="THJ209" s="36"/>
      <c r="THK209" s="36"/>
      <c r="THL209" s="36"/>
      <c r="THM209" s="36"/>
      <c r="THN209" s="36"/>
      <c r="THO209" s="36"/>
      <c r="THP209" s="36"/>
      <c r="THQ209" s="36"/>
      <c r="THR209" s="36"/>
      <c r="THS209" s="36"/>
      <c r="THT209" s="36"/>
      <c r="THU209" s="36"/>
      <c r="THV209" s="36"/>
      <c r="THW209" s="36"/>
      <c r="THX209" s="36"/>
      <c r="THY209" s="36"/>
      <c r="THZ209" s="36"/>
      <c r="TIA209" s="36"/>
      <c r="TIB209" s="36"/>
      <c r="TIC209" s="36"/>
      <c r="TID209" s="36"/>
      <c r="TIE209" s="36"/>
      <c r="TIF209" s="36"/>
      <c r="TIG209" s="36"/>
      <c r="TIH209" s="36"/>
      <c r="TII209" s="36"/>
      <c r="TIJ209" s="36"/>
      <c r="TIK209" s="36"/>
      <c r="TIL209" s="36"/>
      <c r="TIM209" s="36"/>
      <c r="TIN209" s="36"/>
      <c r="TIO209" s="36"/>
      <c r="TIP209" s="36"/>
      <c r="TIQ209" s="36"/>
      <c r="TIR209" s="36"/>
      <c r="TIS209" s="36"/>
      <c r="TIT209" s="36"/>
      <c r="TIU209" s="36"/>
      <c r="TIV209" s="36"/>
      <c r="TIW209" s="36"/>
      <c r="TIX209" s="36"/>
      <c r="TIY209" s="36"/>
      <c r="TIZ209" s="36"/>
      <c r="TJA209" s="36"/>
      <c r="TJB209" s="36"/>
      <c r="TJC209" s="36"/>
      <c r="TJD209" s="36"/>
      <c r="TJE209" s="36"/>
      <c r="TJF209" s="36"/>
      <c r="TJG209" s="36"/>
      <c r="TJH209" s="36"/>
      <c r="TJI209" s="36"/>
      <c r="TJJ209" s="36"/>
      <c r="TJK209" s="36"/>
      <c r="TJL209" s="36"/>
      <c r="TJM209" s="36"/>
      <c r="TJN209" s="36"/>
      <c r="TJO209" s="36"/>
      <c r="TJP209" s="36"/>
      <c r="TJQ209" s="36"/>
      <c r="TJR209" s="36"/>
      <c r="TJS209" s="36"/>
      <c r="TJT209" s="36"/>
      <c r="TJU209" s="36"/>
      <c r="TJV209" s="36"/>
      <c r="TJW209" s="36"/>
      <c r="TJX209" s="36"/>
      <c r="TJY209" s="36"/>
      <c r="TJZ209" s="36"/>
      <c r="TKA209" s="36"/>
      <c r="TKB209" s="36"/>
      <c r="TKC209" s="36"/>
      <c r="TKD209" s="36"/>
      <c r="TKE209" s="36"/>
      <c r="TKF209" s="36"/>
      <c r="TKG209" s="36"/>
      <c r="TKH209" s="36"/>
      <c r="TKI209" s="36"/>
      <c r="TKJ209" s="36"/>
      <c r="TKK209" s="36"/>
      <c r="TKL209" s="36"/>
      <c r="TKM209" s="36"/>
      <c r="TKN209" s="36"/>
      <c r="TKO209" s="36"/>
      <c r="TKP209" s="36"/>
      <c r="TKQ209" s="36"/>
      <c r="TKR209" s="36"/>
      <c r="TKS209" s="36"/>
      <c r="TKT209" s="36"/>
      <c r="TKU209" s="36"/>
      <c r="TKV209" s="36"/>
      <c r="TKW209" s="36"/>
      <c r="TKX209" s="36"/>
      <c r="TKY209" s="36"/>
      <c r="TKZ209" s="36"/>
      <c r="TLA209" s="36"/>
      <c r="TLB209" s="36"/>
      <c r="TLC209" s="36"/>
      <c r="TLD209" s="36"/>
      <c r="TLE209" s="36"/>
      <c r="TLF209" s="36"/>
      <c r="TLG209" s="36"/>
      <c r="TLH209" s="36"/>
      <c r="TLI209" s="36"/>
      <c r="TLJ209" s="36"/>
      <c r="TLK209" s="36"/>
      <c r="TLL209" s="36"/>
      <c r="TLM209" s="36"/>
      <c r="TLN209" s="36"/>
      <c r="TLO209" s="36"/>
      <c r="TLP209" s="36"/>
      <c r="TLQ209" s="36"/>
      <c r="TLR209" s="36"/>
      <c r="TLS209" s="36"/>
      <c r="TLT209" s="36"/>
      <c r="TLU209" s="36"/>
      <c r="TLV209" s="36"/>
      <c r="TLW209" s="36"/>
      <c r="TLX209" s="36"/>
      <c r="TLY209" s="36"/>
      <c r="TLZ209" s="36"/>
      <c r="TMA209" s="36"/>
      <c r="TMB209" s="36"/>
      <c r="TMC209" s="36"/>
      <c r="TMD209" s="36"/>
      <c r="TME209" s="36"/>
      <c r="TMF209" s="36"/>
      <c r="TMG209" s="36"/>
      <c r="TMH209" s="36"/>
      <c r="TMI209" s="36"/>
      <c r="TMJ209" s="36"/>
      <c r="TMK209" s="36"/>
      <c r="TML209" s="36"/>
      <c r="TMM209" s="36"/>
      <c r="TMN209" s="36"/>
      <c r="TMO209" s="36"/>
      <c r="TMP209" s="36"/>
      <c r="TMQ209" s="36"/>
      <c r="TMR209" s="36"/>
      <c r="TMS209" s="36"/>
      <c r="TMT209" s="36"/>
      <c r="TMU209" s="36"/>
      <c r="TMV209" s="36"/>
      <c r="TMW209" s="36"/>
      <c r="TMX209" s="36"/>
      <c r="TMY209" s="36"/>
      <c r="TMZ209" s="36"/>
      <c r="TNA209" s="36"/>
      <c r="TNB209" s="36"/>
      <c r="TNC209" s="36"/>
      <c r="TND209" s="36"/>
      <c r="TNE209" s="36"/>
      <c r="TNF209" s="36"/>
      <c r="TNG209" s="36"/>
      <c r="TNH209" s="36"/>
      <c r="TNI209" s="36"/>
      <c r="TNJ209" s="36"/>
      <c r="TNK209" s="36"/>
      <c r="TNL209" s="36"/>
      <c r="TNM209" s="36"/>
      <c r="TNN209" s="36"/>
      <c r="TNO209" s="36"/>
      <c r="TNP209" s="36"/>
      <c r="TNQ209" s="36"/>
      <c r="TNR209" s="36"/>
      <c r="TNS209" s="36"/>
      <c r="TNT209" s="36"/>
      <c r="TNU209" s="36"/>
      <c r="TNV209" s="36"/>
      <c r="TNW209" s="36"/>
      <c r="TNX209" s="36"/>
      <c r="TNY209" s="36"/>
      <c r="TNZ209" s="36"/>
      <c r="TOA209" s="36"/>
      <c r="TOB209" s="36"/>
      <c r="TOC209" s="36"/>
      <c r="TOD209" s="36"/>
      <c r="TOE209" s="36"/>
      <c r="TOF209" s="36"/>
      <c r="TOG209" s="36"/>
      <c r="TOH209" s="36"/>
      <c r="TOI209" s="36"/>
      <c r="TOJ209" s="36"/>
      <c r="TOK209" s="36"/>
      <c r="TOL209" s="36"/>
      <c r="TOM209" s="36"/>
      <c r="TON209" s="36"/>
      <c r="TOO209" s="36"/>
      <c r="TOP209" s="36"/>
      <c r="TOQ209" s="36"/>
      <c r="TOR209" s="36"/>
      <c r="TOS209" s="36"/>
      <c r="TOT209" s="36"/>
      <c r="TOU209" s="36"/>
      <c r="TOV209" s="36"/>
      <c r="TOW209" s="36"/>
      <c r="TOX209" s="36"/>
      <c r="TOY209" s="36"/>
      <c r="TOZ209" s="36"/>
      <c r="TPA209" s="36"/>
      <c r="TPB209" s="36"/>
      <c r="TPC209" s="36"/>
      <c r="TPD209" s="36"/>
      <c r="TPE209" s="36"/>
      <c r="TPF209" s="36"/>
      <c r="TPG209" s="36"/>
      <c r="TPH209" s="36"/>
      <c r="TPI209" s="36"/>
      <c r="TPJ209" s="36"/>
      <c r="TPK209" s="36"/>
      <c r="TPL209" s="36"/>
      <c r="TPM209" s="36"/>
      <c r="TPN209" s="36"/>
      <c r="TPO209" s="36"/>
      <c r="TPP209" s="36"/>
      <c r="TPQ209" s="36"/>
      <c r="TPR209" s="36"/>
      <c r="TPS209" s="36"/>
      <c r="TPT209" s="36"/>
      <c r="TPU209" s="36"/>
      <c r="TPV209" s="36"/>
      <c r="TPW209" s="36"/>
      <c r="TPX209" s="36"/>
      <c r="TPY209" s="36"/>
      <c r="TPZ209" s="36"/>
      <c r="TQA209" s="36"/>
      <c r="TQB209" s="36"/>
      <c r="TQC209" s="36"/>
      <c r="TQD209" s="36"/>
      <c r="TQE209" s="36"/>
      <c r="TQF209" s="36"/>
      <c r="TQG209" s="36"/>
      <c r="TQH209" s="36"/>
      <c r="TQI209" s="36"/>
      <c r="TQJ209" s="36"/>
      <c r="TQK209" s="36"/>
      <c r="TQL209" s="36"/>
      <c r="TQM209" s="36"/>
      <c r="TQN209" s="36"/>
      <c r="TQO209" s="36"/>
      <c r="TQP209" s="36"/>
      <c r="TQQ209" s="36"/>
      <c r="TQR209" s="36"/>
      <c r="TQS209" s="36"/>
      <c r="TQT209" s="36"/>
      <c r="TQU209" s="36"/>
      <c r="TQV209" s="36"/>
      <c r="TQW209" s="36"/>
      <c r="TQX209" s="36"/>
      <c r="TQY209" s="36"/>
      <c r="TQZ209" s="36"/>
      <c r="TRA209" s="36"/>
      <c r="TRB209" s="36"/>
      <c r="TRC209" s="36"/>
      <c r="TRD209" s="36"/>
      <c r="TRE209" s="36"/>
      <c r="TRF209" s="36"/>
      <c r="TRG209" s="36"/>
      <c r="TRH209" s="36"/>
      <c r="TRI209" s="36"/>
      <c r="TRJ209" s="36"/>
      <c r="TRK209" s="36"/>
      <c r="TRL209" s="36"/>
      <c r="TRM209" s="36"/>
      <c r="TRN209" s="36"/>
      <c r="TRO209" s="36"/>
      <c r="TRP209" s="36"/>
      <c r="TRQ209" s="36"/>
      <c r="TRR209" s="36"/>
      <c r="TRS209" s="36"/>
      <c r="TRT209" s="36"/>
      <c r="TRU209" s="36"/>
      <c r="TRV209" s="36"/>
      <c r="TRW209" s="36"/>
      <c r="TRX209" s="36"/>
      <c r="TRY209" s="36"/>
      <c r="TRZ209" s="36"/>
      <c r="TSA209" s="36"/>
      <c r="TSB209" s="36"/>
      <c r="TSC209" s="36"/>
      <c r="TSD209" s="36"/>
      <c r="TSE209" s="36"/>
      <c r="TSF209" s="36"/>
      <c r="TSG209" s="36"/>
      <c r="TSH209" s="36"/>
      <c r="TSI209" s="36"/>
      <c r="TSJ209" s="36"/>
      <c r="TSK209" s="36"/>
      <c r="TSL209" s="36"/>
      <c r="TSM209" s="36"/>
      <c r="TSN209" s="36"/>
      <c r="TSO209" s="36"/>
      <c r="TSP209" s="36"/>
      <c r="TSQ209" s="36"/>
      <c r="TSR209" s="36"/>
      <c r="TSS209" s="36"/>
      <c r="TST209" s="36"/>
      <c r="TSU209" s="36"/>
      <c r="TSV209" s="36"/>
      <c r="TSW209" s="36"/>
      <c r="TSX209" s="36"/>
      <c r="TSY209" s="36"/>
      <c r="TSZ209" s="36"/>
      <c r="TTA209" s="36"/>
      <c r="TTB209" s="36"/>
      <c r="TTC209" s="36"/>
      <c r="TTD209" s="36"/>
      <c r="TTE209" s="36"/>
      <c r="TTF209" s="36"/>
      <c r="TTG209" s="36"/>
      <c r="TTH209" s="36"/>
      <c r="TTI209" s="36"/>
      <c r="TTJ209" s="36"/>
      <c r="TTK209" s="36"/>
      <c r="TTL209" s="36"/>
      <c r="TTM209" s="36"/>
      <c r="TTN209" s="36"/>
      <c r="TTO209" s="36"/>
      <c r="TTP209" s="36"/>
      <c r="TTQ209" s="36"/>
      <c r="TTR209" s="36"/>
      <c r="TTS209" s="36"/>
      <c r="TTT209" s="36"/>
      <c r="TTU209" s="36"/>
      <c r="TTV209" s="36"/>
      <c r="TTW209" s="36"/>
      <c r="TTX209" s="36"/>
      <c r="TTY209" s="36"/>
      <c r="TTZ209" s="36"/>
      <c r="TUA209" s="36"/>
      <c r="TUB209" s="36"/>
      <c r="TUC209" s="36"/>
      <c r="TUD209" s="36"/>
      <c r="TUE209" s="36"/>
      <c r="TUF209" s="36"/>
      <c r="TUG209" s="36"/>
      <c r="TUH209" s="36"/>
      <c r="TUI209" s="36"/>
      <c r="TUJ209" s="36"/>
      <c r="TUK209" s="36"/>
      <c r="TUL209" s="36"/>
      <c r="TUM209" s="36"/>
      <c r="TUN209" s="36"/>
      <c r="TUO209" s="36"/>
      <c r="TUP209" s="36"/>
      <c r="TUQ209" s="36"/>
      <c r="TUR209" s="36"/>
      <c r="TUS209" s="36"/>
      <c r="TUT209" s="36"/>
      <c r="TUU209" s="36"/>
      <c r="TUV209" s="36"/>
      <c r="TUW209" s="36"/>
      <c r="TUX209" s="36"/>
      <c r="TUY209" s="36"/>
      <c r="TUZ209" s="36"/>
      <c r="TVA209" s="36"/>
      <c r="TVB209" s="36"/>
      <c r="TVC209" s="36"/>
      <c r="TVD209" s="36"/>
      <c r="TVE209" s="36"/>
      <c r="TVF209" s="36"/>
      <c r="TVG209" s="36"/>
      <c r="TVH209" s="36"/>
      <c r="TVI209" s="36"/>
      <c r="TVJ209" s="36"/>
      <c r="TVK209" s="36"/>
      <c r="TVL209" s="36"/>
      <c r="TVM209" s="36"/>
      <c r="TVN209" s="36"/>
      <c r="TVO209" s="36"/>
      <c r="TVP209" s="36"/>
      <c r="TVQ209" s="36"/>
      <c r="TVR209" s="36"/>
      <c r="TVS209" s="36"/>
      <c r="TVT209" s="36"/>
      <c r="TVU209" s="36"/>
      <c r="TVV209" s="36"/>
      <c r="TVW209" s="36"/>
      <c r="TVX209" s="36"/>
      <c r="TVY209" s="36"/>
      <c r="TVZ209" s="36"/>
      <c r="TWA209" s="36"/>
      <c r="TWB209" s="36"/>
      <c r="TWC209" s="36"/>
      <c r="TWD209" s="36"/>
      <c r="TWE209" s="36"/>
      <c r="TWF209" s="36"/>
      <c r="TWG209" s="36"/>
      <c r="TWH209" s="36"/>
      <c r="TWI209" s="36"/>
      <c r="TWJ209" s="36"/>
      <c r="TWK209" s="36"/>
      <c r="TWL209" s="36"/>
      <c r="TWM209" s="36"/>
      <c r="TWN209" s="36"/>
      <c r="TWO209" s="36"/>
      <c r="TWP209" s="36"/>
      <c r="TWQ209" s="36"/>
      <c r="TWR209" s="36"/>
      <c r="TWS209" s="36"/>
      <c r="TWT209" s="36"/>
      <c r="TWU209" s="36"/>
      <c r="TWV209" s="36"/>
      <c r="TWW209" s="36"/>
      <c r="TWX209" s="36"/>
      <c r="TWY209" s="36"/>
      <c r="TWZ209" s="36"/>
      <c r="TXA209" s="36"/>
      <c r="TXB209" s="36"/>
      <c r="TXC209" s="36"/>
      <c r="TXD209" s="36"/>
      <c r="TXE209" s="36"/>
      <c r="TXF209" s="36"/>
      <c r="TXG209" s="36"/>
      <c r="TXH209" s="36"/>
      <c r="TXI209" s="36"/>
      <c r="TXJ209" s="36"/>
      <c r="TXK209" s="36"/>
      <c r="TXL209" s="36"/>
      <c r="TXM209" s="36"/>
      <c r="TXN209" s="36"/>
      <c r="TXO209" s="36"/>
      <c r="TXP209" s="36"/>
      <c r="TXQ209" s="36"/>
      <c r="TXR209" s="36"/>
      <c r="TXS209" s="36"/>
      <c r="TXT209" s="36"/>
      <c r="TXU209" s="36"/>
      <c r="TXV209" s="36"/>
      <c r="TXW209" s="36"/>
      <c r="TXX209" s="36"/>
      <c r="TXY209" s="36"/>
      <c r="TXZ209" s="36"/>
      <c r="TYA209" s="36"/>
      <c r="TYB209" s="36"/>
      <c r="TYC209" s="36"/>
      <c r="TYD209" s="36"/>
      <c r="TYE209" s="36"/>
      <c r="TYF209" s="36"/>
      <c r="TYG209" s="36"/>
      <c r="TYH209" s="36"/>
      <c r="TYI209" s="36"/>
      <c r="TYJ209" s="36"/>
      <c r="TYK209" s="36"/>
      <c r="TYL209" s="36"/>
      <c r="TYM209" s="36"/>
      <c r="TYN209" s="36"/>
      <c r="TYO209" s="36"/>
      <c r="TYP209" s="36"/>
      <c r="TYQ209" s="36"/>
      <c r="TYR209" s="36"/>
      <c r="TYS209" s="36"/>
      <c r="TYT209" s="36"/>
      <c r="TYU209" s="36"/>
      <c r="TYV209" s="36"/>
      <c r="TYW209" s="36"/>
      <c r="TYX209" s="36"/>
      <c r="TYY209" s="36"/>
      <c r="TYZ209" s="36"/>
      <c r="TZA209" s="36"/>
      <c r="TZB209" s="36"/>
      <c r="TZC209" s="36"/>
      <c r="TZD209" s="36"/>
      <c r="TZE209" s="36"/>
      <c r="TZF209" s="36"/>
      <c r="TZG209" s="36"/>
      <c r="TZH209" s="36"/>
      <c r="TZI209" s="36"/>
      <c r="TZJ209" s="36"/>
      <c r="TZK209" s="36"/>
      <c r="TZL209" s="36"/>
      <c r="TZM209" s="36"/>
      <c r="TZN209" s="36"/>
      <c r="TZO209" s="36"/>
      <c r="TZP209" s="36"/>
      <c r="TZQ209" s="36"/>
      <c r="TZR209" s="36"/>
      <c r="TZS209" s="36"/>
      <c r="TZT209" s="36"/>
      <c r="TZU209" s="36"/>
      <c r="TZV209" s="36"/>
      <c r="TZW209" s="36"/>
      <c r="TZX209" s="36"/>
      <c r="TZY209" s="36"/>
      <c r="TZZ209" s="36"/>
      <c r="UAA209" s="36"/>
      <c r="UAB209" s="36"/>
      <c r="UAC209" s="36"/>
      <c r="UAD209" s="36"/>
      <c r="UAE209" s="36"/>
      <c r="UAF209" s="36"/>
      <c r="UAG209" s="36"/>
      <c r="UAH209" s="36"/>
      <c r="UAI209" s="36"/>
      <c r="UAJ209" s="36"/>
      <c r="UAK209" s="36"/>
      <c r="UAL209" s="36"/>
      <c r="UAM209" s="36"/>
      <c r="UAN209" s="36"/>
      <c r="UAO209" s="36"/>
      <c r="UAP209" s="36"/>
      <c r="UAQ209" s="36"/>
      <c r="UAR209" s="36"/>
      <c r="UAS209" s="36"/>
      <c r="UAT209" s="36"/>
      <c r="UAU209" s="36"/>
      <c r="UAV209" s="36"/>
      <c r="UAW209" s="36"/>
      <c r="UAX209" s="36"/>
      <c r="UAY209" s="36"/>
      <c r="UAZ209" s="36"/>
      <c r="UBA209" s="36"/>
      <c r="UBB209" s="36"/>
      <c r="UBC209" s="36"/>
      <c r="UBD209" s="36"/>
      <c r="UBE209" s="36"/>
      <c r="UBF209" s="36"/>
      <c r="UBG209" s="36"/>
      <c r="UBH209" s="36"/>
      <c r="UBI209" s="36"/>
      <c r="UBJ209" s="36"/>
      <c r="UBK209" s="36"/>
      <c r="UBL209" s="36"/>
      <c r="UBM209" s="36"/>
      <c r="UBN209" s="36"/>
      <c r="UBO209" s="36"/>
      <c r="UBP209" s="36"/>
      <c r="UBQ209" s="36"/>
      <c r="UBR209" s="36"/>
      <c r="UBS209" s="36"/>
      <c r="UBT209" s="36"/>
      <c r="UBU209" s="36"/>
      <c r="UBV209" s="36"/>
      <c r="UBW209" s="36"/>
      <c r="UBX209" s="36"/>
      <c r="UBY209" s="36"/>
      <c r="UBZ209" s="36"/>
      <c r="UCA209" s="36"/>
      <c r="UCB209" s="36"/>
      <c r="UCC209" s="36"/>
      <c r="UCD209" s="36"/>
      <c r="UCE209" s="36"/>
      <c r="UCF209" s="36"/>
      <c r="UCG209" s="36"/>
      <c r="UCH209" s="36"/>
      <c r="UCI209" s="36"/>
      <c r="UCJ209" s="36"/>
      <c r="UCK209" s="36"/>
      <c r="UCL209" s="36"/>
      <c r="UCM209" s="36"/>
      <c r="UCN209" s="36"/>
      <c r="UCO209" s="36"/>
      <c r="UCP209" s="36"/>
      <c r="UCQ209" s="36"/>
      <c r="UCR209" s="36"/>
      <c r="UCS209" s="36"/>
      <c r="UCT209" s="36"/>
      <c r="UCU209" s="36"/>
      <c r="UCV209" s="36"/>
      <c r="UCW209" s="36"/>
      <c r="UCX209" s="36"/>
      <c r="UCY209" s="36"/>
      <c r="UCZ209" s="36"/>
      <c r="UDA209" s="36"/>
      <c r="UDB209" s="36"/>
      <c r="UDC209" s="36"/>
      <c r="UDD209" s="36"/>
      <c r="UDE209" s="36"/>
      <c r="UDF209" s="36"/>
      <c r="UDG209" s="36"/>
      <c r="UDH209" s="36"/>
      <c r="UDI209" s="36"/>
      <c r="UDJ209" s="36"/>
      <c r="UDK209" s="36"/>
      <c r="UDL209" s="36"/>
      <c r="UDM209" s="36"/>
      <c r="UDN209" s="36"/>
      <c r="UDO209" s="36"/>
      <c r="UDP209" s="36"/>
      <c r="UDQ209" s="36"/>
      <c r="UDR209" s="36"/>
      <c r="UDS209" s="36"/>
      <c r="UDT209" s="36"/>
      <c r="UDU209" s="36"/>
      <c r="UDV209" s="36"/>
      <c r="UDW209" s="36"/>
      <c r="UDX209" s="36"/>
      <c r="UDY209" s="36"/>
      <c r="UDZ209" s="36"/>
      <c r="UEA209" s="36"/>
      <c r="UEB209" s="36"/>
      <c r="UEC209" s="36"/>
      <c r="UED209" s="36"/>
      <c r="UEE209" s="36"/>
      <c r="UEF209" s="36"/>
      <c r="UEG209" s="36"/>
      <c r="UEH209" s="36"/>
      <c r="UEI209" s="36"/>
      <c r="UEJ209" s="36"/>
      <c r="UEK209" s="36"/>
      <c r="UEL209" s="36"/>
      <c r="UEM209" s="36"/>
      <c r="UEN209" s="36"/>
      <c r="UEO209" s="36"/>
      <c r="UEP209" s="36"/>
      <c r="UEQ209" s="36"/>
      <c r="UER209" s="36"/>
      <c r="UES209" s="36"/>
      <c r="UET209" s="36"/>
      <c r="UEU209" s="36"/>
      <c r="UEV209" s="36"/>
      <c r="UEW209" s="36"/>
      <c r="UEX209" s="36"/>
      <c r="UEY209" s="36"/>
      <c r="UEZ209" s="36"/>
      <c r="UFA209" s="36"/>
      <c r="UFB209" s="36"/>
      <c r="UFC209" s="36"/>
      <c r="UFD209" s="36"/>
      <c r="UFE209" s="36"/>
      <c r="UFF209" s="36"/>
      <c r="UFG209" s="36"/>
      <c r="UFH209" s="36"/>
      <c r="UFI209" s="36"/>
      <c r="UFJ209" s="36"/>
      <c r="UFK209" s="36"/>
      <c r="UFL209" s="36"/>
      <c r="UFM209" s="36"/>
      <c r="UFN209" s="36"/>
      <c r="UFO209" s="36"/>
      <c r="UFP209" s="36"/>
      <c r="UFQ209" s="36"/>
      <c r="UFR209" s="36"/>
      <c r="UFS209" s="36"/>
      <c r="UFT209" s="36"/>
      <c r="UFU209" s="36"/>
      <c r="UFV209" s="36"/>
      <c r="UFW209" s="36"/>
      <c r="UFX209" s="36"/>
      <c r="UFY209" s="36"/>
      <c r="UFZ209" s="36"/>
      <c r="UGA209" s="36"/>
      <c r="UGB209" s="36"/>
      <c r="UGC209" s="36"/>
      <c r="UGD209" s="36"/>
      <c r="UGE209" s="36"/>
      <c r="UGF209" s="36"/>
      <c r="UGG209" s="36"/>
      <c r="UGH209" s="36"/>
      <c r="UGI209" s="36"/>
      <c r="UGJ209" s="36"/>
      <c r="UGK209" s="36"/>
      <c r="UGL209" s="36"/>
      <c r="UGM209" s="36"/>
      <c r="UGN209" s="36"/>
      <c r="UGO209" s="36"/>
      <c r="UGP209" s="36"/>
      <c r="UGQ209" s="36"/>
      <c r="UGR209" s="36"/>
      <c r="UGS209" s="36"/>
      <c r="UGT209" s="36"/>
      <c r="UGU209" s="36"/>
      <c r="UGV209" s="36"/>
      <c r="UGW209" s="36"/>
      <c r="UGX209" s="36"/>
      <c r="UGY209" s="36"/>
      <c r="UGZ209" s="36"/>
      <c r="UHA209" s="36"/>
      <c r="UHB209" s="36"/>
      <c r="UHC209" s="36"/>
      <c r="UHD209" s="36"/>
      <c r="UHE209" s="36"/>
      <c r="UHF209" s="36"/>
      <c r="UHG209" s="36"/>
      <c r="UHH209" s="36"/>
      <c r="UHI209" s="36"/>
      <c r="UHJ209" s="36"/>
      <c r="UHK209" s="36"/>
      <c r="UHL209" s="36"/>
      <c r="UHM209" s="36"/>
      <c r="UHN209" s="36"/>
      <c r="UHO209" s="36"/>
      <c r="UHP209" s="36"/>
      <c r="UHQ209" s="36"/>
      <c r="UHR209" s="36"/>
      <c r="UHS209" s="36"/>
      <c r="UHT209" s="36"/>
      <c r="UHU209" s="36"/>
      <c r="UHV209" s="36"/>
      <c r="UHW209" s="36"/>
      <c r="UHX209" s="36"/>
      <c r="UHY209" s="36"/>
      <c r="UHZ209" s="36"/>
      <c r="UIA209" s="36"/>
      <c r="UIB209" s="36"/>
      <c r="UIC209" s="36"/>
      <c r="UID209" s="36"/>
      <c r="UIE209" s="36"/>
      <c r="UIF209" s="36"/>
      <c r="UIG209" s="36"/>
      <c r="UIH209" s="36"/>
      <c r="UII209" s="36"/>
      <c r="UIJ209" s="36"/>
      <c r="UIK209" s="36"/>
      <c r="UIL209" s="36"/>
      <c r="UIM209" s="36"/>
      <c r="UIN209" s="36"/>
      <c r="UIO209" s="36"/>
      <c r="UIP209" s="36"/>
      <c r="UIQ209" s="36"/>
      <c r="UIR209" s="36"/>
      <c r="UIS209" s="36"/>
      <c r="UIT209" s="36"/>
      <c r="UIU209" s="36"/>
      <c r="UIV209" s="36"/>
      <c r="UIW209" s="36"/>
      <c r="UIX209" s="36"/>
      <c r="UIY209" s="36"/>
      <c r="UIZ209" s="36"/>
      <c r="UJA209" s="36"/>
      <c r="UJB209" s="36"/>
      <c r="UJC209" s="36"/>
      <c r="UJD209" s="36"/>
      <c r="UJE209" s="36"/>
      <c r="UJF209" s="36"/>
      <c r="UJG209" s="36"/>
      <c r="UJH209" s="36"/>
      <c r="UJI209" s="36"/>
      <c r="UJJ209" s="36"/>
      <c r="UJK209" s="36"/>
      <c r="UJL209" s="36"/>
      <c r="UJM209" s="36"/>
      <c r="UJN209" s="36"/>
      <c r="UJO209" s="36"/>
      <c r="UJP209" s="36"/>
      <c r="UJQ209" s="36"/>
      <c r="UJR209" s="36"/>
      <c r="UJS209" s="36"/>
      <c r="UJT209" s="36"/>
      <c r="UJU209" s="36"/>
      <c r="UJV209" s="36"/>
      <c r="UJW209" s="36"/>
      <c r="UJX209" s="36"/>
      <c r="UJY209" s="36"/>
      <c r="UJZ209" s="36"/>
      <c r="UKA209" s="36"/>
      <c r="UKB209" s="36"/>
      <c r="UKC209" s="36"/>
      <c r="UKD209" s="36"/>
      <c r="UKE209" s="36"/>
      <c r="UKF209" s="36"/>
      <c r="UKG209" s="36"/>
      <c r="UKH209" s="36"/>
      <c r="UKI209" s="36"/>
      <c r="UKJ209" s="36"/>
      <c r="UKK209" s="36"/>
      <c r="UKL209" s="36"/>
      <c r="UKM209" s="36"/>
      <c r="UKN209" s="36"/>
      <c r="UKO209" s="36"/>
      <c r="UKP209" s="36"/>
      <c r="UKQ209" s="36"/>
      <c r="UKR209" s="36"/>
      <c r="UKS209" s="36"/>
      <c r="UKT209" s="36"/>
      <c r="UKU209" s="36"/>
      <c r="UKV209" s="36"/>
      <c r="UKW209" s="36"/>
      <c r="UKX209" s="36"/>
      <c r="UKY209" s="36"/>
      <c r="UKZ209" s="36"/>
      <c r="ULA209" s="36"/>
      <c r="ULB209" s="36"/>
      <c r="ULC209" s="36"/>
      <c r="ULD209" s="36"/>
      <c r="ULE209" s="36"/>
      <c r="ULF209" s="36"/>
      <c r="ULG209" s="36"/>
      <c r="ULH209" s="36"/>
      <c r="ULI209" s="36"/>
      <c r="ULJ209" s="36"/>
      <c r="ULK209" s="36"/>
      <c r="ULL209" s="36"/>
      <c r="ULM209" s="36"/>
      <c r="ULN209" s="36"/>
      <c r="ULO209" s="36"/>
      <c r="ULP209" s="36"/>
      <c r="ULQ209" s="36"/>
      <c r="ULR209" s="36"/>
      <c r="ULS209" s="36"/>
      <c r="ULT209" s="36"/>
      <c r="ULU209" s="36"/>
      <c r="ULV209" s="36"/>
      <c r="ULW209" s="36"/>
      <c r="ULX209" s="36"/>
      <c r="ULY209" s="36"/>
      <c r="ULZ209" s="36"/>
      <c r="UMA209" s="36"/>
      <c r="UMB209" s="36"/>
      <c r="UMC209" s="36"/>
      <c r="UMD209" s="36"/>
      <c r="UME209" s="36"/>
      <c r="UMF209" s="36"/>
      <c r="UMG209" s="36"/>
      <c r="UMH209" s="36"/>
      <c r="UMI209" s="36"/>
      <c r="UMJ209" s="36"/>
      <c r="UMK209" s="36"/>
      <c r="UML209" s="36"/>
      <c r="UMM209" s="36"/>
      <c r="UMN209" s="36"/>
      <c r="UMO209" s="36"/>
      <c r="UMP209" s="36"/>
      <c r="UMQ209" s="36"/>
      <c r="UMR209" s="36"/>
      <c r="UMS209" s="36"/>
      <c r="UMT209" s="36"/>
      <c r="UMU209" s="36"/>
      <c r="UMV209" s="36"/>
      <c r="UMW209" s="36"/>
      <c r="UMX209" s="36"/>
      <c r="UMY209" s="36"/>
      <c r="UMZ209" s="36"/>
      <c r="UNA209" s="36"/>
      <c r="UNB209" s="36"/>
      <c r="UNC209" s="36"/>
      <c r="UND209" s="36"/>
      <c r="UNE209" s="36"/>
      <c r="UNF209" s="36"/>
      <c r="UNG209" s="36"/>
      <c r="UNH209" s="36"/>
      <c r="UNI209" s="36"/>
      <c r="UNJ209" s="36"/>
      <c r="UNK209" s="36"/>
      <c r="UNL209" s="36"/>
      <c r="UNM209" s="36"/>
      <c r="UNN209" s="36"/>
      <c r="UNO209" s="36"/>
      <c r="UNP209" s="36"/>
      <c r="UNQ209" s="36"/>
      <c r="UNR209" s="36"/>
      <c r="UNS209" s="36"/>
      <c r="UNT209" s="36"/>
      <c r="UNU209" s="36"/>
      <c r="UNV209" s="36"/>
      <c r="UNW209" s="36"/>
      <c r="UNX209" s="36"/>
      <c r="UNY209" s="36"/>
      <c r="UNZ209" s="36"/>
      <c r="UOA209" s="36"/>
      <c r="UOB209" s="36"/>
      <c r="UOC209" s="36"/>
      <c r="UOD209" s="36"/>
      <c r="UOE209" s="36"/>
      <c r="UOF209" s="36"/>
      <c r="UOG209" s="36"/>
      <c r="UOH209" s="36"/>
      <c r="UOI209" s="36"/>
      <c r="UOJ209" s="36"/>
      <c r="UOK209" s="36"/>
      <c r="UOL209" s="36"/>
      <c r="UOM209" s="36"/>
      <c r="UON209" s="36"/>
      <c r="UOO209" s="36"/>
      <c r="UOP209" s="36"/>
      <c r="UOQ209" s="36"/>
      <c r="UOR209" s="36"/>
      <c r="UOS209" s="36"/>
      <c r="UOT209" s="36"/>
      <c r="UOU209" s="36"/>
      <c r="UOV209" s="36"/>
      <c r="UOW209" s="36"/>
      <c r="UOX209" s="36"/>
      <c r="UOY209" s="36"/>
      <c r="UOZ209" s="36"/>
      <c r="UPA209" s="36"/>
      <c r="UPB209" s="36"/>
      <c r="UPC209" s="36"/>
      <c r="UPD209" s="36"/>
      <c r="UPE209" s="36"/>
      <c r="UPF209" s="36"/>
      <c r="UPG209" s="36"/>
      <c r="UPH209" s="36"/>
      <c r="UPI209" s="36"/>
      <c r="UPJ209" s="36"/>
      <c r="UPK209" s="36"/>
      <c r="UPL209" s="36"/>
      <c r="UPM209" s="36"/>
      <c r="UPN209" s="36"/>
      <c r="UPO209" s="36"/>
      <c r="UPP209" s="36"/>
      <c r="UPQ209" s="36"/>
      <c r="UPR209" s="36"/>
      <c r="UPS209" s="36"/>
      <c r="UPT209" s="36"/>
      <c r="UPU209" s="36"/>
      <c r="UPV209" s="36"/>
      <c r="UPW209" s="36"/>
      <c r="UPX209" s="36"/>
      <c r="UPY209" s="36"/>
      <c r="UPZ209" s="36"/>
      <c r="UQA209" s="36"/>
      <c r="UQB209" s="36"/>
      <c r="UQC209" s="36"/>
      <c r="UQD209" s="36"/>
      <c r="UQE209" s="36"/>
      <c r="UQF209" s="36"/>
      <c r="UQG209" s="36"/>
      <c r="UQH209" s="36"/>
      <c r="UQI209" s="36"/>
      <c r="UQJ209" s="36"/>
      <c r="UQK209" s="36"/>
      <c r="UQL209" s="36"/>
      <c r="UQM209" s="36"/>
      <c r="UQN209" s="36"/>
      <c r="UQO209" s="36"/>
      <c r="UQP209" s="36"/>
      <c r="UQQ209" s="36"/>
      <c r="UQR209" s="36"/>
      <c r="UQS209" s="36"/>
      <c r="UQT209" s="36"/>
      <c r="UQU209" s="36"/>
      <c r="UQV209" s="36"/>
      <c r="UQW209" s="36"/>
      <c r="UQX209" s="36"/>
      <c r="UQY209" s="36"/>
      <c r="UQZ209" s="36"/>
      <c r="URA209" s="36"/>
      <c r="URB209" s="36"/>
      <c r="URC209" s="36"/>
      <c r="URD209" s="36"/>
      <c r="URE209" s="36"/>
      <c r="URF209" s="36"/>
      <c r="URG209" s="36"/>
      <c r="URH209" s="36"/>
      <c r="URI209" s="36"/>
      <c r="URJ209" s="36"/>
      <c r="URK209" s="36"/>
      <c r="URL209" s="36"/>
      <c r="URM209" s="36"/>
      <c r="URN209" s="36"/>
      <c r="URO209" s="36"/>
      <c r="URP209" s="36"/>
      <c r="URQ209" s="36"/>
      <c r="URR209" s="36"/>
      <c r="URS209" s="36"/>
      <c r="URT209" s="36"/>
      <c r="URU209" s="36"/>
      <c r="URV209" s="36"/>
      <c r="URW209" s="36"/>
      <c r="URX209" s="36"/>
      <c r="URY209" s="36"/>
      <c r="URZ209" s="36"/>
      <c r="USA209" s="36"/>
      <c r="USB209" s="36"/>
      <c r="USC209" s="36"/>
      <c r="USD209" s="36"/>
      <c r="USE209" s="36"/>
      <c r="USF209" s="36"/>
      <c r="USG209" s="36"/>
      <c r="USH209" s="36"/>
      <c r="USI209" s="36"/>
      <c r="USJ209" s="36"/>
      <c r="USK209" s="36"/>
      <c r="USL209" s="36"/>
      <c r="USM209" s="36"/>
      <c r="USN209" s="36"/>
      <c r="USO209" s="36"/>
      <c r="USP209" s="36"/>
      <c r="USQ209" s="36"/>
      <c r="USR209" s="36"/>
      <c r="USS209" s="36"/>
      <c r="UST209" s="36"/>
      <c r="USU209" s="36"/>
      <c r="USV209" s="36"/>
      <c r="USW209" s="36"/>
      <c r="USX209" s="36"/>
      <c r="USY209" s="36"/>
      <c r="USZ209" s="36"/>
      <c r="UTA209" s="36"/>
      <c r="UTB209" s="36"/>
      <c r="UTC209" s="36"/>
      <c r="UTD209" s="36"/>
      <c r="UTE209" s="36"/>
      <c r="UTF209" s="36"/>
      <c r="UTG209" s="36"/>
      <c r="UTH209" s="36"/>
      <c r="UTI209" s="36"/>
      <c r="UTJ209" s="36"/>
      <c r="UTK209" s="36"/>
      <c r="UTL209" s="36"/>
      <c r="UTM209" s="36"/>
      <c r="UTN209" s="36"/>
      <c r="UTO209" s="36"/>
      <c r="UTP209" s="36"/>
      <c r="UTQ209" s="36"/>
      <c r="UTR209" s="36"/>
      <c r="UTS209" s="36"/>
      <c r="UTT209" s="36"/>
      <c r="UTU209" s="36"/>
      <c r="UTV209" s="36"/>
      <c r="UTW209" s="36"/>
      <c r="UTX209" s="36"/>
      <c r="UTY209" s="36"/>
      <c r="UTZ209" s="36"/>
      <c r="UUA209" s="36"/>
      <c r="UUB209" s="36"/>
      <c r="UUC209" s="36"/>
      <c r="UUD209" s="36"/>
      <c r="UUE209" s="36"/>
      <c r="UUF209" s="36"/>
      <c r="UUG209" s="36"/>
      <c r="UUH209" s="36"/>
      <c r="UUI209" s="36"/>
      <c r="UUJ209" s="36"/>
      <c r="UUK209" s="36"/>
      <c r="UUL209" s="36"/>
      <c r="UUM209" s="36"/>
      <c r="UUN209" s="36"/>
      <c r="UUO209" s="36"/>
      <c r="UUP209" s="36"/>
      <c r="UUQ209" s="36"/>
      <c r="UUR209" s="36"/>
      <c r="UUS209" s="36"/>
      <c r="UUT209" s="36"/>
      <c r="UUU209" s="36"/>
      <c r="UUV209" s="36"/>
      <c r="UUW209" s="36"/>
      <c r="UUX209" s="36"/>
      <c r="UUY209" s="36"/>
      <c r="UUZ209" s="36"/>
      <c r="UVA209" s="36"/>
      <c r="UVB209" s="36"/>
      <c r="UVC209" s="36"/>
      <c r="UVD209" s="36"/>
      <c r="UVE209" s="36"/>
      <c r="UVF209" s="36"/>
      <c r="UVG209" s="36"/>
      <c r="UVH209" s="36"/>
      <c r="UVI209" s="36"/>
      <c r="UVJ209" s="36"/>
      <c r="UVK209" s="36"/>
      <c r="UVL209" s="36"/>
      <c r="UVM209" s="36"/>
      <c r="UVN209" s="36"/>
      <c r="UVO209" s="36"/>
      <c r="UVP209" s="36"/>
      <c r="UVQ209" s="36"/>
      <c r="UVR209" s="36"/>
      <c r="UVS209" s="36"/>
      <c r="UVT209" s="36"/>
      <c r="UVU209" s="36"/>
      <c r="UVV209" s="36"/>
      <c r="UVW209" s="36"/>
      <c r="UVX209" s="36"/>
      <c r="UVY209" s="36"/>
      <c r="UVZ209" s="36"/>
      <c r="UWA209" s="36"/>
      <c r="UWB209" s="36"/>
      <c r="UWC209" s="36"/>
      <c r="UWD209" s="36"/>
      <c r="UWE209" s="36"/>
      <c r="UWF209" s="36"/>
      <c r="UWG209" s="36"/>
      <c r="UWH209" s="36"/>
      <c r="UWI209" s="36"/>
      <c r="UWJ209" s="36"/>
      <c r="UWK209" s="36"/>
      <c r="UWL209" s="36"/>
      <c r="UWM209" s="36"/>
      <c r="UWN209" s="36"/>
      <c r="UWO209" s="36"/>
      <c r="UWP209" s="36"/>
      <c r="UWQ209" s="36"/>
      <c r="UWR209" s="36"/>
      <c r="UWS209" s="36"/>
      <c r="UWT209" s="36"/>
      <c r="UWU209" s="36"/>
      <c r="UWV209" s="36"/>
      <c r="UWW209" s="36"/>
      <c r="UWX209" s="36"/>
      <c r="UWY209" s="36"/>
      <c r="UWZ209" s="36"/>
      <c r="UXA209" s="36"/>
      <c r="UXB209" s="36"/>
      <c r="UXC209" s="36"/>
      <c r="UXD209" s="36"/>
      <c r="UXE209" s="36"/>
      <c r="UXF209" s="36"/>
      <c r="UXG209" s="36"/>
      <c r="UXH209" s="36"/>
      <c r="UXI209" s="36"/>
      <c r="UXJ209" s="36"/>
      <c r="UXK209" s="36"/>
      <c r="UXL209" s="36"/>
      <c r="UXM209" s="36"/>
      <c r="UXN209" s="36"/>
      <c r="UXO209" s="36"/>
      <c r="UXP209" s="36"/>
      <c r="UXQ209" s="36"/>
      <c r="UXR209" s="36"/>
      <c r="UXS209" s="36"/>
      <c r="UXT209" s="36"/>
      <c r="UXU209" s="36"/>
      <c r="UXV209" s="36"/>
      <c r="UXW209" s="36"/>
      <c r="UXX209" s="36"/>
      <c r="UXY209" s="36"/>
      <c r="UXZ209" s="36"/>
      <c r="UYA209" s="36"/>
      <c r="UYB209" s="36"/>
      <c r="UYC209" s="36"/>
      <c r="UYD209" s="36"/>
      <c r="UYE209" s="36"/>
      <c r="UYF209" s="36"/>
      <c r="UYG209" s="36"/>
      <c r="UYH209" s="36"/>
      <c r="UYI209" s="36"/>
      <c r="UYJ209" s="36"/>
      <c r="UYK209" s="36"/>
      <c r="UYL209" s="36"/>
      <c r="UYM209" s="36"/>
      <c r="UYN209" s="36"/>
      <c r="UYO209" s="36"/>
      <c r="UYP209" s="36"/>
      <c r="UYQ209" s="36"/>
      <c r="UYR209" s="36"/>
      <c r="UYS209" s="36"/>
      <c r="UYT209" s="36"/>
      <c r="UYU209" s="36"/>
      <c r="UYV209" s="36"/>
      <c r="UYW209" s="36"/>
      <c r="UYX209" s="36"/>
      <c r="UYY209" s="36"/>
      <c r="UYZ209" s="36"/>
      <c r="UZA209" s="36"/>
      <c r="UZB209" s="36"/>
      <c r="UZC209" s="36"/>
      <c r="UZD209" s="36"/>
      <c r="UZE209" s="36"/>
      <c r="UZF209" s="36"/>
      <c r="UZG209" s="36"/>
      <c r="UZH209" s="36"/>
      <c r="UZI209" s="36"/>
      <c r="UZJ209" s="36"/>
      <c r="UZK209" s="36"/>
      <c r="UZL209" s="36"/>
      <c r="UZM209" s="36"/>
      <c r="UZN209" s="36"/>
      <c r="UZO209" s="36"/>
      <c r="UZP209" s="36"/>
      <c r="UZQ209" s="36"/>
      <c r="UZR209" s="36"/>
      <c r="UZS209" s="36"/>
      <c r="UZT209" s="36"/>
      <c r="UZU209" s="36"/>
      <c r="UZV209" s="36"/>
      <c r="UZW209" s="36"/>
      <c r="UZX209" s="36"/>
      <c r="UZY209" s="36"/>
      <c r="UZZ209" s="36"/>
      <c r="VAA209" s="36"/>
      <c r="VAB209" s="36"/>
      <c r="VAC209" s="36"/>
      <c r="VAD209" s="36"/>
      <c r="VAE209" s="36"/>
      <c r="VAF209" s="36"/>
      <c r="VAG209" s="36"/>
      <c r="VAH209" s="36"/>
      <c r="VAI209" s="36"/>
      <c r="VAJ209" s="36"/>
      <c r="VAK209" s="36"/>
      <c r="VAL209" s="36"/>
      <c r="VAM209" s="36"/>
      <c r="VAN209" s="36"/>
      <c r="VAO209" s="36"/>
      <c r="VAP209" s="36"/>
      <c r="VAQ209" s="36"/>
      <c r="VAR209" s="36"/>
      <c r="VAS209" s="36"/>
      <c r="VAT209" s="36"/>
      <c r="VAU209" s="36"/>
      <c r="VAV209" s="36"/>
      <c r="VAW209" s="36"/>
      <c r="VAX209" s="36"/>
      <c r="VAY209" s="36"/>
      <c r="VAZ209" s="36"/>
      <c r="VBA209" s="36"/>
      <c r="VBB209" s="36"/>
      <c r="VBC209" s="36"/>
      <c r="VBD209" s="36"/>
      <c r="VBE209" s="36"/>
      <c r="VBF209" s="36"/>
      <c r="VBG209" s="36"/>
      <c r="VBH209" s="36"/>
      <c r="VBI209" s="36"/>
      <c r="VBJ209" s="36"/>
      <c r="VBK209" s="36"/>
      <c r="VBL209" s="36"/>
      <c r="VBM209" s="36"/>
      <c r="VBN209" s="36"/>
      <c r="VBO209" s="36"/>
      <c r="VBP209" s="36"/>
      <c r="VBQ209" s="36"/>
      <c r="VBR209" s="36"/>
      <c r="VBS209" s="36"/>
      <c r="VBT209" s="36"/>
      <c r="VBU209" s="36"/>
      <c r="VBV209" s="36"/>
      <c r="VBW209" s="36"/>
      <c r="VBX209" s="36"/>
      <c r="VBY209" s="36"/>
      <c r="VBZ209" s="36"/>
      <c r="VCA209" s="36"/>
      <c r="VCB209" s="36"/>
      <c r="VCC209" s="36"/>
      <c r="VCD209" s="36"/>
      <c r="VCE209" s="36"/>
      <c r="VCF209" s="36"/>
      <c r="VCG209" s="36"/>
      <c r="VCH209" s="36"/>
      <c r="VCI209" s="36"/>
      <c r="VCJ209" s="36"/>
      <c r="VCK209" s="36"/>
      <c r="VCL209" s="36"/>
      <c r="VCM209" s="36"/>
      <c r="VCN209" s="36"/>
      <c r="VCO209" s="36"/>
      <c r="VCP209" s="36"/>
      <c r="VCQ209" s="36"/>
      <c r="VCR209" s="36"/>
      <c r="VCS209" s="36"/>
      <c r="VCT209" s="36"/>
      <c r="VCU209" s="36"/>
      <c r="VCV209" s="36"/>
      <c r="VCW209" s="36"/>
      <c r="VCX209" s="36"/>
      <c r="VCY209" s="36"/>
      <c r="VCZ209" s="36"/>
      <c r="VDA209" s="36"/>
      <c r="VDB209" s="36"/>
      <c r="VDC209" s="36"/>
      <c r="VDD209" s="36"/>
      <c r="VDE209" s="36"/>
      <c r="VDF209" s="36"/>
      <c r="VDG209" s="36"/>
      <c r="VDH209" s="36"/>
      <c r="VDI209" s="36"/>
      <c r="VDJ209" s="36"/>
      <c r="VDK209" s="36"/>
      <c r="VDL209" s="36"/>
      <c r="VDM209" s="36"/>
      <c r="VDN209" s="36"/>
      <c r="VDO209" s="36"/>
      <c r="VDP209" s="36"/>
      <c r="VDQ209" s="36"/>
      <c r="VDR209" s="36"/>
      <c r="VDS209" s="36"/>
      <c r="VDT209" s="36"/>
      <c r="VDU209" s="36"/>
      <c r="VDV209" s="36"/>
      <c r="VDW209" s="36"/>
      <c r="VDX209" s="36"/>
      <c r="VDY209" s="36"/>
      <c r="VDZ209" s="36"/>
      <c r="VEA209" s="36"/>
      <c r="VEB209" s="36"/>
      <c r="VEC209" s="36"/>
      <c r="VED209" s="36"/>
      <c r="VEE209" s="36"/>
      <c r="VEF209" s="36"/>
      <c r="VEG209" s="36"/>
      <c r="VEH209" s="36"/>
      <c r="VEI209" s="36"/>
      <c r="VEJ209" s="36"/>
      <c r="VEK209" s="36"/>
      <c r="VEL209" s="36"/>
      <c r="VEM209" s="36"/>
      <c r="VEN209" s="36"/>
      <c r="VEO209" s="36"/>
      <c r="VEP209" s="36"/>
      <c r="VEQ209" s="36"/>
      <c r="VER209" s="36"/>
      <c r="VES209" s="36"/>
      <c r="VET209" s="36"/>
      <c r="VEU209" s="36"/>
      <c r="VEV209" s="36"/>
      <c r="VEW209" s="36"/>
      <c r="VEX209" s="36"/>
      <c r="VEY209" s="36"/>
      <c r="VEZ209" s="36"/>
      <c r="VFA209" s="36"/>
      <c r="VFB209" s="36"/>
      <c r="VFC209" s="36"/>
      <c r="VFD209" s="36"/>
      <c r="VFE209" s="36"/>
      <c r="VFF209" s="36"/>
      <c r="VFG209" s="36"/>
      <c r="VFH209" s="36"/>
      <c r="VFI209" s="36"/>
      <c r="VFJ209" s="36"/>
      <c r="VFK209" s="36"/>
      <c r="VFL209" s="36"/>
      <c r="VFM209" s="36"/>
      <c r="VFN209" s="36"/>
      <c r="VFO209" s="36"/>
      <c r="VFP209" s="36"/>
      <c r="VFQ209" s="36"/>
      <c r="VFR209" s="36"/>
      <c r="VFS209" s="36"/>
      <c r="VFT209" s="36"/>
      <c r="VFU209" s="36"/>
      <c r="VFV209" s="36"/>
      <c r="VFW209" s="36"/>
      <c r="VFX209" s="36"/>
      <c r="VFY209" s="36"/>
      <c r="VFZ209" s="36"/>
      <c r="VGA209" s="36"/>
      <c r="VGB209" s="36"/>
      <c r="VGC209" s="36"/>
      <c r="VGD209" s="36"/>
      <c r="VGE209" s="36"/>
      <c r="VGF209" s="36"/>
      <c r="VGG209" s="36"/>
      <c r="VGH209" s="36"/>
      <c r="VGI209" s="36"/>
      <c r="VGJ209" s="36"/>
      <c r="VGK209" s="36"/>
      <c r="VGL209" s="36"/>
      <c r="VGM209" s="36"/>
      <c r="VGN209" s="36"/>
      <c r="VGO209" s="36"/>
      <c r="VGP209" s="36"/>
      <c r="VGQ209" s="36"/>
      <c r="VGR209" s="36"/>
      <c r="VGS209" s="36"/>
      <c r="VGT209" s="36"/>
      <c r="VGU209" s="36"/>
      <c r="VGV209" s="36"/>
      <c r="VGW209" s="36"/>
      <c r="VGX209" s="36"/>
      <c r="VGY209" s="36"/>
      <c r="VGZ209" s="36"/>
      <c r="VHA209" s="36"/>
      <c r="VHB209" s="36"/>
      <c r="VHC209" s="36"/>
      <c r="VHD209" s="36"/>
      <c r="VHE209" s="36"/>
      <c r="VHF209" s="36"/>
      <c r="VHG209" s="36"/>
      <c r="VHH209" s="36"/>
      <c r="VHI209" s="36"/>
      <c r="VHJ209" s="36"/>
      <c r="VHK209" s="36"/>
      <c r="VHL209" s="36"/>
      <c r="VHM209" s="36"/>
      <c r="VHN209" s="36"/>
      <c r="VHO209" s="36"/>
      <c r="VHP209" s="36"/>
      <c r="VHQ209" s="36"/>
      <c r="VHR209" s="36"/>
      <c r="VHS209" s="36"/>
      <c r="VHT209" s="36"/>
      <c r="VHU209" s="36"/>
      <c r="VHV209" s="36"/>
      <c r="VHW209" s="36"/>
      <c r="VHX209" s="36"/>
      <c r="VHY209" s="36"/>
      <c r="VHZ209" s="36"/>
      <c r="VIA209" s="36"/>
      <c r="VIB209" s="36"/>
      <c r="VIC209" s="36"/>
      <c r="VID209" s="36"/>
      <c r="VIE209" s="36"/>
      <c r="VIF209" s="36"/>
      <c r="VIG209" s="36"/>
      <c r="VIH209" s="36"/>
      <c r="VII209" s="36"/>
      <c r="VIJ209" s="36"/>
      <c r="VIK209" s="36"/>
      <c r="VIL209" s="36"/>
      <c r="VIM209" s="36"/>
      <c r="VIN209" s="36"/>
      <c r="VIO209" s="36"/>
      <c r="VIP209" s="36"/>
      <c r="VIQ209" s="36"/>
      <c r="VIR209" s="36"/>
      <c r="VIS209" s="36"/>
      <c r="VIT209" s="36"/>
      <c r="VIU209" s="36"/>
      <c r="VIV209" s="36"/>
      <c r="VIW209" s="36"/>
      <c r="VIX209" s="36"/>
      <c r="VIY209" s="36"/>
      <c r="VIZ209" s="36"/>
      <c r="VJA209" s="36"/>
      <c r="VJB209" s="36"/>
      <c r="VJC209" s="36"/>
      <c r="VJD209" s="36"/>
      <c r="VJE209" s="36"/>
      <c r="VJF209" s="36"/>
      <c r="VJG209" s="36"/>
      <c r="VJH209" s="36"/>
      <c r="VJI209" s="36"/>
      <c r="VJJ209" s="36"/>
      <c r="VJK209" s="36"/>
      <c r="VJL209" s="36"/>
      <c r="VJM209" s="36"/>
      <c r="VJN209" s="36"/>
      <c r="VJO209" s="36"/>
      <c r="VJP209" s="36"/>
      <c r="VJQ209" s="36"/>
      <c r="VJR209" s="36"/>
      <c r="VJS209" s="36"/>
      <c r="VJT209" s="36"/>
      <c r="VJU209" s="36"/>
      <c r="VJV209" s="36"/>
      <c r="VJW209" s="36"/>
      <c r="VJX209" s="36"/>
      <c r="VJY209" s="36"/>
      <c r="VJZ209" s="36"/>
      <c r="VKA209" s="36"/>
      <c r="VKB209" s="36"/>
      <c r="VKC209" s="36"/>
      <c r="VKD209" s="36"/>
      <c r="VKE209" s="36"/>
      <c r="VKF209" s="36"/>
      <c r="VKG209" s="36"/>
      <c r="VKH209" s="36"/>
      <c r="VKI209" s="36"/>
      <c r="VKJ209" s="36"/>
      <c r="VKK209" s="36"/>
      <c r="VKL209" s="36"/>
      <c r="VKM209" s="36"/>
      <c r="VKN209" s="36"/>
      <c r="VKO209" s="36"/>
      <c r="VKP209" s="36"/>
      <c r="VKQ209" s="36"/>
      <c r="VKR209" s="36"/>
      <c r="VKS209" s="36"/>
      <c r="VKT209" s="36"/>
      <c r="VKU209" s="36"/>
      <c r="VKV209" s="36"/>
      <c r="VKW209" s="36"/>
      <c r="VKX209" s="36"/>
      <c r="VKY209" s="36"/>
      <c r="VKZ209" s="36"/>
      <c r="VLA209" s="36"/>
      <c r="VLB209" s="36"/>
      <c r="VLC209" s="36"/>
      <c r="VLD209" s="36"/>
      <c r="VLE209" s="36"/>
      <c r="VLF209" s="36"/>
      <c r="VLG209" s="36"/>
      <c r="VLH209" s="36"/>
      <c r="VLI209" s="36"/>
      <c r="VLJ209" s="36"/>
      <c r="VLK209" s="36"/>
      <c r="VLL209" s="36"/>
      <c r="VLM209" s="36"/>
      <c r="VLN209" s="36"/>
      <c r="VLO209" s="36"/>
      <c r="VLP209" s="36"/>
      <c r="VLQ209" s="36"/>
      <c r="VLR209" s="36"/>
      <c r="VLS209" s="36"/>
      <c r="VLT209" s="36"/>
      <c r="VLU209" s="36"/>
      <c r="VLV209" s="36"/>
      <c r="VLW209" s="36"/>
      <c r="VLX209" s="36"/>
      <c r="VLY209" s="36"/>
      <c r="VLZ209" s="36"/>
      <c r="VMA209" s="36"/>
      <c r="VMB209" s="36"/>
      <c r="VMC209" s="36"/>
      <c r="VMD209" s="36"/>
      <c r="VME209" s="36"/>
      <c r="VMF209" s="36"/>
      <c r="VMG209" s="36"/>
      <c r="VMH209" s="36"/>
      <c r="VMI209" s="36"/>
      <c r="VMJ209" s="36"/>
      <c r="VMK209" s="36"/>
      <c r="VML209" s="36"/>
      <c r="VMM209" s="36"/>
      <c r="VMN209" s="36"/>
      <c r="VMO209" s="36"/>
      <c r="VMP209" s="36"/>
      <c r="VMQ209" s="36"/>
      <c r="VMR209" s="36"/>
      <c r="VMS209" s="36"/>
      <c r="VMT209" s="36"/>
      <c r="VMU209" s="36"/>
      <c r="VMV209" s="36"/>
      <c r="VMW209" s="36"/>
      <c r="VMX209" s="36"/>
      <c r="VMY209" s="36"/>
      <c r="VMZ209" s="36"/>
      <c r="VNA209" s="36"/>
      <c r="VNB209" s="36"/>
      <c r="VNC209" s="36"/>
      <c r="VND209" s="36"/>
      <c r="VNE209" s="36"/>
      <c r="VNF209" s="36"/>
      <c r="VNG209" s="36"/>
      <c r="VNH209" s="36"/>
      <c r="VNI209" s="36"/>
      <c r="VNJ209" s="36"/>
      <c r="VNK209" s="36"/>
      <c r="VNL209" s="36"/>
      <c r="VNM209" s="36"/>
      <c r="VNN209" s="36"/>
      <c r="VNO209" s="36"/>
      <c r="VNP209" s="36"/>
      <c r="VNQ209" s="36"/>
      <c r="VNR209" s="36"/>
      <c r="VNS209" s="36"/>
      <c r="VNT209" s="36"/>
      <c r="VNU209" s="36"/>
      <c r="VNV209" s="36"/>
      <c r="VNW209" s="36"/>
      <c r="VNX209" s="36"/>
      <c r="VNY209" s="36"/>
      <c r="VNZ209" s="36"/>
      <c r="VOA209" s="36"/>
      <c r="VOB209" s="36"/>
      <c r="VOC209" s="36"/>
      <c r="VOD209" s="36"/>
      <c r="VOE209" s="36"/>
      <c r="VOF209" s="36"/>
      <c r="VOG209" s="36"/>
      <c r="VOH209" s="36"/>
      <c r="VOI209" s="36"/>
      <c r="VOJ209" s="36"/>
      <c r="VOK209" s="36"/>
      <c r="VOL209" s="36"/>
      <c r="VOM209" s="36"/>
      <c r="VON209" s="36"/>
      <c r="VOO209" s="36"/>
      <c r="VOP209" s="36"/>
      <c r="VOQ209" s="36"/>
      <c r="VOR209" s="36"/>
      <c r="VOS209" s="36"/>
      <c r="VOT209" s="36"/>
      <c r="VOU209" s="36"/>
      <c r="VOV209" s="36"/>
      <c r="VOW209" s="36"/>
      <c r="VOX209" s="36"/>
      <c r="VOY209" s="36"/>
      <c r="VOZ209" s="36"/>
      <c r="VPA209" s="36"/>
      <c r="VPB209" s="36"/>
      <c r="VPC209" s="36"/>
      <c r="VPD209" s="36"/>
      <c r="VPE209" s="36"/>
      <c r="VPF209" s="36"/>
      <c r="VPG209" s="36"/>
      <c r="VPH209" s="36"/>
      <c r="VPI209" s="36"/>
      <c r="VPJ209" s="36"/>
      <c r="VPK209" s="36"/>
      <c r="VPL209" s="36"/>
      <c r="VPM209" s="36"/>
      <c r="VPN209" s="36"/>
      <c r="VPO209" s="36"/>
      <c r="VPP209" s="36"/>
      <c r="VPQ209" s="36"/>
      <c r="VPR209" s="36"/>
      <c r="VPS209" s="36"/>
      <c r="VPT209" s="36"/>
      <c r="VPU209" s="36"/>
      <c r="VPV209" s="36"/>
      <c r="VPW209" s="36"/>
      <c r="VPX209" s="36"/>
      <c r="VPY209" s="36"/>
      <c r="VPZ209" s="36"/>
      <c r="VQA209" s="36"/>
      <c r="VQB209" s="36"/>
      <c r="VQC209" s="36"/>
      <c r="VQD209" s="36"/>
      <c r="VQE209" s="36"/>
      <c r="VQF209" s="36"/>
      <c r="VQG209" s="36"/>
      <c r="VQH209" s="36"/>
      <c r="VQI209" s="36"/>
      <c r="VQJ209" s="36"/>
      <c r="VQK209" s="36"/>
      <c r="VQL209" s="36"/>
      <c r="VQM209" s="36"/>
      <c r="VQN209" s="36"/>
      <c r="VQO209" s="36"/>
      <c r="VQP209" s="36"/>
      <c r="VQQ209" s="36"/>
      <c r="VQR209" s="36"/>
      <c r="VQS209" s="36"/>
      <c r="VQT209" s="36"/>
      <c r="VQU209" s="36"/>
      <c r="VQV209" s="36"/>
      <c r="VQW209" s="36"/>
      <c r="VQX209" s="36"/>
      <c r="VQY209" s="36"/>
      <c r="VQZ209" s="36"/>
      <c r="VRA209" s="36"/>
      <c r="VRB209" s="36"/>
      <c r="VRC209" s="36"/>
      <c r="VRD209" s="36"/>
      <c r="VRE209" s="36"/>
      <c r="VRF209" s="36"/>
      <c r="VRG209" s="36"/>
      <c r="VRH209" s="36"/>
      <c r="VRI209" s="36"/>
      <c r="VRJ209" s="36"/>
      <c r="VRK209" s="36"/>
      <c r="VRL209" s="36"/>
      <c r="VRM209" s="36"/>
      <c r="VRN209" s="36"/>
      <c r="VRO209" s="36"/>
      <c r="VRP209" s="36"/>
      <c r="VRQ209" s="36"/>
      <c r="VRR209" s="36"/>
      <c r="VRS209" s="36"/>
      <c r="VRT209" s="36"/>
      <c r="VRU209" s="36"/>
      <c r="VRV209" s="36"/>
      <c r="VRW209" s="36"/>
      <c r="VRX209" s="36"/>
      <c r="VRY209" s="36"/>
      <c r="VRZ209" s="36"/>
      <c r="VSA209" s="36"/>
      <c r="VSB209" s="36"/>
      <c r="VSC209" s="36"/>
      <c r="VSD209" s="36"/>
      <c r="VSE209" s="36"/>
      <c r="VSF209" s="36"/>
      <c r="VSG209" s="36"/>
      <c r="VSH209" s="36"/>
      <c r="VSI209" s="36"/>
      <c r="VSJ209" s="36"/>
      <c r="VSK209" s="36"/>
      <c r="VSL209" s="36"/>
      <c r="VSM209" s="36"/>
      <c r="VSN209" s="36"/>
      <c r="VSO209" s="36"/>
      <c r="VSP209" s="36"/>
      <c r="VSQ209" s="36"/>
      <c r="VSR209" s="36"/>
      <c r="VSS209" s="36"/>
      <c r="VST209" s="36"/>
      <c r="VSU209" s="36"/>
      <c r="VSV209" s="36"/>
      <c r="VSW209" s="36"/>
      <c r="VSX209" s="36"/>
      <c r="VSY209" s="36"/>
      <c r="VSZ209" s="36"/>
      <c r="VTA209" s="36"/>
      <c r="VTB209" s="36"/>
      <c r="VTC209" s="36"/>
      <c r="VTD209" s="36"/>
      <c r="VTE209" s="36"/>
      <c r="VTF209" s="36"/>
      <c r="VTG209" s="36"/>
      <c r="VTH209" s="36"/>
      <c r="VTI209" s="36"/>
      <c r="VTJ209" s="36"/>
      <c r="VTK209" s="36"/>
      <c r="VTL209" s="36"/>
      <c r="VTM209" s="36"/>
      <c r="VTN209" s="36"/>
      <c r="VTO209" s="36"/>
      <c r="VTP209" s="36"/>
      <c r="VTQ209" s="36"/>
      <c r="VTR209" s="36"/>
      <c r="VTS209" s="36"/>
      <c r="VTT209" s="36"/>
      <c r="VTU209" s="36"/>
      <c r="VTV209" s="36"/>
      <c r="VTW209" s="36"/>
      <c r="VTX209" s="36"/>
      <c r="VTY209" s="36"/>
      <c r="VTZ209" s="36"/>
      <c r="VUA209" s="36"/>
      <c r="VUB209" s="36"/>
      <c r="VUC209" s="36"/>
      <c r="VUD209" s="36"/>
      <c r="VUE209" s="36"/>
      <c r="VUF209" s="36"/>
      <c r="VUG209" s="36"/>
      <c r="VUH209" s="36"/>
      <c r="VUI209" s="36"/>
      <c r="VUJ209" s="36"/>
      <c r="VUK209" s="36"/>
      <c r="VUL209" s="36"/>
      <c r="VUM209" s="36"/>
      <c r="VUN209" s="36"/>
      <c r="VUO209" s="36"/>
      <c r="VUP209" s="36"/>
      <c r="VUQ209" s="36"/>
      <c r="VUR209" s="36"/>
      <c r="VUS209" s="36"/>
      <c r="VUT209" s="36"/>
      <c r="VUU209" s="36"/>
      <c r="VUV209" s="36"/>
      <c r="VUW209" s="36"/>
      <c r="VUX209" s="36"/>
      <c r="VUY209" s="36"/>
      <c r="VUZ209" s="36"/>
      <c r="VVA209" s="36"/>
      <c r="VVB209" s="36"/>
      <c r="VVC209" s="36"/>
      <c r="VVD209" s="36"/>
      <c r="VVE209" s="36"/>
      <c r="VVF209" s="36"/>
      <c r="VVG209" s="36"/>
      <c r="VVH209" s="36"/>
      <c r="VVI209" s="36"/>
      <c r="VVJ209" s="36"/>
      <c r="VVK209" s="36"/>
      <c r="VVL209" s="36"/>
      <c r="VVM209" s="36"/>
      <c r="VVN209" s="36"/>
      <c r="VVO209" s="36"/>
      <c r="VVP209" s="36"/>
      <c r="VVQ209" s="36"/>
      <c r="VVR209" s="36"/>
      <c r="VVS209" s="36"/>
      <c r="VVT209" s="36"/>
      <c r="VVU209" s="36"/>
      <c r="VVV209" s="36"/>
      <c r="VVW209" s="36"/>
      <c r="VVX209" s="36"/>
      <c r="VVY209" s="36"/>
      <c r="VVZ209" s="36"/>
      <c r="VWA209" s="36"/>
      <c r="VWB209" s="36"/>
      <c r="VWC209" s="36"/>
      <c r="VWD209" s="36"/>
      <c r="VWE209" s="36"/>
      <c r="VWF209" s="36"/>
      <c r="VWG209" s="36"/>
      <c r="VWH209" s="36"/>
      <c r="VWI209" s="36"/>
      <c r="VWJ209" s="36"/>
      <c r="VWK209" s="36"/>
      <c r="VWL209" s="36"/>
      <c r="VWM209" s="36"/>
      <c r="VWN209" s="36"/>
      <c r="VWO209" s="36"/>
      <c r="VWP209" s="36"/>
      <c r="VWQ209" s="36"/>
      <c r="VWR209" s="36"/>
      <c r="VWS209" s="36"/>
      <c r="VWT209" s="36"/>
      <c r="VWU209" s="36"/>
      <c r="VWV209" s="36"/>
      <c r="VWW209" s="36"/>
      <c r="VWX209" s="36"/>
      <c r="VWY209" s="36"/>
      <c r="VWZ209" s="36"/>
      <c r="VXA209" s="36"/>
      <c r="VXB209" s="36"/>
      <c r="VXC209" s="36"/>
      <c r="VXD209" s="36"/>
      <c r="VXE209" s="36"/>
      <c r="VXF209" s="36"/>
      <c r="VXG209" s="36"/>
      <c r="VXH209" s="36"/>
      <c r="VXI209" s="36"/>
      <c r="VXJ209" s="36"/>
      <c r="VXK209" s="36"/>
      <c r="VXL209" s="36"/>
      <c r="VXM209" s="36"/>
      <c r="VXN209" s="36"/>
      <c r="VXO209" s="36"/>
      <c r="VXP209" s="36"/>
      <c r="VXQ209" s="36"/>
      <c r="VXR209" s="36"/>
      <c r="VXS209" s="36"/>
      <c r="VXT209" s="36"/>
      <c r="VXU209" s="36"/>
      <c r="VXV209" s="36"/>
      <c r="VXW209" s="36"/>
      <c r="VXX209" s="36"/>
      <c r="VXY209" s="36"/>
      <c r="VXZ209" s="36"/>
      <c r="VYA209" s="36"/>
      <c r="VYB209" s="36"/>
      <c r="VYC209" s="36"/>
      <c r="VYD209" s="36"/>
      <c r="VYE209" s="36"/>
      <c r="VYF209" s="36"/>
      <c r="VYG209" s="36"/>
      <c r="VYH209" s="36"/>
      <c r="VYI209" s="36"/>
      <c r="VYJ209" s="36"/>
      <c r="VYK209" s="36"/>
      <c r="VYL209" s="36"/>
      <c r="VYM209" s="36"/>
      <c r="VYN209" s="36"/>
      <c r="VYO209" s="36"/>
      <c r="VYP209" s="36"/>
      <c r="VYQ209" s="36"/>
      <c r="VYR209" s="36"/>
      <c r="VYS209" s="36"/>
      <c r="VYT209" s="36"/>
      <c r="VYU209" s="36"/>
      <c r="VYV209" s="36"/>
      <c r="VYW209" s="36"/>
      <c r="VYX209" s="36"/>
      <c r="VYY209" s="36"/>
      <c r="VYZ209" s="36"/>
      <c r="VZA209" s="36"/>
      <c r="VZB209" s="36"/>
      <c r="VZC209" s="36"/>
      <c r="VZD209" s="36"/>
      <c r="VZE209" s="36"/>
      <c r="VZF209" s="36"/>
      <c r="VZG209" s="36"/>
      <c r="VZH209" s="36"/>
      <c r="VZI209" s="36"/>
      <c r="VZJ209" s="36"/>
      <c r="VZK209" s="36"/>
      <c r="VZL209" s="36"/>
      <c r="VZM209" s="36"/>
      <c r="VZN209" s="36"/>
      <c r="VZO209" s="36"/>
      <c r="VZP209" s="36"/>
      <c r="VZQ209" s="36"/>
      <c r="VZR209" s="36"/>
      <c r="VZS209" s="36"/>
      <c r="VZT209" s="36"/>
      <c r="VZU209" s="36"/>
      <c r="VZV209" s="36"/>
      <c r="VZW209" s="36"/>
      <c r="VZX209" s="36"/>
      <c r="VZY209" s="36"/>
      <c r="VZZ209" s="36"/>
      <c r="WAA209" s="36"/>
      <c r="WAB209" s="36"/>
      <c r="WAC209" s="36"/>
      <c r="WAD209" s="36"/>
      <c r="WAE209" s="36"/>
      <c r="WAF209" s="36"/>
      <c r="WAG209" s="36"/>
      <c r="WAH209" s="36"/>
      <c r="WAI209" s="36"/>
      <c r="WAJ209" s="36"/>
      <c r="WAK209" s="36"/>
      <c r="WAL209" s="36"/>
      <c r="WAM209" s="36"/>
      <c r="WAN209" s="36"/>
      <c r="WAO209" s="36"/>
      <c r="WAP209" s="36"/>
      <c r="WAQ209" s="36"/>
      <c r="WAR209" s="36"/>
      <c r="WAS209" s="36"/>
      <c r="WAT209" s="36"/>
      <c r="WAU209" s="36"/>
      <c r="WAV209" s="36"/>
      <c r="WAW209" s="36"/>
      <c r="WAX209" s="36"/>
      <c r="WAY209" s="36"/>
      <c r="WAZ209" s="36"/>
      <c r="WBA209" s="36"/>
      <c r="WBB209" s="36"/>
      <c r="WBC209" s="36"/>
      <c r="WBD209" s="36"/>
      <c r="WBE209" s="36"/>
      <c r="WBF209" s="36"/>
      <c r="WBG209" s="36"/>
      <c r="WBH209" s="36"/>
      <c r="WBI209" s="36"/>
      <c r="WBJ209" s="36"/>
      <c r="WBK209" s="36"/>
      <c r="WBL209" s="36"/>
      <c r="WBM209" s="36"/>
      <c r="WBN209" s="36"/>
      <c r="WBO209" s="36"/>
      <c r="WBP209" s="36"/>
      <c r="WBQ209" s="36"/>
      <c r="WBR209" s="36"/>
      <c r="WBS209" s="36"/>
      <c r="WBT209" s="36"/>
      <c r="WBU209" s="36"/>
      <c r="WBV209" s="36"/>
      <c r="WBW209" s="36"/>
      <c r="WBX209" s="36"/>
      <c r="WBY209" s="36"/>
      <c r="WBZ209" s="36"/>
      <c r="WCA209" s="36"/>
      <c r="WCB209" s="36"/>
      <c r="WCC209" s="36"/>
      <c r="WCD209" s="36"/>
      <c r="WCE209" s="36"/>
      <c r="WCF209" s="36"/>
      <c r="WCG209" s="36"/>
      <c r="WCH209" s="36"/>
      <c r="WCI209" s="36"/>
      <c r="WCJ209" s="36"/>
      <c r="WCK209" s="36"/>
      <c r="WCL209" s="36"/>
      <c r="WCM209" s="36"/>
      <c r="WCN209" s="36"/>
      <c r="WCO209" s="36"/>
      <c r="WCP209" s="36"/>
      <c r="WCQ209" s="36"/>
      <c r="WCR209" s="36"/>
      <c r="WCS209" s="36"/>
      <c r="WCT209" s="36"/>
      <c r="WCU209" s="36"/>
      <c r="WCV209" s="36"/>
      <c r="WCW209" s="36"/>
      <c r="WCX209" s="36"/>
      <c r="WCY209" s="36"/>
      <c r="WCZ209" s="36"/>
      <c r="WDA209" s="36"/>
      <c r="WDB209" s="36"/>
      <c r="WDC209" s="36"/>
      <c r="WDD209" s="36"/>
      <c r="WDE209" s="36"/>
      <c r="WDF209" s="36"/>
      <c r="WDG209" s="36"/>
      <c r="WDH209" s="36"/>
      <c r="WDI209" s="36"/>
      <c r="WDJ209" s="36"/>
      <c r="WDK209" s="36"/>
      <c r="WDL209" s="36"/>
      <c r="WDM209" s="36"/>
      <c r="WDN209" s="36"/>
      <c r="WDO209" s="36"/>
      <c r="WDP209" s="36"/>
      <c r="WDQ209" s="36"/>
      <c r="WDR209" s="36"/>
      <c r="WDS209" s="36"/>
      <c r="WDT209" s="36"/>
      <c r="WDU209" s="36"/>
      <c r="WDV209" s="36"/>
      <c r="WDW209" s="36"/>
      <c r="WDX209" s="36"/>
      <c r="WDY209" s="36"/>
      <c r="WDZ209" s="36"/>
      <c r="WEA209" s="36"/>
      <c r="WEB209" s="36"/>
      <c r="WEC209" s="36"/>
      <c r="WED209" s="36"/>
      <c r="WEE209" s="36"/>
      <c r="WEF209" s="36"/>
      <c r="WEG209" s="36"/>
      <c r="WEH209" s="36"/>
      <c r="WEI209" s="36"/>
      <c r="WEJ209" s="36"/>
      <c r="WEK209" s="36"/>
      <c r="WEL209" s="36"/>
      <c r="WEM209" s="36"/>
      <c r="WEN209" s="36"/>
      <c r="WEO209" s="36"/>
      <c r="WEP209" s="36"/>
      <c r="WEQ209" s="36"/>
      <c r="WER209" s="36"/>
      <c r="WES209" s="36"/>
      <c r="WET209" s="36"/>
      <c r="WEU209" s="36"/>
      <c r="WEV209" s="36"/>
      <c r="WEW209" s="36"/>
      <c r="WEX209" s="36"/>
      <c r="WEY209" s="36"/>
      <c r="WEZ209" s="36"/>
      <c r="WFA209" s="36"/>
      <c r="WFB209" s="36"/>
      <c r="WFC209" s="36"/>
      <c r="WFD209" s="36"/>
      <c r="WFE209" s="36"/>
      <c r="WFF209" s="36"/>
      <c r="WFG209" s="36"/>
      <c r="WFH209" s="36"/>
      <c r="WFI209" s="36"/>
      <c r="WFJ209" s="36"/>
      <c r="WFK209" s="36"/>
      <c r="WFL209" s="36"/>
      <c r="WFM209" s="36"/>
      <c r="WFN209" s="36"/>
      <c r="WFO209" s="36"/>
      <c r="WFP209" s="36"/>
      <c r="WFQ209" s="36"/>
      <c r="WFR209" s="36"/>
      <c r="WFS209" s="36"/>
      <c r="WFT209" s="36"/>
      <c r="WFU209" s="36"/>
      <c r="WFV209" s="36"/>
      <c r="WFW209" s="36"/>
      <c r="WFX209" s="36"/>
      <c r="WFY209" s="36"/>
      <c r="WFZ209" s="36"/>
      <c r="WGA209" s="36"/>
      <c r="WGB209" s="36"/>
      <c r="WGC209" s="36"/>
      <c r="WGD209" s="36"/>
      <c r="WGE209" s="36"/>
      <c r="WGF209" s="36"/>
      <c r="WGG209" s="36"/>
      <c r="WGH209" s="36"/>
      <c r="WGI209" s="36"/>
      <c r="WGJ209" s="36"/>
      <c r="WGK209" s="36"/>
      <c r="WGL209" s="36"/>
      <c r="WGM209" s="36"/>
      <c r="WGN209" s="36"/>
      <c r="WGO209" s="36"/>
      <c r="WGP209" s="36"/>
      <c r="WGQ209" s="36"/>
      <c r="WGR209" s="36"/>
      <c r="WGS209" s="36"/>
      <c r="WGT209" s="36"/>
      <c r="WGU209" s="36"/>
      <c r="WGV209" s="36"/>
      <c r="WGW209" s="36"/>
      <c r="WGX209" s="36"/>
      <c r="WGY209" s="36"/>
      <c r="WGZ209" s="36"/>
      <c r="WHA209" s="36"/>
      <c r="WHB209" s="36"/>
      <c r="WHC209" s="36"/>
      <c r="WHD209" s="36"/>
      <c r="WHE209" s="36"/>
      <c r="WHF209" s="36"/>
      <c r="WHG209" s="36"/>
      <c r="WHH209" s="36"/>
      <c r="WHI209" s="36"/>
      <c r="WHJ209" s="36"/>
      <c r="WHK209" s="36"/>
      <c r="WHL209" s="36"/>
      <c r="WHM209" s="36"/>
      <c r="WHN209" s="36"/>
      <c r="WHO209" s="36"/>
      <c r="WHP209" s="36"/>
      <c r="WHQ209" s="36"/>
      <c r="WHR209" s="36"/>
      <c r="WHS209" s="36"/>
      <c r="WHT209" s="36"/>
      <c r="WHU209" s="36"/>
      <c r="WHV209" s="36"/>
      <c r="WHW209" s="36"/>
      <c r="WHX209" s="36"/>
      <c r="WHY209" s="36"/>
      <c r="WHZ209" s="36"/>
      <c r="WIA209" s="36"/>
      <c r="WIB209" s="36"/>
      <c r="WIC209" s="36"/>
      <c r="WID209" s="36"/>
      <c r="WIE209" s="36"/>
      <c r="WIF209" s="36"/>
      <c r="WIG209" s="36"/>
      <c r="WIH209" s="36"/>
      <c r="WII209" s="36"/>
      <c r="WIJ209" s="36"/>
      <c r="WIK209" s="36"/>
      <c r="WIL209" s="36"/>
      <c r="WIM209" s="36"/>
      <c r="WIN209" s="36"/>
      <c r="WIO209" s="36"/>
      <c r="WIP209" s="36"/>
      <c r="WIQ209" s="36"/>
      <c r="WIR209" s="36"/>
      <c r="WIS209" s="36"/>
      <c r="WIT209" s="36"/>
      <c r="WIU209" s="36"/>
      <c r="WIV209" s="36"/>
      <c r="WIW209" s="36"/>
      <c r="WIX209" s="36"/>
      <c r="WIY209" s="36"/>
      <c r="WIZ209" s="36"/>
      <c r="WJA209" s="36"/>
      <c r="WJB209" s="36"/>
      <c r="WJC209" s="36"/>
      <c r="WJD209" s="36"/>
      <c r="WJE209" s="36"/>
      <c r="WJF209" s="36"/>
      <c r="WJG209" s="36"/>
      <c r="WJH209" s="36"/>
      <c r="WJI209" s="36"/>
      <c r="WJJ209" s="36"/>
      <c r="WJK209" s="36"/>
      <c r="WJL209" s="36"/>
      <c r="WJM209" s="36"/>
      <c r="WJN209" s="36"/>
      <c r="WJO209" s="36"/>
      <c r="WJP209" s="36"/>
      <c r="WJQ209" s="36"/>
      <c r="WJR209" s="36"/>
      <c r="WJS209" s="36"/>
      <c r="WJT209" s="36"/>
      <c r="WJU209" s="36"/>
      <c r="WJV209" s="36"/>
      <c r="WJW209" s="36"/>
      <c r="WJX209" s="36"/>
      <c r="WJY209" s="36"/>
      <c r="WJZ209" s="36"/>
      <c r="WKA209" s="36"/>
      <c r="WKB209" s="36"/>
      <c r="WKC209" s="36"/>
      <c r="WKD209" s="36"/>
      <c r="WKE209" s="36"/>
      <c r="WKF209" s="36"/>
      <c r="WKG209" s="36"/>
      <c r="WKH209" s="36"/>
      <c r="WKI209" s="36"/>
      <c r="WKJ209" s="36"/>
      <c r="WKK209" s="36"/>
      <c r="WKL209" s="36"/>
      <c r="WKM209" s="36"/>
      <c r="WKN209" s="36"/>
      <c r="WKO209" s="36"/>
      <c r="WKP209" s="36"/>
      <c r="WKQ209" s="36"/>
      <c r="WKR209" s="36"/>
      <c r="WKS209" s="36"/>
      <c r="WKT209" s="36"/>
      <c r="WKU209" s="36"/>
      <c r="WKV209" s="36"/>
      <c r="WKW209" s="36"/>
      <c r="WKX209" s="36"/>
      <c r="WKY209" s="36"/>
      <c r="WKZ209" s="36"/>
      <c r="WLA209" s="36"/>
      <c r="WLB209" s="36"/>
      <c r="WLC209" s="36"/>
      <c r="WLD209" s="36"/>
      <c r="WLE209" s="36"/>
      <c r="WLF209" s="36"/>
      <c r="WLG209" s="36"/>
      <c r="WLH209" s="36"/>
      <c r="WLI209" s="36"/>
      <c r="WLJ209" s="36"/>
      <c r="WLK209" s="36"/>
      <c r="WLL209" s="36"/>
      <c r="WLM209" s="36"/>
      <c r="WLN209" s="36"/>
      <c r="WLO209" s="36"/>
      <c r="WLP209" s="36"/>
      <c r="WLQ209" s="36"/>
      <c r="WLR209" s="36"/>
      <c r="WLS209" s="36"/>
      <c r="WLT209" s="36"/>
      <c r="WLU209" s="36"/>
      <c r="WLV209" s="36"/>
      <c r="WLW209" s="36"/>
      <c r="WLX209" s="36"/>
      <c r="WLY209" s="36"/>
      <c r="WLZ209" s="36"/>
      <c r="WMA209" s="36"/>
      <c r="WMB209" s="36"/>
      <c r="WMC209" s="36"/>
      <c r="WMD209" s="36"/>
      <c r="WME209" s="36"/>
      <c r="WMF209" s="36"/>
      <c r="WMG209" s="36"/>
      <c r="WMH209" s="36"/>
      <c r="WMI209" s="36"/>
      <c r="WMJ209" s="36"/>
      <c r="WMK209" s="36"/>
      <c r="WML209" s="36"/>
      <c r="WMM209" s="36"/>
      <c r="WMN209" s="36"/>
      <c r="WMO209" s="36"/>
      <c r="WMP209" s="36"/>
      <c r="WMQ209" s="36"/>
      <c r="WMR209" s="36"/>
      <c r="WMS209" s="36"/>
      <c r="WMT209" s="36"/>
      <c r="WMU209" s="36"/>
      <c r="WMV209" s="36"/>
      <c r="WMW209" s="36"/>
      <c r="WMX209" s="36"/>
      <c r="WMY209" s="36"/>
      <c r="WMZ209" s="36"/>
      <c r="WNA209" s="36"/>
      <c r="WNB209" s="36"/>
      <c r="WNC209" s="36"/>
      <c r="WND209" s="36"/>
      <c r="WNE209" s="36"/>
      <c r="WNF209" s="36"/>
      <c r="WNG209" s="36"/>
      <c r="WNH209" s="36"/>
      <c r="WNI209" s="36"/>
      <c r="WNJ209" s="36"/>
      <c r="WNK209" s="36"/>
      <c r="WNL209" s="36"/>
      <c r="WNM209" s="36"/>
      <c r="WNN209" s="36"/>
      <c r="WNO209" s="36"/>
      <c r="WNP209" s="36"/>
      <c r="WNQ209" s="36"/>
      <c r="WNR209" s="36"/>
      <c r="WNS209" s="36"/>
      <c r="WNT209" s="36"/>
      <c r="WNU209" s="36"/>
      <c r="WNV209" s="36"/>
      <c r="WNW209" s="36"/>
      <c r="WNX209" s="36"/>
      <c r="WNY209" s="36"/>
      <c r="WNZ209" s="36"/>
      <c r="WOA209" s="36"/>
      <c r="WOB209" s="36"/>
      <c r="WOC209" s="36"/>
      <c r="WOD209" s="36"/>
      <c r="WOE209" s="36"/>
      <c r="WOF209" s="36"/>
      <c r="WOG209" s="36"/>
      <c r="WOH209" s="36"/>
      <c r="WOI209" s="36"/>
      <c r="WOJ209" s="36"/>
      <c r="WOK209" s="36"/>
      <c r="WOL209" s="36"/>
      <c r="WOM209" s="36"/>
      <c r="WON209" s="36"/>
      <c r="WOO209" s="36"/>
      <c r="WOP209" s="36"/>
      <c r="WOQ209" s="36"/>
      <c r="WOR209" s="36"/>
      <c r="WOS209" s="36"/>
      <c r="WOT209" s="36"/>
      <c r="WOU209" s="36"/>
      <c r="WOV209" s="36"/>
      <c r="WOW209" s="36"/>
      <c r="WOX209" s="36"/>
      <c r="WOY209" s="36"/>
      <c r="WOZ209" s="36"/>
      <c r="WPA209" s="36"/>
      <c r="WPB209" s="36"/>
      <c r="WPC209" s="36"/>
      <c r="WPD209" s="36"/>
      <c r="WPE209" s="36"/>
      <c r="WPF209" s="36"/>
      <c r="WPG209" s="36"/>
      <c r="WPH209" s="36"/>
      <c r="WPI209" s="36"/>
      <c r="WPJ209" s="36"/>
      <c r="WPK209" s="36"/>
      <c r="WPL209" s="36"/>
      <c r="WPM209" s="36"/>
      <c r="WPN209" s="36"/>
      <c r="WPO209" s="36"/>
      <c r="WPP209" s="36"/>
      <c r="WPQ209" s="36"/>
      <c r="WPR209" s="36"/>
      <c r="WPS209" s="36"/>
      <c r="WPT209" s="36"/>
      <c r="WPU209" s="36"/>
      <c r="WPV209" s="36"/>
      <c r="WPW209" s="36"/>
      <c r="WPX209" s="36"/>
      <c r="WPY209" s="36"/>
      <c r="WPZ209" s="36"/>
      <c r="WQA209" s="36"/>
      <c r="WQB209" s="36"/>
      <c r="WQC209" s="36"/>
      <c r="WQD209" s="36"/>
      <c r="WQE209" s="36"/>
      <c r="WQF209" s="36"/>
      <c r="WQG209" s="36"/>
      <c r="WQH209" s="36"/>
      <c r="WQI209" s="36"/>
      <c r="WQJ209" s="36"/>
      <c r="WQK209" s="36"/>
      <c r="WQL209" s="36"/>
      <c r="WQM209" s="36"/>
      <c r="WQN209" s="36"/>
      <c r="WQO209" s="36"/>
      <c r="WQP209" s="36"/>
      <c r="WQQ209" s="36"/>
      <c r="WQR209" s="36"/>
      <c r="WQS209" s="36"/>
      <c r="WQT209" s="36"/>
      <c r="WQU209" s="36"/>
      <c r="WQV209" s="36"/>
      <c r="WQW209" s="36"/>
      <c r="WQX209" s="36"/>
      <c r="WQY209" s="36"/>
      <c r="WQZ209" s="36"/>
      <c r="WRA209" s="36"/>
      <c r="WRB209" s="36"/>
      <c r="WRC209" s="36"/>
      <c r="WRD209" s="36"/>
      <c r="WRE209" s="36"/>
      <c r="WRF209" s="36"/>
      <c r="WRG209" s="36"/>
      <c r="WRH209" s="36"/>
      <c r="WRI209" s="36"/>
      <c r="WRJ209" s="36"/>
      <c r="WRK209" s="36"/>
      <c r="WRL209" s="36"/>
      <c r="WRM209" s="36"/>
      <c r="WRN209" s="36"/>
      <c r="WRO209" s="36"/>
      <c r="WRP209" s="36"/>
      <c r="WRQ209" s="36"/>
      <c r="WRR209" s="36"/>
      <c r="WRS209" s="36"/>
      <c r="WRT209" s="36"/>
      <c r="WRU209" s="36"/>
      <c r="WRV209" s="36"/>
      <c r="WRW209" s="36"/>
      <c r="WRX209" s="36"/>
      <c r="WRY209" s="36"/>
      <c r="WRZ209" s="36"/>
      <c r="WSA209" s="36"/>
      <c r="WSB209" s="36"/>
      <c r="WSC209" s="36"/>
      <c r="WSD209" s="36"/>
      <c r="WSE209" s="36"/>
      <c r="WSF209" s="36"/>
      <c r="WSG209" s="36"/>
      <c r="WSH209" s="36"/>
      <c r="WSI209" s="36"/>
      <c r="WSJ209" s="36"/>
      <c r="WSK209" s="36"/>
      <c r="WSL209" s="36"/>
      <c r="WSM209" s="36"/>
      <c r="WSN209" s="36"/>
      <c r="WSO209" s="36"/>
      <c r="WSP209" s="36"/>
      <c r="WSQ209" s="36"/>
      <c r="WSR209" s="36"/>
      <c r="WSS209" s="36"/>
      <c r="WST209" s="36"/>
      <c r="WSU209" s="36"/>
      <c r="WSV209" s="36"/>
      <c r="WSW209" s="36"/>
      <c r="WSX209" s="36"/>
      <c r="WSY209" s="36"/>
      <c r="WSZ209" s="36"/>
      <c r="WTA209" s="36"/>
      <c r="WTB209" s="36"/>
      <c r="WTC209" s="36"/>
      <c r="WTD209" s="36"/>
      <c r="WTE209" s="36"/>
      <c r="WTF209" s="36"/>
      <c r="WTG209" s="36"/>
      <c r="WTH209" s="36"/>
      <c r="WTI209" s="36"/>
      <c r="WTJ209" s="36"/>
      <c r="WTK209" s="36"/>
      <c r="WTL209" s="36"/>
      <c r="WTM209" s="36"/>
      <c r="WTN209" s="36"/>
      <c r="WTO209" s="36"/>
      <c r="WTP209" s="36"/>
      <c r="WTQ209" s="36"/>
      <c r="WTR209" s="36"/>
      <c r="WTS209" s="36"/>
      <c r="WTT209" s="36"/>
      <c r="WTU209" s="36"/>
      <c r="WTV209" s="36"/>
      <c r="WTW209" s="36"/>
      <c r="WTX209" s="36"/>
      <c r="WTY209" s="36"/>
      <c r="WTZ209" s="36"/>
      <c r="WUA209" s="36"/>
      <c r="WUB209" s="36"/>
      <c r="WUC209" s="36"/>
      <c r="WUD209" s="36"/>
      <c r="WUE209" s="36"/>
      <c r="WUF209" s="36"/>
      <c r="WUG209" s="36"/>
      <c r="WUH209" s="36"/>
      <c r="WUI209" s="36"/>
      <c r="WUJ209" s="36"/>
      <c r="WUK209" s="36"/>
      <c r="WUL209" s="36"/>
      <c r="WUM209" s="36"/>
      <c r="WUN209" s="36"/>
      <c r="WUO209" s="36"/>
      <c r="WUP209" s="36"/>
      <c r="WUQ209" s="36"/>
      <c r="WUR209" s="36"/>
      <c r="WUS209" s="36"/>
      <c r="WUT209" s="36"/>
      <c r="WUU209" s="36"/>
      <c r="WUV209" s="36"/>
      <c r="WUW209" s="36"/>
      <c r="WUX209" s="36"/>
      <c r="WUY209" s="36"/>
      <c r="WUZ209" s="36"/>
      <c r="WVA209" s="36"/>
      <c r="WVB209" s="36"/>
      <c r="WVC209" s="36"/>
      <c r="WVD209" s="36"/>
      <c r="WVE209" s="36"/>
      <c r="WVF209" s="36"/>
      <c r="WVG209" s="36"/>
      <c r="WVH209" s="36"/>
      <c r="WVI209" s="36"/>
      <c r="WVJ209" s="36"/>
      <c r="WVK209" s="36"/>
      <c r="WVL209" s="36"/>
      <c r="WVM209" s="36"/>
      <c r="WVN209" s="36"/>
      <c r="WVO209" s="36"/>
      <c r="WVP209" s="36"/>
      <c r="WVQ209" s="36"/>
      <c r="WVR209" s="36"/>
      <c r="WVS209" s="36"/>
      <c r="WVT209" s="36"/>
      <c r="WVU209" s="36"/>
      <c r="WVV209" s="36"/>
      <c r="WVW209" s="36"/>
      <c r="WVX209" s="36"/>
      <c r="WVY209" s="36"/>
      <c r="WVZ209" s="36"/>
      <c r="WWA209" s="36"/>
      <c r="WWB209" s="36"/>
      <c r="WWC209" s="36"/>
      <c r="WWD209" s="36"/>
      <c r="WWE209" s="36"/>
      <c r="WWF209" s="36"/>
      <c r="WWG209" s="36"/>
      <c r="WWH209" s="36"/>
      <c r="WWI209" s="36"/>
      <c r="WWJ209" s="36"/>
      <c r="WWK209" s="36"/>
      <c r="WWL209" s="36"/>
      <c r="WWM209" s="36"/>
      <c r="WWN209" s="36"/>
      <c r="WWO209" s="36"/>
      <c r="WWP209" s="36"/>
      <c r="WWQ209" s="36"/>
      <c r="WWR209" s="36"/>
      <c r="WWS209" s="36"/>
      <c r="WWT209" s="36"/>
      <c r="WWU209" s="36"/>
      <c r="WWV209" s="36"/>
      <c r="WWW209" s="36"/>
      <c r="WWX209" s="36"/>
      <c r="WWY209" s="36"/>
      <c r="WWZ209" s="36"/>
      <c r="WXA209" s="36"/>
      <c r="WXB209" s="36"/>
      <c r="WXC209" s="36"/>
      <c r="WXD209" s="36"/>
      <c r="WXE209" s="36"/>
      <c r="WXF209" s="36"/>
      <c r="WXG209" s="36"/>
      <c r="WXH209" s="36"/>
      <c r="WXI209" s="36"/>
      <c r="WXJ209" s="36"/>
      <c r="WXK209" s="36"/>
      <c r="WXL209" s="36"/>
      <c r="WXM209" s="36"/>
      <c r="WXN209" s="36"/>
      <c r="WXO209" s="36"/>
      <c r="WXP209" s="36"/>
      <c r="WXQ209" s="36"/>
      <c r="WXR209" s="36"/>
      <c r="WXS209" s="36"/>
      <c r="WXT209" s="36"/>
      <c r="WXU209" s="36"/>
      <c r="WXV209" s="36"/>
      <c r="WXW209" s="36"/>
      <c r="WXX209" s="36"/>
      <c r="WXY209" s="36"/>
      <c r="WXZ209" s="36"/>
      <c r="WYA209" s="36"/>
      <c r="WYB209" s="36"/>
      <c r="WYC209" s="36"/>
      <c r="WYD209" s="36"/>
      <c r="WYE209" s="36"/>
      <c r="WYF209" s="36"/>
      <c r="WYG209" s="36"/>
      <c r="WYH209" s="36"/>
      <c r="WYI209" s="36"/>
      <c r="WYJ209" s="36"/>
      <c r="WYK209" s="36"/>
      <c r="WYL209" s="36"/>
      <c r="WYM209" s="36"/>
      <c r="WYN209" s="36"/>
      <c r="WYO209" s="36"/>
      <c r="WYP209" s="36"/>
      <c r="WYQ209" s="36"/>
      <c r="WYR209" s="36"/>
      <c r="WYS209" s="36"/>
      <c r="WYT209" s="36"/>
      <c r="WYU209" s="36"/>
      <c r="WYV209" s="36"/>
      <c r="WYW209" s="36"/>
      <c r="WYX209" s="36"/>
      <c r="WYY209" s="36"/>
      <c r="WYZ209" s="36"/>
      <c r="WZA209" s="36"/>
      <c r="WZB209" s="36"/>
      <c r="WZC209" s="36"/>
      <c r="WZD209" s="36"/>
      <c r="WZE209" s="36"/>
      <c r="WZF209" s="36"/>
      <c r="WZG209" s="36"/>
      <c r="WZH209" s="36"/>
      <c r="WZI209" s="36"/>
      <c r="WZJ209" s="36"/>
      <c r="WZK209" s="36"/>
      <c r="WZL209" s="36"/>
      <c r="WZM209" s="36"/>
      <c r="WZN209" s="36"/>
      <c r="WZO209" s="36"/>
      <c r="WZP209" s="36"/>
      <c r="WZQ209" s="36"/>
      <c r="WZR209" s="36"/>
      <c r="WZS209" s="36"/>
      <c r="WZT209" s="36"/>
      <c r="WZU209" s="36"/>
      <c r="WZV209" s="36"/>
      <c r="WZW209" s="36"/>
      <c r="WZX209" s="36"/>
      <c r="WZY209" s="36"/>
      <c r="WZZ209" s="36"/>
      <c r="XAA209" s="36"/>
      <c r="XAB209" s="36"/>
      <c r="XAC209" s="36"/>
      <c r="XAD209" s="36"/>
      <c r="XAE209" s="36"/>
      <c r="XAF209" s="36"/>
      <c r="XAG209" s="36"/>
      <c r="XAH209" s="36"/>
      <c r="XAI209" s="36"/>
      <c r="XAJ209" s="36"/>
      <c r="XAK209" s="36"/>
      <c r="XAL209" s="36"/>
      <c r="XAM209" s="36"/>
      <c r="XAN209" s="36"/>
      <c r="XAO209" s="36"/>
      <c r="XAP209" s="36"/>
      <c r="XAQ209" s="36"/>
      <c r="XAR209" s="36"/>
      <c r="XAS209" s="36"/>
      <c r="XAT209" s="36"/>
      <c r="XAU209" s="36"/>
      <c r="XAV209" s="36"/>
      <c r="XAW209" s="36"/>
      <c r="XAX209" s="36"/>
      <c r="XAY209" s="36"/>
      <c r="XAZ209" s="36"/>
      <c r="XBA209" s="36"/>
      <c r="XBB209" s="36"/>
      <c r="XBC209" s="36"/>
      <c r="XBD209" s="36"/>
      <c r="XBE209" s="36"/>
      <c r="XBF209" s="36"/>
      <c r="XBG209" s="36"/>
      <c r="XBH209" s="36"/>
      <c r="XBI209" s="36"/>
      <c r="XBJ209" s="36"/>
      <c r="XBK209" s="36"/>
      <c r="XBL209" s="36"/>
      <c r="XBM209" s="36"/>
      <c r="XBN209" s="36"/>
      <c r="XBO209" s="36"/>
      <c r="XBP209" s="36"/>
      <c r="XBQ209" s="36"/>
      <c r="XBR209" s="36"/>
      <c r="XBS209" s="36"/>
      <c r="XBT209" s="36"/>
      <c r="XBU209" s="36"/>
      <c r="XBV209" s="36"/>
      <c r="XBW209" s="36"/>
      <c r="XBX209" s="36"/>
      <c r="XBY209" s="36"/>
      <c r="XBZ209" s="36"/>
      <c r="XCA209" s="36"/>
      <c r="XCB209" s="36"/>
      <c r="XCC209" s="36"/>
      <c r="XCD209" s="36"/>
      <c r="XCE209" s="36"/>
      <c r="XCF209" s="36"/>
      <c r="XCG209" s="36"/>
      <c r="XCH209" s="36"/>
      <c r="XCI209" s="36"/>
      <c r="XCJ209" s="36"/>
      <c r="XCK209" s="36"/>
      <c r="XCL209" s="36"/>
      <c r="XCM209" s="36"/>
      <c r="XCN209" s="36"/>
      <c r="XCO209" s="36"/>
      <c r="XCP209" s="36"/>
      <c r="XCQ209" s="36"/>
      <c r="XCR209" s="36"/>
      <c r="XCS209" s="36"/>
      <c r="XCT209" s="36"/>
      <c r="XCU209" s="36"/>
      <c r="XCV209" s="36"/>
      <c r="XCW209" s="36"/>
      <c r="XCX209" s="36"/>
      <c r="XCY209" s="36"/>
      <c r="XCZ209" s="36"/>
      <c r="XDA209" s="36"/>
      <c r="XDB209" s="36"/>
      <c r="XDC209" s="36"/>
      <c r="XDD209" s="36"/>
      <c r="XDE209" s="36"/>
      <c r="XDF209" s="36"/>
      <c r="XDG209" s="36"/>
      <c r="XDH209" s="36"/>
      <c r="XDI209" s="36"/>
      <c r="XDJ209" s="36"/>
      <c r="XDK209" s="36"/>
      <c r="XDL209" s="36"/>
      <c r="XDM209" s="36"/>
      <c r="XDN209" s="36"/>
      <c r="XDO209" s="36"/>
      <c r="XDP209" s="36"/>
      <c r="XDQ209" s="36"/>
      <c r="XDR209" s="36"/>
      <c r="XDS209" s="36"/>
      <c r="XDT209" s="36"/>
      <c r="XDU209" s="36"/>
      <c r="XDV209" s="36"/>
      <c r="XDW209" s="36"/>
      <c r="XDX209" s="36"/>
      <c r="XDY209" s="36"/>
      <c r="XDZ209" s="36"/>
      <c r="XEA209" s="36"/>
      <c r="XEB209" s="36"/>
      <c r="XEC209" s="36"/>
      <c r="XED209" s="36"/>
      <c r="XEE209" s="36"/>
      <c r="XEF209" s="36"/>
      <c r="XEG209" s="36"/>
      <c r="XEH209" s="36"/>
      <c r="XEI209" s="36"/>
      <c r="XEJ209" s="36"/>
      <c r="XEK209" s="36"/>
      <c r="XEL209" s="36"/>
      <c r="XEM209" s="36"/>
      <c r="XEN209" s="36"/>
      <c r="XEO209" s="36"/>
      <c r="XEP209" s="36"/>
      <c r="XEQ209" s="36"/>
      <c r="XER209" s="36"/>
      <c r="XES209" s="36"/>
      <c r="XET209" s="36"/>
      <c r="XEU209" s="36"/>
      <c r="XEV209" s="36"/>
      <c r="XEW209" s="36"/>
      <c r="XEX209" s="36"/>
      <c r="XEY209" s="36"/>
      <c r="XEZ209" s="36"/>
      <c r="XFA209" s="36"/>
      <c r="XFB209" s="36"/>
      <c r="XFC209" s="36"/>
    </row>
    <row r="210" spans="1:16383" hidden="1">
      <c r="B210" s="412" t="str">
        <f t="shared" ref="B210:B216" si="14">D$210</f>
        <v>Chanvre</v>
      </c>
      <c r="C210" s="2086" t="s">
        <v>275</v>
      </c>
      <c r="D210" s="832" t="s">
        <v>219</v>
      </c>
      <c r="E210" s="1370" t="s">
        <v>224</v>
      </c>
      <c r="F210" s="1945" t="str">
        <f>IFERROR(G210/G$248,"")</f>
        <v/>
      </c>
      <c r="G210" s="1946">
        <f>SUMIFS(F$92:F$101,PlanRotationPaturageS0,$B210)+SUMIFS(F$78:F$87,PlanRotationS0,$B210)</f>
        <v>0</v>
      </c>
      <c r="H210" s="837" t="str">
        <f>IFERROR(I210/I$248,"")</f>
        <v/>
      </c>
      <c r="I210" s="845">
        <f>SUMIFS(H$92:H$101,PlanRotationPaturageS1,$B210)+SUMIFS(H$78:H$87,PlanRotationS1,$B210)</f>
        <v>0</v>
      </c>
      <c r="J210" s="839" t="str">
        <f>IFERROR(K210/K$248,"")</f>
        <v/>
      </c>
      <c r="K210" s="845">
        <f>SUMIFS(J$92:J$101,PlanRotationPaturageS2,$B210)+SUMIFS(J$78:J$87,PlanRotationS2,$B210)</f>
        <v>0</v>
      </c>
      <c r="L210" s="842" t="str">
        <f>IFERROR(M210/M$248,"")</f>
        <v/>
      </c>
      <c r="M210" s="845">
        <f>SUMIFS(L$92:L$101,PlanRotationPaturageS3,$B210)+SUMIFS(L$78:L$87,PlanRotationS3,$B210)</f>
        <v>0</v>
      </c>
      <c r="N210" s="842" t="str">
        <f>IFERROR(O210/O$248,"")</f>
        <v/>
      </c>
      <c r="O210" s="845">
        <f>SUMIFS(N$92:N$101,PlanRotationPaturageS4,$B210)+SUMIFS(N$78:N$87,PlanRotationS4,$B210)</f>
        <v>0</v>
      </c>
      <c r="P210" s="842" t="str">
        <f>IFERROR(Q210/Q$248,"")</f>
        <v/>
      </c>
      <c r="Q210" s="845">
        <f>SUMIFS(P$92:P$101,PlanRotationPaturageS5,$B210)+SUMIFS(P$78:P$87,PlanRotationS5,$B210)</f>
        <v>0</v>
      </c>
    </row>
    <row r="211" spans="1:16383" hidden="1">
      <c r="B211" s="412" t="str">
        <f t="shared" si="14"/>
        <v>Chanvre</v>
      </c>
      <c r="D211" s="765" t="s">
        <v>281</v>
      </c>
      <c r="E211" s="1371" t="s">
        <v>254</v>
      </c>
      <c r="F211" s="1953"/>
      <c r="G211" s="1946">
        <f ca="1">OFFSET(RéfChamps!$CT$55,0,IF(ProdS0="Biologique",0,3))</f>
        <v>728.81136784825867</v>
      </c>
      <c r="H211" s="994"/>
      <c r="I211" s="834">
        <f ca="1">OFFSET(RéfChamps!$CT$55,0,IF(ProdS1="Biologique",0,3))</f>
        <v>838.81158333333337</v>
      </c>
      <c r="J211" s="996"/>
      <c r="K211" s="834">
        <f ca="1">OFFSET(RéfChamps!$CT$55,0,IF(ProdS2="Biologique",0,3))</f>
        <v>728.81136784825867</v>
      </c>
      <c r="L211" s="999"/>
      <c r="M211" s="834">
        <f ca="1">OFFSET(RéfChamps!$CT$55,0,IF(ProdS3="Biologique",0,3))</f>
        <v>728.81136784825867</v>
      </c>
      <c r="N211" s="999"/>
      <c r="O211" s="834">
        <f ca="1">OFFSET(RéfChamps!$CT$55,0,IF(ProdS4="Biologique",0,3))</f>
        <v>728.81136784825867</v>
      </c>
      <c r="P211" s="999"/>
      <c r="Q211" s="834">
        <f ca="1">OFFSET(RéfChamps!$CT$55,0,IF(ProdS5="Biologique",0,3))</f>
        <v>728.81136784825867</v>
      </c>
      <c r="S211" s="14"/>
    </row>
    <row r="212" spans="1:16383" hidden="1">
      <c r="B212" s="412" t="str">
        <f t="shared" si="14"/>
        <v>Chanvre</v>
      </c>
      <c r="D212" s="765" t="s">
        <v>252</v>
      </c>
      <c r="E212" s="1371" t="s">
        <v>937</v>
      </c>
      <c r="F212" s="1945"/>
      <c r="G212" s="1946">
        <f ca="1">OFFSET(RéfChamps!$CR$5,0,IF(ProdS0="Biologique",0,3))</f>
        <v>1</v>
      </c>
      <c r="H212" s="994"/>
      <c r="I212" s="1468">
        <f ca="1">OFFSET(RéfChamps!$CR$5,0,IF(ProdS1="Biologique",0,3))</f>
        <v>1</v>
      </c>
      <c r="J212" s="996"/>
      <c r="K212" s="1072">
        <f ca="1">OFFSET(RéfChamps!$CR$5,0,IF(ProdS2="Biologique",0,3))</f>
        <v>1</v>
      </c>
      <c r="L212" s="1073"/>
      <c r="M212" s="1072">
        <f ca="1">OFFSET(RéfChamps!$CR$5,0,IF(ProdS3="Biologique",0,3))</f>
        <v>1</v>
      </c>
      <c r="N212" s="1073"/>
      <c r="O212" s="1072">
        <f ca="1">OFFSET(RéfChamps!$CR$5,0,IF(ProdS4="Biologique",0,3))</f>
        <v>1</v>
      </c>
      <c r="P212" s="1073"/>
      <c r="Q212" s="1072">
        <f ca="1">OFFSET(RéfChamps!$CR$5,0,IF(ProdS5="Biologique",0,3))</f>
        <v>1</v>
      </c>
    </row>
    <row r="213" spans="1:16383" hidden="1">
      <c r="B213" s="412" t="str">
        <f t="shared" si="14"/>
        <v>Chanvre</v>
      </c>
      <c r="D213" s="765" t="s">
        <v>253</v>
      </c>
      <c r="E213" s="1371" t="s">
        <v>225</v>
      </c>
      <c r="F213" s="1945"/>
      <c r="G213" s="1946">
        <f ca="1">OFFSET(RéfChamps!$CS$5,0,IF(PrixS0="Biologique",0,3))</f>
        <v>1100</v>
      </c>
      <c r="H213" s="994"/>
      <c r="I213" s="835">
        <f ca="1">OFFSET(RéfChamps!$CS$5,0,IF(PrixS1="Biologique",0,3))</f>
        <v>1100</v>
      </c>
      <c r="J213" s="996"/>
      <c r="K213" s="835">
        <f ca="1">OFFSET(RéfChamps!$CS$5,0,IF(PrixS2="Biologique",0,3))</f>
        <v>1100</v>
      </c>
      <c r="L213" s="1000"/>
      <c r="M213" s="835">
        <f ca="1">OFFSET(RéfChamps!$CS$5,0,IF(PrixS3="Biologique",0,3))</f>
        <v>1100</v>
      </c>
      <c r="N213" s="1000"/>
      <c r="O213" s="835">
        <f ca="1">OFFSET(RéfChamps!$CS$5,0,IF(PrixS4="Biologique",0,3))</f>
        <v>3950</v>
      </c>
      <c r="P213" s="1000"/>
      <c r="Q213" s="835">
        <f ca="1">OFFSET(RéfChamps!$CS$5,0,IF(PrixS5="Biologique",0,3))</f>
        <v>3950</v>
      </c>
    </row>
    <row r="214" spans="1:16383" hidden="1">
      <c r="B214" s="412" t="str">
        <f t="shared" si="14"/>
        <v>Chanvre</v>
      </c>
      <c r="D214" s="765" t="s">
        <v>282</v>
      </c>
      <c r="E214" s="1371" t="s">
        <v>254</v>
      </c>
      <c r="F214" s="1945"/>
      <c r="G214" s="1946">
        <f ca="1">SUMPRODUCT(OFFSET(RéfChamps!$CR$5:$CR$9,0,IF(ProdS0="Biologique",0,3)),OFFSET(RéfChamps!$CS$5:$CS$9,0,IF(PrixS0="Biologique",0,3)))</f>
        <v>1136.1199999999999</v>
      </c>
      <c r="H214" s="994"/>
      <c r="I214" s="835">
        <f ca="1">SUMPRODUCT(OFFSET(RéfChamps!$CR$5:$CR$9,0,IF(ProdS1="Biologique",0,3)),OFFSET(RéfChamps!$CS$5:$CS$9,0,IF(PrixS1="Biologique",0,3)))</f>
        <v>1136.1199999999999</v>
      </c>
      <c r="J214" s="997"/>
      <c r="K214" s="835">
        <f ca="1">SUMPRODUCT(OFFSET(RéfChamps!$CR$5:$CR$9,0,IF(ProdS2="Biologique",0,3)),OFFSET(RéfChamps!$CS$5:$CS$9,0,IF(PrixS2="Biologique",0,3)))</f>
        <v>1136.1199999999999</v>
      </c>
      <c r="L214" s="1000"/>
      <c r="M214" s="835">
        <f ca="1">SUMPRODUCT(OFFSET(RéfChamps!$CR$5:$CR$9,0,IF(ProdS3="Biologique",0,3)),OFFSET(RéfChamps!$CS$5:$CS$9,0,IF(PrixS3="Biologique",0,3)))</f>
        <v>1136.1199999999999</v>
      </c>
      <c r="N214" s="1000"/>
      <c r="O214" s="835">
        <f ca="1">SUMPRODUCT(OFFSET(RéfChamps!$CR$5:$CR$9,0,IF(ProdS4="Biologique",0,3)),OFFSET(RéfChamps!$CS$5:$CS$9,0,IF(PrixS4="Biologique",0,3)))</f>
        <v>4105.82</v>
      </c>
      <c r="P214" s="1000"/>
      <c r="Q214" s="835">
        <f ca="1">SUMPRODUCT(OFFSET(RéfChamps!$CR$5:$CR$9,0,IF(ProdS5="Biologique",0,3)),OFFSET(RéfChamps!$CS$5:$CS$9,0,IF(PrixS5="Biologique",0,3)))</f>
        <v>4105.82</v>
      </c>
    </row>
    <row r="215" spans="1:16383" s="346" customFormat="1" ht="15" hidden="1" thickBot="1">
      <c r="A215" s="413"/>
      <c r="B215" s="428" t="str">
        <f t="shared" si="14"/>
        <v>Chanvre</v>
      </c>
      <c r="D215" s="765" t="s">
        <v>1457</v>
      </c>
      <c r="E215" s="1371" t="s">
        <v>254</v>
      </c>
      <c r="F215" s="1945"/>
      <c r="G215" s="1951">
        <f ca="1">IFERROR(G214-G211,"Erreur")</f>
        <v>407.30863215174122</v>
      </c>
      <c r="H215" s="994"/>
      <c r="I215" s="846">
        <f ca="1">IFERROR(I214-I211,"Erreur")</f>
        <v>297.30841666666652</v>
      </c>
      <c r="J215" s="998"/>
      <c r="K215" s="846">
        <f ca="1">IFERROR(K214-K211,"Erreur")</f>
        <v>407.30863215174122</v>
      </c>
      <c r="L215" s="1001"/>
      <c r="M215" s="846">
        <f ca="1">IFERROR(M214-M211,"Erreur")</f>
        <v>407.30863215174122</v>
      </c>
      <c r="N215" s="1001"/>
      <c r="O215" s="846">
        <f ca="1">IFERROR(O214-O211,"Erreur")</f>
        <v>3377.008632151741</v>
      </c>
      <c r="P215" s="1001"/>
      <c r="Q215" s="846">
        <f ca="1">IFERROR(Q214-Q211,"Erreur")</f>
        <v>3377.008632151741</v>
      </c>
      <c r="R215" s="1698"/>
    </row>
    <row r="216" spans="1:16383" s="28" customFormat="1" ht="15.75" hidden="1" thickTop="1" thickBot="1">
      <c r="A216" s="411"/>
      <c r="B216" s="428" t="str">
        <f t="shared" si="14"/>
        <v>Chanvre</v>
      </c>
      <c r="C216" s="36"/>
      <c r="D216" s="2085" t="str">
        <f>"Détails pour le "&amp;LOWER(D210)</f>
        <v>Détails pour le chanvre</v>
      </c>
      <c r="E216" s="1371"/>
      <c r="F216" s="1952"/>
      <c r="G216" s="1946"/>
      <c r="H216" s="994"/>
      <c r="I216" s="1612"/>
      <c r="J216" s="1002"/>
      <c r="K216" s="1612"/>
      <c r="L216" s="1002"/>
      <c r="M216" s="1612"/>
      <c r="N216" s="1002"/>
      <c r="O216" s="1612"/>
      <c r="P216" s="1002"/>
      <c r="Q216" s="1612"/>
      <c r="R216" s="1701"/>
      <c r="S216" s="36"/>
      <c r="T216" s="36"/>
      <c r="U216" s="36"/>
      <c r="V216" s="36"/>
      <c r="W216" s="36"/>
      <c r="X216" s="36"/>
      <c r="Y216" s="36"/>
      <c r="Z216" s="36"/>
      <c r="AA216" s="36"/>
      <c r="AB216" s="36"/>
      <c r="AC216" s="36"/>
      <c r="AD216" s="36"/>
      <c r="AE216" s="36"/>
      <c r="AF216" s="36"/>
      <c r="AG216" s="36"/>
      <c r="AH216" s="36"/>
      <c r="AI216" s="36"/>
      <c r="AJ216" s="36"/>
      <c r="AK216" s="36"/>
      <c r="AL216" s="36"/>
      <c r="AM216" s="36"/>
      <c r="AN216" s="36"/>
      <c r="AO216" s="36"/>
      <c r="AP216" s="36"/>
      <c r="AQ216" s="36"/>
      <c r="AR216" s="36"/>
      <c r="AS216" s="36"/>
      <c r="AT216" s="36"/>
      <c r="AU216" s="36"/>
      <c r="AV216" s="36"/>
      <c r="AW216" s="36"/>
      <c r="AX216" s="36"/>
      <c r="AY216" s="36"/>
      <c r="AZ216" s="36"/>
      <c r="BA216" s="36"/>
      <c r="BB216" s="36"/>
      <c r="BC216" s="36"/>
      <c r="BD216" s="36"/>
      <c r="BE216" s="36"/>
      <c r="BF216" s="36"/>
      <c r="BG216" s="36"/>
      <c r="BH216" s="36"/>
      <c r="BI216" s="36"/>
      <c r="BJ216" s="36"/>
      <c r="BK216" s="36"/>
      <c r="BL216" s="36"/>
      <c r="BM216" s="36"/>
      <c r="BN216" s="36"/>
      <c r="BO216" s="36"/>
      <c r="BP216" s="36"/>
      <c r="BQ216" s="36"/>
      <c r="BR216" s="36"/>
      <c r="BS216" s="36"/>
      <c r="BT216" s="36"/>
      <c r="BU216" s="36"/>
      <c r="BV216" s="36"/>
      <c r="BW216" s="36"/>
      <c r="BX216" s="36"/>
      <c r="BY216" s="36"/>
      <c r="BZ216" s="36"/>
      <c r="CA216" s="36"/>
      <c r="CB216" s="36"/>
      <c r="CC216" s="36"/>
      <c r="CD216" s="36"/>
      <c r="CE216" s="36"/>
      <c r="CF216" s="36"/>
      <c r="CG216" s="36"/>
      <c r="CH216" s="36"/>
      <c r="CI216" s="36"/>
      <c r="CJ216" s="36"/>
      <c r="CK216" s="36"/>
      <c r="CL216" s="36"/>
      <c r="CM216" s="36"/>
      <c r="CN216" s="36"/>
      <c r="CO216" s="36"/>
      <c r="CP216" s="36"/>
      <c r="CQ216" s="36"/>
      <c r="CR216" s="36"/>
      <c r="CS216" s="36"/>
      <c r="CT216" s="36"/>
      <c r="CU216" s="36"/>
      <c r="CV216" s="36"/>
      <c r="CW216" s="36"/>
      <c r="CX216" s="36"/>
      <c r="CY216" s="36"/>
      <c r="CZ216" s="36"/>
      <c r="DA216" s="36"/>
      <c r="DB216" s="36"/>
      <c r="DC216" s="36"/>
      <c r="DD216" s="36"/>
      <c r="DE216" s="36"/>
      <c r="DF216" s="36"/>
      <c r="DG216" s="36"/>
      <c r="DH216" s="36"/>
      <c r="DI216" s="36"/>
      <c r="DJ216" s="36"/>
      <c r="DK216" s="36"/>
      <c r="DL216" s="36"/>
      <c r="DM216" s="36"/>
      <c r="DN216" s="36"/>
      <c r="DO216" s="36"/>
      <c r="DP216" s="36"/>
      <c r="DQ216" s="36"/>
      <c r="DR216" s="36"/>
      <c r="DS216" s="36"/>
      <c r="DT216" s="36"/>
      <c r="DU216" s="36"/>
      <c r="DV216" s="36"/>
      <c r="DW216" s="36"/>
      <c r="DX216" s="36"/>
      <c r="DY216" s="36"/>
      <c r="DZ216" s="36"/>
      <c r="EA216" s="36"/>
      <c r="EB216" s="36"/>
      <c r="EC216" s="36"/>
      <c r="ED216" s="36"/>
      <c r="EE216" s="36"/>
      <c r="EF216" s="36"/>
      <c r="EG216" s="36"/>
      <c r="EH216" s="36"/>
      <c r="EI216" s="36"/>
      <c r="EJ216" s="36"/>
      <c r="EK216" s="36"/>
      <c r="EL216" s="36"/>
      <c r="EM216" s="36"/>
      <c r="EN216" s="36"/>
      <c r="EO216" s="36"/>
      <c r="EP216" s="36"/>
      <c r="EQ216" s="36"/>
      <c r="ER216" s="36"/>
      <c r="ES216" s="36"/>
      <c r="ET216" s="36"/>
      <c r="EU216" s="36"/>
      <c r="EV216" s="36"/>
      <c r="EW216" s="36"/>
      <c r="EX216" s="36"/>
      <c r="EY216" s="36"/>
      <c r="EZ216" s="36"/>
      <c r="FA216" s="36"/>
      <c r="FB216" s="36"/>
      <c r="FC216" s="36"/>
      <c r="FD216" s="36"/>
      <c r="FE216" s="36"/>
      <c r="FF216" s="36"/>
      <c r="FG216" s="36"/>
      <c r="FH216" s="36"/>
      <c r="FI216" s="36"/>
      <c r="FJ216" s="36"/>
      <c r="FK216" s="36"/>
      <c r="FL216" s="36"/>
      <c r="FM216" s="36"/>
      <c r="FN216" s="36"/>
      <c r="FO216" s="36"/>
      <c r="FP216" s="36"/>
      <c r="FQ216" s="36"/>
      <c r="FR216" s="36"/>
      <c r="FS216" s="36"/>
      <c r="FT216" s="36"/>
      <c r="FU216" s="36"/>
      <c r="FV216" s="36"/>
      <c r="FW216" s="36"/>
      <c r="FX216" s="36"/>
      <c r="FY216" s="36"/>
      <c r="FZ216" s="36"/>
      <c r="GA216" s="36"/>
      <c r="GB216" s="36"/>
      <c r="GC216" s="36"/>
      <c r="GD216" s="36"/>
      <c r="GE216" s="36"/>
      <c r="GF216" s="36"/>
      <c r="GG216" s="36"/>
      <c r="GH216" s="36"/>
      <c r="GI216" s="36"/>
      <c r="GJ216" s="36"/>
      <c r="GK216" s="36"/>
      <c r="GL216" s="36"/>
      <c r="GM216" s="36"/>
      <c r="GN216" s="36"/>
      <c r="GO216" s="36"/>
      <c r="GP216" s="36"/>
      <c r="GQ216" s="36"/>
      <c r="GR216" s="36"/>
      <c r="GS216" s="36"/>
      <c r="GT216" s="36"/>
      <c r="GU216" s="36"/>
      <c r="GV216" s="36"/>
      <c r="GW216" s="36"/>
      <c r="GX216" s="36"/>
      <c r="GY216" s="36"/>
      <c r="GZ216" s="36"/>
      <c r="HA216" s="36"/>
      <c r="HB216" s="36"/>
      <c r="HC216" s="36"/>
      <c r="HD216" s="36"/>
      <c r="HE216" s="36"/>
      <c r="HF216" s="36"/>
      <c r="HG216" s="36"/>
      <c r="HH216" s="36"/>
      <c r="HI216" s="36"/>
      <c r="HJ216" s="36"/>
      <c r="HK216" s="36"/>
      <c r="HL216" s="36"/>
      <c r="HM216" s="36"/>
      <c r="HN216" s="36"/>
      <c r="HO216" s="36"/>
      <c r="HP216" s="36"/>
      <c r="HQ216" s="36"/>
      <c r="HR216" s="36"/>
      <c r="HS216" s="36"/>
      <c r="HT216" s="36"/>
      <c r="HU216" s="36"/>
      <c r="HV216" s="36"/>
      <c r="HW216" s="36"/>
      <c r="HX216" s="36"/>
      <c r="HY216" s="36"/>
      <c r="HZ216" s="36"/>
      <c r="IA216" s="36"/>
      <c r="IB216" s="36"/>
      <c r="IC216" s="36"/>
      <c r="ID216" s="36"/>
      <c r="IE216" s="36"/>
      <c r="IF216" s="36"/>
      <c r="IG216" s="36"/>
      <c r="IH216" s="36"/>
      <c r="II216" s="36"/>
      <c r="IJ216" s="36"/>
      <c r="IK216" s="36"/>
      <c r="IL216" s="36"/>
      <c r="IM216" s="36"/>
      <c r="IN216" s="36"/>
      <c r="IO216" s="36"/>
      <c r="IP216" s="36"/>
      <c r="IQ216" s="36"/>
      <c r="IR216" s="36"/>
      <c r="IS216" s="36"/>
      <c r="IT216" s="36"/>
      <c r="IU216" s="36"/>
      <c r="IV216" s="36"/>
      <c r="IW216" s="36"/>
      <c r="IX216" s="36"/>
      <c r="IY216" s="36"/>
      <c r="IZ216" s="36"/>
      <c r="JA216" s="36"/>
      <c r="JB216" s="36"/>
      <c r="JC216" s="36"/>
      <c r="JD216" s="36"/>
      <c r="JE216" s="36"/>
      <c r="JF216" s="36"/>
      <c r="JG216" s="36"/>
      <c r="JH216" s="36"/>
      <c r="JI216" s="36"/>
      <c r="JJ216" s="36"/>
      <c r="JK216" s="36"/>
      <c r="JL216" s="36"/>
      <c r="JM216" s="36"/>
      <c r="JN216" s="36"/>
      <c r="JO216" s="36"/>
      <c r="JP216" s="36"/>
      <c r="JQ216" s="36"/>
      <c r="JR216" s="36"/>
      <c r="JS216" s="36"/>
      <c r="JT216" s="36"/>
      <c r="JU216" s="36"/>
      <c r="JV216" s="36"/>
      <c r="JW216" s="36"/>
      <c r="JX216" s="36"/>
      <c r="JY216" s="36"/>
      <c r="JZ216" s="36"/>
      <c r="KA216" s="36"/>
      <c r="KB216" s="36"/>
      <c r="KC216" s="36"/>
      <c r="KD216" s="36"/>
      <c r="KE216" s="36"/>
      <c r="KF216" s="36"/>
      <c r="KG216" s="36"/>
      <c r="KH216" s="36"/>
      <c r="KI216" s="36"/>
      <c r="KJ216" s="36"/>
      <c r="KK216" s="36"/>
      <c r="KL216" s="36"/>
      <c r="KM216" s="36"/>
      <c r="KN216" s="36"/>
      <c r="KO216" s="36"/>
      <c r="KP216" s="36"/>
      <c r="KQ216" s="36"/>
      <c r="KR216" s="36"/>
      <c r="KS216" s="36"/>
      <c r="KT216" s="36"/>
      <c r="KU216" s="36"/>
      <c r="KV216" s="36"/>
      <c r="KW216" s="36"/>
      <c r="KX216" s="36"/>
      <c r="KY216" s="36"/>
      <c r="KZ216" s="36"/>
      <c r="LA216" s="36"/>
      <c r="LB216" s="36"/>
      <c r="LC216" s="36"/>
      <c r="LD216" s="36"/>
      <c r="LE216" s="36"/>
      <c r="LF216" s="36"/>
      <c r="LG216" s="36"/>
      <c r="LH216" s="36"/>
      <c r="LI216" s="36"/>
      <c r="LJ216" s="36"/>
      <c r="LK216" s="36"/>
      <c r="LL216" s="36"/>
      <c r="LM216" s="36"/>
      <c r="LN216" s="36"/>
      <c r="LO216" s="36"/>
      <c r="LP216" s="36"/>
      <c r="LQ216" s="36"/>
      <c r="LR216" s="36"/>
      <c r="LS216" s="36"/>
      <c r="LT216" s="36"/>
      <c r="LU216" s="36"/>
      <c r="LV216" s="36"/>
      <c r="LW216" s="36"/>
      <c r="LX216" s="36"/>
      <c r="LY216" s="36"/>
      <c r="LZ216" s="36"/>
      <c r="MA216" s="36"/>
      <c r="MB216" s="36"/>
      <c r="MC216" s="36"/>
      <c r="MD216" s="36"/>
      <c r="ME216" s="36"/>
      <c r="MF216" s="36"/>
      <c r="MG216" s="36"/>
      <c r="MH216" s="36"/>
      <c r="MI216" s="36"/>
      <c r="MJ216" s="36"/>
      <c r="MK216" s="36"/>
      <c r="ML216" s="36"/>
      <c r="MM216" s="36"/>
      <c r="MN216" s="36"/>
      <c r="MO216" s="36"/>
      <c r="MP216" s="36"/>
      <c r="MQ216" s="36"/>
      <c r="MR216" s="36"/>
      <c r="MS216" s="36"/>
      <c r="MT216" s="36"/>
      <c r="MU216" s="36"/>
      <c r="MV216" s="36"/>
      <c r="MW216" s="36"/>
      <c r="MX216" s="36"/>
      <c r="MY216" s="36"/>
      <c r="MZ216" s="36"/>
      <c r="NA216" s="36"/>
      <c r="NB216" s="36"/>
      <c r="NC216" s="36"/>
      <c r="ND216" s="36"/>
      <c r="NE216" s="36"/>
      <c r="NF216" s="36"/>
      <c r="NG216" s="36"/>
      <c r="NH216" s="36"/>
      <c r="NI216" s="36"/>
      <c r="NJ216" s="36"/>
      <c r="NK216" s="36"/>
      <c r="NL216" s="36"/>
      <c r="NM216" s="36"/>
      <c r="NN216" s="36"/>
      <c r="NO216" s="36"/>
      <c r="NP216" s="36"/>
      <c r="NQ216" s="36"/>
      <c r="NR216" s="36"/>
      <c r="NS216" s="36"/>
      <c r="NT216" s="36"/>
      <c r="NU216" s="36"/>
      <c r="NV216" s="36"/>
      <c r="NW216" s="36"/>
      <c r="NX216" s="36"/>
      <c r="NY216" s="36"/>
      <c r="NZ216" s="36"/>
      <c r="OA216" s="36"/>
      <c r="OB216" s="36"/>
      <c r="OC216" s="36"/>
      <c r="OD216" s="36"/>
      <c r="OE216" s="36"/>
      <c r="OF216" s="36"/>
      <c r="OG216" s="36"/>
      <c r="OH216" s="36"/>
      <c r="OI216" s="36"/>
      <c r="OJ216" s="36"/>
      <c r="OK216" s="36"/>
      <c r="OL216" s="36"/>
      <c r="OM216" s="36"/>
      <c r="ON216" s="36"/>
      <c r="OO216" s="36"/>
      <c r="OP216" s="36"/>
      <c r="OQ216" s="36"/>
      <c r="OR216" s="36"/>
      <c r="OS216" s="36"/>
      <c r="OT216" s="36"/>
      <c r="OU216" s="36"/>
      <c r="OV216" s="36"/>
      <c r="OW216" s="36"/>
      <c r="OX216" s="36"/>
      <c r="OY216" s="36"/>
      <c r="OZ216" s="36"/>
      <c r="PA216" s="36"/>
      <c r="PB216" s="36"/>
      <c r="PC216" s="36"/>
      <c r="PD216" s="36"/>
      <c r="PE216" s="36"/>
      <c r="PF216" s="36"/>
      <c r="PG216" s="36"/>
      <c r="PH216" s="36"/>
      <c r="PI216" s="36"/>
      <c r="PJ216" s="36"/>
      <c r="PK216" s="36"/>
      <c r="PL216" s="36"/>
      <c r="PM216" s="36"/>
      <c r="PN216" s="36"/>
      <c r="PO216" s="36"/>
      <c r="PP216" s="36"/>
      <c r="PQ216" s="36"/>
      <c r="PR216" s="36"/>
      <c r="PS216" s="36"/>
      <c r="PT216" s="36"/>
      <c r="PU216" s="36"/>
      <c r="PV216" s="36"/>
      <c r="PW216" s="36"/>
      <c r="PX216" s="36"/>
      <c r="PY216" s="36"/>
      <c r="PZ216" s="36"/>
      <c r="QA216" s="36"/>
      <c r="QB216" s="36"/>
      <c r="QC216" s="36"/>
      <c r="QD216" s="36"/>
      <c r="QE216" s="36"/>
      <c r="QF216" s="36"/>
      <c r="QG216" s="36"/>
      <c r="QH216" s="36"/>
      <c r="QI216" s="36"/>
      <c r="QJ216" s="36"/>
      <c r="QK216" s="36"/>
      <c r="QL216" s="36"/>
      <c r="QM216" s="36"/>
      <c r="QN216" s="36"/>
      <c r="QO216" s="36"/>
      <c r="QP216" s="36"/>
      <c r="QQ216" s="36"/>
      <c r="QR216" s="36"/>
      <c r="QS216" s="36"/>
      <c r="QT216" s="36"/>
      <c r="QU216" s="36"/>
      <c r="QV216" s="36"/>
      <c r="QW216" s="36"/>
      <c r="QX216" s="36"/>
      <c r="QY216" s="36"/>
      <c r="QZ216" s="36"/>
      <c r="RA216" s="36"/>
      <c r="RB216" s="36"/>
      <c r="RC216" s="36"/>
      <c r="RD216" s="36"/>
      <c r="RE216" s="36"/>
      <c r="RF216" s="36"/>
      <c r="RG216" s="36"/>
      <c r="RH216" s="36"/>
      <c r="RI216" s="36"/>
      <c r="RJ216" s="36"/>
      <c r="RK216" s="36"/>
      <c r="RL216" s="36"/>
      <c r="RM216" s="36"/>
      <c r="RN216" s="36"/>
      <c r="RO216" s="36"/>
      <c r="RP216" s="36"/>
      <c r="RQ216" s="36"/>
      <c r="RR216" s="36"/>
      <c r="RS216" s="36"/>
      <c r="RT216" s="36"/>
      <c r="RU216" s="36"/>
      <c r="RV216" s="36"/>
      <c r="RW216" s="36"/>
      <c r="RX216" s="36"/>
      <c r="RY216" s="36"/>
      <c r="RZ216" s="36"/>
      <c r="SA216" s="36"/>
      <c r="SB216" s="36"/>
      <c r="SC216" s="36"/>
      <c r="SD216" s="36"/>
      <c r="SE216" s="36"/>
      <c r="SF216" s="36"/>
      <c r="SG216" s="36"/>
      <c r="SH216" s="36"/>
      <c r="SI216" s="36"/>
      <c r="SJ216" s="36"/>
      <c r="SK216" s="36"/>
      <c r="SL216" s="36"/>
      <c r="SM216" s="36"/>
      <c r="SN216" s="36"/>
      <c r="SO216" s="36"/>
      <c r="SP216" s="36"/>
      <c r="SQ216" s="36"/>
      <c r="SR216" s="36"/>
      <c r="SS216" s="36"/>
      <c r="ST216" s="36"/>
      <c r="SU216" s="36"/>
      <c r="SV216" s="36"/>
      <c r="SW216" s="36"/>
      <c r="SX216" s="36"/>
      <c r="SY216" s="36"/>
      <c r="SZ216" s="36"/>
      <c r="TA216" s="36"/>
      <c r="TB216" s="36"/>
      <c r="TC216" s="36"/>
      <c r="TD216" s="36"/>
      <c r="TE216" s="36"/>
      <c r="TF216" s="36"/>
      <c r="TG216" s="36"/>
      <c r="TH216" s="36"/>
      <c r="TI216" s="36"/>
      <c r="TJ216" s="36"/>
      <c r="TK216" s="36"/>
      <c r="TL216" s="36"/>
      <c r="TM216" s="36"/>
      <c r="TN216" s="36"/>
      <c r="TO216" s="36"/>
      <c r="TP216" s="36"/>
      <c r="TQ216" s="36"/>
      <c r="TR216" s="36"/>
      <c r="TS216" s="36"/>
      <c r="TT216" s="36"/>
      <c r="TU216" s="36"/>
      <c r="TV216" s="36"/>
      <c r="TW216" s="36"/>
      <c r="TX216" s="36"/>
      <c r="TY216" s="36"/>
      <c r="TZ216" s="36"/>
      <c r="UA216" s="36"/>
      <c r="UB216" s="36"/>
      <c r="UC216" s="36"/>
      <c r="UD216" s="36"/>
      <c r="UE216" s="36"/>
      <c r="UF216" s="36"/>
      <c r="UG216" s="36"/>
      <c r="UH216" s="36"/>
      <c r="UI216" s="36"/>
      <c r="UJ216" s="36"/>
      <c r="UK216" s="36"/>
      <c r="UL216" s="36"/>
      <c r="UM216" s="36"/>
      <c r="UN216" s="36"/>
      <c r="UO216" s="36"/>
      <c r="UP216" s="36"/>
      <c r="UQ216" s="36"/>
      <c r="UR216" s="36"/>
      <c r="US216" s="36"/>
      <c r="UT216" s="36"/>
      <c r="UU216" s="36"/>
      <c r="UV216" s="36"/>
      <c r="UW216" s="36"/>
      <c r="UX216" s="36"/>
      <c r="UY216" s="36"/>
      <c r="UZ216" s="36"/>
      <c r="VA216" s="36"/>
      <c r="VB216" s="36"/>
      <c r="VC216" s="36"/>
      <c r="VD216" s="36"/>
      <c r="VE216" s="36"/>
      <c r="VF216" s="36"/>
      <c r="VG216" s="36"/>
      <c r="VH216" s="36"/>
      <c r="VI216" s="36"/>
      <c r="VJ216" s="36"/>
      <c r="VK216" s="36"/>
      <c r="VL216" s="36"/>
      <c r="VM216" s="36"/>
      <c r="VN216" s="36"/>
      <c r="VO216" s="36"/>
      <c r="VP216" s="36"/>
      <c r="VQ216" s="36"/>
      <c r="VR216" s="36"/>
      <c r="VS216" s="36"/>
      <c r="VT216" s="36"/>
      <c r="VU216" s="36"/>
      <c r="VV216" s="36"/>
      <c r="VW216" s="36"/>
      <c r="VX216" s="36"/>
      <c r="VY216" s="36"/>
      <c r="VZ216" s="36"/>
      <c r="WA216" s="36"/>
      <c r="WB216" s="36"/>
      <c r="WC216" s="36"/>
      <c r="WD216" s="36"/>
      <c r="WE216" s="36"/>
      <c r="WF216" s="36"/>
      <c r="WG216" s="36"/>
      <c r="WH216" s="36"/>
      <c r="WI216" s="36"/>
      <c r="WJ216" s="36"/>
      <c r="WK216" s="36"/>
      <c r="WL216" s="36"/>
      <c r="WM216" s="36"/>
      <c r="WN216" s="36"/>
      <c r="WO216" s="36"/>
      <c r="WP216" s="36"/>
      <c r="WQ216" s="36"/>
      <c r="WR216" s="36"/>
      <c r="WS216" s="36"/>
      <c r="WT216" s="36"/>
      <c r="WU216" s="36"/>
      <c r="WV216" s="36"/>
      <c r="WW216" s="36"/>
      <c r="WX216" s="36"/>
      <c r="WY216" s="36"/>
      <c r="WZ216" s="36"/>
      <c r="XA216" s="36"/>
      <c r="XB216" s="36"/>
      <c r="XC216" s="36"/>
      <c r="XD216" s="36"/>
      <c r="XE216" s="36"/>
      <c r="XF216" s="36"/>
      <c r="XG216" s="36"/>
      <c r="XH216" s="36"/>
      <c r="XI216" s="36"/>
      <c r="XJ216" s="36"/>
      <c r="XK216" s="36"/>
      <c r="XL216" s="36"/>
      <c r="XM216" s="36"/>
      <c r="XN216" s="36"/>
      <c r="XO216" s="36"/>
      <c r="XP216" s="36"/>
      <c r="XQ216" s="36"/>
      <c r="XR216" s="36"/>
      <c r="XS216" s="36"/>
      <c r="XT216" s="36"/>
      <c r="XU216" s="36"/>
      <c r="XV216" s="36"/>
      <c r="XW216" s="36"/>
      <c r="XX216" s="36"/>
      <c r="XY216" s="36"/>
      <c r="XZ216" s="36"/>
      <c r="YA216" s="36"/>
      <c r="YB216" s="36"/>
      <c r="YC216" s="36"/>
      <c r="YD216" s="36"/>
      <c r="YE216" s="36"/>
      <c r="YF216" s="36"/>
      <c r="YG216" s="36"/>
      <c r="YH216" s="36"/>
      <c r="YI216" s="36"/>
      <c r="YJ216" s="36"/>
      <c r="YK216" s="36"/>
      <c r="YL216" s="36"/>
      <c r="YM216" s="36"/>
      <c r="YN216" s="36"/>
      <c r="YO216" s="36"/>
      <c r="YP216" s="36"/>
      <c r="YQ216" s="36"/>
      <c r="YR216" s="36"/>
      <c r="YS216" s="36"/>
      <c r="YT216" s="36"/>
      <c r="YU216" s="36"/>
      <c r="YV216" s="36"/>
      <c r="YW216" s="36"/>
      <c r="YX216" s="36"/>
      <c r="YY216" s="36"/>
      <c r="YZ216" s="36"/>
      <c r="ZA216" s="36"/>
      <c r="ZB216" s="36"/>
      <c r="ZC216" s="36"/>
      <c r="ZD216" s="36"/>
      <c r="ZE216" s="36"/>
      <c r="ZF216" s="36"/>
      <c r="ZG216" s="36"/>
      <c r="ZH216" s="36"/>
      <c r="ZI216" s="36"/>
      <c r="ZJ216" s="36"/>
      <c r="ZK216" s="36"/>
      <c r="ZL216" s="36"/>
      <c r="ZM216" s="36"/>
      <c r="ZN216" s="36"/>
      <c r="ZO216" s="36"/>
      <c r="ZP216" s="36"/>
      <c r="ZQ216" s="36"/>
      <c r="ZR216" s="36"/>
      <c r="ZS216" s="36"/>
      <c r="ZT216" s="36"/>
      <c r="ZU216" s="36"/>
      <c r="ZV216" s="36"/>
      <c r="ZW216" s="36"/>
      <c r="ZX216" s="36"/>
      <c r="ZY216" s="36"/>
      <c r="ZZ216" s="36"/>
      <c r="AAA216" s="36"/>
      <c r="AAB216" s="36"/>
      <c r="AAC216" s="36"/>
      <c r="AAD216" s="36"/>
      <c r="AAE216" s="36"/>
      <c r="AAF216" s="36"/>
      <c r="AAG216" s="36"/>
      <c r="AAH216" s="36"/>
      <c r="AAI216" s="36"/>
      <c r="AAJ216" s="36"/>
      <c r="AAK216" s="36"/>
      <c r="AAL216" s="36"/>
      <c r="AAM216" s="36"/>
      <c r="AAN216" s="36"/>
      <c r="AAO216" s="36"/>
      <c r="AAP216" s="36"/>
      <c r="AAQ216" s="36"/>
      <c r="AAR216" s="36"/>
      <c r="AAS216" s="36"/>
      <c r="AAT216" s="36"/>
      <c r="AAU216" s="36"/>
      <c r="AAV216" s="36"/>
      <c r="AAW216" s="36"/>
      <c r="AAX216" s="36"/>
      <c r="AAY216" s="36"/>
      <c r="AAZ216" s="36"/>
      <c r="ABA216" s="36"/>
      <c r="ABB216" s="36"/>
      <c r="ABC216" s="36"/>
      <c r="ABD216" s="36"/>
      <c r="ABE216" s="36"/>
      <c r="ABF216" s="36"/>
      <c r="ABG216" s="36"/>
      <c r="ABH216" s="36"/>
      <c r="ABI216" s="36"/>
      <c r="ABJ216" s="36"/>
      <c r="ABK216" s="36"/>
      <c r="ABL216" s="36"/>
      <c r="ABM216" s="36"/>
      <c r="ABN216" s="36"/>
      <c r="ABO216" s="36"/>
      <c r="ABP216" s="36"/>
      <c r="ABQ216" s="36"/>
      <c r="ABR216" s="36"/>
      <c r="ABS216" s="36"/>
      <c r="ABT216" s="36"/>
      <c r="ABU216" s="36"/>
      <c r="ABV216" s="36"/>
      <c r="ABW216" s="36"/>
      <c r="ABX216" s="36"/>
      <c r="ABY216" s="36"/>
      <c r="ABZ216" s="36"/>
      <c r="ACA216" s="36"/>
      <c r="ACB216" s="36"/>
      <c r="ACC216" s="36"/>
      <c r="ACD216" s="36"/>
      <c r="ACE216" s="36"/>
      <c r="ACF216" s="36"/>
      <c r="ACG216" s="36"/>
      <c r="ACH216" s="36"/>
      <c r="ACI216" s="36"/>
      <c r="ACJ216" s="36"/>
      <c r="ACK216" s="36"/>
      <c r="ACL216" s="36"/>
      <c r="ACM216" s="36"/>
      <c r="ACN216" s="36"/>
      <c r="ACO216" s="36"/>
      <c r="ACP216" s="36"/>
      <c r="ACQ216" s="36"/>
      <c r="ACR216" s="36"/>
      <c r="ACS216" s="36"/>
      <c r="ACT216" s="36"/>
      <c r="ACU216" s="36"/>
      <c r="ACV216" s="36"/>
      <c r="ACW216" s="36"/>
      <c r="ACX216" s="36"/>
      <c r="ACY216" s="36"/>
      <c r="ACZ216" s="36"/>
      <c r="ADA216" s="36"/>
      <c r="ADB216" s="36"/>
      <c r="ADC216" s="36"/>
      <c r="ADD216" s="36"/>
      <c r="ADE216" s="36"/>
      <c r="ADF216" s="36"/>
      <c r="ADG216" s="36"/>
      <c r="ADH216" s="36"/>
      <c r="ADI216" s="36"/>
      <c r="ADJ216" s="36"/>
      <c r="ADK216" s="36"/>
      <c r="ADL216" s="36"/>
      <c r="ADM216" s="36"/>
      <c r="ADN216" s="36"/>
      <c r="ADO216" s="36"/>
      <c r="ADP216" s="36"/>
      <c r="ADQ216" s="36"/>
      <c r="ADR216" s="36"/>
      <c r="ADS216" s="36"/>
      <c r="ADT216" s="36"/>
      <c r="ADU216" s="36"/>
      <c r="ADV216" s="36"/>
      <c r="ADW216" s="36"/>
      <c r="ADX216" s="36"/>
      <c r="ADY216" s="36"/>
      <c r="ADZ216" s="36"/>
      <c r="AEA216" s="36"/>
      <c r="AEB216" s="36"/>
      <c r="AEC216" s="36"/>
      <c r="AED216" s="36"/>
      <c r="AEE216" s="36"/>
      <c r="AEF216" s="36"/>
      <c r="AEG216" s="36"/>
      <c r="AEH216" s="36"/>
      <c r="AEI216" s="36"/>
      <c r="AEJ216" s="36"/>
      <c r="AEK216" s="36"/>
      <c r="AEL216" s="36"/>
      <c r="AEM216" s="36"/>
      <c r="AEN216" s="36"/>
      <c r="AEO216" s="36"/>
      <c r="AEP216" s="36"/>
      <c r="AEQ216" s="36"/>
      <c r="AER216" s="36"/>
      <c r="AES216" s="36"/>
      <c r="AET216" s="36"/>
      <c r="AEU216" s="36"/>
      <c r="AEV216" s="36"/>
      <c r="AEW216" s="36"/>
      <c r="AEX216" s="36"/>
      <c r="AEY216" s="36"/>
      <c r="AEZ216" s="36"/>
      <c r="AFA216" s="36"/>
      <c r="AFB216" s="36"/>
      <c r="AFC216" s="36"/>
      <c r="AFD216" s="36"/>
      <c r="AFE216" s="36"/>
      <c r="AFF216" s="36"/>
      <c r="AFG216" s="36"/>
      <c r="AFH216" s="36"/>
      <c r="AFI216" s="36"/>
      <c r="AFJ216" s="36"/>
      <c r="AFK216" s="36"/>
      <c r="AFL216" s="36"/>
      <c r="AFM216" s="36"/>
      <c r="AFN216" s="36"/>
      <c r="AFO216" s="36"/>
      <c r="AFP216" s="36"/>
      <c r="AFQ216" s="36"/>
      <c r="AFR216" s="36"/>
      <c r="AFS216" s="36"/>
      <c r="AFT216" s="36"/>
      <c r="AFU216" s="36"/>
      <c r="AFV216" s="36"/>
      <c r="AFW216" s="36"/>
      <c r="AFX216" s="36"/>
      <c r="AFY216" s="36"/>
      <c r="AFZ216" s="36"/>
      <c r="AGA216" s="36"/>
      <c r="AGB216" s="36"/>
      <c r="AGC216" s="36"/>
      <c r="AGD216" s="36"/>
      <c r="AGE216" s="36"/>
      <c r="AGF216" s="36"/>
      <c r="AGG216" s="36"/>
      <c r="AGH216" s="36"/>
      <c r="AGI216" s="36"/>
      <c r="AGJ216" s="36"/>
      <c r="AGK216" s="36"/>
      <c r="AGL216" s="36"/>
      <c r="AGM216" s="36"/>
      <c r="AGN216" s="36"/>
      <c r="AGO216" s="36"/>
      <c r="AGP216" s="36"/>
      <c r="AGQ216" s="36"/>
      <c r="AGR216" s="36"/>
      <c r="AGS216" s="36"/>
      <c r="AGT216" s="36"/>
      <c r="AGU216" s="36"/>
      <c r="AGV216" s="36"/>
      <c r="AGW216" s="36"/>
      <c r="AGX216" s="36"/>
      <c r="AGY216" s="36"/>
      <c r="AGZ216" s="36"/>
      <c r="AHA216" s="36"/>
      <c r="AHB216" s="36"/>
      <c r="AHC216" s="36"/>
      <c r="AHD216" s="36"/>
      <c r="AHE216" s="36"/>
      <c r="AHF216" s="36"/>
      <c r="AHG216" s="36"/>
      <c r="AHH216" s="36"/>
      <c r="AHI216" s="36"/>
      <c r="AHJ216" s="36"/>
      <c r="AHK216" s="36"/>
      <c r="AHL216" s="36"/>
      <c r="AHM216" s="36"/>
      <c r="AHN216" s="36"/>
      <c r="AHO216" s="36"/>
      <c r="AHP216" s="36"/>
      <c r="AHQ216" s="36"/>
      <c r="AHR216" s="36"/>
      <c r="AHS216" s="36"/>
      <c r="AHT216" s="36"/>
      <c r="AHU216" s="36"/>
      <c r="AHV216" s="36"/>
      <c r="AHW216" s="36"/>
      <c r="AHX216" s="36"/>
      <c r="AHY216" s="36"/>
      <c r="AHZ216" s="36"/>
      <c r="AIA216" s="36"/>
      <c r="AIB216" s="36"/>
      <c r="AIC216" s="36"/>
      <c r="AID216" s="36"/>
      <c r="AIE216" s="36"/>
      <c r="AIF216" s="36"/>
      <c r="AIG216" s="36"/>
      <c r="AIH216" s="36"/>
      <c r="AII216" s="36"/>
      <c r="AIJ216" s="36"/>
      <c r="AIK216" s="36"/>
      <c r="AIL216" s="36"/>
      <c r="AIM216" s="36"/>
      <c r="AIN216" s="36"/>
      <c r="AIO216" s="36"/>
      <c r="AIP216" s="36"/>
      <c r="AIQ216" s="36"/>
      <c r="AIR216" s="36"/>
      <c r="AIS216" s="36"/>
      <c r="AIT216" s="36"/>
      <c r="AIU216" s="36"/>
      <c r="AIV216" s="36"/>
      <c r="AIW216" s="36"/>
      <c r="AIX216" s="36"/>
      <c r="AIY216" s="36"/>
      <c r="AIZ216" s="36"/>
      <c r="AJA216" s="36"/>
      <c r="AJB216" s="36"/>
      <c r="AJC216" s="36"/>
      <c r="AJD216" s="36"/>
      <c r="AJE216" s="36"/>
      <c r="AJF216" s="36"/>
      <c r="AJG216" s="36"/>
      <c r="AJH216" s="36"/>
      <c r="AJI216" s="36"/>
      <c r="AJJ216" s="36"/>
      <c r="AJK216" s="36"/>
      <c r="AJL216" s="36"/>
      <c r="AJM216" s="36"/>
      <c r="AJN216" s="36"/>
      <c r="AJO216" s="36"/>
      <c r="AJP216" s="36"/>
      <c r="AJQ216" s="36"/>
      <c r="AJR216" s="36"/>
      <c r="AJS216" s="36"/>
      <c r="AJT216" s="36"/>
      <c r="AJU216" s="36"/>
      <c r="AJV216" s="36"/>
      <c r="AJW216" s="36"/>
      <c r="AJX216" s="36"/>
      <c r="AJY216" s="36"/>
      <c r="AJZ216" s="36"/>
      <c r="AKA216" s="36"/>
      <c r="AKB216" s="36"/>
      <c r="AKC216" s="36"/>
      <c r="AKD216" s="36"/>
      <c r="AKE216" s="36"/>
      <c r="AKF216" s="36"/>
      <c r="AKG216" s="36"/>
      <c r="AKH216" s="36"/>
      <c r="AKI216" s="36"/>
      <c r="AKJ216" s="36"/>
      <c r="AKK216" s="36"/>
      <c r="AKL216" s="36"/>
      <c r="AKM216" s="36"/>
      <c r="AKN216" s="36"/>
      <c r="AKO216" s="36"/>
      <c r="AKP216" s="36"/>
      <c r="AKQ216" s="36"/>
      <c r="AKR216" s="36"/>
      <c r="AKS216" s="36"/>
      <c r="AKT216" s="36"/>
      <c r="AKU216" s="36"/>
      <c r="AKV216" s="36"/>
      <c r="AKW216" s="36"/>
      <c r="AKX216" s="36"/>
      <c r="AKY216" s="36"/>
      <c r="AKZ216" s="36"/>
      <c r="ALA216" s="36"/>
      <c r="ALB216" s="36"/>
      <c r="ALC216" s="36"/>
      <c r="ALD216" s="36"/>
      <c r="ALE216" s="36"/>
      <c r="ALF216" s="36"/>
      <c r="ALG216" s="36"/>
      <c r="ALH216" s="36"/>
      <c r="ALI216" s="36"/>
      <c r="ALJ216" s="36"/>
      <c r="ALK216" s="36"/>
      <c r="ALL216" s="36"/>
      <c r="ALM216" s="36"/>
      <c r="ALN216" s="36"/>
      <c r="ALO216" s="36"/>
      <c r="ALP216" s="36"/>
      <c r="ALQ216" s="36"/>
      <c r="ALR216" s="36"/>
      <c r="ALS216" s="36"/>
      <c r="ALT216" s="36"/>
      <c r="ALU216" s="36"/>
      <c r="ALV216" s="36"/>
      <c r="ALW216" s="36"/>
      <c r="ALX216" s="36"/>
      <c r="ALY216" s="36"/>
      <c r="ALZ216" s="36"/>
      <c r="AMA216" s="36"/>
      <c r="AMB216" s="36"/>
      <c r="AMC216" s="36"/>
      <c r="AMD216" s="36"/>
      <c r="AME216" s="36"/>
      <c r="AMF216" s="36"/>
      <c r="AMG216" s="36"/>
      <c r="AMH216" s="36"/>
      <c r="AMI216" s="36"/>
      <c r="AMJ216" s="36"/>
      <c r="AMK216" s="36"/>
      <c r="AML216" s="36"/>
      <c r="AMM216" s="36"/>
      <c r="AMN216" s="36"/>
      <c r="AMO216" s="36"/>
      <c r="AMP216" s="36"/>
      <c r="AMQ216" s="36"/>
      <c r="AMR216" s="36"/>
      <c r="AMS216" s="36"/>
      <c r="AMT216" s="36"/>
      <c r="AMU216" s="36"/>
      <c r="AMV216" s="36"/>
      <c r="AMW216" s="36"/>
      <c r="AMX216" s="36"/>
      <c r="AMY216" s="36"/>
      <c r="AMZ216" s="36"/>
      <c r="ANA216" s="36"/>
      <c r="ANB216" s="36"/>
      <c r="ANC216" s="36"/>
      <c r="AND216" s="36"/>
      <c r="ANE216" s="36"/>
      <c r="ANF216" s="36"/>
      <c r="ANG216" s="36"/>
      <c r="ANH216" s="36"/>
      <c r="ANI216" s="36"/>
      <c r="ANJ216" s="36"/>
      <c r="ANK216" s="36"/>
      <c r="ANL216" s="36"/>
      <c r="ANM216" s="36"/>
      <c r="ANN216" s="36"/>
      <c r="ANO216" s="36"/>
      <c r="ANP216" s="36"/>
      <c r="ANQ216" s="36"/>
      <c r="ANR216" s="36"/>
      <c r="ANS216" s="36"/>
      <c r="ANT216" s="36"/>
      <c r="ANU216" s="36"/>
      <c r="ANV216" s="36"/>
      <c r="ANW216" s="36"/>
      <c r="ANX216" s="36"/>
      <c r="ANY216" s="36"/>
      <c r="ANZ216" s="36"/>
      <c r="AOA216" s="36"/>
      <c r="AOB216" s="36"/>
      <c r="AOC216" s="36"/>
      <c r="AOD216" s="36"/>
      <c r="AOE216" s="36"/>
      <c r="AOF216" s="36"/>
      <c r="AOG216" s="36"/>
      <c r="AOH216" s="36"/>
      <c r="AOI216" s="36"/>
      <c r="AOJ216" s="36"/>
      <c r="AOK216" s="36"/>
      <c r="AOL216" s="36"/>
      <c r="AOM216" s="36"/>
      <c r="AON216" s="36"/>
      <c r="AOO216" s="36"/>
      <c r="AOP216" s="36"/>
      <c r="AOQ216" s="36"/>
      <c r="AOR216" s="36"/>
      <c r="AOS216" s="36"/>
      <c r="AOT216" s="36"/>
      <c r="AOU216" s="36"/>
      <c r="AOV216" s="36"/>
      <c r="AOW216" s="36"/>
      <c r="AOX216" s="36"/>
      <c r="AOY216" s="36"/>
      <c r="AOZ216" s="36"/>
      <c r="APA216" s="36"/>
      <c r="APB216" s="36"/>
      <c r="APC216" s="36"/>
      <c r="APD216" s="36"/>
      <c r="APE216" s="36"/>
      <c r="APF216" s="36"/>
      <c r="APG216" s="36"/>
      <c r="APH216" s="36"/>
      <c r="API216" s="36"/>
      <c r="APJ216" s="36"/>
      <c r="APK216" s="36"/>
      <c r="APL216" s="36"/>
      <c r="APM216" s="36"/>
      <c r="APN216" s="36"/>
      <c r="APO216" s="36"/>
      <c r="APP216" s="36"/>
      <c r="APQ216" s="36"/>
      <c r="APR216" s="36"/>
      <c r="APS216" s="36"/>
      <c r="APT216" s="36"/>
      <c r="APU216" s="36"/>
      <c r="APV216" s="36"/>
      <c r="APW216" s="36"/>
      <c r="APX216" s="36"/>
      <c r="APY216" s="36"/>
      <c r="APZ216" s="36"/>
      <c r="AQA216" s="36"/>
      <c r="AQB216" s="36"/>
      <c r="AQC216" s="36"/>
      <c r="AQD216" s="36"/>
      <c r="AQE216" s="36"/>
      <c r="AQF216" s="36"/>
      <c r="AQG216" s="36"/>
      <c r="AQH216" s="36"/>
      <c r="AQI216" s="36"/>
      <c r="AQJ216" s="36"/>
      <c r="AQK216" s="36"/>
      <c r="AQL216" s="36"/>
      <c r="AQM216" s="36"/>
      <c r="AQN216" s="36"/>
      <c r="AQO216" s="36"/>
      <c r="AQP216" s="36"/>
      <c r="AQQ216" s="36"/>
      <c r="AQR216" s="36"/>
      <c r="AQS216" s="36"/>
      <c r="AQT216" s="36"/>
      <c r="AQU216" s="36"/>
      <c r="AQV216" s="36"/>
      <c r="AQW216" s="36"/>
      <c r="AQX216" s="36"/>
      <c r="AQY216" s="36"/>
      <c r="AQZ216" s="36"/>
      <c r="ARA216" s="36"/>
      <c r="ARB216" s="36"/>
      <c r="ARC216" s="36"/>
      <c r="ARD216" s="36"/>
      <c r="ARE216" s="36"/>
      <c r="ARF216" s="36"/>
      <c r="ARG216" s="36"/>
      <c r="ARH216" s="36"/>
      <c r="ARI216" s="36"/>
      <c r="ARJ216" s="36"/>
      <c r="ARK216" s="36"/>
      <c r="ARL216" s="36"/>
      <c r="ARM216" s="36"/>
      <c r="ARN216" s="36"/>
      <c r="ARO216" s="36"/>
      <c r="ARP216" s="36"/>
      <c r="ARQ216" s="36"/>
      <c r="ARR216" s="36"/>
      <c r="ARS216" s="36"/>
      <c r="ART216" s="36"/>
      <c r="ARU216" s="36"/>
      <c r="ARV216" s="36"/>
      <c r="ARW216" s="36"/>
      <c r="ARX216" s="36"/>
      <c r="ARY216" s="36"/>
      <c r="ARZ216" s="36"/>
      <c r="ASA216" s="36"/>
      <c r="ASB216" s="36"/>
      <c r="ASC216" s="36"/>
      <c r="ASD216" s="36"/>
      <c r="ASE216" s="36"/>
      <c r="ASF216" s="36"/>
      <c r="ASG216" s="36"/>
      <c r="ASH216" s="36"/>
      <c r="ASI216" s="36"/>
      <c r="ASJ216" s="36"/>
      <c r="ASK216" s="36"/>
      <c r="ASL216" s="36"/>
      <c r="ASM216" s="36"/>
      <c r="ASN216" s="36"/>
      <c r="ASO216" s="36"/>
      <c r="ASP216" s="36"/>
      <c r="ASQ216" s="36"/>
      <c r="ASR216" s="36"/>
      <c r="ASS216" s="36"/>
      <c r="AST216" s="36"/>
      <c r="ASU216" s="36"/>
      <c r="ASV216" s="36"/>
      <c r="ASW216" s="36"/>
      <c r="ASX216" s="36"/>
      <c r="ASY216" s="36"/>
      <c r="ASZ216" s="36"/>
      <c r="ATA216" s="36"/>
      <c r="ATB216" s="36"/>
      <c r="ATC216" s="36"/>
      <c r="ATD216" s="36"/>
      <c r="ATE216" s="36"/>
      <c r="ATF216" s="36"/>
      <c r="ATG216" s="36"/>
      <c r="ATH216" s="36"/>
      <c r="ATI216" s="36"/>
      <c r="ATJ216" s="36"/>
      <c r="ATK216" s="36"/>
      <c r="ATL216" s="36"/>
      <c r="ATM216" s="36"/>
      <c r="ATN216" s="36"/>
      <c r="ATO216" s="36"/>
      <c r="ATP216" s="36"/>
      <c r="ATQ216" s="36"/>
      <c r="ATR216" s="36"/>
      <c r="ATS216" s="36"/>
      <c r="ATT216" s="36"/>
      <c r="ATU216" s="36"/>
      <c r="ATV216" s="36"/>
      <c r="ATW216" s="36"/>
      <c r="ATX216" s="36"/>
      <c r="ATY216" s="36"/>
      <c r="ATZ216" s="36"/>
      <c r="AUA216" s="36"/>
      <c r="AUB216" s="36"/>
      <c r="AUC216" s="36"/>
      <c r="AUD216" s="36"/>
      <c r="AUE216" s="36"/>
      <c r="AUF216" s="36"/>
      <c r="AUG216" s="36"/>
      <c r="AUH216" s="36"/>
      <c r="AUI216" s="36"/>
      <c r="AUJ216" s="36"/>
      <c r="AUK216" s="36"/>
      <c r="AUL216" s="36"/>
      <c r="AUM216" s="36"/>
      <c r="AUN216" s="36"/>
      <c r="AUO216" s="36"/>
      <c r="AUP216" s="36"/>
      <c r="AUQ216" s="36"/>
      <c r="AUR216" s="36"/>
      <c r="AUS216" s="36"/>
      <c r="AUT216" s="36"/>
      <c r="AUU216" s="36"/>
      <c r="AUV216" s="36"/>
      <c r="AUW216" s="36"/>
      <c r="AUX216" s="36"/>
      <c r="AUY216" s="36"/>
      <c r="AUZ216" s="36"/>
      <c r="AVA216" s="36"/>
      <c r="AVB216" s="36"/>
      <c r="AVC216" s="36"/>
      <c r="AVD216" s="36"/>
      <c r="AVE216" s="36"/>
      <c r="AVF216" s="36"/>
      <c r="AVG216" s="36"/>
      <c r="AVH216" s="36"/>
      <c r="AVI216" s="36"/>
      <c r="AVJ216" s="36"/>
      <c r="AVK216" s="36"/>
      <c r="AVL216" s="36"/>
      <c r="AVM216" s="36"/>
      <c r="AVN216" s="36"/>
      <c r="AVO216" s="36"/>
      <c r="AVP216" s="36"/>
      <c r="AVQ216" s="36"/>
      <c r="AVR216" s="36"/>
      <c r="AVS216" s="36"/>
      <c r="AVT216" s="36"/>
      <c r="AVU216" s="36"/>
      <c r="AVV216" s="36"/>
      <c r="AVW216" s="36"/>
      <c r="AVX216" s="36"/>
      <c r="AVY216" s="36"/>
      <c r="AVZ216" s="36"/>
      <c r="AWA216" s="36"/>
      <c r="AWB216" s="36"/>
      <c r="AWC216" s="36"/>
      <c r="AWD216" s="36"/>
      <c r="AWE216" s="36"/>
      <c r="AWF216" s="36"/>
      <c r="AWG216" s="36"/>
      <c r="AWH216" s="36"/>
      <c r="AWI216" s="36"/>
      <c r="AWJ216" s="36"/>
      <c r="AWK216" s="36"/>
      <c r="AWL216" s="36"/>
      <c r="AWM216" s="36"/>
      <c r="AWN216" s="36"/>
      <c r="AWO216" s="36"/>
      <c r="AWP216" s="36"/>
      <c r="AWQ216" s="36"/>
      <c r="AWR216" s="36"/>
      <c r="AWS216" s="36"/>
      <c r="AWT216" s="36"/>
      <c r="AWU216" s="36"/>
      <c r="AWV216" s="36"/>
      <c r="AWW216" s="36"/>
      <c r="AWX216" s="36"/>
      <c r="AWY216" s="36"/>
      <c r="AWZ216" s="36"/>
      <c r="AXA216" s="36"/>
      <c r="AXB216" s="36"/>
      <c r="AXC216" s="36"/>
      <c r="AXD216" s="36"/>
      <c r="AXE216" s="36"/>
      <c r="AXF216" s="36"/>
      <c r="AXG216" s="36"/>
      <c r="AXH216" s="36"/>
      <c r="AXI216" s="36"/>
      <c r="AXJ216" s="36"/>
      <c r="AXK216" s="36"/>
      <c r="AXL216" s="36"/>
      <c r="AXM216" s="36"/>
      <c r="AXN216" s="36"/>
      <c r="AXO216" s="36"/>
      <c r="AXP216" s="36"/>
      <c r="AXQ216" s="36"/>
      <c r="AXR216" s="36"/>
      <c r="AXS216" s="36"/>
      <c r="AXT216" s="36"/>
      <c r="AXU216" s="36"/>
      <c r="AXV216" s="36"/>
      <c r="AXW216" s="36"/>
      <c r="AXX216" s="36"/>
      <c r="AXY216" s="36"/>
      <c r="AXZ216" s="36"/>
      <c r="AYA216" s="36"/>
      <c r="AYB216" s="36"/>
      <c r="AYC216" s="36"/>
      <c r="AYD216" s="36"/>
      <c r="AYE216" s="36"/>
      <c r="AYF216" s="36"/>
      <c r="AYG216" s="36"/>
      <c r="AYH216" s="36"/>
      <c r="AYI216" s="36"/>
      <c r="AYJ216" s="36"/>
      <c r="AYK216" s="36"/>
      <c r="AYL216" s="36"/>
      <c r="AYM216" s="36"/>
      <c r="AYN216" s="36"/>
      <c r="AYO216" s="36"/>
      <c r="AYP216" s="36"/>
      <c r="AYQ216" s="36"/>
      <c r="AYR216" s="36"/>
      <c r="AYS216" s="36"/>
      <c r="AYT216" s="36"/>
      <c r="AYU216" s="36"/>
      <c r="AYV216" s="36"/>
      <c r="AYW216" s="36"/>
      <c r="AYX216" s="36"/>
      <c r="AYY216" s="36"/>
      <c r="AYZ216" s="36"/>
      <c r="AZA216" s="36"/>
      <c r="AZB216" s="36"/>
      <c r="AZC216" s="36"/>
      <c r="AZD216" s="36"/>
      <c r="AZE216" s="36"/>
      <c r="AZF216" s="36"/>
      <c r="AZG216" s="36"/>
      <c r="AZH216" s="36"/>
      <c r="AZI216" s="36"/>
      <c r="AZJ216" s="36"/>
      <c r="AZK216" s="36"/>
      <c r="AZL216" s="36"/>
      <c r="AZM216" s="36"/>
      <c r="AZN216" s="36"/>
      <c r="AZO216" s="36"/>
      <c r="AZP216" s="36"/>
      <c r="AZQ216" s="36"/>
      <c r="AZR216" s="36"/>
      <c r="AZS216" s="36"/>
      <c r="AZT216" s="36"/>
      <c r="AZU216" s="36"/>
      <c r="AZV216" s="36"/>
      <c r="AZW216" s="36"/>
      <c r="AZX216" s="36"/>
      <c r="AZY216" s="36"/>
      <c r="AZZ216" s="36"/>
      <c r="BAA216" s="36"/>
      <c r="BAB216" s="36"/>
      <c r="BAC216" s="36"/>
      <c r="BAD216" s="36"/>
      <c r="BAE216" s="36"/>
      <c r="BAF216" s="36"/>
      <c r="BAG216" s="36"/>
      <c r="BAH216" s="36"/>
      <c r="BAI216" s="36"/>
      <c r="BAJ216" s="36"/>
      <c r="BAK216" s="36"/>
      <c r="BAL216" s="36"/>
      <c r="BAM216" s="36"/>
      <c r="BAN216" s="36"/>
      <c r="BAO216" s="36"/>
      <c r="BAP216" s="36"/>
      <c r="BAQ216" s="36"/>
      <c r="BAR216" s="36"/>
      <c r="BAS216" s="36"/>
      <c r="BAT216" s="36"/>
      <c r="BAU216" s="36"/>
      <c r="BAV216" s="36"/>
      <c r="BAW216" s="36"/>
      <c r="BAX216" s="36"/>
      <c r="BAY216" s="36"/>
      <c r="BAZ216" s="36"/>
      <c r="BBA216" s="36"/>
      <c r="BBB216" s="36"/>
      <c r="BBC216" s="36"/>
      <c r="BBD216" s="36"/>
      <c r="BBE216" s="36"/>
      <c r="BBF216" s="36"/>
      <c r="BBG216" s="36"/>
      <c r="BBH216" s="36"/>
      <c r="BBI216" s="36"/>
      <c r="BBJ216" s="36"/>
      <c r="BBK216" s="36"/>
      <c r="BBL216" s="36"/>
      <c r="BBM216" s="36"/>
      <c r="BBN216" s="36"/>
      <c r="BBO216" s="36"/>
      <c r="BBP216" s="36"/>
      <c r="BBQ216" s="36"/>
      <c r="BBR216" s="36"/>
      <c r="BBS216" s="36"/>
      <c r="BBT216" s="36"/>
      <c r="BBU216" s="36"/>
      <c r="BBV216" s="36"/>
      <c r="BBW216" s="36"/>
      <c r="BBX216" s="36"/>
      <c r="BBY216" s="36"/>
      <c r="BBZ216" s="36"/>
      <c r="BCA216" s="36"/>
      <c r="BCB216" s="36"/>
      <c r="BCC216" s="36"/>
      <c r="BCD216" s="36"/>
      <c r="BCE216" s="36"/>
      <c r="BCF216" s="36"/>
      <c r="BCG216" s="36"/>
      <c r="BCH216" s="36"/>
      <c r="BCI216" s="36"/>
      <c r="BCJ216" s="36"/>
      <c r="BCK216" s="36"/>
      <c r="BCL216" s="36"/>
      <c r="BCM216" s="36"/>
      <c r="BCN216" s="36"/>
      <c r="BCO216" s="36"/>
      <c r="BCP216" s="36"/>
      <c r="BCQ216" s="36"/>
      <c r="BCR216" s="36"/>
      <c r="BCS216" s="36"/>
      <c r="BCT216" s="36"/>
      <c r="BCU216" s="36"/>
      <c r="BCV216" s="36"/>
      <c r="BCW216" s="36"/>
      <c r="BCX216" s="36"/>
      <c r="BCY216" s="36"/>
      <c r="BCZ216" s="36"/>
      <c r="BDA216" s="36"/>
      <c r="BDB216" s="36"/>
      <c r="BDC216" s="36"/>
      <c r="BDD216" s="36"/>
      <c r="BDE216" s="36"/>
      <c r="BDF216" s="36"/>
      <c r="BDG216" s="36"/>
      <c r="BDH216" s="36"/>
      <c r="BDI216" s="36"/>
      <c r="BDJ216" s="36"/>
      <c r="BDK216" s="36"/>
      <c r="BDL216" s="36"/>
      <c r="BDM216" s="36"/>
      <c r="BDN216" s="36"/>
      <c r="BDO216" s="36"/>
      <c r="BDP216" s="36"/>
      <c r="BDQ216" s="36"/>
      <c r="BDR216" s="36"/>
      <c r="BDS216" s="36"/>
      <c r="BDT216" s="36"/>
      <c r="BDU216" s="36"/>
      <c r="BDV216" s="36"/>
      <c r="BDW216" s="36"/>
      <c r="BDX216" s="36"/>
      <c r="BDY216" s="36"/>
      <c r="BDZ216" s="36"/>
      <c r="BEA216" s="36"/>
      <c r="BEB216" s="36"/>
      <c r="BEC216" s="36"/>
      <c r="BED216" s="36"/>
      <c r="BEE216" s="36"/>
      <c r="BEF216" s="36"/>
      <c r="BEG216" s="36"/>
      <c r="BEH216" s="36"/>
      <c r="BEI216" s="36"/>
      <c r="BEJ216" s="36"/>
      <c r="BEK216" s="36"/>
      <c r="BEL216" s="36"/>
      <c r="BEM216" s="36"/>
      <c r="BEN216" s="36"/>
      <c r="BEO216" s="36"/>
      <c r="BEP216" s="36"/>
      <c r="BEQ216" s="36"/>
      <c r="BER216" s="36"/>
      <c r="BES216" s="36"/>
      <c r="BET216" s="36"/>
      <c r="BEU216" s="36"/>
      <c r="BEV216" s="36"/>
      <c r="BEW216" s="36"/>
      <c r="BEX216" s="36"/>
      <c r="BEY216" s="36"/>
      <c r="BEZ216" s="36"/>
      <c r="BFA216" s="36"/>
      <c r="BFB216" s="36"/>
      <c r="BFC216" s="36"/>
      <c r="BFD216" s="36"/>
      <c r="BFE216" s="36"/>
      <c r="BFF216" s="36"/>
      <c r="BFG216" s="36"/>
      <c r="BFH216" s="36"/>
      <c r="BFI216" s="36"/>
      <c r="BFJ216" s="36"/>
      <c r="BFK216" s="36"/>
      <c r="BFL216" s="36"/>
      <c r="BFM216" s="36"/>
      <c r="BFN216" s="36"/>
      <c r="BFO216" s="36"/>
      <c r="BFP216" s="36"/>
      <c r="BFQ216" s="36"/>
      <c r="BFR216" s="36"/>
      <c r="BFS216" s="36"/>
      <c r="BFT216" s="36"/>
      <c r="BFU216" s="36"/>
      <c r="BFV216" s="36"/>
      <c r="BFW216" s="36"/>
      <c r="BFX216" s="36"/>
      <c r="BFY216" s="36"/>
      <c r="BFZ216" s="36"/>
      <c r="BGA216" s="36"/>
      <c r="BGB216" s="36"/>
      <c r="BGC216" s="36"/>
      <c r="BGD216" s="36"/>
      <c r="BGE216" s="36"/>
      <c r="BGF216" s="36"/>
      <c r="BGG216" s="36"/>
      <c r="BGH216" s="36"/>
      <c r="BGI216" s="36"/>
      <c r="BGJ216" s="36"/>
      <c r="BGK216" s="36"/>
      <c r="BGL216" s="36"/>
      <c r="BGM216" s="36"/>
      <c r="BGN216" s="36"/>
      <c r="BGO216" s="36"/>
      <c r="BGP216" s="36"/>
      <c r="BGQ216" s="36"/>
      <c r="BGR216" s="36"/>
      <c r="BGS216" s="36"/>
      <c r="BGT216" s="36"/>
      <c r="BGU216" s="36"/>
      <c r="BGV216" s="36"/>
      <c r="BGW216" s="36"/>
      <c r="BGX216" s="36"/>
      <c r="BGY216" s="36"/>
      <c r="BGZ216" s="36"/>
      <c r="BHA216" s="36"/>
      <c r="BHB216" s="36"/>
      <c r="BHC216" s="36"/>
      <c r="BHD216" s="36"/>
      <c r="BHE216" s="36"/>
      <c r="BHF216" s="36"/>
      <c r="BHG216" s="36"/>
      <c r="BHH216" s="36"/>
      <c r="BHI216" s="36"/>
      <c r="BHJ216" s="36"/>
      <c r="BHK216" s="36"/>
      <c r="BHL216" s="36"/>
      <c r="BHM216" s="36"/>
      <c r="BHN216" s="36"/>
      <c r="BHO216" s="36"/>
      <c r="BHP216" s="36"/>
      <c r="BHQ216" s="36"/>
      <c r="BHR216" s="36"/>
      <c r="BHS216" s="36"/>
      <c r="BHT216" s="36"/>
      <c r="BHU216" s="36"/>
      <c r="BHV216" s="36"/>
      <c r="BHW216" s="36"/>
      <c r="BHX216" s="36"/>
      <c r="BHY216" s="36"/>
      <c r="BHZ216" s="36"/>
      <c r="BIA216" s="36"/>
      <c r="BIB216" s="36"/>
      <c r="BIC216" s="36"/>
      <c r="BID216" s="36"/>
      <c r="BIE216" s="36"/>
      <c r="BIF216" s="36"/>
      <c r="BIG216" s="36"/>
      <c r="BIH216" s="36"/>
      <c r="BII216" s="36"/>
      <c r="BIJ216" s="36"/>
      <c r="BIK216" s="36"/>
      <c r="BIL216" s="36"/>
      <c r="BIM216" s="36"/>
      <c r="BIN216" s="36"/>
      <c r="BIO216" s="36"/>
      <c r="BIP216" s="36"/>
      <c r="BIQ216" s="36"/>
      <c r="BIR216" s="36"/>
      <c r="BIS216" s="36"/>
      <c r="BIT216" s="36"/>
      <c r="BIU216" s="36"/>
      <c r="BIV216" s="36"/>
      <c r="BIW216" s="36"/>
      <c r="BIX216" s="36"/>
      <c r="BIY216" s="36"/>
      <c r="BIZ216" s="36"/>
      <c r="BJA216" s="36"/>
      <c r="BJB216" s="36"/>
      <c r="BJC216" s="36"/>
      <c r="BJD216" s="36"/>
      <c r="BJE216" s="36"/>
      <c r="BJF216" s="36"/>
      <c r="BJG216" s="36"/>
      <c r="BJH216" s="36"/>
      <c r="BJI216" s="36"/>
      <c r="BJJ216" s="36"/>
      <c r="BJK216" s="36"/>
      <c r="BJL216" s="36"/>
      <c r="BJM216" s="36"/>
      <c r="BJN216" s="36"/>
      <c r="BJO216" s="36"/>
      <c r="BJP216" s="36"/>
      <c r="BJQ216" s="36"/>
      <c r="BJR216" s="36"/>
      <c r="BJS216" s="36"/>
      <c r="BJT216" s="36"/>
      <c r="BJU216" s="36"/>
      <c r="BJV216" s="36"/>
      <c r="BJW216" s="36"/>
      <c r="BJX216" s="36"/>
      <c r="BJY216" s="36"/>
      <c r="BJZ216" s="36"/>
      <c r="BKA216" s="36"/>
      <c r="BKB216" s="36"/>
      <c r="BKC216" s="36"/>
      <c r="BKD216" s="36"/>
      <c r="BKE216" s="36"/>
      <c r="BKF216" s="36"/>
      <c r="BKG216" s="36"/>
      <c r="BKH216" s="36"/>
      <c r="BKI216" s="36"/>
      <c r="BKJ216" s="36"/>
      <c r="BKK216" s="36"/>
      <c r="BKL216" s="36"/>
      <c r="BKM216" s="36"/>
      <c r="BKN216" s="36"/>
      <c r="BKO216" s="36"/>
      <c r="BKP216" s="36"/>
      <c r="BKQ216" s="36"/>
      <c r="BKR216" s="36"/>
      <c r="BKS216" s="36"/>
      <c r="BKT216" s="36"/>
      <c r="BKU216" s="36"/>
      <c r="BKV216" s="36"/>
      <c r="BKW216" s="36"/>
      <c r="BKX216" s="36"/>
      <c r="BKY216" s="36"/>
      <c r="BKZ216" s="36"/>
      <c r="BLA216" s="36"/>
      <c r="BLB216" s="36"/>
      <c r="BLC216" s="36"/>
      <c r="BLD216" s="36"/>
      <c r="BLE216" s="36"/>
      <c r="BLF216" s="36"/>
      <c r="BLG216" s="36"/>
      <c r="BLH216" s="36"/>
      <c r="BLI216" s="36"/>
      <c r="BLJ216" s="36"/>
      <c r="BLK216" s="36"/>
      <c r="BLL216" s="36"/>
      <c r="BLM216" s="36"/>
      <c r="BLN216" s="36"/>
      <c r="BLO216" s="36"/>
      <c r="BLP216" s="36"/>
      <c r="BLQ216" s="36"/>
      <c r="BLR216" s="36"/>
      <c r="BLS216" s="36"/>
      <c r="BLT216" s="36"/>
      <c r="BLU216" s="36"/>
      <c r="BLV216" s="36"/>
      <c r="BLW216" s="36"/>
      <c r="BLX216" s="36"/>
      <c r="BLY216" s="36"/>
      <c r="BLZ216" s="36"/>
      <c r="BMA216" s="36"/>
      <c r="BMB216" s="36"/>
      <c r="BMC216" s="36"/>
      <c r="BMD216" s="36"/>
      <c r="BME216" s="36"/>
      <c r="BMF216" s="36"/>
      <c r="BMG216" s="36"/>
      <c r="BMH216" s="36"/>
      <c r="BMI216" s="36"/>
      <c r="BMJ216" s="36"/>
      <c r="BMK216" s="36"/>
      <c r="BML216" s="36"/>
      <c r="BMM216" s="36"/>
      <c r="BMN216" s="36"/>
      <c r="BMO216" s="36"/>
      <c r="BMP216" s="36"/>
      <c r="BMQ216" s="36"/>
      <c r="BMR216" s="36"/>
      <c r="BMS216" s="36"/>
      <c r="BMT216" s="36"/>
      <c r="BMU216" s="36"/>
      <c r="BMV216" s="36"/>
      <c r="BMW216" s="36"/>
      <c r="BMX216" s="36"/>
      <c r="BMY216" s="36"/>
      <c r="BMZ216" s="36"/>
      <c r="BNA216" s="36"/>
      <c r="BNB216" s="36"/>
      <c r="BNC216" s="36"/>
      <c r="BND216" s="36"/>
      <c r="BNE216" s="36"/>
      <c r="BNF216" s="36"/>
      <c r="BNG216" s="36"/>
      <c r="BNH216" s="36"/>
      <c r="BNI216" s="36"/>
      <c r="BNJ216" s="36"/>
      <c r="BNK216" s="36"/>
      <c r="BNL216" s="36"/>
      <c r="BNM216" s="36"/>
      <c r="BNN216" s="36"/>
      <c r="BNO216" s="36"/>
      <c r="BNP216" s="36"/>
      <c r="BNQ216" s="36"/>
      <c r="BNR216" s="36"/>
      <c r="BNS216" s="36"/>
      <c r="BNT216" s="36"/>
      <c r="BNU216" s="36"/>
      <c r="BNV216" s="36"/>
      <c r="BNW216" s="36"/>
      <c r="BNX216" s="36"/>
      <c r="BNY216" s="36"/>
      <c r="BNZ216" s="36"/>
      <c r="BOA216" s="36"/>
      <c r="BOB216" s="36"/>
      <c r="BOC216" s="36"/>
      <c r="BOD216" s="36"/>
      <c r="BOE216" s="36"/>
      <c r="BOF216" s="36"/>
      <c r="BOG216" s="36"/>
      <c r="BOH216" s="36"/>
      <c r="BOI216" s="36"/>
      <c r="BOJ216" s="36"/>
      <c r="BOK216" s="36"/>
      <c r="BOL216" s="36"/>
      <c r="BOM216" s="36"/>
      <c r="BON216" s="36"/>
      <c r="BOO216" s="36"/>
      <c r="BOP216" s="36"/>
      <c r="BOQ216" s="36"/>
      <c r="BOR216" s="36"/>
      <c r="BOS216" s="36"/>
      <c r="BOT216" s="36"/>
      <c r="BOU216" s="36"/>
      <c r="BOV216" s="36"/>
      <c r="BOW216" s="36"/>
      <c r="BOX216" s="36"/>
      <c r="BOY216" s="36"/>
      <c r="BOZ216" s="36"/>
      <c r="BPA216" s="36"/>
      <c r="BPB216" s="36"/>
      <c r="BPC216" s="36"/>
      <c r="BPD216" s="36"/>
      <c r="BPE216" s="36"/>
      <c r="BPF216" s="36"/>
      <c r="BPG216" s="36"/>
      <c r="BPH216" s="36"/>
      <c r="BPI216" s="36"/>
      <c r="BPJ216" s="36"/>
      <c r="BPK216" s="36"/>
      <c r="BPL216" s="36"/>
      <c r="BPM216" s="36"/>
      <c r="BPN216" s="36"/>
      <c r="BPO216" s="36"/>
      <c r="BPP216" s="36"/>
      <c r="BPQ216" s="36"/>
      <c r="BPR216" s="36"/>
      <c r="BPS216" s="36"/>
      <c r="BPT216" s="36"/>
      <c r="BPU216" s="36"/>
      <c r="BPV216" s="36"/>
      <c r="BPW216" s="36"/>
      <c r="BPX216" s="36"/>
      <c r="BPY216" s="36"/>
      <c r="BPZ216" s="36"/>
      <c r="BQA216" s="36"/>
      <c r="BQB216" s="36"/>
      <c r="BQC216" s="36"/>
      <c r="BQD216" s="36"/>
      <c r="BQE216" s="36"/>
      <c r="BQF216" s="36"/>
      <c r="BQG216" s="36"/>
      <c r="BQH216" s="36"/>
      <c r="BQI216" s="36"/>
      <c r="BQJ216" s="36"/>
      <c r="BQK216" s="36"/>
      <c r="BQL216" s="36"/>
      <c r="BQM216" s="36"/>
      <c r="BQN216" s="36"/>
      <c r="BQO216" s="36"/>
      <c r="BQP216" s="36"/>
      <c r="BQQ216" s="36"/>
      <c r="BQR216" s="36"/>
      <c r="BQS216" s="36"/>
      <c r="BQT216" s="36"/>
      <c r="BQU216" s="36"/>
      <c r="BQV216" s="36"/>
      <c r="BQW216" s="36"/>
      <c r="BQX216" s="36"/>
      <c r="BQY216" s="36"/>
      <c r="BQZ216" s="36"/>
      <c r="BRA216" s="36"/>
      <c r="BRB216" s="36"/>
      <c r="BRC216" s="36"/>
      <c r="BRD216" s="36"/>
      <c r="BRE216" s="36"/>
      <c r="BRF216" s="36"/>
      <c r="BRG216" s="36"/>
      <c r="BRH216" s="36"/>
      <c r="BRI216" s="36"/>
      <c r="BRJ216" s="36"/>
      <c r="BRK216" s="36"/>
      <c r="BRL216" s="36"/>
      <c r="BRM216" s="36"/>
      <c r="BRN216" s="36"/>
      <c r="BRO216" s="36"/>
      <c r="BRP216" s="36"/>
      <c r="BRQ216" s="36"/>
      <c r="BRR216" s="36"/>
      <c r="BRS216" s="36"/>
      <c r="BRT216" s="36"/>
      <c r="BRU216" s="36"/>
      <c r="BRV216" s="36"/>
      <c r="BRW216" s="36"/>
      <c r="BRX216" s="36"/>
      <c r="BRY216" s="36"/>
      <c r="BRZ216" s="36"/>
      <c r="BSA216" s="36"/>
      <c r="BSB216" s="36"/>
      <c r="BSC216" s="36"/>
      <c r="BSD216" s="36"/>
      <c r="BSE216" s="36"/>
      <c r="BSF216" s="36"/>
      <c r="BSG216" s="36"/>
      <c r="BSH216" s="36"/>
      <c r="BSI216" s="36"/>
      <c r="BSJ216" s="36"/>
      <c r="BSK216" s="36"/>
      <c r="BSL216" s="36"/>
      <c r="BSM216" s="36"/>
      <c r="BSN216" s="36"/>
      <c r="BSO216" s="36"/>
      <c r="BSP216" s="36"/>
      <c r="BSQ216" s="36"/>
      <c r="BSR216" s="36"/>
      <c r="BSS216" s="36"/>
      <c r="BST216" s="36"/>
      <c r="BSU216" s="36"/>
      <c r="BSV216" s="36"/>
      <c r="BSW216" s="36"/>
      <c r="BSX216" s="36"/>
      <c r="BSY216" s="36"/>
      <c r="BSZ216" s="36"/>
      <c r="BTA216" s="36"/>
      <c r="BTB216" s="36"/>
      <c r="BTC216" s="36"/>
      <c r="BTD216" s="36"/>
      <c r="BTE216" s="36"/>
      <c r="BTF216" s="36"/>
      <c r="BTG216" s="36"/>
      <c r="BTH216" s="36"/>
      <c r="BTI216" s="36"/>
      <c r="BTJ216" s="36"/>
      <c r="BTK216" s="36"/>
      <c r="BTL216" s="36"/>
      <c r="BTM216" s="36"/>
      <c r="BTN216" s="36"/>
      <c r="BTO216" s="36"/>
      <c r="BTP216" s="36"/>
      <c r="BTQ216" s="36"/>
      <c r="BTR216" s="36"/>
      <c r="BTS216" s="36"/>
      <c r="BTT216" s="36"/>
      <c r="BTU216" s="36"/>
      <c r="BTV216" s="36"/>
      <c r="BTW216" s="36"/>
      <c r="BTX216" s="36"/>
      <c r="BTY216" s="36"/>
      <c r="BTZ216" s="36"/>
      <c r="BUA216" s="36"/>
      <c r="BUB216" s="36"/>
      <c r="BUC216" s="36"/>
      <c r="BUD216" s="36"/>
      <c r="BUE216" s="36"/>
      <c r="BUF216" s="36"/>
      <c r="BUG216" s="36"/>
      <c r="BUH216" s="36"/>
      <c r="BUI216" s="36"/>
      <c r="BUJ216" s="36"/>
      <c r="BUK216" s="36"/>
      <c r="BUL216" s="36"/>
      <c r="BUM216" s="36"/>
      <c r="BUN216" s="36"/>
      <c r="BUO216" s="36"/>
      <c r="BUP216" s="36"/>
      <c r="BUQ216" s="36"/>
      <c r="BUR216" s="36"/>
      <c r="BUS216" s="36"/>
      <c r="BUT216" s="36"/>
      <c r="BUU216" s="36"/>
      <c r="BUV216" s="36"/>
      <c r="BUW216" s="36"/>
      <c r="BUX216" s="36"/>
      <c r="BUY216" s="36"/>
      <c r="BUZ216" s="36"/>
      <c r="BVA216" s="36"/>
      <c r="BVB216" s="36"/>
      <c r="BVC216" s="36"/>
      <c r="BVD216" s="36"/>
      <c r="BVE216" s="36"/>
      <c r="BVF216" s="36"/>
      <c r="BVG216" s="36"/>
      <c r="BVH216" s="36"/>
      <c r="BVI216" s="36"/>
      <c r="BVJ216" s="36"/>
      <c r="BVK216" s="36"/>
      <c r="BVL216" s="36"/>
      <c r="BVM216" s="36"/>
      <c r="BVN216" s="36"/>
      <c r="BVO216" s="36"/>
      <c r="BVP216" s="36"/>
      <c r="BVQ216" s="36"/>
      <c r="BVR216" s="36"/>
      <c r="BVS216" s="36"/>
      <c r="BVT216" s="36"/>
      <c r="BVU216" s="36"/>
      <c r="BVV216" s="36"/>
      <c r="BVW216" s="36"/>
      <c r="BVX216" s="36"/>
      <c r="BVY216" s="36"/>
      <c r="BVZ216" s="36"/>
      <c r="BWA216" s="36"/>
      <c r="BWB216" s="36"/>
      <c r="BWC216" s="36"/>
      <c r="BWD216" s="36"/>
      <c r="BWE216" s="36"/>
      <c r="BWF216" s="36"/>
      <c r="BWG216" s="36"/>
      <c r="BWH216" s="36"/>
      <c r="BWI216" s="36"/>
      <c r="BWJ216" s="36"/>
      <c r="BWK216" s="36"/>
      <c r="BWL216" s="36"/>
      <c r="BWM216" s="36"/>
      <c r="BWN216" s="36"/>
      <c r="BWO216" s="36"/>
      <c r="BWP216" s="36"/>
      <c r="BWQ216" s="36"/>
      <c r="BWR216" s="36"/>
      <c r="BWS216" s="36"/>
      <c r="BWT216" s="36"/>
      <c r="BWU216" s="36"/>
      <c r="BWV216" s="36"/>
      <c r="BWW216" s="36"/>
      <c r="BWX216" s="36"/>
      <c r="BWY216" s="36"/>
      <c r="BWZ216" s="36"/>
      <c r="BXA216" s="36"/>
      <c r="BXB216" s="36"/>
      <c r="BXC216" s="36"/>
      <c r="BXD216" s="36"/>
      <c r="BXE216" s="36"/>
      <c r="BXF216" s="36"/>
      <c r="BXG216" s="36"/>
      <c r="BXH216" s="36"/>
      <c r="BXI216" s="36"/>
      <c r="BXJ216" s="36"/>
      <c r="BXK216" s="36"/>
      <c r="BXL216" s="36"/>
      <c r="BXM216" s="36"/>
      <c r="BXN216" s="36"/>
      <c r="BXO216" s="36"/>
      <c r="BXP216" s="36"/>
      <c r="BXQ216" s="36"/>
      <c r="BXR216" s="36"/>
      <c r="BXS216" s="36"/>
      <c r="BXT216" s="36"/>
      <c r="BXU216" s="36"/>
      <c r="BXV216" s="36"/>
      <c r="BXW216" s="36"/>
      <c r="BXX216" s="36"/>
      <c r="BXY216" s="36"/>
      <c r="BXZ216" s="36"/>
      <c r="BYA216" s="36"/>
      <c r="BYB216" s="36"/>
      <c r="BYC216" s="36"/>
      <c r="BYD216" s="36"/>
      <c r="BYE216" s="36"/>
      <c r="BYF216" s="36"/>
      <c r="BYG216" s="36"/>
      <c r="BYH216" s="36"/>
      <c r="BYI216" s="36"/>
      <c r="BYJ216" s="36"/>
      <c r="BYK216" s="36"/>
      <c r="BYL216" s="36"/>
      <c r="BYM216" s="36"/>
      <c r="BYN216" s="36"/>
      <c r="BYO216" s="36"/>
      <c r="BYP216" s="36"/>
      <c r="BYQ216" s="36"/>
      <c r="BYR216" s="36"/>
      <c r="BYS216" s="36"/>
      <c r="BYT216" s="36"/>
      <c r="BYU216" s="36"/>
      <c r="BYV216" s="36"/>
      <c r="BYW216" s="36"/>
      <c r="BYX216" s="36"/>
      <c r="BYY216" s="36"/>
      <c r="BYZ216" s="36"/>
      <c r="BZA216" s="36"/>
      <c r="BZB216" s="36"/>
      <c r="BZC216" s="36"/>
      <c r="BZD216" s="36"/>
      <c r="BZE216" s="36"/>
      <c r="BZF216" s="36"/>
      <c r="BZG216" s="36"/>
      <c r="BZH216" s="36"/>
      <c r="BZI216" s="36"/>
      <c r="BZJ216" s="36"/>
      <c r="BZK216" s="36"/>
      <c r="BZL216" s="36"/>
      <c r="BZM216" s="36"/>
      <c r="BZN216" s="36"/>
      <c r="BZO216" s="36"/>
      <c r="BZP216" s="36"/>
      <c r="BZQ216" s="36"/>
      <c r="BZR216" s="36"/>
      <c r="BZS216" s="36"/>
      <c r="BZT216" s="36"/>
      <c r="BZU216" s="36"/>
      <c r="BZV216" s="36"/>
      <c r="BZW216" s="36"/>
      <c r="BZX216" s="36"/>
      <c r="BZY216" s="36"/>
      <c r="BZZ216" s="36"/>
      <c r="CAA216" s="36"/>
      <c r="CAB216" s="36"/>
      <c r="CAC216" s="36"/>
      <c r="CAD216" s="36"/>
      <c r="CAE216" s="36"/>
      <c r="CAF216" s="36"/>
      <c r="CAG216" s="36"/>
      <c r="CAH216" s="36"/>
      <c r="CAI216" s="36"/>
      <c r="CAJ216" s="36"/>
      <c r="CAK216" s="36"/>
      <c r="CAL216" s="36"/>
      <c r="CAM216" s="36"/>
      <c r="CAN216" s="36"/>
      <c r="CAO216" s="36"/>
      <c r="CAP216" s="36"/>
      <c r="CAQ216" s="36"/>
      <c r="CAR216" s="36"/>
      <c r="CAS216" s="36"/>
      <c r="CAT216" s="36"/>
      <c r="CAU216" s="36"/>
      <c r="CAV216" s="36"/>
      <c r="CAW216" s="36"/>
      <c r="CAX216" s="36"/>
      <c r="CAY216" s="36"/>
      <c r="CAZ216" s="36"/>
      <c r="CBA216" s="36"/>
      <c r="CBB216" s="36"/>
      <c r="CBC216" s="36"/>
      <c r="CBD216" s="36"/>
      <c r="CBE216" s="36"/>
      <c r="CBF216" s="36"/>
      <c r="CBG216" s="36"/>
      <c r="CBH216" s="36"/>
      <c r="CBI216" s="36"/>
      <c r="CBJ216" s="36"/>
      <c r="CBK216" s="36"/>
      <c r="CBL216" s="36"/>
      <c r="CBM216" s="36"/>
      <c r="CBN216" s="36"/>
      <c r="CBO216" s="36"/>
      <c r="CBP216" s="36"/>
      <c r="CBQ216" s="36"/>
      <c r="CBR216" s="36"/>
      <c r="CBS216" s="36"/>
      <c r="CBT216" s="36"/>
      <c r="CBU216" s="36"/>
      <c r="CBV216" s="36"/>
      <c r="CBW216" s="36"/>
      <c r="CBX216" s="36"/>
      <c r="CBY216" s="36"/>
      <c r="CBZ216" s="36"/>
      <c r="CCA216" s="36"/>
      <c r="CCB216" s="36"/>
      <c r="CCC216" s="36"/>
      <c r="CCD216" s="36"/>
      <c r="CCE216" s="36"/>
      <c r="CCF216" s="36"/>
      <c r="CCG216" s="36"/>
      <c r="CCH216" s="36"/>
      <c r="CCI216" s="36"/>
      <c r="CCJ216" s="36"/>
      <c r="CCK216" s="36"/>
      <c r="CCL216" s="36"/>
      <c r="CCM216" s="36"/>
      <c r="CCN216" s="36"/>
      <c r="CCO216" s="36"/>
      <c r="CCP216" s="36"/>
      <c r="CCQ216" s="36"/>
      <c r="CCR216" s="36"/>
      <c r="CCS216" s="36"/>
      <c r="CCT216" s="36"/>
      <c r="CCU216" s="36"/>
      <c r="CCV216" s="36"/>
      <c r="CCW216" s="36"/>
      <c r="CCX216" s="36"/>
      <c r="CCY216" s="36"/>
      <c r="CCZ216" s="36"/>
      <c r="CDA216" s="36"/>
      <c r="CDB216" s="36"/>
      <c r="CDC216" s="36"/>
      <c r="CDD216" s="36"/>
      <c r="CDE216" s="36"/>
      <c r="CDF216" s="36"/>
      <c r="CDG216" s="36"/>
      <c r="CDH216" s="36"/>
      <c r="CDI216" s="36"/>
      <c r="CDJ216" s="36"/>
      <c r="CDK216" s="36"/>
      <c r="CDL216" s="36"/>
      <c r="CDM216" s="36"/>
      <c r="CDN216" s="36"/>
      <c r="CDO216" s="36"/>
      <c r="CDP216" s="36"/>
      <c r="CDQ216" s="36"/>
      <c r="CDR216" s="36"/>
      <c r="CDS216" s="36"/>
      <c r="CDT216" s="36"/>
      <c r="CDU216" s="36"/>
      <c r="CDV216" s="36"/>
      <c r="CDW216" s="36"/>
      <c r="CDX216" s="36"/>
      <c r="CDY216" s="36"/>
      <c r="CDZ216" s="36"/>
      <c r="CEA216" s="36"/>
      <c r="CEB216" s="36"/>
      <c r="CEC216" s="36"/>
      <c r="CED216" s="36"/>
      <c r="CEE216" s="36"/>
      <c r="CEF216" s="36"/>
      <c r="CEG216" s="36"/>
      <c r="CEH216" s="36"/>
      <c r="CEI216" s="36"/>
      <c r="CEJ216" s="36"/>
      <c r="CEK216" s="36"/>
      <c r="CEL216" s="36"/>
      <c r="CEM216" s="36"/>
      <c r="CEN216" s="36"/>
      <c r="CEO216" s="36"/>
      <c r="CEP216" s="36"/>
      <c r="CEQ216" s="36"/>
      <c r="CER216" s="36"/>
      <c r="CES216" s="36"/>
      <c r="CET216" s="36"/>
      <c r="CEU216" s="36"/>
      <c r="CEV216" s="36"/>
      <c r="CEW216" s="36"/>
      <c r="CEX216" s="36"/>
      <c r="CEY216" s="36"/>
      <c r="CEZ216" s="36"/>
      <c r="CFA216" s="36"/>
      <c r="CFB216" s="36"/>
      <c r="CFC216" s="36"/>
      <c r="CFD216" s="36"/>
      <c r="CFE216" s="36"/>
      <c r="CFF216" s="36"/>
      <c r="CFG216" s="36"/>
      <c r="CFH216" s="36"/>
      <c r="CFI216" s="36"/>
      <c r="CFJ216" s="36"/>
      <c r="CFK216" s="36"/>
      <c r="CFL216" s="36"/>
      <c r="CFM216" s="36"/>
      <c r="CFN216" s="36"/>
      <c r="CFO216" s="36"/>
      <c r="CFP216" s="36"/>
      <c r="CFQ216" s="36"/>
      <c r="CFR216" s="36"/>
      <c r="CFS216" s="36"/>
      <c r="CFT216" s="36"/>
      <c r="CFU216" s="36"/>
      <c r="CFV216" s="36"/>
      <c r="CFW216" s="36"/>
      <c r="CFX216" s="36"/>
      <c r="CFY216" s="36"/>
      <c r="CFZ216" s="36"/>
      <c r="CGA216" s="36"/>
      <c r="CGB216" s="36"/>
      <c r="CGC216" s="36"/>
      <c r="CGD216" s="36"/>
      <c r="CGE216" s="36"/>
      <c r="CGF216" s="36"/>
      <c r="CGG216" s="36"/>
      <c r="CGH216" s="36"/>
      <c r="CGI216" s="36"/>
      <c r="CGJ216" s="36"/>
      <c r="CGK216" s="36"/>
      <c r="CGL216" s="36"/>
      <c r="CGM216" s="36"/>
      <c r="CGN216" s="36"/>
      <c r="CGO216" s="36"/>
      <c r="CGP216" s="36"/>
      <c r="CGQ216" s="36"/>
      <c r="CGR216" s="36"/>
      <c r="CGS216" s="36"/>
      <c r="CGT216" s="36"/>
      <c r="CGU216" s="36"/>
      <c r="CGV216" s="36"/>
      <c r="CGW216" s="36"/>
      <c r="CGX216" s="36"/>
      <c r="CGY216" s="36"/>
      <c r="CGZ216" s="36"/>
      <c r="CHA216" s="36"/>
      <c r="CHB216" s="36"/>
      <c r="CHC216" s="36"/>
      <c r="CHD216" s="36"/>
      <c r="CHE216" s="36"/>
      <c r="CHF216" s="36"/>
      <c r="CHG216" s="36"/>
      <c r="CHH216" s="36"/>
      <c r="CHI216" s="36"/>
      <c r="CHJ216" s="36"/>
      <c r="CHK216" s="36"/>
      <c r="CHL216" s="36"/>
      <c r="CHM216" s="36"/>
      <c r="CHN216" s="36"/>
      <c r="CHO216" s="36"/>
      <c r="CHP216" s="36"/>
      <c r="CHQ216" s="36"/>
      <c r="CHR216" s="36"/>
      <c r="CHS216" s="36"/>
      <c r="CHT216" s="36"/>
      <c r="CHU216" s="36"/>
      <c r="CHV216" s="36"/>
      <c r="CHW216" s="36"/>
      <c r="CHX216" s="36"/>
      <c r="CHY216" s="36"/>
      <c r="CHZ216" s="36"/>
      <c r="CIA216" s="36"/>
      <c r="CIB216" s="36"/>
      <c r="CIC216" s="36"/>
      <c r="CID216" s="36"/>
      <c r="CIE216" s="36"/>
      <c r="CIF216" s="36"/>
      <c r="CIG216" s="36"/>
      <c r="CIH216" s="36"/>
      <c r="CII216" s="36"/>
      <c r="CIJ216" s="36"/>
      <c r="CIK216" s="36"/>
      <c r="CIL216" s="36"/>
      <c r="CIM216" s="36"/>
      <c r="CIN216" s="36"/>
      <c r="CIO216" s="36"/>
      <c r="CIP216" s="36"/>
      <c r="CIQ216" s="36"/>
      <c r="CIR216" s="36"/>
      <c r="CIS216" s="36"/>
      <c r="CIT216" s="36"/>
      <c r="CIU216" s="36"/>
      <c r="CIV216" s="36"/>
      <c r="CIW216" s="36"/>
      <c r="CIX216" s="36"/>
      <c r="CIY216" s="36"/>
      <c r="CIZ216" s="36"/>
      <c r="CJA216" s="36"/>
      <c r="CJB216" s="36"/>
      <c r="CJC216" s="36"/>
      <c r="CJD216" s="36"/>
      <c r="CJE216" s="36"/>
      <c r="CJF216" s="36"/>
      <c r="CJG216" s="36"/>
      <c r="CJH216" s="36"/>
      <c r="CJI216" s="36"/>
      <c r="CJJ216" s="36"/>
      <c r="CJK216" s="36"/>
      <c r="CJL216" s="36"/>
      <c r="CJM216" s="36"/>
      <c r="CJN216" s="36"/>
      <c r="CJO216" s="36"/>
      <c r="CJP216" s="36"/>
      <c r="CJQ216" s="36"/>
      <c r="CJR216" s="36"/>
      <c r="CJS216" s="36"/>
      <c r="CJT216" s="36"/>
      <c r="CJU216" s="36"/>
      <c r="CJV216" s="36"/>
      <c r="CJW216" s="36"/>
      <c r="CJX216" s="36"/>
      <c r="CJY216" s="36"/>
      <c r="CJZ216" s="36"/>
      <c r="CKA216" s="36"/>
      <c r="CKB216" s="36"/>
      <c r="CKC216" s="36"/>
      <c r="CKD216" s="36"/>
      <c r="CKE216" s="36"/>
      <c r="CKF216" s="36"/>
      <c r="CKG216" s="36"/>
      <c r="CKH216" s="36"/>
      <c r="CKI216" s="36"/>
      <c r="CKJ216" s="36"/>
      <c r="CKK216" s="36"/>
      <c r="CKL216" s="36"/>
      <c r="CKM216" s="36"/>
      <c r="CKN216" s="36"/>
      <c r="CKO216" s="36"/>
      <c r="CKP216" s="36"/>
      <c r="CKQ216" s="36"/>
      <c r="CKR216" s="36"/>
      <c r="CKS216" s="36"/>
      <c r="CKT216" s="36"/>
      <c r="CKU216" s="36"/>
      <c r="CKV216" s="36"/>
      <c r="CKW216" s="36"/>
      <c r="CKX216" s="36"/>
      <c r="CKY216" s="36"/>
      <c r="CKZ216" s="36"/>
      <c r="CLA216" s="36"/>
      <c r="CLB216" s="36"/>
      <c r="CLC216" s="36"/>
      <c r="CLD216" s="36"/>
      <c r="CLE216" s="36"/>
      <c r="CLF216" s="36"/>
      <c r="CLG216" s="36"/>
      <c r="CLH216" s="36"/>
      <c r="CLI216" s="36"/>
      <c r="CLJ216" s="36"/>
      <c r="CLK216" s="36"/>
      <c r="CLL216" s="36"/>
      <c r="CLM216" s="36"/>
      <c r="CLN216" s="36"/>
      <c r="CLO216" s="36"/>
      <c r="CLP216" s="36"/>
      <c r="CLQ216" s="36"/>
      <c r="CLR216" s="36"/>
      <c r="CLS216" s="36"/>
      <c r="CLT216" s="36"/>
      <c r="CLU216" s="36"/>
      <c r="CLV216" s="36"/>
      <c r="CLW216" s="36"/>
      <c r="CLX216" s="36"/>
      <c r="CLY216" s="36"/>
      <c r="CLZ216" s="36"/>
      <c r="CMA216" s="36"/>
      <c r="CMB216" s="36"/>
      <c r="CMC216" s="36"/>
      <c r="CMD216" s="36"/>
      <c r="CME216" s="36"/>
      <c r="CMF216" s="36"/>
      <c r="CMG216" s="36"/>
      <c r="CMH216" s="36"/>
      <c r="CMI216" s="36"/>
      <c r="CMJ216" s="36"/>
      <c r="CMK216" s="36"/>
      <c r="CML216" s="36"/>
      <c r="CMM216" s="36"/>
      <c r="CMN216" s="36"/>
      <c r="CMO216" s="36"/>
      <c r="CMP216" s="36"/>
      <c r="CMQ216" s="36"/>
      <c r="CMR216" s="36"/>
      <c r="CMS216" s="36"/>
      <c r="CMT216" s="36"/>
      <c r="CMU216" s="36"/>
      <c r="CMV216" s="36"/>
      <c r="CMW216" s="36"/>
      <c r="CMX216" s="36"/>
      <c r="CMY216" s="36"/>
      <c r="CMZ216" s="36"/>
      <c r="CNA216" s="36"/>
      <c r="CNB216" s="36"/>
      <c r="CNC216" s="36"/>
      <c r="CND216" s="36"/>
      <c r="CNE216" s="36"/>
      <c r="CNF216" s="36"/>
      <c r="CNG216" s="36"/>
      <c r="CNH216" s="36"/>
      <c r="CNI216" s="36"/>
      <c r="CNJ216" s="36"/>
      <c r="CNK216" s="36"/>
      <c r="CNL216" s="36"/>
      <c r="CNM216" s="36"/>
      <c r="CNN216" s="36"/>
      <c r="CNO216" s="36"/>
      <c r="CNP216" s="36"/>
      <c r="CNQ216" s="36"/>
      <c r="CNR216" s="36"/>
      <c r="CNS216" s="36"/>
      <c r="CNT216" s="36"/>
      <c r="CNU216" s="36"/>
      <c r="CNV216" s="36"/>
      <c r="CNW216" s="36"/>
      <c r="CNX216" s="36"/>
      <c r="CNY216" s="36"/>
      <c r="CNZ216" s="36"/>
      <c r="COA216" s="36"/>
      <c r="COB216" s="36"/>
      <c r="COC216" s="36"/>
      <c r="COD216" s="36"/>
      <c r="COE216" s="36"/>
      <c r="COF216" s="36"/>
      <c r="COG216" s="36"/>
      <c r="COH216" s="36"/>
      <c r="COI216" s="36"/>
      <c r="COJ216" s="36"/>
      <c r="COK216" s="36"/>
      <c r="COL216" s="36"/>
      <c r="COM216" s="36"/>
      <c r="CON216" s="36"/>
      <c r="COO216" s="36"/>
      <c r="COP216" s="36"/>
      <c r="COQ216" s="36"/>
      <c r="COR216" s="36"/>
      <c r="COS216" s="36"/>
      <c r="COT216" s="36"/>
      <c r="COU216" s="36"/>
      <c r="COV216" s="36"/>
      <c r="COW216" s="36"/>
      <c r="COX216" s="36"/>
      <c r="COY216" s="36"/>
      <c r="COZ216" s="36"/>
      <c r="CPA216" s="36"/>
      <c r="CPB216" s="36"/>
      <c r="CPC216" s="36"/>
      <c r="CPD216" s="36"/>
      <c r="CPE216" s="36"/>
      <c r="CPF216" s="36"/>
      <c r="CPG216" s="36"/>
      <c r="CPH216" s="36"/>
      <c r="CPI216" s="36"/>
      <c r="CPJ216" s="36"/>
      <c r="CPK216" s="36"/>
      <c r="CPL216" s="36"/>
      <c r="CPM216" s="36"/>
      <c r="CPN216" s="36"/>
      <c r="CPO216" s="36"/>
      <c r="CPP216" s="36"/>
      <c r="CPQ216" s="36"/>
      <c r="CPR216" s="36"/>
      <c r="CPS216" s="36"/>
      <c r="CPT216" s="36"/>
      <c r="CPU216" s="36"/>
      <c r="CPV216" s="36"/>
      <c r="CPW216" s="36"/>
      <c r="CPX216" s="36"/>
      <c r="CPY216" s="36"/>
      <c r="CPZ216" s="36"/>
      <c r="CQA216" s="36"/>
      <c r="CQB216" s="36"/>
      <c r="CQC216" s="36"/>
      <c r="CQD216" s="36"/>
      <c r="CQE216" s="36"/>
      <c r="CQF216" s="36"/>
      <c r="CQG216" s="36"/>
      <c r="CQH216" s="36"/>
      <c r="CQI216" s="36"/>
      <c r="CQJ216" s="36"/>
      <c r="CQK216" s="36"/>
      <c r="CQL216" s="36"/>
      <c r="CQM216" s="36"/>
      <c r="CQN216" s="36"/>
      <c r="CQO216" s="36"/>
      <c r="CQP216" s="36"/>
      <c r="CQQ216" s="36"/>
      <c r="CQR216" s="36"/>
      <c r="CQS216" s="36"/>
      <c r="CQT216" s="36"/>
      <c r="CQU216" s="36"/>
      <c r="CQV216" s="36"/>
      <c r="CQW216" s="36"/>
      <c r="CQX216" s="36"/>
      <c r="CQY216" s="36"/>
      <c r="CQZ216" s="36"/>
      <c r="CRA216" s="36"/>
      <c r="CRB216" s="36"/>
      <c r="CRC216" s="36"/>
      <c r="CRD216" s="36"/>
      <c r="CRE216" s="36"/>
      <c r="CRF216" s="36"/>
      <c r="CRG216" s="36"/>
      <c r="CRH216" s="36"/>
      <c r="CRI216" s="36"/>
      <c r="CRJ216" s="36"/>
      <c r="CRK216" s="36"/>
      <c r="CRL216" s="36"/>
      <c r="CRM216" s="36"/>
      <c r="CRN216" s="36"/>
      <c r="CRO216" s="36"/>
      <c r="CRP216" s="36"/>
      <c r="CRQ216" s="36"/>
      <c r="CRR216" s="36"/>
      <c r="CRS216" s="36"/>
      <c r="CRT216" s="36"/>
      <c r="CRU216" s="36"/>
      <c r="CRV216" s="36"/>
      <c r="CRW216" s="36"/>
      <c r="CRX216" s="36"/>
      <c r="CRY216" s="36"/>
      <c r="CRZ216" s="36"/>
      <c r="CSA216" s="36"/>
      <c r="CSB216" s="36"/>
      <c r="CSC216" s="36"/>
      <c r="CSD216" s="36"/>
      <c r="CSE216" s="36"/>
      <c r="CSF216" s="36"/>
      <c r="CSG216" s="36"/>
      <c r="CSH216" s="36"/>
      <c r="CSI216" s="36"/>
      <c r="CSJ216" s="36"/>
      <c r="CSK216" s="36"/>
      <c r="CSL216" s="36"/>
      <c r="CSM216" s="36"/>
      <c r="CSN216" s="36"/>
      <c r="CSO216" s="36"/>
      <c r="CSP216" s="36"/>
      <c r="CSQ216" s="36"/>
      <c r="CSR216" s="36"/>
      <c r="CSS216" s="36"/>
      <c r="CST216" s="36"/>
      <c r="CSU216" s="36"/>
      <c r="CSV216" s="36"/>
      <c r="CSW216" s="36"/>
      <c r="CSX216" s="36"/>
      <c r="CSY216" s="36"/>
      <c r="CSZ216" s="36"/>
      <c r="CTA216" s="36"/>
      <c r="CTB216" s="36"/>
      <c r="CTC216" s="36"/>
      <c r="CTD216" s="36"/>
      <c r="CTE216" s="36"/>
      <c r="CTF216" s="36"/>
      <c r="CTG216" s="36"/>
      <c r="CTH216" s="36"/>
      <c r="CTI216" s="36"/>
      <c r="CTJ216" s="36"/>
      <c r="CTK216" s="36"/>
      <c r="CTL216" s="36"/>
      <c r="CTM216" s="36"/>
      <c r="CTN216" s="36"/>
      <c r="CTO216" s="36"/>
      <c r="CTP216" s="36"/>
      <c r="CTQ216" s="36"/>
      <c r="CTR216" s="36"/>
      <c r="CTS216" s="36"/>
      <c r="CTT216" s="36"/>
      <c r="CTU216" s="36"/>
      <c r="CTV216" s="36"/>
      <c r="CTW216" s="36"/>
      <c r="CTX216" s="36"/>
      <c r="CTY216" s="36"/>
      <c r="CTZ216" s="36"/>
      <c r="CUA216" s="36"/>
      <c r="CUB216" s="36"/>
      <c r="CUC216" s="36"/>
      <c r="CUD216" s="36"/>
      <c r="CUE216" s="36"/>
      <c r="CUF216" s="36"/>
      <c r="CUG216" s="36"/>
      <c r="CUH216" s="36"/>
      <c r="CUI216" s="36"/>
      <c r="CUJ216" s="36"/>
      <c r="CUK216" s="36"/>
      <c r="CUL216" s="36"/>
      <c r="CUM216" s="36"/>
      <c r="CUN216" s="36"/>
      <c r="CUO216" s="36"/>
      <c r="CUP216" s="36"/>
      <c r="CUQ216" s="36"/>
      <c r="CUR216" s="36"/>
      <c r="CUS216" s="36"/>
      <c r="CUT216" s="36"/>
      <c r="CUU216" s="36"/>
      <c r="CUV216" s="36"/>
      <c r="CUW216" s="36"/>
      <c r="CUX216" s="36"/>
      <c r="CUY216" s="36"/>
      <c r="CUZ216" s="36"/>
      <c r="CVA216" s="36"/>
      <c r="CVB216" s="36"/>
      <c r="CVC216" s="36"/>
      <c r="CVD216" s="36"/>
      <c r="CVE216" s="36"/>
      <c r="CVF216" s="36"/>
      <c r="CVG216" s="36"/>
      <c r="CVH216" s="36"/>
      <c r="CVI216" s="36"/>
      <c r="CVJ216" s="36"/>
      <c r="CVK216" s="36"/>
      <c r="CVL216" s="36"/>
      <c r="CVM216" s="36"/>
      <c r="CVN216" s="36"/>
      <c r="CVO216" s="36"/>
      <c r="CVP216" s="36"/>
      <c r="CVQ216" s="36"/>
      <c r="CVR216" s="36"/>
      <c r="CVS216" s="36"/>
      <c r="CVT216" s="36"/>
      <c r="CVU216" s="36"/>
      <c r="CVV216" s="36"/>
      <c r="CVW216" s="36"/>
      <c r="CVX216" s="36"/>
      <c r="CVY216" s="36"/>
      <c r="CVZ216" s="36"/>
      <c r="CWA216" s="36"/>
      <c r="CWB216" s="36"/>
      <c r="CWC216" s="36"/>
      <c r="CWD216" s="36"/>
      <c r="CWE216" s="36"/>
      <c r="CWF216" s="36"/>
      <c r="CWG216" s="36"/>
      <c r="CWH216" s="36"/>
      <c r="CWI216" s="36"/>
      <c r="CWJ216" s="36"/>
      <c r="CWK216" s="36"/>
      <c r="CWL216" s="36"/>
      <c r="CWM216" s="36"/>
      <c r="CWN216" s="36"/>
      <c r="CWO216" s="36"/>
      <c r="CWP216" s="36"/>
      <c r="CWQ216" s="36"/>
      <c r="CWR216" s="36"/>
      <c r="CWS216" s="36"/>
      <c r="CWT216" s="36"/>
      <c r="CWU216" s="36"/>
      <c r="CWV216" s="36"/>
      <c r="CWW216" s="36"/>
      <c r="CWX216" s="36"/>
      <c r="CWY216" s="36"/>
      <c r="CWZ216" s="36"/>
      <c r="CXA216" s="36"/>
      <c r="CXB216" s="36"/>
      <c r="CXC216" s="36"/>
      <c r="CXD216" s="36"/>
      <c r="CXE216" s="36"/>
      <c r="CXF216" s="36"/>
      <c r="CXG216" s="36"/>
      <c r="CXH216" s="36"/>
      <c r="CXI216" s="36"/>
      <c r="CXJ216" s="36"/>
      <c r="CXK216" s="36"/>
      <c r="CXL216" s="36"/>
      <c r="CXM216" s="36"/>
      <c r="CXN216" s="36"/>
      <c r="CXO216" s="36"/>
      <c r="CXP216" s="36"/>
      <c r="CXQ216" s="36"/>
      <c r="CXR216" s="36"/>
      <c r="CXS216" s="36"/>
      <c r="CXT216" s="36"/>
      <c r="CXU216" s="36"/>
      <c r="CXV216" s="36"/>
      <c r="CXW216" s="36"/>
      <c r="CXX216" s="36"/>
      <c r="CXY216" s="36"/>
      <c r="CXZ216" s="36"/>
      <c r="CYA216" s="36"/>
      <c r="CYB216" s="36"/>
      <c r="CYC216" s="36"/>
      <c r="CYD216" s="36"/>
      <c r="CYE216" s="36"/>
      <c r="CYF216" s="36"/>
      <c r="CYG216" s="36"/>
      <c r="CYH216" s="36"/>
      <c r="CYI216" s="36"/>
      <c r="CYJ216" s="36"/>
      <c r="CYK216" s="36"/>
      <c r="CYL216" s="36"/>
      <c r="CYM216" s="36"/>
      <c r="CYN216" s="36"/>
      <c r="CYO216" s="36"/>
      <c r="CYP216" s="36"/>
      <c r="CYQ216" s="36"/>
      <c r="CYR216" s="36"/>
      <c r="CYS216" s="36"/>
      <c r="CYT216" s="36"/>
      <c r="CYU216" s="36"/>
      <c r="CYV216" s="36"/>
      <c r="CYW216" s="36"/>
      <c r="CYX216" s="36"/>
      <c r="CYY216" s="36"/>
      <c r="CYZ216" s="36"/>
      <c r="CZA216" s="36"/>
      <c r="CZB216" s="36"/>
      <c r="CZC216" s="36"/>
      <c r="CZD216" s="36"/>
      <c r="CZE216" s="36"/>
      <c r="CZF216" s="36"/>
      <c r="CZG216" s="36"/>
      <c r="CZH216" s="36"/>
      <c r="CZI216" s="36"/>
      <c r="CZJ216" s="36"/>
      <c r="CZK216" s="36"/>
      <c r="CZL216" s="36"/>
      <c r="CZM216" s="36"/>
      <c r="CZN216" s="36"/>
      <c r="CZO216" s="36"/>
      <c r="CZP216" s="36"/>
      <c r="CZQ216" s="36"/>
      <c r="CZR216" s="36"/>
      <c r="CZS216" s="36"/>
      <c r="CZT216" s="36"/>
      <c r="CZU216" s="36"/>
      <c r="CZV216" s="36"/>
      <c r="CZW216" s="36"/>
      <c r="CZX216" s="36"/>
      <c r="CZY216" s="36"/>
      <c r="CZZ216" s="36"/>
      <c r="DAA216" s="36"/>
      <c r="DAB216" s="36"/>
      <c r="DAC216" s="36"/>
      <c r="DAD216" s="36"/>
      <c r="DAE216" s="36"/>
      <c r="DAF216" s="36"/>
      <c r="DAG216" s="36"/>
      <c r="DAH216" s="36"/>
      <c r="DAI216" s="36"/>
      <c r="DAJ216" s="36"/>
      <c r="DAK216" s="36"/>
      <c r="DAL216" s="36"/>
      <c r="DAM216" s="36"/>
      <c r="DAN216" s="36"/>
      <c r="DAO216" s="36"/>
      <c r="DAP216" s="36"/>
      <c r="DAQ216" s="36"/>
      <c r="DAR216" s="36"/>
      <c r="DAS216" s="36"/>
      <c r="DAT216" s="36"/>
      <c r="DAU216" s="36"/>
      <c r="DAV216" s="36"/>
      <c r="DAW216" s="36"/>
      <c r="DAX216" s="36"/>
      <c r="DAY216" s="36"/>
      <c r="DAZ216" s="36"/>
      <c r="DBA216" s="36"/>
      <c r="DBB216" s="36"/>
      <c r="DBC216" s="36"/>
      <c r="DBD216" s="36"/>
      <c r="DBE216" s="36"/>
      <c r="DBF216" s="36"/>
      <c r="DBG216" s="36"/>
      <c r="DBH216" s="36"/>
      <c r="DBI216" s="36"/>
      <c r="DBJ216" s="36"/>
      <c r="DBK216" s="36"/>
      <c r="DBL216" s="36"/>
      <c r="DBM216" s="36"/>
      <c r="DBN216" s="36"/>
      <c r="DBO216" s="36"/>
      <c r="DBP216" s="36"/>
      <c r="DBQ216" s="36"/>
      <c r="DBR216" s="36"/>
      <c r="DBS216" s="36"/>
      <c r="DBT216" s="36"/>
      <c r="DBU216" s="36"/>
      <c r="DBV216" s="36"/>
      <c r="DBW216" s="36"/>
      <c r="DBX216" s="36"/>
      <c r="DBY216" s="36"/>
      <c r="DBZ216" s="36"/>
      <c r="DCA216" s="36"/>
      <c r="DCB216" s="36"/>
      <c r="DCC216" s="36"/>
      <c r="DCD216" s="36"/>
      <c r="DCE216" s="36"/>
      <c r="DCF216" s="36"/>
      <c r="DCG216" s="36"/>
      <c r="DCH216" s="36"/>
      <c r="DCI216" s="36"/>
      <c r="DCJ216" s="36"/>
      <c r="DCK216" s="36"/>
      <c r="DCL216" s="36"/>
      <c r="DCM216" s="36"/>
      <c r="DCN216" s="36"/>
      <c r="DCO216" s="36"/>
      <c r="DCP216" s="36"/>
      <c r="DCQ216" s="36"/>
      <c r="DCR216" s="36"/>
      <c r="DCS216" s="36"/>
      <c r="DCT216" s="36"/>
      <c r="DCU216" s="36"/>
      <c r="DCV216" s="36"/>
      <c r="DCW216" s="36"/>
      <c r="DCX216" s="36"/>
      <c r="DCY216" s="36"/>
      <c r="DCZ216" s="36"/>
      <c r="DDA216" s="36"/>
      <c r="DDB216" s="36"/>
      <c r="DDC216" s="36"/>
      <c r="DDD216" s="36"/>
      <c r="DDE216" s="36"/>
      <c r="DDF216" s="36"/>
      <c r="DDG216" s="36"/>
      <c r="DDH216" s="36"/>
      <c r="DDI216" s="36"/>
      <c r="DDJ216" s="36"/>
      <c r="DDK216" s="36"/>
      <c r="DDL216" s="36"/>
      <c r="DDM216" s="36"/>
      <c r="DDN216" s="36"/>
      <c r="DDO216" s="36"/>
      <c r="DDP216" s="36"/>
      <c r="DDQ216" s="36"/>
      <c r="DDR216" s="36"/>
      <c r="DDS216" s="36"/>
      <c r="DDT216" s="36"/>
      <c r="DDU216" s="36"/>
      <c r="DDV216" s="36"/>
      <c r="DDW216" s="36"/>
      <c r="DDX216" s="36"/>
      <c r="DDY216" s="36"/>
      <c r="DDZ216" s="36"/>
      <c r="DEA216" s="36"/>
      <c r="DEB216" s="36"/>
      <c r="DEC216" s="36"/>
      <c r="DED216" s="36"/>
      <c r="DEE216" s="36"/>
      <c r="DEF216" s="36"/>
      <c r="DEG216" s="36"/>
      <c r="DEH216" s="36"/>
      <c r="DEI216" s="36"/>
      <c r="DEJ216" s="36"/>
      <c r="DEK216" s="36"/>
      <c r="DEL216" s="36"/>
      <c r="DEM216" s="36"/>
      <c r="DEN216" s="36"/>
      <c r="DEO216" s="36"/>
      <c r="DEP216" s="36"/>
      <c r="DEQ216" s="36"/>
      <c r="DER216" s="36"/>
      <c r="DES216" s="36"/>
      <c r="DET216" s="36"/>
      <c r="DEU216" s="36"/>
      <c r="DEV216" s="36"/>
      <c r="DEW216" s="36"/>
      <c r="DEX216" s="36"/>
      <c r="DEY216" s="36"/>
      <c r="DEZ216" s="36"/>
      <c r="DFA216" s="36"/>
      <c r="DFB216" s="36"/>
      <c r="DFC216" s="36"/>
      <c r="DFD216" s="36"/>
      <c r="DFE216" s="36"/>
      <c r="DFF216" s="36"/>
      <c r="DFG216" s="36"/>
      <c r="DFH216" s="36"/>
      <c r="DFI216" s="36"/>
      <c r="DFJ216" s="36"/>
      <c r="DFK216" s="36"/>
      <c r="DFL216" s="36"/>
      <c r="DFM216" s="36"/>
      <c r="DFN216" s="36"/>
      <c r="DFO216" s="36"/>
      <c r="DFP216" s="36"/>
      <c r="DFQ216" s="36"/>
      <c r="DFR216" s="36"/>
      <c r="DFS216" s="36"/>
      <c r="DFT216" s="36"/>
      <c r="DFU216" s="36"/>
      <c r="DFV216" s="36"/>
      <c r="DFW216" s="36"/>
      <c r="DFX216" s="36"/>
      <c r="DFY216" s="36"/>
      <c r="DFZ216" s="36"/>
      <c r="DGA216" s="36"/>
      <c r="DGB216" s="36"/>
      <c r="DGC216" s="36"/>
      <c r="DGD216" s="36"/>
      <c r="DGE216" s="36"/>
      <c r="DGF216" s="36"/>
      <c r="DGG216" s="36"/>
      <c r="DGH216" s="36"/>
      <c r="DGI216" s="36"/>
      <c r="DGJ216" s="36"/>
      <c r="DGK216" s="36"/>
      <c r="DGL216" s="36"/>
      <c r="DGM216" s="36"/>
      <c r="DGN216" s="36"/>
      <c r="DGO216" s="36"/>
      <c r="DGP216" s="36"/>
      <c r="DGQ216" s="36"/>
      <c r="DGR216" s="36"/>
      <c r="DGS216" s="36"/>
      <c r="DGT216" s="36"/>
      <c r="DGU216" s="36"/>
      <c r="DGV216" s="36"/>
      <c r="DGW216" s="36"/>
      <c r="DGX216" s="36"/>
      <c r="DGY216" s="36"/>
      <c r="DGZ216" s="36"/>
      <c r="DHA216" s="36"/>
      <c r="DHB216" s="36"/>
      <c r="DHC216" s="36"/>
      <c r="DHD216" s="36"/>
      <c r="DHE216" s="36"/>
      <c r="DHF216" s="36"/>
      <c r="DHG216" s="36"/>
      <c r="DHH216" s="36"/>
      <c r="DHI216" s="36"/>
      <c r="DHJ216" s="36"/>
      <c r="DHK216" s="36"/>
      <c r="DHL216" s="36"/>
      <c r="DHM216" s="36"/>
      <c r="DHN216" s="36"/>
      <c r="DHO216" s="36"/>
      <c r="DHP216" s="36"/>
      <c r="DHQ216" s="36"/>
      <c r="DHR216" s="36"/>
      <c r="DHS216" s="36"/>
      <c r="DHT216" s="36"/>
      <c r="DHU216" s="36"/>
      <c r="DHV216" s="36"/>
      <c r="DHW216" s="36"/>
      <c r="DHX216" s="36"/>
      <c r="DHY216" s="36"/>
      <c r="DHZ216" s="36"/>
      <c r="DIA216" s="36"/>
      <c r="DIB216" s="36"/>
      <c r="DIC216" s="36"/>
      <c r="DID216" s="36"/>
      <c r="DIE216" s="36"/>
      <c r="DIF216" s="36"/>
      <c r="DIG216" s="36"/>
      <c r="DIH216" s="36"/>
      <c r="DII216" s="36"/>
      <c r="DIJ216" s="36"/>
      <c r="DIK216" s="36"/>
      <c r="DIL216" s="36"/>
      <c r="DIM216" s="36"/>
      <c r="DIN216" s="36"/>
      <c r="DIO216" s="36"/>
      <c r="DIP216" s="36"/>
      <c r="DIQ216" s="36"/>
      <c r="DIR216" s="36"/>
      <c r="DIS216" s="36"/>
      <c r="DIT216" s="36"/>
      <c r="DIU216" s="36"/>
      <c r="DIV216" s="36"/>
      <c r="DIW216" s="36"/>
      <c r="DIX216" s="36"/>
      <c r="DIY216" s="36"/>
      <c r="DIZ216" s="36"/>
      <c r="DJA216" s="36"/>
      <c r="DJB216" s="36"/>
      <c r="DJC216" s="36"/>
      <c r="DJD216" s="36"/>
      <c r="DJE216" s="36"/>
      <c r="DJF216" s="36"/>
      <c r="DJG216" s="36"/>
      <c r="DJH216" s="36"/>
      <c r="DJI216" s="36"/>
      <c r="DJJ216" s="36"/>
      <c r="DJK216" s="36"/>
      <c r="DJL216" s="36"/>
      <c r="DJM216" s="36"/>
      <c r="DJN216" s="36"/>
      <c r="DJO216" s="36"/>
      <c r="DJP216" s="36"/>
      <c r="DJQ216" s="36"/>
      <c r="DJR216" s="36"/>
      <c r="DJS216" s="36"/>
      <c r="DJT216" s="36"/>
      <c r="DJU216" s="36"/>
      <c r="DJV216" s="36"/>
      <c r="DJW216" s="36"/>
      <c r="DJX216" s="36"/>
      <c r="DJY216" s="36"/>
      <c r="DJZ216" s="36"/>
      <c r="DKA216" s="36"/>
      <c r="DKB216" s="36"/>
      <c r="DKC216" s="36"/>
      <c r="DKD216" s="36"/>
      <c r="DKE216" s="36"/>
      <c r="DKF216" s="36"/>
      <c r="DKG216" s="36"/>
      <c r="DKH216" s="36"/>
      <c r="DKI216" s="36"/>
      <c r="DKJ216" s="36"/>
      <c r="DKK216" s="36"/>
      <c r="DKL216" s="36"/>
      <c r="DKM216" s="36"/>
      <c r="DKN216" s="36"/>
      <c r="DKO216" s="36"/>
      <c r="DKP216" s="36"/>
      <c r="DKQ216" s="36"/>
      <c r="DKR216" s="36"/>
      <c r="DKS216" s="36"/>
      <c r="DKT216" s="36"/>
      <c r="DKU216" s="36"/>
      <c r="DKV216" s="36"/>
      <c r="DKW216" s="36"/>
      <c r="DKX216" s="36"/>
      <c r="DKY216" s="36"/>
      <c r="DKZ216" s="36"/>
      <c r="DLA216" s="36"/>
      <c r="DLB216" s="36"/>
      <c r="DLC216" s="36"/>
      <c r="DLD216" s="36"/>
      <c r="DLE216" s="36"/>
      <c r="DLF216" s="36"/>
      <c r="DLG216" s="36"/>
      <c r="DLH216" s="36"/>
      <c r="DLI216" s="36"/>
      <c r="DLJ216" s="36"/>
      <c r="DLK216" s="36"/>
      <c r="DLL216" s="36"/>
      <c r="DLM216" s="36"/>
      <c r="DLN216" s="36"/>
      <c r="DLO216" s="36"/>
      <c r="DLP216" s="36"/>
      <c r="DLQ216" s="36"/>
      <c r="DLR216" s="36"/>
      <c r="DLS216" s="36"/>
      <c r="DLT216" s="36"/>
      <c r="DLU216" s="36"/>
      <c r="DLV216" s="36"/>
      <c r="DLW216" s="36"/>
      <c r="DLX216" s="36"/>
      <c r="DLY216" s="36"/>
      <c r="DLZ216" s="36"/>
      <c r="DMA216" s="36"/>
      <c r="DMB216" s="36"/>
      <c r="DMC216" s="36"/>
      <c r="DMD216" s="36"/>
      <c r="DME216" s="36"/>
      <c r="DMF216" s="36"/>
      <c r="DMG216" s="36"/>
      <c r="DMH216" s="36"/>
      <c r="DMI216" s="36"/>
      <c r="DMJ216" s="36"/>
      <c r="DMK216" s="36"/>
      <c r="DML216" s="36"/>
      <c r="DMM216" s="36"/>
      <c r="DMN216" s="36"/>
      <c r="DMO216" s="36"/>
      <c r="DMP216" s="36"/>
      <c r="DMQ216" s="36"/>
      <c r="DMR216" s="36"/>
      <c r="DMS216" s="36"/>
      <c r="DMT216" s="36"/>
      <c r="DMU216" s="36"/>
      <c r="DMV216" s="36"/>
      <c r="DMW216" s="36"/>
      <c r="DMX216" s="36"/>
      <c r="DMY216" s="36"/>
      <c r="DMZ216" s="36"/>
      <c r="DNA216" s="36"/>
      <c r="DNB216" s="36"/>
      <c r="DNC216" s="36"/>
      <c r="DND216" s="36"/>
      <c r="DNE216" s="36"/>
      <c r="DNF216" s="36"/>
      <c r="DNG216" s="36"/>
      <c r="DNH216" s="36"/>
      <c r="DNI216" s="36"/>
      <c r="DNJ216" s="36"/>
      <c r="DNK216" s="36"/>
      <c r="DNL216" s="36"/>
      <c r="DNM216" s="36"/>
      <c r="DNN216" s="36"/>
      <c r="DNO216" s="36"/>
      <c r="DNP216" s="36"/>
      <c r="DNQ216" s="36"/>
      <c r="DNR216" s="36"/>
      <c r="DNS216" s="36"/>
      <c r="DNT216" s="36"/>
      <c r="DNU216" s="36"/>
      <c r="DNV216" s="36"/>
      <c r="DNW216" s="36"/>
      <c r="DNX216" s="36"/>
      <c r="DNY216" s="36"/>
      <c r="DNZ216" s="36"/>
      <c r="DOA216" s="36"/>
      <c r="DOB216" s="36"/>
      <c r="DOC216" s="36"/>
      <c r="DOD216" s="36"/>
      <c r="DOE216" s="36"/>
      <c r="DOF216" s="36"/>
      <c r="DOG216" s="36"/>
      <c r="DOH216" s="36"/>
      <c r="DOI216" s="36"/>
      <c r="DOJ216" s="36"/>
      <c r="DOK216" s="36"/>
      <c r="DOL216" s="36"/>
      <c r="DOM216" s="36"/>
      <c r="DON216" s="36"/>
      <c r="DOO216" s="36"/>
      <c r="DOP216" s="36"/>
      <c r="DOQ216" s="36"/>
      <c r="DOR216" s="36"/>
      <c r="DOS216" s="36"/>
      <c r="DOT216" s="36"/>
      <c r="DOU216" s="36"/>
      <c r="DOV216" s="36"/>
      <c r="DOW216" s="36"/>
      <c r="DOX216" s="36"/>
      <c r="DOY216" s="36"/>
      <c r="DOZ216" s="36"/>
      <c r="DPA216" s="36"/>
      <c r="DPB216" s="36"/>
      <c r="DPC216" s="36"/>
      <c r="DPD216" s="36"/>
      <c r="DPE216" s="36"/>
      <c r="DPF216" s="36"/>
      <c r="DPG216" s="36"/>
      <c r="DPH216" s="36"/>
      <c r="DPI216" s="36"/>
      <c r="DPJ216" s="36"/>
      <c r="DPK216" s="36"/>
      <c r="DPL216" s="36"/>
      <c r="DPM216" s="36"/>
      <c r="DPN216" s="36"/>
      <c r="DPO216" s="36"/>
      <c r="DPP216" s="36"/>
      <c r="DPQ216" s="36"/>
      <c r="DPR216" s="36"/>
      <c r="DPS216" s="36"/>
      <c r="DPT216" s="36"/>
      <c r="DPU216" s="36"/>
      <c r="DPV216" s="36"/>
      <c r="DPW216" s="36"/>
      <c r="DPX216" s="36"/>
      <c r="DPY216" s="36"/>
      <c r="DPZ216" s="36"/>
      <c r="DQA216" s="36"/>
      <c r="DQB216" s="36"/>
      <c r="DQC216" s="36"/>
      <c r="DQD216" s="36"/>
      <c r="DQE216" s="36"/>
      <c r="DQF216" s="36"/>
      <c r="DQG216" s="36"/>
      <c r="DQH216" s="36"/>
      <c r="DQI216" s="36"/>
      <c r="DQJ216" s="36"/>
      <c r="DQK216" s="36"/>
      <c r="DQL216" s="36"/>
      <c r="DQM216" s="36"/>
      <c r="DQN216" s="36"/>
      <c r="DQO216" s="36"/>
      <c r="DQP216" s="36"/>
      <c r="DQQ216" s="36"/>
      <c r="DQR216" s="36"/>
      <c r="DQS216" s="36"/>
      <c r="DQT216" s="36"/>
      <c r="DQU216" s="36"/>
      <c r="DQV216" s="36"/>
      <c r="DQW216" s="36"/>
      <c r="DQX216" s="36"/>
      <c r="DQY216" s="36"/>
      <c r="DQZ216" s="36"/>
      <c r="DRA216" s="36"/>
      <c r="DRB216" s="36"/>
      <c r="DRC216" s="36"/>
      <c r="DRD216" s="36"/>
      <c r="DRE216" s="36"/>
      <c r="DRF216" s="36"/>
      <c r="DRG216" s="36"/>
      <c r="DRH216" s="36"/>
      <c r="DRI216" s="36"/>
      <c r="DRJ216" s="36"/>
      <c r="DRK216" s="36"/>
      <c r="DRL216" s="36"/>
      <c r="DRM216" s="36"/>
      <c r="DRN216" s="36"/>
      <c r="DRO216" s="36"/>
      <c r="DRP216" s="36"/>
      <c r="DRQ216" s="36"/>
      <c r="DRR216" s="36"/>
      <c r="DRS216" s="36"/>
      <c r="DRT216" s="36"/>
      <c r="DRU216" s="36"/>
      <c r="DRV216" s="36"/>
      <c r="DRW216" s="36"/>
      <c r="DRX216" s="36"/>
      <c r="DRY216" s="36"/>
      <c r="DRZ216" s="36"/>
      <c r="DSA216" s="36"/>
      <c r="DSB216" s="36"/>
      <c r="DSC216" s="36"/>
      <c r="DSD216" s="36"/>
      <c r="DSE216" s="36"/>
      <c r="DSF216" s="36"/>
      <c r="DSG216" s="36"/>
      <c r="DSH216" s="36"/>
      <c r="DSI216" s="36"/>
      <c r="DSJ216" s="36"/>
      <c r="DSK216" s="36"/>
      <c r="DSL216" s="36"/>
      <c r="DSM216" s="36"/>
      <c r="DSN216" s="36"/>
      <c r="DSO216" s="36"/>
      <c r="DSP216" s="36"/>
      <c r="DSQ216" s="36"/>
      <c r="DSR216" s="36"/>
      <c r="DSS216" s="36"/>
      <c r="DST216" s="36"/>
      <c r="DSU216" s="36"/>
      <c r="DSV216" s="36"/>
      <c r="DSW216" s="36"/>
      <c r="DSX216" s="36"/>
      <c r="DSY216" s="36"/>
      <c r="DSZ216" s="36"/>
      <c r="DTA216" s="36"/>
      <c r="DTB216" s="36"/>
      <c r="DTC216" s="36"/>
      <c r="DTD216" s="36"/>
      <c r="DTE216" s="36"/>
      <c r="DTF216" s="36"/>
      <c r="DTG216" s="36"/>
      <c r="DTH216" s="36"/>
      <c r="DTI216" s="36"/>
      <c r="DTJ216" s="36"/>
      <c r="DTK216" s="36"/>
      <c r="DTL216" s="36"/>
      <c r="DTM216" s="36"/>
      <c r="DTN216" s="36"/>
      <c r="DTO216" s="36"/>
      <c r="DTP216" s="36"/>
      <c r="DTQ216" s="36"/>
      <c r="DTR216" s="36"/>
      <c r="DTS216" s="36"/>
      <c r="DTT216" s="36"/>
      <c r="DTU216" s="36"/>
      <c r="DTV216" s="36"/>
      <c r="DTW216" s="36"/>
      <c r="DTX216" s="36"/>
      <c r="DTY216" s="36"/>
      <c r="DTZ216" s="36"/>
      <c r="DUA216" s="36"/>
      <c r="DUB216" s="36"/>
      <c r="DUC216" s="36"/>
      <c r="DUD216" s="36"/>
      <c r="DUE216" s="36"/>
      <c r="DUF216" s="36"/>
      <c r="DUG216" s="36"/>
      <c r="DUH216" s="36"/>
      <c r="DUI216" s="36"/>
      <c r="DUJ216" s="36"/>
      <c r="DUK216" s="36"/>
      <c r="DUL216" s="36"/>
      <c r="DUM216" s="36"/>
      <c r="DUN216" s="36"/>
      <c r="DUO216" s="36"/>
      <c r="DUP216" s="36"/>
      <c r="DUQ216" s="36"/>
      <c r="DUR216" s="36"/>
      <c r="DUS216" s="36"/>
      <c r="DUT216" s="36"/>
      <c r="DUU216" s="36"/>
      <c r="DUV216" s="36"/>
      <c r="DUW216" s="36"/>
      <c r="DUX216" s="36"/>
      <c r="DUY216" s="36"/>
      <c r="DUZ216" s="36"/>
      <c r="DVA216" s="36"/>
      <c r="DVB216" s="36"/>
      <c r="DVC216" s="36"/>
      <c r="DVD216" s="36"/>
      <c r="DVE216" s="36"/>
      <c r="DVF216" s="36"/>
      <c r="DVG216" s="36"/>
      <c r="DVH216" s="36"/>
      <c r="DVI216" s="36"/>
      <c r="DVJ216" s="36"/>
      <c r="DVK216" s="36"/>
      <c r="DVL216" s="36"/>
      <c r="DVM216" s="36"/>
      <c r="DVN216" s="36"/>
      <c r="DVO216" s="36"/>
      <c r="DVP216" s="36"/>
      <c r="DVQ216" s="36"/>
      <c r="DVR216" s="36"/>
      <c r="DVS216" s="36"/>
      <c r="DVT216" s="36"/>
      <c r="DVU216" s="36"/>
      <c r="DVV216" s="36"/>
      <c r="DVW216" s="36"/>
      <c r="DVX216" s="36"/>
      <c r="DVY216" s="36"/>
      <c r="DVZ216" s="36"/>
      <c r="DWA216" s="36"/>
      <c r="DWB216" s="36"/>
      <c r="DWC216" s="36"/>
      <c r="DWD216" s="36"/>
      <c r="DWE216" s="36"/>
      <c r="DWF216" s="36"/>
      <c r="DWG216" s="36"/>
      <c r="DWH216" s="36"/>
      <c r="DWI216" s="36"/>
      <c r="DWJ216" s="36"/>
      <c r="DWK216" s="36"/>
      <c r="DWL216" s="36"/>
      <c r="DWM216" s="36"/>
      <c r="DWN216" s="36"/>
      <c r="DWO216" s="36"/>
      <c r="DWP216" s="36"/>
      <c r="DWQ216" s="36"/>
      <c r="DWR216" s="36"/>
      <c r="DWS216" s="36"/>
      <c r="DWT216" s="36"/>
      <c r="DWU216" s="36"/>
      <c r="DWV216" s="36"/>
      <c r="DWW216" s="36"/>
      <c r="DWX216" s="36"/>
      <c r="DWY216" s="36"/>
      <c r="DWZ216" s="36"/>
      <c r="DXA216" s="36"/>
      <c r="DXB216" s="36"/>
      <c r="DXC216" s="36"/>
      <c r="DXD216" s="36"/>
      <c r="DXE216" s="36"/>
      <c r="DXF216" s="36"/>
      <c r="DXG216" s="36"/>
      <c r="DXH216" s="36"/>
      <c r="DXI216" s="36"/>
      <c r="DXJ216" s="36"/>
      <c r="DXK216" s="36"/>
      <c r="DXL216" s="36"/>
      <c r="DXM216" s="36"/>
      <c r="DXN216" s="36"/>
      <c r="DXO216" s="36"/>
      <c r="DXP216" s="36"/>
      <c r="DXQ216" s="36"/>
      <c r="DXR216" s="36"/>
      <c r="DXS216" s="36"/>
      <c r="DXT216" s="36"/>
      <c r="DXU216" s="36"/>
      <c r="DXV216" s="36"/>
      <c r="DXW216" s="36"/>
      <c r="DXX216" s="36"/>
      <c r="DXY216" s="36"/>
      <c r="DXZ216" s="36"/>
      <c r="DYA216" s="36"/>
      <c r="DYB216" s="36"/>
      <c r="DYC216" s="36"/>
      <c r="DYD216" s="36"/>
      <c r="DYE216" s="36"/>
      <c r="DYF216" s="36"/>
      <c r="DYG216" s="36"/>
      <c r="DYH216" s="36"/>
      <c r="DYI216" s="36"/>
      <c r="DYJ216" s="36"/>
      <c r="DYK216" s="36"/>
      <c r="DYL216" s="36"/>
      <c r="DYM216" s="36"/>
      <c r="DYN216" s="36"/>
      <c r="DYO216" s="36"/>
      <c r="DYP216" s="36"/>
      <c r="DYQ216" s="36"/>
      <c r="DYR216" s="36"/>
      <c r="DYS216" s="36"/>
      <c r="DYT216" s="36"/>
      <c r="DYU216" s="36"/>
      <c r="DYV216" s="36"/>
      <c r="DYW216" s="36"/>
      <c r="DYX216" s="36"/>
      <c r="DYY216" s="36"/>
      <c r="DYZ216" s="36"/>
      <c r="DZA216" s="36"/>
      <c r="DZB216" s="36"/>
      <c r="DZC216" s="36"/>
      <c r="DZD216" s="36"/>
      <c r="DZE216" s="36"/>
      <c r="DZF216" s="36"/>
      <c r="DZG216" s="36"/>
      <c r="DZH216" s="36"/>
      <c r="DZI216" s="36"/>
      <c r="DZJ216" s="36"/>
      <c r="DZK216" s="36"/>
      <c r="DZL216" s="36"/>
      <c r="DZM216" s="36"/>
      <c r="DZN216" s="36"/>
      <c r="DZO216" s="36"/>
      <c r="DZP216" s="36"/>
      <c r="DZQ216" s="36"/>
      <c r="DZR216" s="36"/>
      <c r="DZS216" s="36"/>
      <c r="DZT216" s="36"/>
      <c r="DZU216" s="36"/>
      <c r="DZV216" s="36"/>
      <c r="DZW216" s="36"/>
      <c r="DZX216" s="36"/>
      <c r="DZY216" s="36"/>
      <c r="DZZ216" s="36"/>
      <c r="EAA216" s="36"/>
      <c r="EAB216" s="36"/>
      <c r="EAC216" s="36"/>
      <c r="EAD216" s="36"/>
      <c r="EAE216" s="36"/>
      <c r="EAF216" s="36"/>
      <c r="EAG216" s="36"/>
      <c r="EAH216" s="36"/>
      <c r="EAI216" s="36"/>
      <c r="EAJ216" s="36"/>
      <c r="EAK216" s="36"/>
      <c r="EAL216" s="36"/>
      <c r="EAM216" s="36"/>
      <c r="EAN216" s="36"/>
      <c r="EAO216" s="36"/>
      <c r="EAP216" s="36"/>
      <c r="EAQ216" s="36"/>
      <c r="EAR216" s="36"/>
      <c r="EAS216" s="36"/>
      <c r="EAT216" s="36"/>
      <c r="EAU216" s="36"/>
      <c r="EAV216" s="36"/>
      <c r="EAW216" s="36"/>
      <c r="EAX216" s="36"/>
      <c r="EAY216" s="36"/>
      <c r="EAZ216" s="36"/>
      <c r="EBA216" s="36"/>
      <c r="EBB216" s="36"/>
      <c r="EBC216" s="36"/>
      <c r="EBD216" s="36"/>
      <c r="EBE216" s="36"/>
      <c r="EBF216" s="36"/>
      <c r="EBG216" s="36"/>
      <c r="EBH216" s="36"/>
      <c r="EBI216" s="36"/>
      <c r="EBJ216" s="36"/>
      <c r="EBK216" s="36"/>
      <c r="EBL216" s="36"/>
      <c r="EBM216" s="36"/>
      <c r="EBN216" s="36"/>
      <c r="EBO216" s="36"/>
      <c r="EBP216" s="36"/>
      <c r="EBQ216" s="36"/>
      <c r="EBR216" s="36"/>
      <c r="EBS216" s="36"/>
      <c r="EBT216" s="36"/>
      <c r="EBU216" s="36"/>
      <c r="EBV216" s="36"/>
      <c r="EBW216" s="36"/>
      <c r="EBX216" s="36"/>
      <c r="EBY216" s="36"/>
      <c r="EBZ216" s="36"/>
      <c r="ECA216" s="36"/>
      <c r="ECB216" s="36"/>
      <c r="ECC216" s="36"/>
      <c r="ECD216" s="36"/>
      <c r="ECE216" s="36"/>
      <c r="ECF216" s="36"/>
      <c r="ECG216" s="36"/>
      <c r="ECH216" s="36"/>
      <c r="ECI216" s="36"/>
      <c r="ECJ216" s="36"/>
      <c r="ECK216" s="36"/>
      <c r="ECL216" s="36"/>
      <c r="ECM216" s="36"/>
      <c r="ECN216" s="36"/>
      <c r="ECO216" s="36"/>
      <c r="ECP216" s="36"/>
      <c r="ECQ216" s="36"/>
      <c r="ECR216" s="36"/>
      <c r="ECS216" s="36"/>
      <c r="ECT216" s="36"/>
      <c r="ECU216" s="36"/>
      <c r="ECV216" s="36"/>
      <c r="ECW216" s="36"/>
      <c r="ECX216" s="36"/>
      <c r="ECY216" s="36"/>
      <c r="ECZ216" s="36"/>
      <c r="EDA216" s="36"/>
      <c r="EDB216" s="36"/>
      <c r="EDC216" s="36"/>
      <c r="EDD216" s="36"/>
      <c r="EDE216" s="36"/>
      <c r="EDF216" s="36"/>
      <c r="EDG216" s="36"/>
      <c r="EDH216" s="36"/>
      <c r="EDI216" s="36"/>
      <c r="EDJ216" s="36"/>
      <c r="EDK216" s="36"/>
      <c r="EDL216" s="36"/>
      <c r="EDM216" s="36"/>
      <c r="EDN216" s="36"/>
      <c r="EDO216" s="36"/>
      <c r="EDP216" s="36"/>
      <c r="EDQ216" s="36"/>
      <c r="EDR216" s="36"/>
      <c r="EDS216" s="36"/>
      <c r="EDT216" s="36"/>
      <c r="EDU216" s="36"/>
      <c r="EDV216" s="36"/>
      <c r="EDW216" s="36"/>
      <c r="EDX216" s="36"/>
      <c r="EDY216" s="36"/>
      <c r="EDZ216" s="36"/>
      <c r="EEA216" s="36"/>
      <c r="EEB216" s="36"/>
      <c r="EEC216" s="36"/>
      <c r="EED216" s="36"/>
      <c r="EEE216" s="36"/>
      <c r="EEF216" s="36"/>
      <c r="EEG216" s="36"/>
      <c r="EEH216" s="36"/>
      <c r="EEI216" s="36"/>
      <c r="EEJ216" s="36"/>
      <c r="EEK216" s="36"/>
      <c r="EEL216" s="36"/>
      <c r="EEM216" s="36"/>
      <c r="EEN216" s="36"/>
      <c r="EEO216" s="36"/>
      <c r="EEP216" s="36"/>
      <c r="EEQ216" s="36"/>
      <c r="EER216" s="36"/>
      <c r="EES216" s="36"/>
      <c r="EET216" s="36"/>
      <c r="EEU216" s="36"/>
      <c r="EEV216" s="36"/>
      <c r="EEW216" s="36"/>
      <c r="EEX216" s="36"/>
      <c r="EEY216" s="36"/>
      <c r="EEZ216" s="36"/>
      <c r="EFA216" s="36"/>
      <c r="EFB216" s="36"/>
      <c r="EFC216" s="36"/>
      <c r="EFD216" s="36"/>
      <c r="EFE216" s="36"/>
      <c r="EFF216" s="36"/>
      <c r="EFG216" s="36"/>
      <c r="EFH216" s="36"/>
      <c r="EFI216" s="36"/>
      <c r="EFJ216" s="36"/>
      <c r="EFK216" s="36"/>
      <c r="EFL216" s="36"/>
      <c r="EFM216" s="36"/>
      <c r="EFN216" s="36"/>
      <c r="EFO216" s="36"/>
      <c r="EFP216" s="36"/>
      <c r="EFQ216" s="36"/>
      <c r="EFR216" s="36"/>
      <c r="EFS216" s="36"/>
      <c r="EFT216" s="36"/>
      <c r="EFU216" s="36"/>
      <c r="EFV216" s="36"/>
      <c r="EFW216" s="36"/>
      <c r="EFX216" s="36"/>
      <c r="EFY216" s="36"/>
      <c r="EFZ216" s="36"/>
      <c r="EGA216" s="36"/>
      <c r="EGB216" s="36"/>
      <c r="EGC216" s="36"/>
      <c r="EGD216" s="36"/>
      <c r="EGE216" s="36"/>
      <c r="EGF216" s="36"/>
      <c r="EGG216" s="36"/>
      <c r="EGH216" s="36"/>
      <c r="EGI216" s="36"/>
      <c r="EGJ216" s="36"/>
      <c r="EGK216" s="36"/>
      <c r="EGL216" s="36"/>
      <c r="EGM216" s="36"/>
      <c r="EGN216" s="36"/>
      <c r="EGO216" s="36"/>
      <c r="EGP216" s="36"/>
      <c r="EGQ216" s="36"/>
      <c r="EGR216" s="36"/>
      <c r="EGS216" s="36"/>
      <c r="EGT216" s="36"/>
      <c r="EGU216" s="36"/>
      <c r="EGV216" s="36"/>
      <c r="EGW216" s="36"/>
      <c r="EGX216" s="36"/>
      <c r="EGY216" s="36"/>
      <c r="EGZ216" s="36"/>
      <c r="EHA216" s="36"/>
      <c r="EHB216" s="36"/>
      <c r="EHC216" s="36"/>
      <c r="EHD216" s="36"/>
      <c r="EHE216" s="36"/>
      <c r="EHF216" s="36"/>
      <c r="EHG216" s="36"/>
      <c r="EHH216" s="36"/>
      <c r="EHI216" s="36"/>
      <c r="EHJ216" s="36"/>
      <c r="EHK216" s="36"/>
      <c r="EHL216" s="36"/>
      <c r="EHM216" s="36"/>
      <c r="EHN216" s="36"/>
      <c r="EHO216" s="36"/>
      <c r="EHP216" s="36"/>
      <c r="EHQ216" s="36"/>
      <c r="EHR216" s="36"/>
      <c r="EHS216" s="36"/>
      <c r="EHT216" s="36"/>
      <c r="EHU216" s="36"/>
      <c r="EHV216" s="36"/>
      <c r="EHW216" s="36"/>
      <c r="EHX216" s="36"/>
      <c r="EHY216" s="36"/>
      <c r="EHZ216" s="36"/>
      <c r="EIA216" s="36"/>
      <c r="EIB216" s="36"/>
      <c r="EIC216" s="36"/>
      <c r="EID216" s="36"/>
      <c r="EIE216" s="36"/>
      <c r="EIF216" s="36"/>
      <c r="EIG216" s="36"/>
      <c r="EIH216" s="36"/>
      <c r="EII216" s="36"/>
      <c r="EIJ216" s="36"/>
      <c r="EIK216" s="36"/>
      <c r="EIL216" s="36"/>
      <c r="EIM216" s="36"/>
      <c r="EIN216" s="36"/>
      <c r="EIO216" s="36"/>
      <c r="EIP216" s="36"/>
      <c r="EIQ216" s="36"/>
      <c r="EIR216" s="36"/>
      <c r="EIS216" s="36"/>
      <c r="EIT216" s="36"/>
      <c r="EIU216" s="36"/>
      <c r="EIV216" s="36"/>
      <c r="EIW216" s="36"/>
      <c r="EIX216" s="36"/>
      <c r="EIY216" s="36"/>
      <c r="EIZ216" s="36"/>
      <c r="EJA216" s="36"/>
      <c r="EJB216" s="36"/>
      <c r="EJC216" s="36"/>
      <c r="EJD216" s="36"/>
      <c r="EJE216" s="36"/>
      <c r="EJF216" s="36"/>
      <c r="EJG216" s="36"/>
      <c r="EJH216" s="36"/>
      <c r="EJI216" s="36"/>
      <c r="EJJ216" s="36"/>
      <c r="EJK216" s="36"/>
      <c r="EJL216" s="36"/>
      <c r="EJM216" s="36"/>
      <c r="EJN216" s="36"/>
      <c r="EJO216" s="36"/>
      <c r="EJP216" s="36"/>
      <c r="EJQ216" s="36"/>
      <c r="EJR216" s="36"/>
      <c r="EJS216" s="36"/>
      <c r="EJT216" s="36"/>
      <c r="EJU216" s="36"/>
      <c r="EJV216" s="36"/>
      <c r="EJW216" s="36"/>
      <c r="EJX216" s="36"/>
      <c r="EJY216" s="36"/>
      <c r="EJZ216" s="36"/>
      <c r="EKA216" s="36"/>
      <c r="EKB216" s="36"/>
      <c r="EKC216" s="36"/>
      <c r="EKD216" s="36"/>
      <c r="EKE216" s="36"/>
      <c r="EKF216" s="36"/>
      <c r="EKG216" s="36"/>
      <c r="EKH216" s="36"/>
      <c r="EKI216" s="36"/>
      <c r="EKJ216" s="36"/>
      <c r="EKK216" s="36"/>
      <c r="EKL216" s="36"/>
      <c r="EKM216" s="36"/>
      <c r="EKN216" s="36"/>
      <c r="EKO216" s="36"/>
      <c r="EKP216" s="36"/>
      <c r="EKQ216" s="36"/>
      <c r="EKR216" s="36"/>
      <c r="EKS216" s="36"/>
      <c r="EKT216" s="36"/>
      <c r="EKU216" s="36"/>
      <c r="EKV216" s="36"/>
      <c r="EKW216" s="36"/>
      <c r="EKX216" s="36"/>
      <c r="EKY216" s="36"/>
      <c r="EKZ216" s="36"/>
      <c r="ELA216" s="36"/>
      <c r="ELB216" s="36"/>
      <c r="ELC216" s="36"/>
      <c r="ELD216" s="36"/>
      <c r="ELE216" s="36"/>
      <c r="ELF216" s="36"/>
      <c r="ELG216" s="36"/>
      <c r="ELH216" s="36"/>
      <c r="ELI216" s="36"/>
      <c r="ELJ216" s="36"/>
      <c r="ELK216" s="36"/>
      <c r="ELL216" s="36"/>
      <c r="ELM216" s="36"/>
      <c r="ELN216" s="36"/>
      <c r="ELO216" s="36"/>
      <c r="ELP216" s="36"/>
      <c r="ELQ216" s="36"/>
      <c r="ELR216" s="36"/>
      <c r="ELS216" s="36"/>
      <c r="ELT216" s="36"/>
      <c r="ELU216" s="36"/>
      <c r="ELV216" s="36"/>
      <c r="ELW216" s="36"/>
      <c r="ELX216" s="36"/>
      <c r="ELY216" s="36"/>
      <c r="ELZ216" s="36"/>
      <c r="EMA216" s="36"/>
      <c r="EMB216" s="36"/>
      <c r="EMC216" s="36"/>
      <c r="EMD216" s="36"/>
      <c r="EME216" s="36"/>
      <c r="EMF216" s="36"/>
      <c r="EMG216" s="36"/>
      <c r="EMH216" s="36"/>
      <c r="EMI216" s="36"/>
      <c r="EMJ216" s="36"/>
      <c r="EMK216" s="36"/>
      <c r="EML216" s="36"/>
      <c r="EMM216" s="36"/>
      <c r="EMN216" s="36"/>
      <c r="EMO216" s="36"/>
      <c r="EMP216" s="36"/>
      <c r="EMQ216" s="36"/>
      <c r="EMR216" s="36"/>
      <c r="EMS216" s="36"/>
      <c r="EMT216" s="36"/>
      <c r="EMU216" s="36"/>
      <c r="EMV216" s="36"/>
      <c r="EMW216" s="36"/>
      <c r="EMX216" s="36"/>
      <c r="EMY216" s="36"/>
      <c r="EMZ216" s="36"/>
      <c r="ENA216" s="36"/>
      <c r="ENB216" s="36"/>
      <c r="ENC216" s="36"/>
      <c r="END216" s="36"/>
      <c r="ENE216" s="36"/>
      <c r="ENF216" s="36"/>
      <c r="ENG216" s="36"/>
      <c r="ENH216" s="36"/>
      <c r="ENI216" s="36"/>
      <c r="ENJ216" s="36"/>
      <c r="ENK216" s="36"/>
      <c r="ENL216" s="36"/>
      <c r="ENM216" s="36"/>
      <c r="ENN216" s="36"/>
      <c r="ENO216" s="36"/>
      <c r="ENP216" s="36"/>
      <c r="ENQ216" s="36"/>
      <c r="ENR216" s="36"/>
      <c r="ENS216" s="36"/>
      <c r="ENT216" s="36"/>
      <c r="ENU216" s="36"/>
      <c r="ENV216" s="36"/>
      <c r="ENW216" s="36"/>
      <c r="ENX216" s="36"/>
      <c r="ENY216" s="36"/>
      <c r="ENZ216" s="36"/>
      <c r="EOA216" s="36"/>
      <c r="EOB216" s="36"/>
      <c r="EOC216" s="36"/>
      <c r="EOD216" s="36"/>
      <c r="EOE216" s="36"/>
      <c r="EOF216" s="36"/>
      <c r="EOG216" s="36"/>
      <c r="EOH216" s="36"/>
      <c r="EOI216" s="36"/>
      <c r="EOJ216" s="36"/>
      <c r="EOK216" s="36"/>
      <c r="EOL216" s="36"/>
      <c r="EOM216" s="36"/>
      <c r="EON216" s="36"/>
      <c r="EOO216" s="36"/>
      <c r="EOP216" s="36"/>
      <c r="EOQ216" s="36"/>
      <c r="EOR216" s="36"/>
      <c r="EOS216" s="36"/>
      <c r="EOT216" s="36"/>
      <c r="EOU216" s="36"/>
      <c r="EOV216" s="36"/>
      <c r="EOW216" s="36"/>
      <c r="EOX216" s="36"/>
      <c r="EOY216" s="36"/>
      <c r="EOZ216" s="36"/>
      <c r="EPA216" s="36"/>
      <c r="EPB216" s="36"/>
      <c r="EPC216" s="36"/>
      <c r="EPD216" s="36"/>
      <c r="EPE216" s="36"/>
      <c r="EPF216" s="36"/>
      <c r="EPG216" s="36"/>
      <c r="EPH216" s="36"/>
      <c r="EPI216" s="36"/>
      <c r="EPJ216" s="36"/>
      <c r="EPK216" s="36"/>
      <c r="EPL216" s="36"/>
      <c r="EPM216" s="36"/>
      <c r="EPN216" s="36"/>
      <c r="EPO216" s="36"/>
      <c r="EPP216" s="36"/>
      <c r="EPQ216" s="36"/>
      <c r="EPR216" s="36"/>
      <c r="EPS216" s="36"/>
      <c r="EPT216" s="36"/>
      <c r="EPU216" s="36"/>
      <c r="EPV216" s="36"/>
      <c r="EPW216" s="36"/>
      <c r="EPX216" s="36"/>
      <c r="EPY216" s="36"/>
      <c r="EPZ216" s="36"/>
      <c r="EQA216" s="36"/>
      <c r="EQB216" s="36"/>
      <c r="EQC216" s="36"/>
      <c r="EQD216" s="36"/>
      <c r="EQE216" s="36"/>
      <c r="EQF216" s="36"/>
      <c r="EQG216" s="36"/>
      <c r="EQH216" s="36"/>
      <c r="EQI216" s="36"/>
      <c r="EQJ216" s="36"/>
      <c r="EQK216" s="36"/>
      <c r="EQL216" s="36"/>
      <c r="EQM216" s="36"/>
      <c r="EQN216" s="36"/>
      <c r="EQO216" s="36"/>
      <c r="EQP216" s="36"/>
      <c r="EQQ216" s="36"/>
      <c r="EQR216" s="36"/>
      <c r="EQS216" s="36"/>
      <c r="EQT216" s="36"/>
      <c r="EQU216" s="36"/>
      <c r="EQV216" s="36"/>
      <c r="EQW216" s="36"/>
      <c r="EQX216" s="36"/>
      <c r="EQY216" s="36"/>
      <c r="EQZ216" s="36"/>
      <c r="ERA216" s="36"/>
      <c r="ERB216" s="36"/>
      <c r="ERC216" s="36"/>
      <c r="ERD216" s="36"/>
      <c r="ERE216" s="36"/>
      <c r="ERF216" s="36"/>
      <c r="ERG216" s="36"/>
      <c r="ERH216" s="36"/>
      <c r="ERI216" s="36"/>
      <c r="ERJ216" s="36"/>
      <c r="ERK216" s="36"/>
      <c r="ERL216" s="36"/>
      <c r="ERM216" s="36"/>
      <c r="ERN216" s="36"/>
      <c r="ERO216" s="36"/>
      <c r="ERP216" s="36"/>
      <c r="ERQ216" s="36"/>
      <c r="ERR216" s="36"/>
      <c r="ERS216" s="36"/>
      <c r="ERT216" s="36"/>
      <c r="ERU216" s="36"/>
      <c r="ERV216" s="36"/>
      <c r="ERW216" s="36"/>
      <c r="ERX216" s="36"/>
      <c r="ERY216" s="36"/>
      <c r="ERZ216" s="36"/>
      <c r="ESA216" s="36"/>
      <c r="ESB216" s="36"/>
      <c r="ESC216" s="36"/>
      <c r="ESD216" s="36"/>
      <c r="ESE216" s="36"/>
      <c r="ESF216" s="36"/>
      <c r="ESG216" s="36"/>
      <c r="ESH216" s="36"/>
      <c r="ESI216" s="36"/>
      <c r="ESJ216" s="36"/>
      <c r="ESK216" s="36"/>
      <c r="ESL216" s="36"/>
      <c r="ESM216" s="36"/>
      <c r="ESN216" s="36"/>
      <c r="ESO216" s="36"/>
      <c r="ESP216" s="36"/>
      <c r="ESQ216" s="36"/>
      <c r="ESR216" s="36"/>
      <c r="ESS216" s="36"/>
      <c r="EST216" s="36"/>
      <c r="ESU216" s="36"/>
      <c r="ESV216" s="36"/>
      <c r="ESW216" s="36"/>
      <c r="ESX216" s="36"/>
      <c r="ESY216" s="36"/>
      <c r="ESZ216" s="36"/>
      <c r="ETA216" s="36"/>
      <c r="ETB216" s="36"/>
      <c r="ETC216" s="36"/>
      <c r="ETD216" s="36"/>
      <c r="ETE216" s="36"/>
      <c r="ETF216" s="36"/>
      <c r="ETG216" s="36"/>
      <c r="ETH216" s="36"/>
      <c r="ETI216" s="36"/>
      <c r="ETJ216" s="36"/>
      <c r="ETK216" s="36"/>
      <c r="ETL216" s="36"/>
      <c r="ETM216" s="36"/>
      <c r="ETN216" s="36"/>
      <c r="ETO216" s="36"/>
      <c r="ETP216" s="36"/>
      <c r="ETQ216" s="36"/>
      <c r="ETR216" s="36"/>
      <c r="ETS216" s="36"/>
      <c r="ETT216" s="36"/>
      <c r="ETU216" s="36"/>
      <c r="ETV216" s="36"/>
      <c r="ETW216" s="36"/>
      <c r="ETX216" s="36"/>
      <c r="ETY216" s="36"/>
      <c r="ETZ216" s="36"/>
      <c r="EUA216" s="36"/>
      <c r="EUB216" s="36"/>
      <c r="EUC216" s="36"/>
      <c r="EUD216" s="36"/>
      <c r="EUE216" s="36"/>
      <c r="EUF216" s="36"/>
      <c r="EUG216" s="36"/>
      <c r="EUH216" s="36"/>
      <c r="EUI216" s="36"/>
      <c r="EUJ216" s="36"/>
      <c r="EUK216" s="36"/>
      <c r="EUL216" s="36"/>
      <c r="EUM216" s="36"/>
      <c r="EUN216" s="36"/>
      <c r="EUO216" s="36"/>
      <c r="EUP216" s="36"/>
      <c r="EUQ216" s="36"/>
      <c r="EUR216" s="36"/>
      <c r="EUS216" s="36"/>
      <c r="EUT216" s="36"/>
      <c r="EUU216" s="36"/>
      <c r="EUV216" s="36"/>
      <c r="EUW216" s="36"/>
      <c r="EUX216" s="36"/>
      <c r="EUY216" s="36"/>
      <c r="EUZ216" s="36"/>
      <c r="EVA216" s="36"/>
      <c r="EVB216" s="36"/>
      <c r="EVC216" s="36"/>
      <c r="EVD216" s="36"/>
      <c r="EVE216" s="36"/>
      <c r="EVF216" s="36"/>
      <c r="EVG216" s="36"/>
      <c r="EVH216" s="36"/>
      <c r="EVI216" s="36"/>
      <c r="EVJ216" s="36"/>
      <c r="EVK216" s="36"/>
      <c r="EVL216" s="36"/>
      <c r="EVM216" s="36"/>
      <c r="EVN216" s="36"/>
      <c r="EVO216" s="36"/>
      <c r="EVP216" s="36"/>
      <c r="EVQ216" s="36"/>
      <c r="EVR216" s="36"/>
      <c r="EVS216" s="36"/>
      <c r="EVT216" s="36"/>
      <c r="EVU216" s="36"/>
      <c r="EVV216" s="36"/>
      <c r="EVW216" s="36"/>
      <c r="EVX216" s="36"/>
      <c r="EVY216" s="36"/>
      <c r="EVZ216" s="36"/>
      <c r="EWA216" s="36"/>
      <c r="EWB216" s="36"/>
      <c r="EWC216" s="36"/>
      <c r="EWD216" s="36"/>
      <c r="EWE216" s="36"/>
      <c r="EWF216" s="36"/>
      <c r="EWG216" s="36"/>
      <c r="EWH216" s="36"/>
      <c r="EWI216" s="36"/>
      <c r="EWJ216" s="36"/>
      <c r="EWK216" s="36"/>
      <c r="EWL216" s="36"/>
      <c r="EWM216" s="36"/>
      <c r="EWN216" s="36"/>
      <c r="EWO216" s="36"/>
      <c r="EWP216" s="36"/>
      <c r="EWQ216" s="36"/>
      <c r="EWR216" s="36"/>
      <c r="EWS216" s="36"/>
      <c r="EWT216" s="36"/>
      <c r="EWU216" s="36"/>
      <c r="EWV216" s="36"/>
      <c r="EWW216" s="36"/>
      <c r="EWX216" s="36"/>
      <c r="EWY216" s="36"/>
      <c r="EWZ216" s="36"/>
      <c r="EXA216" s="36"/>
      <c r="EXB216" s="36"/>
      <c r="EXC216" s="36"/>
      <c r="EXD216" s="36"/>
      <c r="EXE216" s="36"/>
      <c r="EXF216" s="36"/>
      <c r="EXG216" s="36"/>
      <c r="EXH216" s="36"/>
      <c r="EXI216" s="36"/>
      <c r="EXJ216" s="36"/>
      <c r="EXK216" s="36"/>
      <c r="EXL216" s="36"/>
      <c r="EXM216" s="36"/>
      <c r="EXN216" s="36"/>
      <c r="EXO216" s="36"/>
      <c r="EXP216" s="36"/>
      <c r="EXQ216" s="36"/>
      <c r="EXR216" s="36"/>
      <c r="EXS216" s="36"/>
      <c r="EXT216" s="36"/>
      <c r="EXU216" s="36"/>
      <c r="EXV216" s="36"/>
      <c r="EXW216" s="36"/>
      <c r="EXX216" s="36"/>
      <c r="EXY216" s="36"/>
      <c r="EXZ216" s="36"/>
      <c r="EYA216" s="36"/>
      <c r="EYB216" s="36"/>
      <c r="EYC216" s="36"/>
      <c r="EYD216" s="36"/>
      <c r="EYE216" s="36"/>
      <c r="EYF216" s="36"/>
      <c r="EYG216" s="36"/>
      <c r="EYH216" s="36"/>
      <c r="EYI216" s="36"/>
      <c r="EYJ216" s="36"/>
      <c r="EYK216" s="36"/>
      <c r="EYL216" s="36"/>
      <c r="EYM216" s="36"/>
      <c r="EYN216" s="36"/>
      <c r="EYO216" s="36"/>
      <c r="EYP216" s="36"/>
      <c r="EYQ216" s="36"/>
      <c r="EYR216" s="36"/>
      <c r="EYS216" s="36"/>
      <c r="EYT216" s="36"/>
      <c r="EYU216" s="36"/>
      <c r="EYV216" s="36"/>
      <c r="EYW216" s="36"/>
      <c r="EYX216" s="36"/>
      <c r="EYY216" s="36"/>
      <c r="EYZ216" s="36"/>
      <c r="EZA216" s="36"/>
      <c r="EZB216" s="36"/>
      <c r="EZC216" s="36"/>
      <c r="EZD216" s="36"/>
      <c r="EZE216" s="36"/>
      <c r="EZF216" s="36"/>
      <c r="EZG216" s="36"/>
      <c r="EZH216" s="36"/>
      <c r="EZI216" s="36"/>
      <c r="EZJ216" s="36"/>
      <c r="EZK216" s="36"/>
      <c r="EZL216" s="36"/>
      <c r="EZM216" s="36"/>
      <c r="EZN216" s="36"/>
      <c r="EZO216" s="36"/>
      <c r="EZP216" s="36"/>
      <c r="EZQ216" s="36"/>
      <c r="EZR216" s="36"/>
      <c r="EZS216" s="36"/>
      <c r="EZT216" s="36"/>
      <c r="EZU216" s="36"/>
      <c r="EZV216" s="36"/>
      <c r="EZW216" s="36"/>
      <c r="EZX216" s="36"/>
      <c r="EZY216" s="36"/>
      <c r="EZZ216" s="36"/>
      <c r="FAA216" s="36"/>
      <c r="FAB216" s="36"/>
      <c r="FAC216" s="36"/>
      <c r="FAD216" s="36"/>
      <c r="FAE216" s="36"/>
      <c r="FAF216" s="36"/>
      <c r="FAG216" s="36"/>
      <c r="FAH216" s="36"/>
      <c r="FAI216" s="36"/>
      <c r="FAJ216" s="36"/>
      <c r="FAK216" s="36"/>
      <c r="FAL216" s="36"/>
      <c r="FAM216" s="36"/>
      <c r="FAN216" s="36"/>
      <c r="FAO216" s="36"/>
      <c r="FAP216" s="36"/>
      <c r="FAQ216" s="36"/>
      <c r="FAR216" s="36"/>
      <c r="FAS216" s="36"/>
      <c r="FAT216" s="36"/>
      <c r="FAU216" s="36"/>
      <c r="FAV216" s="36"/>
      <c r="FAW216" s="36"/>
      <c r="FAX216" s="36"/>
      <c r="FAY216" s="36"/>
      <c r="FAZ216" s="36"/>
      <c r="FBA216" s="36"/>
      <c r="FBB216" s="36"/>
      <c r="FBC216" s="36"/>
      <c r="FBD216" s="36"/>
      <c r="FBE216" s="36"/>
      <c r="FBF216" s="36"/>
      <c r="FBG216" s="36"/>
      <c r="FBH216" s="36"/>
      <c r="FBI216" s="36"/>
      <c r="FBJ216" s="36"/>
      <c r="FBK216" s="36"/>
      <c r="FBL216" s="36"/>
      <c r="FBM216" s="36"/>
      <c r="FBN216" s="36"/>
      <c r="FBO216" s="36"/>
      <c r="FBP216" s="36"/>
      <c r="FBQ216" s="36"/>
      <c r="FBR216" s="36"/>
      <c r="FBS216" s="36"/>
      <c r="FBT216" s="36"/>
      <c r="FBU216" s="36"/>
      <c r="FBV216" s="36"/>
      <c r="FBW216" s="36"/>
      <c r="FBX216" s="36"/>
      <c r="FBY216" s="36"/>
      <c r="FBZ216" s="36"/>
      <c r="FCA216" s="36"/>
      <c r="FCB216" s="36"/>
      <c r="FCC216" s="36"/>
      <c r="FCD216" s="36"/>
      <c r="FCE216" s="36"/>
      <c r="FCF216" s="36"/>
      <c r="FCG216" s="36"/>
      <c r="FCH216" s="36"/>
      <c r="FCI216" s="36"/>
      <c r="FCJ216" s="36"/>
      <c r="FCK216" s="36"/>
      <c r="FCL216" s="36"/>
      <c r="FCM216" s="36"/>
      <c r="FCN216" s="36"/>
      <c r="FCO216" s="36"/>
      <c r="FCP216" s="36"/>
      <c r="FCQ216" s="36"/>
      <c r="FCR216" s="36"/>
      <c r="FCS216" s="36"/>
      <c r="FCT216" s="36"/>
      <c r="FCU216" s="36"/>
      <c r="FCV216" s="36"/>
      <c r="FCW216" s="36"/>
      <c r="FCX216" s="36"/>
      <c r="FCY216" s="36"/>
      <c r="FCZ216" s="36"/>
      <c r="FDA216" s="36"/>
      <c r="FDB216" s="36"/>
      <c r="FDC216" s="36"/>
      <c r="FDD216" s="36"/>
      <c r="FDE216" s="36"/>
      <c r="FDF216" s="36"/>
      <c r="FDG216" s="36"/>
      <c r="FDH216" s="36"/>
      <c r="FDI216" s="36"/>
      <c r="FDJ216" s="36"/>
      <c r="FDK216" s="36"/>
      <c r="FDL216" s="36"/>
      <c r="FDM216" s="36"/>
      <c r="FDN216" s="36"/>
      <c r="FDO216" s="36"/>
      <c r="FDP216" s="36"/>
      <c r="FDQ216" s="36"/>
      <c r="FDR216" s="36"/>
      <c r="FDS216" s="36"/>
      <c r="FDT216" s="36"/>
      <c r="FDU216" s="36"/>
      <c r="FDV216" s="36"/>
      <c r="FDW216" s="36"/>
      <c r="FDX216" s="36"/>
      <c r="FDY216" s="36"/>
      <c r="FDZ216" s="36"/>
      <c r="FEA216" s="36"/>
      <c r="FEB216" s="36"/>
      <c r="FEC216" s="36"/>
      <c r="FED216" s="36"/>
      <c r="FEE216" s="36"/>
      <c r="FEF216" s="36"/>
      <c r="FEG216" s="36"/>
      <c r="FEH216" s="36"/>
      <c r="FEI216" s="36"/>
      <c r="FEJ216" s="36"/>
      <c r="FEK216" s="36"/>
      <c r="FEL216" s="36"/>
      <c r="FEM216" s="36"/>
      <c r="FEN216" s="36"/>
      <c r="FEO216" s="36"/>
      <c r="FEP216" s="36"/>
      <c r="FEQ216" s="36"/>
      <c r="FER216" s="36"/>
      <c r="FES216" s="36"/>
      <c r="FET216" s="36"/>
      <c r="FEU216" s="36"/>
      <c r="FEV216" s="36"/>
      <c r="FEW216" s="36"/>
      <c r="FEX216" s="36"/>
      <c r="FEY216" s="36"/>
      <c r="FEZ216" s="36"/>
      <c r="FFA216" s="36"/>
      <c r="FFB216" s="36"/>
      <c r="FFC216" s="36"/>
      <c r="FFD216" s="36"/>
      <c r="FFE216" s="36"/>
      <c r="FFF216" s="36"/>
      <c r="FFG216" s="36"/>
      <c r="FFH216" s="36"/>
      <c r="FFI216" s="36"/>
      <c r="FFJ216" s="36"/>
      <c r="FFK216" s="36"/>
      <c r="FFL216" s="36"/>
      <c r="FFM216" s="36"/>
      <c r="FFN216" s="36"/>
      <c r="FFO216" s="36"/>
      <c r="FFP216" s="36"/>
      <c r="FFQ216" s="36"/>
      <c r="FFR216" s="36"/>
      <c r="FFS216" s="36"/>
      <c r="FFT216" s="36"/>
      <c r="FFU216" s="36"/>
      <c r="FFV216" s="36"/>
      <c r="FFW216" s="36"/>
      <c r="FFX216" s="36"/>
      <c r="FFY216" s="36"/>
      <c r="FFZ216" s="36"/>
      <c r="FGA216" s="36"/>
      <c r="FGB216" s="36"/>
      <c r="FGC216" s="36"/>
      <c r="FGD216" s="36"/>
      <c r="FGE216" s="36"/>
      <c r="FGF216" s="36"/>
      <c r="FGG216" s="36"/>
      <c r="FGH216" s="36"/>
      <c r="FGI216" s="36"/>
      <c r="FGJ216" s="36"/>
      <c r="FGK216" s="36"/>
      <c r="FGL216" s="36"/>
      <c r="FGM216" s="36"/>
      <c r="FGN216" s="36"/>
      <c r="FGO216" s="36"/>
      <c r="FGP216" s="36"/>
      <c r="FGQ216" s="36"/>
      <c r="FGR216" s="36"/>
      <c r="FGS216" s="36"/>
      <c r="FGT216" s="36"/>
      <c r="FGU216" s="36"/>
      <c r="FGV216" s="36"/>
      <c r="FGW216" s="36"/>
      <c r="FGX216" s="36"/>
      <c r="FGY216" s="36"/>
      <c r="FGZ216" s="36"/>
      <c r="FHA216" s="36"/>
      <c r="FHB216" s="36"/>
      <c r="FHC216" s="36"/>
      <c r="FHD216" s="36"/>
      <c r="FHE216" s="36"/>
      <c r="FHF216" s="36"/>
      <c r="FHG216" s="36"/>
      <c r="FHH216" s="36"/>
      <c r="FHI216" s="36"/>
      <c r="FHJ216" s="36"/>
      <c r="FHK216" s="36"/>
      <c r="FHL216" s="36"/>
      <c r="FHM216" s="36"/>
      <c r="FHN216" s="36"/>
      <c r="FHO216" s="36"/>
      <c r="FHP216" s="36"/>
      <c r="FHQ216" s="36"/>
      <c r="FHR216" s="36"/>
      <c r="FHS216" s="36"/>
      <c r="FHT216" s="36"/>
      <c r="FHU216" s="36"/>
      <c r="FHV216" s="36"/>
      <c r="FHW216" s="36"/>
      <c r="FHX216" s="36"/>
      <c r="FHY216" s="36"/>
      <c r="FHZ216" s="36"/>
      <c r="FIA216" s="36"/>
      <c r="FIB216" s="36"/>
      <c r="FIC216" s="36"/>
      <c r="FID216" s="36"/>
      <c r="FIE216" s="36"/>
      <c r="FIF216" s="36"/>
      <c r="FIG216" s="36"/>
      <c r="FIH216" s="36"/>
      <c r="FII216" s="36"/>
      <c r="FIJ216" s="36"/>
      <c r="FIK216" s="36"/>
      <c r="FIL216" s="36"/>
      <c r="FIM216" s="36"/>
      <c r="FIN216" s="36"/>
      <c r="FIO216" s="36"/>
      <c r="FIP216" s="36"/>
      <c r="FIQ216" s="36"/>
      <c r="FIR216" s="36"/>
      <c r="FIS216" s="36"/>
      <c r="FIT216" s="36"/>
      <c r="FIU216" s="36"/>
      <c r="FIV216" s="36"/>
      <c r="FIW216" s="36"/>
      <c r="FIX216" s="36"/>
      <c r="FIY216" s="36"/>
      <c r="FIZ216" s="36"/>
      <c r="FJA216" s="36"/>
      <c r="FJB216" s="36"/>
      <c r="FJC216" s="36"/>
      <c r="FJD216" s="36"/>
      <c r="FJE216" s="36"/>
      <c r="FJF216" s="36"/>
      <c r="FJG216" s="36"/>
      <c r="FJH216" s="36"/>
      <c r="FJI216" s="36"/>
      <c r="FJJ216" s="36"/>
      <c r="FJK216" s="36"/>
      <c r="FJL216" s="36"/>
      <c r="FJM216" s="36"/>
      <c r="FJN216" s="36"/>
      <c r="FJO216" s="36"/>
      <c r="FJP216" s="36"/>
      <c r="FJQ216" s="36"/>
      <c r="FJR216" s="36"/>
      <c r="FJS216" s="36"/>
      <c r="FJT216" s="36"/>
      <c r="FJU216" s="36"/>
      <c r="FJV216" s="36"/>
      <c r="FJW216" s="36"/>
      <c r="FJX216" s="36"/>
      <c r="FJY216" s="36"/>
      <c r="FJZ216" s="36"/>
      <c r="FKA216" s="36"/>
      <c r="FKB216" s="36"/>
      <c r="FKC216" s="36"/>
      <c r="FKD216" s="36"/>
      <c r="FKE216" s="36"/>
      <c r="FKF216" s="36"/>
      <c r="FKG216" s="36"/>
      <c r="FKH216" s="36"/>
      <c r="FKI216" s="36"/>
      <c r="FKJ216" s="36"/>
      <c r="FKK216" s="36"/>
      <c r="FKL216" s="36"/>
      <c r="FKM216" s="36"/>
      <c r="FKN216" s="36"/>
      <c r="FKO216" s="36"/>
      <c r="FKP216" s="36"/>
      <c r="FKQ216" s="36"/>
      <c r="FKR216" s="36"/>
      <c r="FKS216" s="36"/>
      <c r="FKT216" s="36"/>
      <c r="FKU216" s="36"/>
      <c r="FKV216" s="36"/>
      <c r="FKW216" s="36"/>
      <c r="FKX216" s="36"/>
      <c r="FKY216" s="36"/>
      <c r="FKZ216" s="36"/>
      <c r="FLA216" s="36"/>
      <c r="FLB216" s="36"/>
      <c r="FLC216" s="36"/>
      <c r="FLD216" s="36"/>
      <c r="FLE216" s="36"/>
      <c r="FLF216" s="36"/>
      <c r="FLG216" s="36"/>
      <c r="FLH216" s="36"/>
      <c r="FLI216" s="36"/>
      <c r="FLJ216" s="36"/>
      <c r="FLK216" s="36"/>
      <c r="FLL216" s="36"/>
      <c r="FLM216" s="36"/>
      <c r="FLN216" s="36"/>
      <c r="FLO216" s="36"/>
      <c r="FLP216" s="36"/>
      <c r="FLQ216" s="36"/>
      <c r="FLR216" s="36"/>
      <c r="FLS216" s="36"/>
      <c r="FLT216" s="36"/>
      <c r="FLU216" s="36"/>
      <c r="FLV216" s="36"/>
      <c r="FLW216" s="36"/>
      <c r="FLX216" s="36"/>
      <c r="FLY216" s="36"/>
      <c r="FLZ216" s="36"/>
      <c r="FMA216" s="36"/>
      <c r="FMB216" s="36"/>
      <c r="FMC216" s="36"/>
      <c r="FMD216" s="36"/>
      <c r="FME216" s="36"/>
      <c r="FMF216" s="36"/>
      <c r="FMG216" s="36"/>
      <c r="FMH216" s="36"/>
      <c r="FMI216" s="36"/>
      <c r="FMJ216" s="36"/>
      <c r="FMK216" s="36"/>
      <c r="FML216" s="36"/>
      <c r="FMM216" s="36"/>
      <c r="FMN216" s="36"/>
      <c r="FMO216" s="36"/>
      <c r="FMP216" s="36"/>
      <c r="FMQ216" s="36"/>
      <c r="FMR216" s="36"/>
      <c r="FMS216" s="36"/>
      <c r="FMT216" s="36"/>
      <c r="FMU216" s="36"/>
      <c r="FMV216" s="36"/>
      <c r="FMW216" s="36"/>
      <c r="FMX216" s="36"/>
      <c r="FMY216" s="36"/>
      <c r="FMZ216" s="36"/>
      <c r="FNA216" s="36"/>
      <c r="FNB216" s="36"/>
      <c r="FNC216" s="36"/>
      <c r="FND216" s="36"/>
      <c r="FNE216" s="36"/>
      <c r="FNF216" s="36"/>
      <c r="FNG216" s="36"/>
      <c r="FNH216" s="36"/>
      <c r="FNI216" s="36"/>
      <c r="FNJ216" s="36"/>
      <c r="FNK216" s="36"/>
      <c r="FNL216" s="36"/>
      <c r="FNM216" s="36"/>
      <c r="FNN216" s="36"/>
      <c r="FNO216" s="36"/>
      <c r="FNP216" s="36"/>
      <c r="FNQ216" s="36"/>
      <c r="FNR216" s="36"/>
      <c r="FNS216" s="36"/>
      <c r="FNT216" s="36"/>
      <c r="FNU216" s="36"/>
      <c r="FNV216" s="36"/>
      <c r="FNW216" s="36"/>
      <c r="FNX216" s="36"/>
      <c r="FNY216" s="36"/>
      <c r="FNZ216" s="36"/>
      <c r="FOA216" s="36"/>
      <c r="FOB216" s="36"/>
      <c r="FOC216" s="36"/>
      <c r="FOD216" s="36"/>
      <c r="FOE216" s="36"/>
      <c r="FOF216" s="36"/>
      <c r="FOG216" s="36"/>
      <c r="FOH216" s="36"/>
      <c r="FOI216" s="36"/>
      <c r="FOJ216" s="36"/>
      <c r="FOK216" s="36"/>
      <c r="FOL216" s="36"/>
      <c r="FOM216" s="36"/>
      <c r="FON216" s="36"/>
      <c r="FOO216" s="36"/>
      <c r="FOP216" s="36"/>
      <c r="FOQ216" s="36"/>
      <c r="FOR216" s="36"/>
      <c r="FOS216" s="36"/>
      <c r="FOT216" s="36"/>
      <c r="FOU216" s="36"/>
      <c r="FOV216" s="36"/>
      <c r="FOW216" s="36"/>
      <c r="FOX216" s="36"/>
      <c r="FOY216" s="36"/>
      <c r="FOZ216" s="36"/>
      <c r="FPA216" s="36"/>
      <c r="FPB216" s="36"/>
      <c r="FPC216" s="36"/>
      <c r="FPD216" s="36"/>
      <c r="FPE216" s="36"/>
      <c r="FPF216" s="36"/>
      <c r="FPG216" s="36"/>
      <c r="FPH216" s="36"/>
      <c r="FPI216" s="36"/>
      <c r="FPJ216" s="36"/>
      <c r="FPK216" s="36"/>
      <c r="FPL216" s="36"/>
      <c r="FPM216" s="36"/>
      <c r="FPN216" s="36"/>
      <c r="FPO216" s="36"/>
      <c r="FPP216" s="36"/>
      <c r="FPQ216" s="36"/>
      <c r="FPR216" s="36"/>
      <c r="FPS216" s="36"/>
      <c r="FPT216" s="36"/>
      <c r="FPU216" s="36"/>
      <c r="FPV216" s="36"/>
      <c r="FPW216" s="36"/>
      <c r="FPX216" s="36"/>
      <c r="FPY216" s="36"/>
      <c r="FPZ216" s="36"/>
      <c r="FQA216" s="36"/>
      <c r="FQB216" s="36"/>
      <c r="FQC216" s="36"/>
      <c r="FQD216" s="36"/>
      <c r="FQE216" s="36"/>
      <c r="FQF216" s="36"/>
      <c r="FQG216" s="36"/>
      <c r="FQH216" s="36"/>
      <c r="FQI216" s="36"/>
      <c r="FQJ216" s="36"/>
      <c r="FQK216" s="36"/>
      <c r="FQL216" s="36"/>
      <c r="FQM216" s="36"/>
      <c r="FQN216" s="36"/>
      <c r="FQO216" s="36"/>
      <c r="FQP216" s="36"/>
      <c r="FQQ216" s="36"/>
      <c r="FQR216" s="36"/>
      <c r="FQS216" s="36"/>
      <c r="FQT216" s="36"/>
      <c r="FQU216" s="36"/>
      <c r="FQV216" s="36"/>
      <c r="FQW216" s="36"/>
      <c r="FQX216" s="36"/>
      <c r="FQY216" s="36"/>
      <c r="FQZ216" s="36"/>
      <c r="FRA216" s="36"/>
      <c r="FRB216" s="36"/>
      <c r="FRC216" s="36"/>
      <c r="FRD216" s="36"/>
      <c r="FRE216" s="36"/>
      <c r="FRF216" s="36"/>
      <c r="FRG216" s="36"/>
      <c r="FRH216" s="36"/>
      <c r="FRI216" s="36"/>
      <c r="FRJ216" s="36"/>
      <c r="FRK216" s="36"/>
      <c r="FRL216" s="36"/>
      <c r="FRM216" s="36"/>
      <c r="FRN216" s="36"/>
      <c r="FRO216" s="36"/>
      <c r="FRP216" s="36"/>
      <c r="FRQ216" s="36"/>
      <c r="FRR216" s="36"/>
      <c r="FRS216" s="36"/>
      <c r="FRT216" s="36"/>
      <c r="FRU216" s="36"/>
      <c r="FRV216" s="36"/>
      <c r="FRW216" s="36"/>
      <c r="FRX216" s="36"/>
      <c r="FRY216" s="36"/>
      <c r="FRZ216" s="36"/>
      <c r="FSA216" s="36"/>
      <c r="FSB216" s="36"/>
      <c r="FSC216" s="36"/>
      <c r="FSD216" s="36"/>
      <c r="FSE216" s="36"/>
      <c r="FSF216" s="36"/>
      <c r="FSG216" s="36"/>
      <c r="FSH216" s="36"/>
      <c r="FSI216" s="36"/>
      <c r="FSJ216" s="36"/>
      <c r="FSK216" s="36"/>
      <c r="FSL216" s="36"/>
      <c r="FSM216" s="36"/>
      <c r="FSN216" s="36"/>
      <c r="FSO216" s="36"/>
      <c r="FSP216" s="36"/>
      <c r="FSQ216" s="36"/>
      <c r="FSR216" s="36"/>
      <c r="FSS216" s="36"/>
      <c r="FST216" s="36"/>
      <c r="FSU216" s="36"/>
      <c r="FSV216" s="36"/>
      <c r="FSW216" s="36"/>
      <c r="FSX216" s="36"/>
      <c r="FSY216" s="36"/>
      <c r="FSZ216" s="36"/>
      <c r="FTA216" s="36"/>
      <c r="FTB216" s="36"/>
      <c r="FTC216" s="36"/>
      <c r="FTD216" s="36"/>
      <c r="FTE216" s="36"/>
      <c r="FTF216" s="36"/>
      <c r="FTG216" s="36"/>
      <c r="FTH216" s="36"/>
      <c r="FTI216" s="36"/>
      <c r="FTJ216" s="36"/>
      <c r="FTK216" s="36"/>
      <c r="FTL216" s="36"/>
      <c r="FTM216" s="36"/>
      <c r="FTN216" s="36"/>
      <c r="FTO216" s="36"/>
      <c r="FTP216" s="36"/>
      <c r="FTQ216" s="36"/>
      <c r="FTR216" s="36"/>
      <c r="FTS216" s="36"/>
      <c r="FTT216" s="36"/>
      <c r="FTU216" s="36"/>
      <c r="FTV216" s="36"/>
      <c r="FTW216" s="36"/>
      <c r="FTX216" s="36"/>
      <c r="FTY216" s="36"/>
      <c r="FTZ216" s="36"/>
      <c r="FUA216" s="36"/>
      <c r="FUB216" s="36"/>
      <c r="FUC216" s="36"/>
      <c r="FUD216" s="36"/>
      <c r="FUE216" s="36"/>
      <c r="FUF216" s="36"/>
      <c r="FUG216" s="36"/>
      <c r="FUH216" s="36"/>
      <c r="FUI216" s="36"/>
      <c r="FUJ216" s="36"/>
      <c r="FUK216" s="36"/>
      <c r="FUL216" s="36"/>
      <c r="FUM216" s="36"/>
      <c r="FUN216" s="36"/>
      <c r="FUO216" s="36"/>
      <c r="FUP216" s="36"/>
      <c r="FUQ216" s="36"/>
      <c r="FUR216" s="36"/>
      <c r="FUS216" s="36"/>
      <c r="FUT216" s="36"/>
      <c r="FUU216" s="36"/>
      <c r="FUV216" s="36"/>
      <c r="FUW216" s="36"/>
      <c r="FUX216" s="36"/>
      <c r="FUY216" s="36"/>
      <c r="FUZ216" s="36"/>
      <c r="FVA216" s="36"/>
      <c r="FVB216" s="36"/>
      <c r="FVC216" s="36"/>
      <c r="FVD216" s="36"/>
      <c r="FVE216" s="36"/>
      <c r="FVF216" s="36"/>
      <c r="FVG216" s="36"/>
      <c r="FVH216" s="36"/>
      <c r="FVI216" s="36"/>
      <c r="FVJ216" s="36"/>
      <c r="FVK216" s="36"/>
      <c r="FVL216" s="36"/>
      <c r="FVM216" s="36"/>
      <c r="FVN216" s="36"/>
      <c r="FVO216" s="36"/>
      <c r="FVP216" s="36"/>
      <c r="FVQ216" s="36"/>
      <c r="FVR216" s="36"/>
      <c r="FVS216" s="36"/>
      <c r="FVT216" s="36"/>
      <c r="FVU216" s="36"/>
      <c r="FVV216" s="36"/>
      <c r="FVW216" s="36"/>
      <c r="FVX216" s="36"/>
      <c r="FVY216" s="36"/>
      <c r="FVZ216" s="36"/>
      <c r="FWA216" s="36"/>
      <c r="FWB216" s="36"/>
      <c r="FWC216" s="36"/>
      <c r="FWD216" s="36"/>
      <c r="FWE216" s="36"/>
      <c r="FWF216" s="36"/>
      <c r="FWG216" s="36"/>
      <c r="FWH216" s="36"/>
      <c r="FWI216" s="36"/>
      <c r="FWJ216" s="36"/>
      <c r="FWK216" s="36"/>
      <c r="FWL216" s="36"/>
      <c r="FWM216" s="36"/>
      <c r="FWN216" s="36"/>
      <c r="FWO216" s="36"/>
      <c r="FWP216" s="36"/>
      <c r="FWQ216" s="36"/>
      <c r="FWR216" s="36"/>
      <c r="FWS216" s="36"/>
      <c r="FWT216" s="36"/>
      <c r="FWU216" s="36"/>
      <c r="FWV216" s="36"/>
      <c r="FWW216" s="36"/>
      <c r="FWX216" s="36"/>
      <c r="FWY216" s="36"/>
      <c r="FWZ216" s="36"/>
      <c r="FXA216" s="36"/>
      <c r="FXB216" s="36"/>
      <c r="FXC216" s="36"/>
      <c r="FXD216" s="36"/>
      <c r="FXE216" s="36"/>
      <c r="FXF216" s="36"/>
      <c r="FXG216" s="36"/>
      <c r="FXH216" s="36"/>
      <c r="FXI216" s="36"/>
      <c r="FXJ216" s="36"/>
      <c r="FXK216" s="36"/>
      <c r="FXL216" s="36"/>
      <c r="FXM216" s="36"/>
      <c r="FXN216" s="36"/>
      <c r="FXO216" s="36"/>
      <c r="FXP216" s="36"/>
      <c r="FXQ216" s="36"/>
      <c r="FXR216" s="36"/>
      <c r="FXS216" s="36"/>
      <c r="FXT216" s="36"/>
      <c r="FXU216" s="36"/>
      <c r="FXV216" s="36"/>
      <c r="FXW216" s="36"/>
      <c r="FXX216" s="36"/>
      <c r="FXY216" s="36"/>
      <c r="FXZ216" s="36"/>
      <c r="FYA216" s="36"/>
      <c r="FYB216" s="36"/>
      <c r="FYC216" s="36"/>
      <c r="FYD216" s="36"/>
      <c r="FYE216" s="36"/>
      <c r="FYF216" s="36"/>
      <c r="FYG216" s="36"/>
      <c r="FYH216" s="36"/>
      <c r="FYI216" s="36"/>
      <c r="FYJ216" s="36"/>
      <c r="FYK216" s="36"/>
      <c r="FYL216" s="36"/>
      <c r="FYM216" s="36"/>
      <c r="FYN216" s="36"/>
      <c r="FYO216" s="36"/>
      <c r="FYP216" s="36"/>
      <c r="FYQ216" s="36"/>
      <c r="FYR216" s="36"/>
      <c r="FYS216" s="36"/>
      <c r="FYT216" s="36"/>
      <c r="FYU216" s="36"/>
      <c r="FYV216" s="36"/>
      <c r="FYW216" s="36"/>
      <c r="FYX216" s="36"/>
      <c r="FYY216" s="36"/>
      <c r="FYZ216" s="36"/>
      <c r="FZA216" s="36"/>
      <c r="FZB216" s="36"/>
      <c r="FZC216" s="36"/>
      <c r="FZD216" s="36"/>
      <c r="FZE216" s="36"/>
      <c r="FZF216" s="36"/>
      <c r="FZG216" s="36"/>
      <c r="FZH216" s="36"/>
      <c r="FZI216" s="36"/>
      <c r="FZJ216" s="36"/>
      <c r="FZK216" s="36"/>
      <c r="FZL216" s="36"/>
      <c r="FZM216" s="36"/>
      <c r="FZN216" s="36"/>
      <c r="FZO216" s="36"/>
      <c r="FZP216" s="36"/>
      <c r="FZQ216" s="36"/>
      <c r="FZR216" s="36"/>
      <c r="FZS216" s="36"/>
      <c r="FZT216" s="36"/>
      <c r="FZU216" s="36"/>
      <c r="FZV216" s="36"/>
      <c r="FZW216" s="36"/>
      <c r="FZX216" s="36"/>
      <c r="FZY216" s="36"/>
      <c r="FZZ216" s="36"/>
      <c r="GAA216" s="36"/>
      <c r="GAB216" s="36"/>
      <c r="GAC216" s="36"/>
      <c r="GAD216" s="36"/>
      <c r="GAE216" s="36"/>
      <c r="GAF216" s="36"/>
      <c r="GAG216" s="36"/>
      <c r="GAH216" s="36"/>
      <c r="GAI216" s="36"/>
      <c r="GAJ216" s="36"/>
      <c r="GAK216" s="36"/>
      <c r="GAL216" s="36"/>
      <c r="GAM216" s="36"/>
      <c r="GAN216" s="36"/>
      <c r="GAO216" s="36"/>
      <c r="GAP216" s="36"/>
      <c r="GAQ216" s="36"/>
      <c r="GAR216" s="36"/>
      <c r="GAS216" s="36"/>
      <c r="GAT216" s="36"/>
      <c r="GAU216" s="36"/>
      <c r="GAV216" s="36"/>
      <c r="GAW216" s="36"/>
      <c r="GAX216" s="36"/>
      <c r="GAY216" s="36"/>
      <c r="GAZ216" s="36"/>
      <c r="GBA216" s="36"/>
      <c r="GBB216" s="36"/>
      <c r="GBC216" s="36"/>
      <c r="GBD216" s="36"/>
      <c r="GBE216" s="36"/>
      <c r="GBF216" s="36"/>
      <c r="GBG216" s="36"/>
      <c r="GBH216" s="36"/>
      <c r="GBI216" s="36"/>
      <c r="GBJ216" s="36"/>
      <c r="GBK216" s="36"/>
      <c r="GBL216" s="36"/>
      <c r="GBM216" s="36"/>
      <c r="GBN216" s="36"/>
      <c r="GBO216" s="36"/>
      <c r="GBP216" s="36"/>
      <c r="GBQ216" s="36"/>
      <c r="GBR216" s="36"/>
      <c r="GBS216" s="36"/>
      <c r="GBT216" s="36"/>
      <c r="GBU216" s="36"/>
      <c r="GBV216" s="36"/>
      <c r="GBW216" s="36"/>
      <c r="GBX216" s="36"/>
      <c r="GBY216" s="36"/>
      <c r="GBZ216" s="36"/>
      <c r="GCA216" s="36"/>
      <c r="GCB216" s="36"/>
      <c r="GCC216" s="36"/>
      <c r="GCD216" s="36"/>
      <c r="GCE216" s="36"/>
      <c r="GCF216" s="36"/>
      <c r="GCG216" s="36"/>
      <c r="GCH216" s="36"/>
      <c r="GCI216" s="36"/>
      <c r="GCJ216" s="36"/>
      <c r="GCK216" s="36"/>
      <c r="GCL216" s="36"/>
      <c r="GCM216" s="36"/>
      <c r="GCN216" s="36"/>
      <c r="GCO216" s="36"/>
      <c r="GCP216" s="36"/>
      <c r="GCQ216" s="36"/>
      <c r="GCR216" s="36"/>
      <c r="GCS216" s="36"/>
      <c r="GCT216" s="36"/>
      <c r="GCU216" s="36"/>
      <c r="GCV216" s="36"/>
      <c r="GCW216" s="36"/>
      <c r="GCX216" s="36"/>
      <c r="GCY216" s="36"/>
      <c r="GCZ216" s="36"/>
      <c r="GDA216" s="36"/>
      <c r="GDB216" s="36"/>
      <c r="GDC216" s="36"/>
      <c r="GDD216" s="36"/>
      <c r="GDE216" s="36"/>
      <c r="GDF216" s="36"/>
      <c r="GDG216" s="36"/>
      <c r="GDH216" s="36"/>
      <c r="GDI216" s="36"/>
      <c r="GDJ216" s="36"/>
      <c r="GDK216" s="36"/>
      <c r="GDL216" s="36"/>
      <c r="GDM216" s="36"/>
      <c r="GDN216" s="36"/>
      <c r="GDO216" s="36"/>
      <c r="GDP216" s="36"/>
      <c r="GDQ216" s="36"/>
      <c r="GDR216" s="36"/>
      <c r="GDS216" s="36"/>
      <c r="GDT216" s="36"/>
      <c r="GDU216" s="36"/>
      <c r="GDV216" s="36"/>
      <c r="GDW216" s="36"/>
      <c r="GDX216" s="36"/>
      <c r="GDY216" s="36"/>
      <c r="GDZ216" s="36"/>
      <c r="GEA216" s="36"/>
      <c r="GEB216" s="36"/>
      <c r="GEC216" s="36"/>
      <c r="GED216" s="36"/>
      <c r="GEE216" s="36"/>
      <c r="GEF216" s="36"/>
      <c r="GEG216" s="36"/>
      <c r="GEH216" s="36"/>
      <c r="GEI216" s="36"/>
      <c r="GEJ216" s="36"/>
      <c r="GEK216" s="36"/>
      <c r="GEL216" s="36"/>
      <c r="GEM216" s="36"/>
      <c r="GEN216" s="36"/>
      <c r="GEO216" s="36"/>
      <c r="GEP216" s="36"/>
      <c r="GEQ216" s="36"/>
      <c r="GER216" s="36"/>
      <c r="GES216" s="36"/>
      <c r="GET216" s="36"/>
      <c r="GEU216" s="36"/>
      <c r="GEV216" s="36"/>
      <c r="GEW216" s="36"/>
      <c r="GEX216" s="36"/>
      <c r="GEY216" s="36"/>
      <c r="GEZ216" s="36"/>
      <c r="GFA216" s="36"/>
      <c r="GFB216" s="36"/>
      <c r="GFC216" s="36"/>
      <c r="GFD216" s="36"/>
      <c r="GFE216" s="36"/>
      <c r="GFF216" s="36"/>
      <c r="GFG216" s="36"/>
      <c r="GFH216" s="36"/>
      <c r="GFI216" s="36"/>
      <c r="GFJ216" s="36"/>
      <c r="GFK216" s="36"/>
      <c r="GFL216" s="36"/>
      <c r="GFM216" s="36"/>
      <c r="GFN216" s="36"/>
      <c r="GFO216" s="36"/>
      <c r="GFP216" s="36"/>
      <c r="GFQ216" s="36"/>
      <c r="GFR216" s="36"/>
      <c r="GFS216" s="36"/>
      <c r="GFT216" s="36"/>
      <c r="GFU216" s="36"/>
      <c r="GFV216" s="36"/>
      <c r="GFW216" s="36"/>
      <c r="GFX216" s="36"/>
      <c r="GFY216" s="36"/>
      <c r="GFZ216" s="36"/>
      <c r="GGA216" s="36"/>
      <c r="GGB216" s="36"/>
      <c r="GGC216" s="36"/>
      <c r="GGD216" s="36"/>
      <c r="GGE216" s="36"/>
      <c r="GGF216" s="36"/>
      <c r="GGG216" s="36"/>
      <c r="GGH216" s="36"/>
      <c r="GGI216" s="36"/>
      <c r="GGJ216" s="36"/>
      <c r="GGK216" s="36"/>
      <c r="GGL216" s="36"/>
      <c r="GGM216" s="36"/>
      <c r="GGN216" s="36"/>
      <c r="GGO216" s="36"/>
      <c r="GGP216" s="36"/>
      <c r="GGQ216" s="36"/>
      <c r="GGR216" s="36"/>
      <c r="GGS216" s="36"/>
      <c r="GGT216" s="36"/>
      <c r="GGU216" s="36"/>
      <c r="GGV216" s="36"/>
      <c r="GGW216" s="36"/>
      <c r="GGX216" s="36"/>
      <c r="GGY216" s="36"/>
      <c r="GGZ216" s="36"/>
      <c r="GHA216" s="36"/>
      <c r="GHB216" s="36"/>
      <c r="GHC216" s="36"/>
      <c r="GHD216" s="36"/>
      <c r="GHE216" s="36"/>
      <c r="GHF216" s="36"/>
      <c r="GHG216" s="36"/>
      <c r="GHH216" s="36"/>
      <c r="GHI216" s="36"/>
      <c r="GHJ216" s="36"/>
      <c r="GHK216" s="36"/>
      <c r="GHL216" s="36"/>
      <c r="GHM216" s="36"/>
      <c r="GHN216" s="36"/>
      <c r="GHO216" s="36"/>
      <c r="GHP216" s="36"/>
      <c r="GHQ216" s="36"/>
      <c r="GHR216" s="36"/>
      <c r="GHS216" s="36"/>
      <c r="GHT216" s="36"/>
      <c r="GHU216" s="36"/>
      <c r="GHV216" s="36"/>
      <c r="GHW216" s="36"/>
      <c r="GHX216" s="36"/>
      <c r="GHY216" s="36"/>
      <c r="GHZ216" s="36"/>
      <c r="GIA216" s="36"/>
      <c r="GIB216" s="36"/>
      <c r="GIC216" s="36"/>
      <c r="GID216" s="36"/>
      <c r="GIE216" s="36"/>
      <c r="GIF216" s="36"/>
      <c r="GIG216" s="36"/>
      <c r="GIH216" s="36"/>
      <c r="GII216" s="36"/>
      <c r="GIJ216" s="36"/>
      <c r="GIK216" s="36"/>
      <c r="GIL216" s="36"/>
      <c r="GIM216" s="36"/>
      <c r="GIN216" s="36"/>
      <c r="GIO216" s="36"/>
      <c r="GIP216" s="36"/>
      <c r="GIQ216" s="36"/>
      <c r="GIR216" s="36"/>
      <c r="GIS216" s="36"/>
      <c r="GIT216" s="36"/>
      <c r="GIU216" s="36"/>
      <c r="GIV216" s="36"/>
      <c r="GIW216" s="36"/>
      <c r="GIX216" s="36"/>
      <c r="GIY216" s="36"/>
      <c r="GIZ216" s="36"/>
      <c r="GJA216" s="36"/>
      <c r="GJB216" s="36"/>
      <c r="GJC216" s="36"/>
      <c r="GJD216" s="36"/>
      <c r="GJE216" s="36"/>
      <c r="GJF216" s="36"/>
      <c r="GJG216" s="36"/>
      <c r="GJH216" s="36"/>
      <c r="GJI216" s="36"/>
      <c r="GJJ216" s="36"/>
      <c r="GJK216" s="36"/>
      <c r="GJL216" s="36"/>
      <c r="GJM216" s="36"/>
      <c r="GJN216" s="36"/>
      <c r="GJO216" s="36"/>
      <c r="GJP216" s="36"/>
      <c r="GJQ216" s="36"/>
      <c r="GJR216" s="36"/>
      <c r="GJS216" s="36"/>
      <c r="GJT216" s="36"/>
      <c r="GJU216" s="36"/>
      <c r="GJV216" s="36"/>
      <c r="GJW216" s="36"/>
      <c r="GJX216" s="36"/>
      <c r="GJY216" s="36"/>
      <c r="GJZ216" s="36"/>
      <c r="GKA216" s="36"/>
      <c r="GKB216" s="36"/>
      <c r="GKC216" s="36"/>
      <c r="GKD216" s="36"/>
      <c r="GKE216" s="36"/>
      <c r="GKF216" s="36"/>
      <c r="GKG216" s="36"/>
      <c r="GKH216" s="36"/>
      <c r="GKI216" s="36"/>
      <c r="GKJ216" s="36"/>
      <c r="GKK216" s="36"/>
      <c r="GKL216" s="36"/>
      <c r="GKM216" s="36"/>
      <c r="GKN216" s="36"/>
      <c r="GKO216" s="36"/>
      <c r="GKP216" s="36"/>
      <c r="GKQ216" s="36"/>
      <c r="GKR216" s="36"/>
      <c r="GKS216" s="36"/>
      <c r="GKT216" s="36"/>
      <c r="GKU216" s="36"/>
      <c r="GKV216" s="36"/>
      <c r="GKW216" s="36"/>
      <c r="GKX216" s="36"/>
      <c r="GKY216" s="36"/>
      <c r="GKZ216" s="36"/>
      <c r="GLA216" s="36"/>
      <c r="GLB216" s="36"/>
      <c r="GLC216" s="36"/>
      <c r="GLD216" s="36"/>
      <c r="GLE216" s="36"/>
      <c r="GLF216" s="36"/>
      <c r="GLG216" s="36"/>
      <c r="GLH216" s="36"/>
      <c r="GLI216" s="36"/>
      <c r="GLJ216" s="36"/>
      <c r="GLK216" s="36"/>
      <c r="GLL216" s="36"/>
      <c r="GLM216" s="36"/>
      <c r="GLN216" s="36"/>
      <c r="GLO216" s="36"/>
      <c r="GLP216" s="36"/>
      <c r="GLQ216" s="36"/>
      <c r="GLR216" s="36"/>
      <c r="GLS216" s="36"/>
      <c r="GLT216" s="36"/>
      <c r="GLU216" s="36"/>
      <c r="GLV216" s="36"/>
      <c r="GLW216" s="36"/>
      <c r="GLX216" s="36"/>
      <c r="GLY216" s="36"/>
      <c r="GLZ216" s="36"/>
      <c r="GMA216" s="36"/>
      <c r="GMB216" s="36"/>
      <c r="GMC216" s="36"/>
      <c r="GMD216" s="36"/>
      <c r="GME216" s="36"/>
      <c r="GMF216" s="36"/>
      <c r="GMG216" s="36"/>
      <c r="GMH216" s="36"/>
      <c r="GMI216" s="36"/>
      <c r="GMJ216" s="36"/>
      <c r="GMK216" s="36"/>
      <c r="GML216" s="36"/>
      <c r="GMM216" s="36"/>
      <c r="GMN216" s="36"/>
      <c r="GMO216" s="36"/>
      <c r="GMP216" s="36"/>
      <c r="GMQ216" s="36"/>
      <c r="GMR216" s="36"/>
      <c r="GMS216" s="36"/>
      <c r="GMT216" s="36"/>
      <c r="GMU216" s="36"/>
      <c r="GMV216" s="36"/>
      <c r="GMW216" s="36"/>
      <c r="GMX216" s="36"/>
      <c r="GMY216" s="36"/>
      <c r="GMZ216" s="36"/>
      <c r="GNA216" s="36"/>
      <c r="GNB216" s="36"/>
      <c r="GNC216" s="36"/>
      <c r="GND216" s="36"/>
      <c r="GNE216" s="36"/>
      <c r="GNF216" s="36"/>
      <c r="GNG216" s="36"/>
      <c r="GNH216" s="36"/>
      <c r="GNI216" s="36"/>
      <c r="GNJ216" s="36"/>
      <c r="GNK216" s="36"/>
      <c r="GNL216" s="36"/>
      <c r="GNM216" s="36"/>
      <c r="GNN216" s="36"/>
      <c r="GNO216" s="36"/>
      <c r="GNP216" s="36"/>
      <c r="GNQ216" s="36"/>
      <c r="GNR216" s="36"/>
      <c r="GNS216" s="36"/>
      <c r="GNT216" s="36"/>
      <c r="GNU216" s="36"/>
      <c r="GNV216" s="36"/>
      <c r="GNW216" s="36"/>
      <c r="GNX216" s="36"/>
      <c r="GNY216" s="36"/>
      <c r="GNZ216" s="36"/>
      <c r="GOA216" s="36"/>
      <c r="GOB216" s="36"/>
      <c r="GOC216" s="36"/>
      <c r="GOD216" s="36"/>
      <c r="GOE216" s="36"/>
      <c r="GOF216" s="36"/>
      <c r="GOG216" s="36"/>
      <c r="GOH216" s="36"/>
      <c r="GOI216" s="36"/>
      <c r="GOJ216" s="36"/>
      <c r="GOK216" s="36"/>
      <c r="GOL216" s="36"/>
      <c r="GOM216" s="36"/>
      <c r="GON216" s="36"/>
      <c r="GOO216" s="36"/>
      <c r="GOP216" s="36"/>
      <c r="GOQ216" s="36"/>
      <c r="GOR216" s="36"/>
      <c r="GOS216" s="36"/>
      <c r="GOT216" s="36"/>
      <c r="GOU216" s="36"/>
      <c r="GOV216" s="36"/>
      <c r="GOW216" s="36"/>
      <c r="GOX216" s="36"/>
      <c r="GOY216" s="36"/>
      <c r="GOZ216" s="36"/>
      <c r="GPA216" s="36"/>
      <c r="GPB216" s="36"/>
      <c r="GPC216" s="36"/>
      <c r="GPD216" s="36"/>
      <c r="GPE216" s="36"/>
      <c r="GPF216" s="36"/>
      <c r="GPG216" s="36"/>
      <c r="GPH216" s="36"/>
      <c r="GPI216" s="36"/>
      <c r="GPJ216" s="36"/>
      <c r="GPK216" s="36"/>
      <c r="GPL216" s="36"/>
      <c r="GPM216" s="36"/>
      <c r="GPN216" s="36"/>
      <c r="GPO216" s="36"/>
      <c r="GPP216" s="36"/>
      <c r="GPQ216" s="36"/>
      <c r="GPR216" s="36"/>
      <c r="GPS216" s="36"/>
      <c r="GPT216" s="36"/>
      <c r="GPU216" s="36"/>
      <c r="GPV216" s="36"/>
      <c r="GPW216" s="36"/>
      <c r="GPX216" s="36"/>
      <c r="GPY216" s="36"/>
      <c r="GPZ216" s="36"/>
      <c r="GQA216" s="36"/>
      <c r="GQB216" s="36"/>
      <c r="GQC216" s="36"/>
      <c r="GQD216" s="36"/>
      <c r="GQE216" s="36"/>
      <c r="GQF216" s="36"/>
      <c r="GQG216" s="36"/>
      <c r="GQH216" s="36"/>
      <c r="GQI216" s="36"/>
      <c r="GQJ216" s="36"/>
      <c r="GQK216" s="36"/>
      <c r="GQL216" s="36"/>
      <c r="GQM216" s="36"/>
      <c r="GQN216" s="36"/>
      <c r="GQO216" s="36"/>
      <c r="GQP216" s="36"/>
      <c r="GQQ216" s="36"/>
      <c r="GQR216" s="36"/>
      <c r="GQS216" s="36"/>
      <c r="GQT216" s="36"/>
      <c r="GQU216" s="36"/>
      <c r="GQV216" s="36"/>
      <c r="GQW216" s="36"/>
      <c r="GQX216" s="36"/>
      <c r="GQY216" s="36"/>
      <c r="GQZ216" s="36"/>
      <c r="GRA216" s="36"/>
      <c r="GRB216" s="36"/>
      <c r="GRC216" s="36"/>
      <c r="GRD216" s="36"/>
      <c r="GRE216" s="36"/>
      <c r="GRF216" s="36"/>
      <c r="GRG216" s="36"/>
      <c r="GRH216" s="36"/>
      <c r="GRI216" s="36"/>
      <c r="GRJ216" s="36"/>
      <c r="GRK216" s="36"/>
      <c r="GRL216" s="36"/>
      <c r="GRM216" s="36"/>
      <c r="GRN216" s="36"/>
      <c r="GRO216" s="36"/>
      <c r="GRP216" s="36"/>
      <c r="GRQ216" s="36"/>
      <c r="GRR216" s="36"/>
      <c r="GRS216" s="36"/>
      <c r="GRT216" s="36"/>
      <c r="GRU216" s="36"/>
      <c r="GRV216" s="36"/>
      <c r="GRW216" s="36"/>
      <c r="GRX216" s="36"/>
      <c r="GRY216" s="36"/>
      <c r="GRZ216" s="36"/>
      <c r="GSA216" s="36"/>
      <c r="GSB216" s="36"/>
      <c r="GSC216" s="36"/>
      <c r="GSD216" s="36"/>
      <c r="GSE216" s="36"/>
      <c r="GSF216" s="36"/>
      <c r="GSG216" s="36"/>
      <c r="GSH216" s="36"/>
      <c r="GSI216" s="36"/>
      <c r="GSJ216" s="36"/>
      <c r="GSK216" s="36"/>
      <c r="GSL216" s="36"/>
      <c r="GSM216" s="36"/>
      <c r="GSN216" s="36"/>
      <c r="GSO216" s="36"/>
      <c r="GSP216" s="36"/>
      <c r="GSQ216" s="36"/>
      <c r="GSR216" s="36"/>
      <c r="GSS216" s="36"/>
      <c r="GST216" s="36"/>
      <c r="GSU216" s="36"/>
      <c r="GSV216" s="36"/>
      <c r="GSW216" s="36"/>
      <c r="GSX216" s="36"/>
      <c r="GSY216" s="36"/>
      <c r="GSZ216" s="36"/>
      <c r="GTA216" s="36"/>
      <c r="GTB216" s="36"/>
      <c r="GTC216" s="36"/>
      <c r="GTD216" s="36"/>
      <c r="GTE216" s="36"/>
      <c r="GTF216" s="36"/>
      <c r="GTG216" s="36"/>
      <c r="GTH216" s="36"/>
      <c r="GTI216" s="36"/>
      <c r="GTJ216" s="36"/>
      <c r="GTK216" s="36"/>
      <c r="GTL216" s="36"/>
      <c r="GTM216" s="36"/>
      <c r="GTN216" s="36"/>
      <c r="GTO216" s="36"/>
      <c r="GTP216" s="36"/>
      <c r="GTQ216" s="36"/>
      <c r="GTR216" s="36"/>
      <c r="GTS216" s="36"/>
      <c r="GTT216" s="36"/>
      <c r="GTU216" s="36"/>
      <c r="GTV216" s="36"/>
      <c r="GTW216" s="36"/>
      <c r="GTX216" s="36"/>
      <c r="GTY216" s="36"/>
      <c r="GTZ216" s="36"/>
      <c r="GUA216" s="36"/>
      <c r="GUB216" s="36"/>
      <c r="GUC216" s="36"/>
      <c r="GUD216" s="36"/>
      <c r="GUE216" s="36"/>
      <c r="GUF216" s="36"/>
      <c r="GUG216" s="36"/>
      <c r="GUH216" s="36"/>
      <c r="GUI216" s="36"/>
      <c r="GUJ216" s="36"/>
      <c r="GUK216" s="36"/>
      <c r="GUL216" s="36"/>
      <c r="GUM216" s="36"/>
      <c r="GUN216" s="36"/>
      <c r="GUO216" s="36"/>
      <c r="GUP216" s="36"/>
      <c r="GUQ216" s="36"/>
      <c r="GUR216" s="36"/>
      <c r="GUS216" s="36"/>
      <c r="GUT216" s="36"/>
      <c r="GUU216" s="36"/>
      <c r="GUV216" s="36"/>
      <c r="GUW216" s="36"/>
      <c r="GUX216" s="36"/>
      <c r="GUY216" s="36"/>
      <c r="GUZ216" s="36"/>
      <c r="GVA216" s="36"/>
      <c r="GVB216" s="36"/>
      <c r="GVC216" s="36"/>
      <c r="GVD216" s="36"/>
      <c r="GVE216" s="36"/>
      <c r="GVF216" s="36"/>
      <c r="GVG216" s="36"/>
      <c r="GVH216" s="36"/>
      <c r="GVI216" s="36"/>
      <c r="GVJ216" s="36"/>
      <c r="GVK216" s="36"/>
      <c r="GVL216" s="36"/>
      <c r="GVM216" s="36"/>
      <c r="GVN216" s="36"/>
      <c r="GVO216" s="36"/>
      <c r="GVP216" s="36"/>
      <c r="GVQ216" s="36"/>
      <c r="GVR216" s="36"/>
      <c r="GVS216" s="36"/>
      <c r="GVT216" s="36"/>
      <c r="GVU216" s="36"/>
      <c r="GVV216" s="36"/>
      <c r="GVW216" s="36"/>
      <c r="GVX216" s="36"/>
      <c r="GVY216" s="36"/>
      <c r="GVZ216" s="36"/>
      <c r="GWA216" s="36"/>
      <c r="GWB216" s="36"/>
      <c r="GWC216" s="36"/>
      <c r="GWD216" s="36"/>
      <c r="GWE216" s="36"/>
      <c r="GWF216" s="36"/>
      <c r="GWG216" s="36"/>
      <c r="GWH216" s="36"/>
      <c r="GWI216" s="36"/>
      <c r="GWJ216" s="36"/>
      <c r="GWK216" s="36"/>
      <c r="GWL216" s="36"/>
      <c r="GWM216" s="36"/>
      <c r="GWN216" s="36"/>
      <c r="GWO216" s="36"/>
      <c r="GWP216" s="36"/>
      <c r="GWQ216" s="36"/>
      <c r="GWR216" s="36"/>
      <c r="GWS216" s="36"/>
      <c r="GWT216" s="36"/>
      <c r="GWU216" s="36"/>
      <c r="GWV216" s="36"/>
      <c r="GWW216" s="36"/>
      <c r="GWX216" s="36"/>
      <c r="GWY216" s="36"/>
      <c r="GWZ216" s="36"/>
      <c r="GXA216" s="36"/>
      <c r="GXB216" s="36"/>
      <c r="GXC216" s="36"/>
      <c r="GXD216" s="36"/>
      <c r="GXE216" s="36"/>
      <c r="GXF216" s="36"/>
      <c r="GXG216" s="36"/>
      <c r="GXH216" s="36"/>
      <c r="GXI216" s="36"/>
      <c r="GXJ216" s="36"/>
      <c r="GXK216" s="36"/>
      <c r="GXL216" s="36"/>
      <c r="GXM216" s="36"/>
      <c r="GXN216" s="36"/>
      <c r="GXO216" s="36"/>
      <c r="GXP216" s="36"/>
      <c r="GXQ216" s="36"/>
      <c r="GXR216" s="36"/>
      <c r="GXS216" s="36"/>
      <c r="GXT216" s="36"/>
      <c r="GXU216" s="36"/>
      <c r="GXV216" s="36"/>
      <c r="GXW216" s="36"/>
      <c r="GXX216" s="36"/>
      <c r="GXY216" s="36"/>
      <c r="GXZ216" s="36"/>
      <c r="GYA216" s="36"/>
      <c r="GYB216" s="36"/>
      <c r="GYC216" s="36"/>
      <c r="GYD216" s="36"/>
      <c r="GYE216" s="36"/>
      <c r="GYF216" s="36"/>
      <c r="GYG216" s="36"/>
      <c r="GYH216" s="36"/>
      <c r="GYI216" s="36"/>
      <c r="GYJ216" s="36"/>
      <c r="GYK216" s="36"/>
      <c r="GYL216" s="36"/>
      <c r="GYM216" s="36"/>
      <c r="GYN216" s="36"/>
      <c r="GYO216" s="36"/>
      <c r="GYP216" s="36"/>
      <c r="GYQ216" s="36"/>
      <c r="GYR216" s="36"/>
      <c r="GYS216" s="36"/>
      <c r="GYT216" s="36"/>
      <c r="GYU216" s="36"/>
      <c r="GYV216" s="36"/>
      <c r="GYW216" s="36"/>
      <c r="GYX216" s="36"/>
      <c r="GYY216" s="36"/>
      <c r="GYZ216" s="36"/>
      <c r="GZA216" s="36"/>
      <c r="GZB216" s="36"/>
      <c r="GZC216" s="36"/>
      <c r="GZD216" s="36"/>
      <c r="GZE216" s="36"/>
      <c r="GZF216" s="36"/>
      <c r="GZG216" s="36"/>
      <c r="GZH216" s="36"/>
      <c r="GZI216" s="36"/>
      <c r="GZJ216" s="36"/>
      <c r="GZK216" s="36"/>
      <c r="GZL216" s="36"/>
      <c r="GZM216" s="36"/>
      <c r="GZN216" s="36"/>
      <c r="GZO216" s="36"/>
      <c r="GZP216" s="36"/>
      <c r="GZQ216" s="36"/>
      <c r="GZR216" s="36"/>
      <c r="GZS216" s="36"/>
      <c r="GZT216" s="36"/>
      <c r="GZU216" s="36"/>
      <c r="GZV216" s="36"/>
      <c r="GZW216" s="36"/>
      <c r="GZX216" s="36"/>
      <c r="GZY216" s="36"/>
      <c r="GZZ216" s="36"/>
      <c r="HAA216" s="36"/>
      <c r="HAB216" s="36"/>
      <c r="HAC216" s="36"/>
      <c r="HAD216" s="36"/>
      <c r="HAE216" s="36"/>
      <c r="HAF216" s="36"/>
      <c r="HAG216" s="36"/>
      <c r="HAH216" s="36"/>
      <c r="HAI216" s="36"/>
      <c r="HAJ216" s="36"/>
      <c r="HAK216" s="36"/>
      <c r="HAL216" s="36"/>
      <c r="HAM216" s="36"/>
      <c r="HAN216" s="36"/>
      <c r="HAO216" s="36"/>
      <c r="HAP216" s="36"/>
      <c r="HAQ216" s="36"/>
      <c r="HAR216" s="36"/>
      <c r="HAS216" s="36"/>
      <c r="HAT216" s="36"/>
      <c r="HAU216" s="36"/>
      <c r="HAV216" s="36"/>
      <c r="HAW216" s="36"/>
      <c r="HAX216" s="36"/>
      <c r="HAY216" s="36"/>
      <c r="HAZ216" s="36"/>
      <c r="HBA216" s="36"/>
      <c r="HBB216" s="36"/>
      <c r="HBC216" s="36"/>
      <c r="HBD216" s="36"/>
      <c r="HBE216" s="36"/>
      <c r="HBF216" s="36"/>
      <c r="HBG216" s="36"/>
      <c r="HBH216" s="36"/>
      <c r="HBI216" s="36"/>
      <c r="HBJ216" s="36"/>
      <c r="HBK216" s="36"/>
      <c r="HBL216" s="36"/>
      <c r="HBM216" s="36"/>
      <c r="HBN216" s="36"/>
      <c r="HBO216" s="36"/>
      <c r="HBP216" s="36"/>
      <c r="HBQ216" s="36"/>
      <c r="HBR216" s="36"/>
      <c r="HBS216" s="36"/>
      <c r="HBT216" s="36"/>
      <c r="HBU216" s="36"/>
      <c r="HBV216" s="36"/>
      <c r="HBW216" s="36"/>
      <c r="HBX216" s="36"/>
      <c r="HBY216" s="36"/>
      <c r="HBZ216" s="36"/>
      <c r="HCA216" s="36"/>
      <c r="HCB216" s="36"/>
      <c r="HCC216" s="36"/>
      <c r="HCD216" s="36"/>
      <c r="HCE216" s="36"/>
      <c r="HCF216" s="36"/>
      <c r="HCG216" s="36"/>
      <c r="HCH216" s="36"/>
      <c r="HCI216" s="36"/>
      <c r="HCJ216" s="36"/>
      <c r="HCK216" s="36"/>
      <c r="HCL216" s="36"/>
      <c r="HCM216" s="36"/>
      <c r="HCN216" s="36"/>
      <c r="HCO216" s="36"/>
      <c r="HCP216" s="36"/>
      <c r="HCQ216" s="36"/>
      <c r="HCR216" s="36"/>
      <c r="HCS216" s="36"/>
      <c r="HCT216" s="36"/>
      <c r="HCU216" s="36"/>
      <c r="HCV216" s="36"/>
      <c r="HCW216" s="36"/>
      <c r="HCX216" s="36"/>
      <c r="HCY216" s="36"/>
      <c r="HCZ216" s="36"/>
      <c r="HDA216" s="36"/>
      <c r="HDB216" s="36"/>
      <c r="HDC216" s="36"/>
      <c r="HDD216" s="36"/>
      <c r="HDE216" s="36"/>
      <c r="HDF216" s="36"/>
      <c r="HDG216" s="36"/>
      <c r="HDH216" s="36"/>
      <c r="HDI216" s="36"/>
      <c r="HDJ216" s="36"/>
      <c r="HDK216" s="36"/>
      <c r="HDL216" s="36"/>
      <c r="HDM216" s="36"/>
      <c r="HDN216" s="36"/>
      <c r="HDO216" s="36"/>
      <c r="HDP216" s="36"/>
      <c r="HDQ216" s="36"/>
      <c r="HDR216" s="36"/>
      <c r="HDS216" s="36"/>
      <c r="HDT216" s="36"/>
      <c r="HDU216" s="36"/>
      <c r="HDV216" s="36"/>
      <c r="HDW216" s="36"/>
      <c r="HDX216" s="36"/>
      <c r="HDY216" s="36"/>
      <c r="HDZ216" s="36"/>
      <c r="HEA216" s="36"/>
      <c r="HEB216" s="36"/>
      <c r="HEC216" s="36"/>
      <c r="HED216" s="36"/>
      <c r="HEE216" s="36"/>
      <c r="HEF216" s="36"/>
      <c r="HEG216" s="36"/>
      <c r="HEH216" s="36"/>
      <c r="HEI216" s="36"/>
      <c r="HEJ216" s="36"/>
      <c r="HEK216" s="36"/>
      <c r="HEL216" s="36"/>
      <c r="HEM216" s="36"/>
      <c r="HEN216" s="36"/>
      <c r="HEO216" s="36"/>
      <c r="HEP216" s="36"/>
      <c r="HEQ216" s="36"/>
      <c r="HER216" s="36"/>
      <c r="HES216" s="36"/>
      <c r="HET216" s="36"/>
      <c r="HEU216" s="36"/>
      <c r="HEV216" s="36"/>
      <c r="HEW216" s="36"/>
      <c r="HEX216" s="36"/>
      <c r="HEY216" s="36"/>
      <c r="HEZ216" s="36"/>
      <c r="HFA216" s="36"/>
      <c r="HFB216" s="36"/>
      <c r="HFC216" s="36"/>
      <c r="HFD216" s="36"/>
      <c r="HFE216" s="36"/>
      <c r="HFF216" s="36"/>
      <c r="HFG216" s="36"/>
      <c r="HFH216" s="36"/>
      <c r="HFI216" s="36"/>
      <c r="HFJ216" s="36"/>
      <c r="HFK216" s="36"/>
      <c r="HFL216" s="36"/>
      <c r="HFM216" s="36"/>
      <c r="HFN216" s="36"/>
      <c r="HFO216" s="36"/>
      <c r="HFP216" s="36"/>
      <c r="HFQ216" s="36"/>
      <c r="HFR216" s="36"/>
      <c r="HFS216" s="36"/>
      <c r="HFT216" s="36"/>
      <c r="HFU216" s="36"/>
      <c r="HFV216" s="36"/>
      <c r="HFW216" s="36"/>
      <c r="HFX216" s="36"/>
      <c r="HFY216" s="36"/>
      <c r="HFZ216" s="36"/>
      <c r="HGA216" s="36"/>
      <c r="HGB216" s="36"/>
      <c r="HGC216" s="36"/>
      <c r="HGD216" s="36"/>
      <c r="HGE216" s="36"/>
      <c r="HGF216" s="36"/>
      <c r="HGG216" s="36"/>
      <c r="HGH216" s="36"/>
      <c r="HGI216" s="36"/>
      <c r="HGJ216" s="36"/>
      <c r="HGK216" s="36"/>
      <c r="HGL216" s="36"/>
      <c r="HGM216" s="36"/>
      <c r="HGN216" s="36"/>
      <c r="HGO216" s="36"/>
      <c r="HGP216" s="36"/>
      <c r="HGQ216" s="36"/>
      <c r="HGR216" s="36"/>
      <c r="HGS216" s="36"/>
      <c r="HGT216" s="36"/>
      <c r="HGU216" s="36"/>
      <c r="HGV216" s="36"/>
      <c r="HGW216" s="36"/>
      <c r="HGX216" s="36"/>
      <c r="HGY216" s="36"/>
      <c r="HGZ216" s="36"/>
      <c r="HHA216" s="36"/>
      <c r="HHB216" s="36"/>
      <c r="HHC216" s="36"/>
      <c r="HHD216" s="36"/>
      <c r="HHE216" s="36"/>
      <c r="HHF216" s="36"/>
      <c r="HHG216" s="36"/>
      <c r="HHH216" s="36"/>
      <c r="HHI216" s="36"/>
      <c r="HHJ216" s="36"/>
      <c r="HHK216" s="36"/>
      <c r="HHL216" s="36"/>
      <c r="HHM216" s="36"/>
      <c r="HHN216" s="36"/>
      <c r="HHO216" s="36"/>
      <c r="HHP216" s="36"/>
      <c r="HHQ216" s="36"/>
      <c r="HHR216" s="36"/>
      <c r="HHS216" s="36"/>
      <c r="HHT216" s="36"/>
      <c r="HHU216" s="36"/>
      <c r="HHV216" s="36"/>
      <c r="HHW216" s="36"/>
      <c r="HHX216" s="36"/>
      <c r="HHY216" s="36"/>
      <c r="HHZ216" s="36"/>
      <c r="HIA216" s="36"/>
      <c r="HIB216" s="36"/>
      <c r="HIC216" s="36"/>
      <c r="HID216" s="36"/>
      <c r="HIE216" s="36"/>
      <c r="HIF216" s="36"/>
      <c r="HIG216" s="36"/>
      <c r="HIH216" s="36"/>
      <c r="HII216" s="36"/>
      <c r="HIJ216" s="36"/>
      <c r="HIK216" s="36"/>
      <c r="HIL216" s="36"/>
      <c r="HIM216" s="36"/>
      <c r="HIN216" s="36"/>
      <c r="HIO216" s="36"/>
      <c r="HIP216" s="36"/>
      <c r="HIQ216" s="36"/>
      <c r="HIR216" s="36"/>
      <c r="HIS216" s="36"/>
      <c r="HIT216" s="36"/>
      <c r="HIU216" s="36"/>
      <c r="HIV216" s="36"/>
      <c r="HIW216" s="36"/>
      <c r="HIX216" s="36"/>
      <c r="HIY216" s="36"/>
      <c r="HIZ216" s="36"/>
      <c r="HJA216" s="36"/>
      <c r="HJB216" s="36"/>
      <c r="HJC216" s="36"/>
      <c r="HJD216" s="36"/>
      <c r="HJE216" s="36"/>
      <c r="HJF216" s="36"/>
      <c r="HJG216" s="36"/>
      <c r="HJH216" s="36"/>
      <c r="HJI216" s="36"/>
      <c r="HJJ216" s="36"/>
      <c r="HJK216" s="36"/>
      <c r="HJL216" s="36"/>
      <c r="HJM216" s="36"/>
      <c r="HJN216" s="36"/>
      <c r="HJO216" s="36"/>
      <c r="HJP216" s="36"/>
      <c r="HJQ216" s="36"/>
      <c r="HJR216" s="36"/>
      <c r="HJS216" s="36"/>
      <c r="HJT216" s="36"/>
      <c r="HJU216" s="36"/>
      <c r="HJV216" s="36"/>
      <c r="HJW216" s="36"/>
      <c r="HJX216" s="36"/>
      <c r="HJY216" s="36"/>
      <c r="HJZ216" s="36"/>
      <c r="HKA216" s="36"/>
      <c r="HKB216" s="36"/>
      <c r="HKC216" s="36"/>
      <c r="HKD216" s="36"/>
      <c r="HKE216" s="36"/>
      <c r="HKF216" s="36"/>
      <c r="HKG216" s="36"/>
      <c r="HKH216" s="36"/>
      <c r="HKI216" s="36"/>
      <c r="HKJ216" s="36"/>
      <c r="HKK216" s="36"/>
      <c r="HKL216" s="36"/>
      <c r="HKM216" s="36"/>
      <c r="HKN216" s="36"/>
      <c r="HKO216" s="36"/>
      <c r="HKP216" s="36"/>
      <c r="HKQ216" s="36"/>
      <c r="HKR216" s="36"/>
      <c r="HKS216" s="36"/>
      <c r="HKT216" s="36"/>
      <c r="HKU216" s="36"/>
      <c r="HKV216" s="36"/>
      <c r="HKW216" s="36"/>
      <c r="HKX216" s="36"/>
      <c r="HKY216" s="36"/>
      <c r="HKZ216" s="36"/>
      <c r="HLA216" s="36"/>
      <c r="HLB216" s="36"/>
      <c r="HLC216" s="36"/>
      <c r="HLD216" s="36"/>
      <c r="HLE216" s="36"/>
      <c r="HLF216" s="36"/>
      <c r="HLG216" s="36"/>
      <c r="HLH216" s="36"/>
      <c r="HLI216" s="36"/>
      <c r="HLJ216" s="36"/>
      <c r="HLK216" s="36"/>
      <c r="HLL216" s="36"/>
      <c r="HLM216" s="36"/>
      <c r="HLN216" s="36"/>
      <c r="HLO216" s="36"/>
      <c r="HLP216" s="36"/>
      <c r="HLQ216" s="36"/>
      <c r="HLR216" s="36"/>
      <c r="HLS216" s="36"/>
      <c r="HLT216" s="36"/>
      <c r="HLU216" s="36"/>
      <c r="HLV216" s="36"/>
      <c r="HLW216" s="36"/>
      <c r="HLX216" s="36"/>
      <c r="HLY216" s="36"/>
      <c r="HLZ216" s="36"/>
      <c r="HMA216" s="36"/>
      <c r="HMB216" s="36"/>
      <c r="HMC216" s="36"/>
      <c r="HMD216" s="36"/>
      <c r="HME216" s="36"/>
      <c r="HMF216" s="36"/>
      <c r="HMG216" s="36"/>
      <c r="HMH216" s="36"/>
      <c r="HMI216" s="36"/>
      <c r="HMJ216" s="36"/>
      <c r="HMK216" s="36"/>
      <c r="HML216" s="36"/>
      <c r="HMM216" s="36"/>
      <c r="HMN216" s="36"/>
      <c r="HMO216" s="36"/>
      <c r="HMP216" s="36"/>
      <c r="HMQ216" s="36"/>
      <c r="HMR216" s="36"/>
      <c r="HMS216" s="36"/>
      <c r="HMT216" s="36"/>
      <c r="HMU216" s="36"/>
      <c r="HMV216" s="36"/>
      <c r="HMW216" s="36"/>
      <c r="HMX216" s="36"/>
      <c r="HMY216" s="36"/>
      <c r="HMZ216" s="36"/>
      <c r="HNA216" s="36"/>
      <c r="HNB216" s="36"/>
      <c r="HNC216" s="36"/>
      <c r="HND216" s="36"/>
      <c r="HNE216" s="36"/>
      <c r="HNF216" s="36"/>
      <c r="HNG216" s="36"/>
      <c r="HNH216" s="36"/>
      <c r="HNI216" s="36"/>
      <c r="HNJ216" s="36"/>
      <c r="HNK216" s="36"/>
      <c r="HNL216" s="36"/>
      <c r="HNM216" s="36"/>
      <c r="HNN216" s="36"/>
      <c r="HNO216" s="36"/>
      <c r="HNP216" s="36"/>
      <c r="HNQ216" s="36"/>
      <c r="HNR216" s="36"/>
      <c r="HNS216" s="36"/>
      <c r="HNT216" s="36"/>
      <c r="HNU216" s="36"/>
      <c r="HNV216" s="36"/>
      <c r="HNW216" s="36"/>
      <c r="HNX216" s="36"/>
      <c r="HNY216" s="36"/>
      <c r="HNZ216" s="36"/>
      <c r="HOA216" s="36"/>
      <c r="HOB216" s="36"/>
      <c r="HOC216" s="36"/>
      <c r="HOD216" s="36"/>
      <c r="HOE216" s="36"/>
      <c r="HOF216" s="36"/>
      <c r="HOG216" s="36"/>
      <c r="HOH216" s="36"/>
      <c r="HOI216" s="36"/>
      <c r="HOJ216" s="36"/>
      <c r="HOK216" s="36"/>
      <c r="HOL216" s="36"/>
      <c r="HOM216" s="36"/>
      <c r="HON216" s="36"/>
      <c r="HOO216" s="36"/>
      <c r="HOP216" s="36"/>
      <c r="HOQ216" s="36"/>
      <c r="HOR216" s="36"/>
      <c r="HOS216" s="36"/>
      <c r="HOT216" s="36"/>
      <c r="HOU216" s="36"/>
      <c r="HOV216" s="36"/>
      <c r="HOW216" s="36"/>
      <c r="HOX216" s="36"/>
      <c r="HOY216" s="36"/>
      <c r="HOZ216" s="36"/>
      <c r="HPA216" s="36"/>
      <c r="HPB216" s="36"/>
      <c r="HPC216" s="36"/>
      <c r="HPD216" s="36"/>
      <c r="HPE216" s="36"/>
      <c r="HPF216" s="36"/>
      <c r="HPG216" s="36"/>
      <c r="HPH216" s="36"/>
      <c r="HPI216" s="36"/>
      <c r="HPJ216" s="36"/>
      <c r="HPK216" s="36"/>
      <c r="HPL216" s="36"/>
      <c r="HPM216" s="36"/>
      <c r="HPN216" s="36"/>
      <c r="HPO216" s="36"/>
      <c r="HPP216" s="36"/>
      <c r="HPQ216" s="36"/>
      <c r="HPR216" s="36"/>
      <c r="HPS216" s="36"/>
      <c r="HPT216" s="36"/>
      <c r="HPU216" s="36"/>
      <c r="HPV216" s="36"/>
      <c r="HPW216" s="36"/>
      <c r="HPX216" s="36"/>
      <c r="HPY216" s="36"/>
      <c r="HPZ216" s="36"/>
      <c r="HQA216" s="36"/>
      <c r="HQB216" s="36"/>
      <c r="HQC216" s="36"/>
      <c r="HQD216" s="36"/>
      <c r="HQE216" s="36"/>
      <c r="HQF216" s="36"/>
      <c r="HQG216" s="36"/>
      <c r="HQH216" s="36"/>
      <c r="HQI216" s="36"/>
      <c r="HQJ216" s="36"/>
      <c r="HQK216" s="36"/>
      <c r="HQL216" s="36"/>
      <c r="HQM216" s="36"/>
      <c r="HQN216" s="36"/>
      <c r="HQO216" s="36"/>
      <c r="HQP216" s="36"/>
      <c r="HQQ216" s="36"/>
      <c r="HQR216" s="36"/>
      <c r="HQS216" s="36"/>
      <c r="HQT216" s="36"/>
      <c r="HQU216" s="36"/>
      <c r="HQV216" s="36"/>
      <c r="HQW216" s="36"/>
      <c r="HQX216" s="36"/>
      <c r="HQY216" s="36"/>
      <c r="HQZ216" s="36"/>
      <c r="HRA216" s="36"/>
      <c r="HRB216" s="36"/>
      <c r="HRC216" s="36"/>
      <c r="HRD216" s="36"/>
      <c r="HRE216" s="36"/>
      <c r="HRF216" s="36"/>
      <c r="HRG216" s="36"/>
      <c r="HRH216" s="36"/>
      <c r="HRI216" s="36"/>
      <c r="HRJ216" s="36"/>
      <c r="HRK216" s="36"/>
      <c r="HRL216" s="36"/>
      <c r="HRM216" s="36"/>
      <c r="HRN216" s="36"/>
      <c r="HRO216" s="36"/>
      <c r="HRP216" s="36"/>
      <c r="HRQ216" s="36"/>
      <c r="HRR216" s="36"/>
      <c r="HRS216" s="36"/>
      <c r="HRT216" s="36"/>
      <c r="HRU216" s="36"/>
      <c r="HRV216" s="36"/>
      <c r="HRW216" s="36"/>
      <c r="HRX216" s="36"/>
      <c r="HRY216" s="36"/>
      <c r="HRZ216" s="36"/>
      <c r="HSA216" s="36"/>
      <c r="HSB216" s="36"/>
      <c r="HSC216" s="36"/>
      <c r="HSD216" s="36"/>
      <c r="HSE216" s="36"/>
      <c r="HSF216" s="36"/>
      <c r="HSG216" s="36"/>
      <c r="HSH216" s="36"/>
      <c r="HSI216" s="36"/>
      <c r="HSJ216" s="36"/>
      <c r="HSK216" s="36"/>
      <c r="HSL216" s="36"/>
      <c r="HSM216" s="36"/>
      <c r="HSN216" s="36"/>
      <c r="HSO216" s="36"/>
      <c r="HSP216" s="36"/>
      <c r="HSQ216" s="36"/>
      <c r="HSR216" s="36"/>
      <c r="HSS216" s="36"/>
      <c r="HST216" s="36"/>
      <c r="HSU216" s="36"/>
      <c r="HSV216" s="36"/>
      <c r="HSW216" s="36"/>
      <c r="HSX216" s="36"/>
      <c r="HSY216" s="36"/>
      <c r="HSZ216" s="36"/>
      <c r="HTA216" s="36"/>
      <c r="HTB216" s="36"/>
      <c r="HTC216" s="36"/>
      <c r="HTD216" s="36"/>
      <c r="HTE216" s="36"/>
      <c r="HTF216" s="36"/>
      <c r="HTG216" s="36"/>
      <c r="HTH216" s="36"/>
      <c r="HTI216" s="36"/>
      <c r="HTJ216" s="36"/>
      <c r="HTK216" s="36"/>
      <c r="HTL216" s="36"/>
      <c r="HTM216" s="36"/>
      <c r="HTN216" s="36"/>
      <c r="HTO216" s="36"/>
      <c r="HTP216" s="36"/>
      <c r="HTQ216" s="36"/>
      <c r="HTR216" s="36"/>
      <c r="HTS216" s="36"/>
      <c r="HTT216" s="36"/>
      <c r="HTU216" s="36"/>
      <c r="HTV216" s="36"/>
      <c r="HTW216" s="36"/>
      <c r="HTX216" s="36"/>
      <c r="HTY216" s="36"/>
      <c r="HTZ216" s="36"/>
      <c r="HUA216" s="36"/>
      <c r="HUB216" s="36"/>
      <c r="HUC216" s="36"/>
      <c r="HUD216" s="36"/>
      <c r="HUE216" s="36"/>
      <c r="HUF216" s="36"/>
      <c r="HUG216" s="36"/>
      <c r="HUH216" s="36"/>
      <c r="HUI216" s="36"/>
      <c r="HUJ216" s="36"/>
      <c r="HUK216" s="36"/>
      <c r="HUL216" s="36"/>
      <c r="HUM216" s="36"/>
      <c r="HUN216" s="36"/>
      <c r="HUO216" s="36"/>
      <c r="HUP216" s="36"/>
      <c r="HUQ216" s="36"/>
      <c r="HUR216" s="36"/>
      <c r="HUS216" s="36"/>
      <c r="HUT216" s="36"/>
      <c r="HUU216" s="36"/>
      <c r="HUV216" s="36"/>
      <c r="HUW216" s="36"/>
      <c r="HUX216" s="36"/>
      <c r="HUY216" s="36"/>
      <c r="HUZ216" s="36"/>
      <c r="HVA216" s="36"/>
      <c r="HVB216" s="36"/>
      <c r="HVC216" s="36"/>
      <c r="HVD216" s="36"/>
      <c r="HVE216" s="36"/>
      <c r="HVF216" s="36"/>
      <c r="HVG216" s="36"/>
      <c r="HVH216" s="36"/>
      <c r="HVI216" s="36"/>
      <c r="HVJ216" s="36"/>
      <c r="HVK216" s="36"/>
      <c r="HVL216" s="36"/>
      <c r="HVM216" s="36"/>
      <c r="HVN216" s="36"/>
      <c r="HVO216" s="36"/>
      <c r="HVP216" s="36"/>
      <c r="HVQ216" s="36"/>
      <c r="HVR216" s="36"/>
      <c r="HVS216" s="36"/>
      <c r="HVT216" s="36"/>
      <c r="HVU216" s="36"/>
      <c r="HVV216" s="36"/>
      <c r="HVW216" s="36"/>
      <c r="HVX216" s="36"/>
      <c r="HVY216" s="36"/>
      <c r="HVZ216" s="36"/>
      <c r="HWA216" s="36"/>
      <c r="HWB216" s="36"/>
      <c r="HWC216" s="36"/>
      <c r="HWD216" s="36"/>
      <c r="HWE216" s="36"/>
      <c r="HWF216" s="36"/>
      <c r="HWG216" s="36"/>
      <c r="HWH216" s="36"/>
      <c r="HWI216" s="36"/>
      <c r="HWJ216" s="36"/>
      <c r="HWK216" s="36"/>
      <c r="HWL216" s="36"/>
      <c r="HWM216" s="36"/>
      <c r="HWN216" s="36"/>
      <c r="HWO216" s="36"/>
      <c r="HWP216" s="36"/>
      <c r="HWQ216" s="36"/>
      <c r="HWR216" s="36"/>
      <c r="HWS216" s="36"/>
      <c r="HWT216" s="36"/>
      <c r="HWU216" s="36"/>
      <c r="HWV216" s="36"/>
      <c r="HWW216" s="36"/>
      <c r="HWX216" s="36"/>
      <c r="HWY216" s="36"/>
      <c r="HWZ216" s="36"/>
      <c r="HXA216" s="36"/>
      <c r="HXB216" s="36"/>
      <c r="HXC216" s="36"/>
      <c r="HXD216" s="36"/>
      <c r="HXE216" s="36"/>
      <c r="HXF216" s="36"/>
      <c r="HXG216" s="36"/>
      <c r="HXH216" s="36"/>
      <c r="HXI216" s="36"/>
      <c r="HXJ216" s="36"/>
      <c r="HXK216" s="36"/>
      <c r="HXL216" s="36"/>
      <c r="HXM216" s="36"/>
      <c r="HXN216" s="36"/>
      <c r="HXO216" s="36"/>
      <c r="HXP216" s="36"/>
      <c r="HXQ216" s="36"/>
      <c r="HXR216" s="36"/>
      <c r="HXS216" s="36"/>
      <c r="HXT216" s="36"/>
      <c r="HXU216" s="36"/>
      <c r="HXV216" s="36"/>
      <c r="HXW216" s="36"/>
      <c r="HXX216" s="36"/>
      <c r="HXY216" s="36"/>
      <c r="HXZ216" s="36"/>
      <c r="HYA216" s="36"/>
      <c r="HYB216" s="36"/>
      <c r="HYC216" s="36"/>
      <c r="HYD216" s="36"/>
      <c r="HYE216" s="36"/>
      <c r="HYF216" s="36"/>
      <c r="HYG216" s="36"/>
      <c r="HYH216" s="36"/>
      <c r="HYI216" s="36"/>
      <c r="HYJ216" s="36"/>
      <c r="HYK216" s="36"/>
      <c r="HYL216" s="36"/>
      <c r="HYM216" s="36"/>
      <c r="HYN216" s="36"/>
      <c r="HYO216" s="36"/>
      <c r="HYP216" s="36"/>
      <c r="HYQ216" s="36"/>
      <c r="HYR216" s="36"/>
      <c r="HYS216" s="36"/>
      <c r="HYT216" s="36"/>
      <c r="HYU216" s="36"/>
      <c r="HYV216" s="36"/>
      <c r="HYW216" s="36"/>
      <c r="HYX216" s="36"/>
      <c r="HYY216" s="36"/>
      <c r="HYZ216" s="36"/>
      <c r="HZA216" s="36"/>
      <c r="HZB216" s="36"/>
      <c r="HZC216" s="36"/>
      <c r="HZD216" s="36"/>
      <c r="HZE216" s="36"/>
      <c r="HZF216" s="36"/>
      <c r="HZG216" s="36"/>
      <c r="HZH216" s="36"/>
      <c r="HZI216" s="36"/>
      <c r="HZJ216" s="36"/>
      <c r="HZK216" s="36"/>
      <c r="HZL216" s="36"/>
      <c r="HZM216" s="36"/>
      <c r="HZN216" s="36"/>
      <c r="HZO216" s="36"/>
      <c r="HZP216" s="36"/>
      <c r="HZQ216" s="36"/>
      <c r="HZR216" s="36"/>
      <c r="HZS216" s="36"/>
      <c r="HZT216" s="36"/>
      <c r="HZU216" s="36"/>
      <c r="HZV216" s="36"/>
      <c r="HZW216" s="36"/>
      <c r="HZX216" s="36"/>
      <c r="HZY216" s="36"/>
      <c r="HZZ216" s="36"/>
      <c r="IAA216" s="36"/>
      <c r="IAB216" s="36"/>
      <c r="IAC216" s="36"/>
      <c r="IAD216" s="36"/>
      <c r="IAE216" s="36"/>
      <c r="IAF216" s="36"/>
      <c r="IAG216" s="36"/>
      <c r="IAH216" s="36"/>
      <c r="IAI216" s="36"/>
      <c r="IAJ216" s="36"/>
      <c r="IAK216" s="36"/>
      <c r="IAL216" s="36"/>
      <c r="IAM216" s="36"/>
      <c r="IAN216" s="36"/>
      <c r="IAO216" s="36"/>
      <c r="IAP216" s="36"/>
      <c r="IAQ216" s="36"/>
      <c r="IAR216" s="36"/>
      <c r="IAS216" s="36"/>
      <c r="IAT216" s="36"/>
      <c r="IAU216" s="36"/>
      <c r="IAV216" s="36"/>
      <c r="IAW216" s="36"/>
      <c r="IAX216" s="36"/>
      <c r="IAY216" s="36"/>
      <c r="IAZ216" s="36"/>
      <c r="IBA216" s="36"/>
      <c r="IBB216" s="36"/>
      <c r="IBC216" s="36"/>
      <c r="IBD216" s="36"/>
      <c r="IBE216" s="36"/>
      <c r="IBF216" s="36"/>
      <c r="IBG216" s="36"/>
      <c r="IBH216" s="36"/>
      <c r="IBI216" s="36"/>
      <c r="IBJ216" s="36"/>
      <c r="IBK216" s="36"/>
      <c r="IBL216" s="36"/>
      <c r="IBM216" s="36"/>
      <c r="IBN216" s="36"/>
      <c r="IBO216" s="36"/>
      <c r="IBP216" s="36"/>
      <c r="IBQ216" s="36"/>
      <c r="IBR216" s="36"/>
      <c r="IBS216" s="36"/>
      <c r="IBT216" s="36"/>
      <c r="IBU216" s="36"/>
      <c r="IBV216" s="36"/>
      <c r="IBW216" s="36"/>
      <c r="IBX216" s="36"/>
      <c r="IBY216" s="36"/>
      <c r="IBZ216" s="36"/>
      <c r="ICA216" s="36"/>
      <c r="ICB216" s="36"/>
      <c r="ICC216" s="36"/>
      <c r="ICD216" s="36"/>
      <c r="ICE216" s="36"/>
      <c r="ICF216" s="36"/>
      <c r="ICG216" s="36"/>
      <c r="ICH216" s="36"/>
      <c r="ICI216" s="36"/>
      <c r="ICJ216" s="36"/>
      <c r="ICK216" s="36"/>
      <c r="ICL216" s="36"/>
      <c r="ICM216" s="36"/>
      <c r="ICN216" s="36"/>
      <c r="ICO216" s="36"/>
      <c r="ICP216" s="36"/>
      <c r="ICQ216" s="36"/>
      <c r="ICR216" s="36"/>
      <c r="ICS216" s="36"/>
      <c r="ICT216" s="36"/>
      <c r="ICU216" s="36"/>
      <c r="ICV216" s="36"/>
      <c r="ICW216" s="36"/>
      <c r="ICX216" s="36"/>
      <c r="ICY216" s="36"/>
      <c r="ICZ216" s="36"/>
      <c r="IDA216" s="36"/>
      <c r="IDB216" s="36"/>
      <c r="IDC216" s="36"/>
      <c r="IDD216" s="36"/>
      <c r="IDE216" s="36"/>
      <c r="IDF216" s="36"/>
      <c r="IDG216" s="36"/>
      <c r="IDH216" s="36"/>
      <c r="IDI216" s="36"/>
      <c r="IDJ216" s="36"/>
      <c r="IDK216" s="36"/>
      <c r="IDL216" s="36"/>
      <c r="IDM216" s="36"/>
      <c r="IDN216" s="36"/>
      <c r="IDO216" s="36"/>
      <c r="IDP216" s="36"/>
      <c r="IDQ216" s="36"/>
      <c r="IDR216" s="36"/>
      <c r="IDS216" s="36"/>
      <c r="IDT216" s="36"/>
      <c r="IDU216" s="36"/>
      <c r="IDV216" s="36"/>
      <c r="IDW216" s="36"/>
      <c r="IDX216" s="36"/>
      <c r="IDY216" s="36"/>
      <c r="IDZ216" s="36"/>
      <c r="IEA216" s="36"/>
      <c r="IEB216" s="36"/>
      <c r="IEC216" s="36"/>
      <c r="IED216" s="36"/>
      <c r="IEE216" s="36"/>
      <c r="IEF216" s="36"/>
      <c r="IEG216" s="36"/>
      <c r="IEH216" s="36"/>
      <c r="IEI216" s="36"/>
      <c r="IEJ216" s="36"/>
      <c r="IEK216" s="36"/>
      <c r="IEL216" s="36"/>
      <c r="IEM216" s="36"/>
      <c r="IEN216" s="36"/>
      <c r="IEO216" s="36"/>
      <c r="IEP216" s="36"/>
      <c r="IEQ216" s="36"/>
      <c r="IER216" s="36"/>
      <c r="IES216" s="36"/>
      <c r="IET216" s="36"/>
      <c r="IEU216" s="36"/>
      <c r="IEV216" s="36"/>
      <c r="IEW216" s="36"/>
      <c r="IEX216" s="36"/>
      <c r="IEY216" s="36"/>
      <c r="IEZ216" s="36"/>
      <c r="IFA216" s="36"/>
      <c r="IFB216" s="36"/>
      <c r="IFC216" s="36"/>
      <c r="IFD216" s="36"/>
      <c r="IFE216" s="36"/>
      <c r="IFF216" s="36"/>
      <c r="IFG216" s="36"/>
      <c r="IFH216" s="36"/>
      <c r="IFI216" s="36"/>
      <c r="IFJ216" s="36"/>
      <c r="IFK216" s="36"/>
      <c r="IFL216" s="36"/>
      <c r="IFM216" s="36"/>
      <c r="IFN216" s="36"/>
      <c r="IFO216" s="36"/>
      <c r="IFP216" s="36"/>
      <c r="IFQ216" s="36"/>
      <c r="IFR216" s="36"/>
      <c r="IFS216" s="36"/>
      <c r="IFT216" s="36"/>
      <c r="IFU216" s="36"/>
      <c r="IFV216" s="36"/>
      <c r="IFW216" s="36"/>
      <c r="IFX216" s="36"/>
      <c r="IFY216" s="36"/>
      <c r="IFZ216" s="36"/>
      <c r="IGA216" s="36"/>
      <c r="IGB216" s="36"/>
      <c r="IGC216" s="36"/>
      <c r="IGD216" s="36"/>
      <c r="IGE216" s="36"/>
      <c r="IGF216" s="36"/>
      <c r="IGG216" s="36"/>
      <c r="IGH216" s="36"/>
      <c r="IGI216" s="36"/>
      <c r="IGJ216" s="36"/>
      <c r="IGK216" s="36"/>
      <c r="IGL216" s="36"/>
      <c r="IGM216" s="36"/>
      <c r="IGN216" s="36"/>
      <c r="IGO216" s="36"/>
      <c r="IGP216" s="36"/>
      <c r="IGQ216" s="36"/>
      <c r="IGR216" s="36"/>
      <c r="IGS216" s="36"/>
      <c r="IGT216" s="36"/>
      <c r="IGU216" s="36"/>
      <c r="IGV216" s="36"/>
      <c r="IGW216" s="36"/>
      <c r="IGX216" s="36"/>
      <c r="IGY216" s="36"/>
      <c r="IGZ216" s="36"/>
      <c r="IHA216" s="36"/>
      <c r="IHB216" s="36"/>
      <c r="IHC216" s="36"/>
      <c r="IHD216" s="36"/>
      <c r="IHE216" s="36"/>
      <c r="IHF216" s="36"/>
      <c r="IHG216" s="36"/>
      <c r="IHH216" s="36"/>
      <c r="IHI216" s="36"/>
      <c r="IHJ216" s="36"/>
      <c r="IHK216" s="36"/>
      <c r="IHL216" s="36"/>
      <c r="IHM216" s="36"/>
      <c r="IHN216" s="36"/>
      <c r="IHO216" s="36"/>
      <c r="IHP216" s="36"/>
      <c r="IHQ216" s="36"/>
      <c r="IHR216" s="36"/>
      <c r="IHS216" s="36"/>
      <c r="IHT216" s="36"/>
      <c r="IHU216" s="36"/>
      <c r="IHV216" s="36"/>
      <c r="IHW216" s="36"/>
      <c r="IHX216" s="36"/>
      <c r="IHY216" s="36"/>
      <c r="IHZ216" s="36"/>
      <c r="IIA216" s="36"/>
      <c r="IIB216" s="36"/>
      <c r="IIC216" s="36"/>
      <c r="IID216" s="36"/>
      <c r="IIE216" s="36"/>
      <c r="IIF216" s="36"/>
      <c r="IIG216" s="36"/>
      <c r="IIH216" s="36"/>
      <c r="III216" s="36"/>
      <c r="IIJ216" s="36"/>
      <c r="IIK216" s="36"/>
      <c r="IIL216" s="36"/>
      <c r="IIM216" s="36"/>
      <c r="IIN216" s="36"/>
      <c r="IIO216" s="36"/>
      <c r="IIP216" s="36"/>
      <c r="IIQ216" s="36"/>
      <c r="IIR216" s="36"/>
      <c r="IIS216" s="36"/>
      <c r="IIT216" s="36"/>
      <c r="IIU216" s="36"/>
      <c r="IIV216" s="36"/>
      <c r="IIW216" s="36"/>
      <c r="IIX216" s="36"/>
      <c r="IIY216" s="36"/>
      <c r="IIZ216" s="36"/>
      <c r="IJA216" s="36"/>
      <c r="IJB216" s="36"/>
      <c r="IJC216" s="36"/>
      <c r="IJD216" s="36"/>
      <c r="IJE216" s="36"/>
      <c r="IJF216" s="36"/>
      <c r="IJG216" s="36"/>
      <c r="IJH216" s="36"/>
      <c r="IJI216" s="36"/>
      <c r="IJJ216" s="36"/>
      <c r="IJK216" s="36"/>
      <c r="IJL216" s="36"/>
      <c r="IJM216" s="36"/>
      <c r="IJN216" s="36"/>
      <c r="IJO216" s="36"/>
      <c r="IJP216" s="36"/>
      <c r="IJQ216" s="36"/>
      <c r="IJR216" s="36"/>
      <c r="IJS216" s="36"/>
      <c r="IJT216" s="36"/>
      <c r="IJU216" s="36"/>
      <c r="IJV216" s="36"/>
      <c r="IJW216" s="36"/>
      <c r="IJX216" s="36"/>
      <c r="IJY216" s="36"/>
      <c r="IJZ216" s="36"/>
      <c r="IKA216" s="36"/>
      <c r="IKB216" s="36"/>
      <c r="IKC216" s="36"/>
      <c r="IKD216" s="36"/>
      <c r="IKE216" s="36"/>
      <c r="IKF216" s="36"/>
      <c r="IKG216" s="36"/>
      <c r="IKH216" s="36"/>
      <c r="IKI216" s="36"/>
      <c r="IKJ216" s="36"/>
      <c r="IKK216" s="36"/>
      <c r="IKL216" s="36"/>
      <c r="IKM216" s="36"/>
      <c r="IKN216" s="36"/>
      <c r="IKO216" s="36"/>
      <c r="IKP216" s="36"/>
      <c r="IKQ216" s="36"/>
      <c r="IKR216" s="36"/>
      <c r="IKS216" s="36"/>
      <c r="IKT216" s="36"/>
      <c r="IKU216" s="36"/>
      <c r="IKV216" s="36"/>
      <c r="IKW216" s="36"/>
      <c r="IKX216" s="36"/>
      <c r="IKY216" s="36"/>
      <c r="IKZ216" s="36"/>
      <c r="ILA216" s="36"/>
      <c r="ILB216" s="36"/>
      <c r="ILC216" s="36"/>
      <c r="ILD216" s="36"/>
      <c r="ILE216" s="36"/>
      <c r="ILF216" s="36"/>
      <c r="ILG216" s="36"/>
      <c r="ILH216" s="36"/>
      <c r="ILI216" s="36"/>
      <c r="ILJ216" s="36"/>
      <c r="ILK216" s="36"/>
      <c r="ILL216" s="36"/>
      <c r="ILM216" s="36"/>
      <c r="ILN216" s="36"/>
      <c r="ILO216" s="36"/>
      <c r="ILP216" s="36"/>
      <c r="ILQ216" s="36"/>
      <c r="ILR216" s="36"/>
      <c r="ILS216" s="36"/>
      <c r="ILT216" s="36"/>
      <c r="ILU216" s="36"/>
      <c r="ILV216" s="36"/>
      <c r="ILW216" s="36"/>
      <c r="ILX216" s="36"/>
      <c r="ILY216" s="36"/>
      <c r="ILZ216" s="36"/>
      <c r="IMA216" s="36"/>
      <c r="IMB216" s="36"/>
      <c r="IMC216" s="36"/>
      <c r="IMD216" s="36"/>
      <c r="IME216" s="36"/>
      <c r="IMF216" s="36"/>
      <c r="IMG216" s="36"/>
      <c r="IMH216" s="36"/>
      <c r="IMI216" s="36"/>
      <c r="IMJ216" s="36"/>
      <c r="IMK216" s="36"/>
      <c r="IML216" s="36"/>
      <c r="IMM216" s="36"/>
      <c r="IMN216" s="36"/>
      <c r="IMO216" s="36"/>
      <c r="IMP216" s="36"/>
      <c r="IMQ216" s="36"/>
      <c r="IMR216" s="36"/>
      <c r="IMS216" s="36"/>
      <c r="IMT216" s="36"/>
      <c r="IMU216" s="36"/>
      <c r="IMV216" s="36"/>
      <c r="IMW216" s="36"/>
      <c r="IMX216" s="36"/>
      <c r="IMY216" s="36"/>
      <c r="IMZ216" s="36"/>
      <c r="INA216" s="36"/>
      <c r="INB216" s="36"/>
      <c r="INC216" s="36"/>
      <c r="IND216" s="36"/>
      <c r="INE216" s="36"/>
      <c r="INF216" s="36"/>
      <c r="ING216" s="36"/>
      <c r="INH216" s="36"/>
      <c r="INI216" s="36"/>
      <c r="INJ216" s="36"/>
      <c r="INK216" s="36"/>
      <c r="INL216" s="36"/>
      <c r="INM216" s="36"/>
      <c r="INN216" s="36"/>
      <c r="INO216" s="36"/>
      <c r="INP216" s="36"/>
      <c r="INQ216" s="36"/>
      <c r="INR216" s="36"/>
      <c r="INS216" s="36"/>
      <c r="INT216" s="36"/>
      <c r="INU216" s="36"/>
      <c r="INV216" s="36"/>
      <c r="INW216" s="36"/>
      <c r="INX216" s="36"/>
      <c r="INY216" s="36"/>
      <c r="INZ216" s="36"/>
      <c r="IOA216" s="36"/>
      <c r="IOB216" s="36"/>
      <c r="IOC216" s="36"/>
      <c r="IOD216" s="36"/>
      <c r="IOE216" s="36"/>
      <c r="IOF216" s="36"/>
      <c r="IOG216" s="36"/>
      <c r="IOH216" s="36"/>
      <c r="IOI216" s="36"/>
      <c r="IOJ216" s="36"/>
      <c r="IOK216" s="36"/>
      <c r="IOL216" s="36"/>
      <c r="IOM216" s="36"/>
      <c r="ION216" s="36"/>
      <c r="IOO216" s="36"/>
      <c r="IOP216" s="36"/>
      <c r="IOQ216" s="36"/>
      <c r="IOR216" s="36"/>
      <c r="IOS216" s="36"/>
      <c r="IOT216" s="36"/>
      <c r="IOU216" s="36"/>
      <c r="IOV216" s="36"/>
      <c r="IOW216" s="36"/>
      <c r="IOX216" s="36"/>
      <c r="IOY216" s="36"/>
      <c r="IOZ216" s="36"/>
      <c r="IPA216" s="36"/>
      <c r="IPB216" s="36"/>
      <c r="IPC216" s="36"/>
      <c r="IPD216" s="36"/>
      <c r="IPE216" s="36"/>
      <c r="IPF216" s="36"/>
      <c r="IPG216" s="36"/>
      <c r="IPH216" s="36"/>
      <c r="IPI216" s="36"/>
      <c r="IPJ216" s="36"/>
      <c r="IPK216" s="36"/>
      <c r="IPL216" s="36"/>
      <c r="IPM216" s="36"/>
      <c r="IPN216" s="36"/>
      <c r="IPO216" s="36"/>
      <c r="IPP216" s="36"/>
      <c r="IPQ216" s="36"/>
      <c r="IPR216" s="36"/>
      <c r="IPS216" s="36"/>
      <c r="IPT216" s="36"/>
      <c r="IPU216" s="36"/>
      <c r="IPV216" s="36"/>
      <c r="IPW216" s="36"/>
      <c r="IPX216" s="36"/>
      <c r="IPY216" s="36"/>
      <c r="IPZ216" s="36"/>
      <c r="IQA216" s="36"/>
      <c r="IQB216" s="36"/>
      <c r="IQC216" s="36"/>
      <c r="IQD216" s="36"/>
      <c r="IQE216" s="36"/>
      <c r="IQF216" s="36"/>
      <c r="IQG216" s="36"/>
      <c r="IQH216" s="36"/>
      <c r="IQI216" s="36"/>
      <c r="IQJ216" s="36"/>
      <c r="IQK216" s="36"/>
      <c r="IQL216" s="36"/>
      <c r="IQM216" s="36"/>
      <c r="IQN216" s="36"/>
      <c r="IQO216" s="36"/>
      <c r="IQP216" s="36"/>
      <c r="IQQ216" s="36"/>
      <c r="IQR216" s="36"/>
      <c r="IQS216" s="36"/>
      <c r="IQT216" s="36"/>
      <c r="IQU216" s="36"/>
      <c r="IQV216" s="36"/>
      <c r="IQW216" s="36"/>
      <c r="IQX216" s="36"/>
      <c r="IQY216" s="36"/>
      <c r="IQZ216" s="36"/>
      <c r="IRA216" s="36"/>
      <c r="IRB216" s="36"/>
      <c r="IRC216" s="36"/>
      <c r="IRD216" s="36"/>
      <c r="IRE216" s="36"/>
      <c r="IRF216" s="36"/>
      <c r="IRG216" s="36"/>
      <c r="IRH216" s="36"/>
      <c r="IRI216" s="36"/>
      <c r="IRJ216" s="36"/>
      <c r="IRK216" s="36"/>
      <c r="IRL216" s="36"/>
      <c r="IRM216" s="36"/>
      <c r="IRN216" s="36"/>
      <c r="IRO216" s="36"/>
      <c r="IRP216" s="36"/>
      <c r="IRQ216" s="36"/>
      <c r="IRR216" s="36"/>
      <c r="IRS216" s="36"/>
      <c r="IRT216" s="36"/>
      <c r="IRU216" s="36"/>
      <c r="IRV216" s="36"/>
      <c r="IRW216" s="36"/>
      <c r="IRX216" s="36"/>
      <c r="IRY216" s="36"/>
      <c r="IRZ216" s="36"/>
      <c r="ISA216" s="36"/>
      <c r="ISB216" s="36"/>
      <c r="ISC216" s="36"/>
      <c r="ISD216" s="36"/>
      <c r="ISE216" s="36"/>
      <c r="ISF216" s="36"/>
      <c r="ISG216" s="36"/>
      <c r="ISH216" s="36"/>
      <c r="ISI216" s="36"/>
      <c r="ISJ216" s="36"/>
      <c r="ISK216" s="36"/>
      <c r="ISL216" s="36"/>
      <c r="ISM216" s="36"/>
      <c r="ISN216" s="36"/>
      <c r="ISO216" s="36"/>
      <c r="ISP216" s="36"/>
      <c r="ISQ216" s="36"/>
      <c r="ISR216" s="36"/>
      <c r="ISS216" s="36"/>
      <c r="IST216" s="36"/>
      <c r="ISU216" s="36"/>
      <c r="ISV216" s="36"/>
      <c r="ISW216" s="36"/>
      <c r="ISX216" s="36"/>
      <c r="ISY216" s="36"/>
      <c r="ISZ216" s="36"/>
      <c r="ITA216" s="36"/>
      <c r="ITB216" s="36"/>
      <c r="ITC216" s="36"/>
      <c r="ITD216" s="36"/>
      <c r="ITE216" s="36"/>
      <c r="ITF216" s="36"/>
      <c r="ITG216" s="36"/>
      <c r="ITH216" s="36"/>
      <c r="ITI216" s="36"/>
      <c r="ITJ216" s="36"/>
      <c r="ITK216" s="36"/>
      <c r="ITL216" s="36"/>
      <c r="ITM216" s="36"/>
      <c r="ITN216" s="36"/>
      <c r="ITO216" s="36"/>
      <c r="ITP216" s="36"/>
      <c r="ITQ216" s="36"/>
      <c r="ITR216" s="36"/>
      <c r="ITS216" s="36"/>
      <c r="ITT216" s="36"/>
      <c r="ITU216" s="36"/>
      <c r="ITV216" s="36"/>
      <c r="ITW216" s="36"/>
      <c r="ITX216" s="36"/>
      <c r="ITY216" s="36"/>
      <c r="ITZ216" s="36"/>
      <c r="IUA216" s="36"/>
      <c r="IUB216" s="36"/>
      <c r="IUC216" s="36"/>
      <c r="IUD216" s="36"/>
      <c r="IUE216" s="36"/>
      <c r="IUF216" s="36"/>
      <c r="IUG216" s="36"/>
      <c r="IUH216" s="36"/>
      <c r="IUI216" s="36"/>
      <c r="IUJ216" s="36"/>
      <c r="IUK216" s="36"/>
      <c r="IUL216" s="36"/>
      <c r="IUM216" s="36"/>
      <c r="IUN216" s="36"/>
      <c r="IUO216" s="36"/>
      <c r="IUP216" s="36"/>
      <c r="IUQ216" s="36"/>
      <c r="IUR216" s="36"/>
      <c r="IUS216" s="36"/>
      <c r="IUT216" s="36"/>
      <c r="IUU216" s="36"/>
      <c r="IUV216" s="36"/>
      <c r="IUW216" s="36"/>
      <c r="IUX216" s="36"/>
      <c r="IUY216" s="36"/>
      <c r="IUZ216" s="36"/>
      <c r="IVA216" s="36"/>
      <c r="IVB216" s="36"/>
      <c r="IVC216" s="36"/>
      <c r="IVD216" s="36"/>
      <c r="IVE216" s="36"/>
      <c r="IVF216" s="36"/>
      <c r="IVG216" s="36"/>
      <c r="IVH216" s="36"/>
      <c r="IVI216" s="36"/>
      <c r="IVJ216" s="36"/>
      <c r="IVK216" s="36"/>
      <c r="IVL216" s="36"/>
      <c r="IVM216" s="36"/>
      <c r="IVN216" s="36"/>
      <c r="IVO216" s="36"/>
      <c r="IVP216" s="36"/>
      <c r="IVQ216" s="36"/>
      <c r="IVR216" s="36"/>
      <c r="IVS216" s="36"/>
      <c r="IVT216" s="36"/>
      <c r="IVU216" s="36"/>
      <c r="IVV216" s="36"/>
      <c r="IVW216" s="36"/>
      <c r="IVX216" s="36"/>
      <c r="IVY216" s="36"/>
      <c r="IVZ216" s="36"/>
      <c r="IWA216" s="36"/>
      <c r="IWB216" s="36"/>
      <c r="IWC216" s="36"/>
      <c r="IWD216" s="36"/>
      <c r="IWE216" s="36"/>
      <c r="IWF216" s="36"/>
      <c r="IWG216" s="36"/>
      <c r="IWH216" s="36"/>
      <c r="IWI216" s="36"/>
      <c r="IWJ216" s="36"/>
      <c r="IWK216" s="36"/>
      <c r="IWL216" s="36"/>
      <c r="IWM216" s="36"/>
      <c r="IWN216" s="36"/>
      <c r="IWO216" s="36"/>
      <c r="IWP216" s="36"/>
      <c r="IWQ216" s="36"/>
      <c r="IWR216" s="36"/>
      <c r="IWS216" s="36"/>
      <c r="IWT216" s="36"/>
      <c r="IWU216" s="36"/>
      <c r="IWV216" s="36"/>
      <c r="IWW216" s="36"/>
      <c r="IWX216" s="36"/>
      <c r="IWY216" s="36"/>
      <c r="IWZ216" s="36"/>
      <c r="IXA216" s="36"/>
      <c r="IXB216" s="36"/>
      <c r="IXC216" s="36"/>
      <c r="IXD216" s="36"/>
      <c r="IXE216" s="36"/>
      <c r="IXF216" s="36"/>
      <c r="IXG216" s="36"/>
      <c r="IXH216" s="36"/>
      <c r="IXI216" s="36"/>
      <c r="IXJ216" s="36"/>
      <c r="IXK216" s="36"/>
      <c r="IXL216" s="36"/>
      <c r="IXM216" s="36"/>
      <c r="IXN216" s="36"/>
      <c r="IXO216" s="36"/>
      <c r="IXP216" s="36"/>
      <c r="IXQ216" s="36"/>
      <c r="IXR216" s="36"/>
      <c r="IXS216" s="36"/>
      <c r="IXT216" s="36"/>
      <c r="IXU216" s="36"/>
      <c r="IXV216" s="36"/>
      <c r="IXW216" s="36"/>
      <c r="IXX216" s="36"/>
      <c r="IXY216" s="36"/>
      <c r="IXZ216" s="36"/>
      <c r="IYA216" s="36"/>
      <c r="IYB216" s="36"/>
      <c r="IYC216" s="36"/>
      <c r="IYD216" s="36"/>
      <c r="IYE216" s="36"/>
      <c r="IYF216" s="36"/>
      <c r="IYG216" s="36"/>
      <c r="IYH216" s="36"/>
      <c r="IYI216" s="36"/>
      <c r="IYJ216" s="36"/>
      <c r="IYK216" s="36"/>
      <c r="IYL216" s="36"/>
      <c r="IYM216" s="36"/>
      <c r="IYN216" s="36"/>
      <c r="IYO216" s="36"/>
      <c r="IYP216" s="36"/>
      <c r="IYQ216" s="36"/>
      <c r="IYR216" s="36"/>
      <c r="IYS216" s="36"/>
      <c r="IYT216" s="36"/>
      <c r="IYU216" s="36"/>
      <c r="IYV216" s="36"/>
      <c r="IYW216" s="36"/>
      <c r="IYX216" s="36"/>
      <c r="IYY216" s="36"/>
      <c r="IYZ216" s="36"/>
      <c r="IZA216" s="36"/>
      <c r="IZB216" s="36"/>
      <c r="IZC216" s="36"/>
      <c r="IZD216" s="36"/>
      <c r="IZE216" s="36"/>
      <c r="IZF216" s="36"/>
      <c r="IZG216" s="36"/>
      <c r="IZH216" s="36"/>
      <c r="IZI216" s="36"/>
      <c r="IZJ216" s="36"/>
      <c r="IZK216" s="36"/>
      <c r="IZL216" s="36"/>
      <c r="IZM216" s="36"/>
      <c r="IZN216" s="36"/>
      <c r="IZO216" s="36"/>
      <c r="IZP216" s="36"/>
      <c r="IZQ216" s="36"/>
      <c r="IZR216" s="36"/>
      <c r="IZS216" s="36"/>
      <c r="IZT216" s="36"/>
      <c r="IZU216" s="36"/>
      <c r="IZV216" s="36"/>
      <c r="IZW216" s="36"/>
      <c r="IZX216" s="36"/>
      <c r="IZY216" s="36"/>
      <c r="IZZ216" s="36"/>
      <c r="JAA216" s="36"/>
      <c r="JAB216" s="36"/>
      <c r="JAC216" s="36"/>
      <c r="JAD216" s="36"/>
      <c r="JAE216" s="36"/>
      <c r="JAF216" s="36"/>
      <c r="JAG216" s="36"/>
      <c r="JAH216" s="36"/>
      <c r="JAI216" s="36"/>
      <c r="JAJ216" s="36"/>
      <c r="JAK216" s="36"/>
      <c r="JAL216" s="36"/>
      <c r="JAM216" s="36"/>
      <c r="JAN216" s="36"/>
      <c r="JAO216" s="36"/>
      <c r="JAP216" s="36"/>
      <c r="JAQ216" s="36"/>
      <c r="JAR216" s="36"/>
      <c r="JAS216" s="36"/>
      <c r="JAT216" s="36"/>
      <c r="JAU216" s="36"/>
      <c r="JAV216" s="36"/>
      <c r="JAW216" s="36"/>
      <c r="JAX216" s="36"/>
      <c r="JAY216" s="36"/>
      <c r="JAZ216" s="36"/>
      <c r="JBA216" s="36"/>
      <c r="JBB216" s="36"/>
      <c r="JBC216" s="36"/>
      <c r="JBD216" s="36"/>
      <c r="JBE216" s="36"/>
      <c r="JBF216" s="36"/>
      <c r="JBG216" s="36"/>
      <c r="JBH216" s="36"/>
      <c r="JBI216" s="36"/>
      <c r="JBJ216" s="36"/>
      <c r="JBK216" s="36"/>
      <c r="JBL216" s="36"/>
      <c r="JBM216" s="36"/>
      <c r="JBN216" s="36"/>
      <c r="JBO216" s="36"/>
      <c r="JBP216" s="36"/>
      <c r="JBQ216" s="36"/>
      <c r="JBR216" s="36"/>
      <c r="JBS216" s="36"/>
      <c r="JBT216" s="36"/>
      <c r="JBU216" s="36"/>
      <c r="JBV216" s="36"/>
      <c r="JBW216" s="36"/>
      <c r="JBX216" s="36"/>
      <c r="JBY216" s="36"/>
      <c r="JBZ216" s="36"/>
      <c r="JCA216" s="36"/>
      <c r="JCB216" s="36"/>
      <c r="JCC216" s="36"/>
      <c r="JCD216" s="36"/>
      <c r="JCE216" s="36"/>
      <c r="JCF216" s="36"/>
      <c r="JCG216" s="36"/>
      <c r="JCH216" s="36"/>
      <c r="JCI216" s="36"/>
      <c r="JCJ216" s="36"/>
      <c r="JCK216" s="36"/>
      <c r="JCL216" s="36"/>
      <c r="JCM216" s="36"/>
      <c r="JCN216" s="36"/>
      <c r="JCO216" s="36"/>
      <c r="JCP216" s="36"/>
      <c r="JCQ216" s="36"/>
      <c r="JCR216" s="36"/>
      <c r="JCS216" s="36"/>
      <c r="JCT216" s="36"/>
      <c r="JCU216" s="36"/>
      <c r="JCV216" s="36"/>
      <c r="JCW216" s="36"/>
      <c r="JCX216" s="36"/>
      <c r="JCY216" s="36"/>
      <c r="JCZ216" s="36"/>
      <c r="JDA216" s="36"/>
      <c r="JDB216" s="36"/>
      <c r="JDC216" s="36"/>
      <c r="JDD216" s="36"/>
      <c r="JDE216" s="36"/>
      <c r="JDF216" s="36"/>
      <c r="JDG216" s="36"/>
      <c r="JDH216" s="36"/>
      <c r="JDI216" s="36"/>
      <c r="JDJ216" s="36"/>
      <c r="JDK216" s="36"/>
      <c r="JDL216" s="36"/>
      <c r="JDM216" s="36"/>
      <c r="JDN216" s="36"/>
      <c r="JDO216" s="36"/>
      <c r="JDP216" s="36"/>
      <c r="JDQ216" s="36"/>
      <c r="JDR216" s="36"/>
      <c r="JDS216" s="36"/>
      <c r="JDT216" s="36"/>
      <c r="JDU216" s="36"/>
      <c r="JDV216" s="36"/>
      <c r="JDW216" s="36"/>
      <c r="JDX216" s="36"/>
      <c r="JDY216" s="36"/>
      <c r="JDZ216" s="36"/>
      <c r="JEA216" s="36"/>
      <c r="JEB216" s="36"/>
      <c r="JEC216" s="36"/>
      <c r="JED216" s="36"/>
      <c r="JEE216" s="36"/>
      <c r="JEF216" s="36"/>
      <c r="JEG216" s="36"/>
      <c r="JEH216" s="36"/>
      <c r="JEI216" s="36"/>
      <c r="JEJ216" s="36"/>
      <c r="JEK216" s="36"/>
      <c r="JEL216" s="36"/>
      <c r="JEM216" s="36"/>
      <c r="JEN216" s="36"/>
      <c r="JEO216" s="36"/>
      <c r="JEP216" s="36"/>
      <c r="JEQ216" s="36"/>
      <c r="JER216" s="36"/>
      <c r="JES216" s="36"/>
      <c r="JET216" s="36"/>
      <c r="JEU216" s="36"/>
      <c r="JEV216" s="36"/>
      <c r="JEW216" s="36"/>
      <c r="JEX216" s="36"/>
      <c r="JEY216" s="36"/>
      <c r="JEZ216" s="36"/>
      <c r="JFA216" s="36"/>
      <c r="JFB216" s="36"/>
      <c r="JFC216" s="36"/>
      <c r="JFD216" s="36"/>
      <c r="JFE216" s="36"/>
      <c r="JFF216" s="36"/>
      <c r="JFG216" s="36"/>
      <c r="JFH216" s="36"/>
      <c r="JFI216" s="36"/>
      <c r="JFJ216" s="36"/>
      <c r="JFK216" s="36"/>
      <c r="JFL216" s="36"/>
      <c r="JFM216" s="36"/>
      <c r="JFN216" s="36"/>
      <c r="JFO216" s="36"/>
      <c r="JFP216" s="36"/>
      <c r="JFQ216" s="36"/>
      <c r="JFR216" s="36"/>
      <c r="JFS216" s="36"/>
      <c r="JFT216" s="36"/>
      <c r="JFU216" s="36"/>
      <c r="JFV216" s="36"/>
      <c r="JFW216" s="36"/>
      <c r="JFX216" s="36"/>
      <c r="JFY216" s="36"/>
      <c r="JFZ216" s="36"/>
      <c r="JGA216" s="36"/>
      <c r="JGB216" s="36"/>
      <c r="JGC216" s="36"/>
      <c r="JGD216" s="36"/>
      <c r="JGE216" s="36"/>
      <c r="JGF216" s="36"/>
      <c r="JGG216" s="36"/>
      <c r="JGH216" s="36"/>
      <c r="JGI216" s="36"/>
      <c r="JGJ216" s="36"/>
      <c r="JGK216" s="36"/>
      <c r="JGL216" s="36"/>
      <c r="JGM216" s="36"/>
      <c r="JGN216" s="36"/>
      <c r="JGO216" s="36"/>
      <c r="JGP216" s="36"/>
      <c r="JGQ216" s="36"/>
      <c r="JGR216" s="36"/>
      <c r="JGS216" s="36"/>
      <c r="JGT216" s="36"/>
      <c r="JGU216" s="36"/>
      <c r="JGV216" s="36"/>
      <c r="JGW216" s="36"/>
      <c r="JGX216" s="36"/>
      <c r="JGY216" s="36"/>
      <c r="JGZ216" s="36"/>
      <c r="JHA216" s="36"/>
      <c r="JHB216" s="36"/>
      <c r="JHC216" s="36"/>
      <c r="JHD216" s="36"/>
      <c r="JHE216" s="36"/>
      <c r="JHF216" s="36"/>
      <c r="JHG216" s="36"/>
      <c r="JHH216" s="36"/>
      <c r="JHI216" s="36"/>
      <c r="JHJ216" s="36"/>
      <c r="JHK216" s="36"/>
      <c r="JHL216" s="36"/>
      <c r="JHM216" s="36"/>
      <c r="JHN216" s="36"/>
      <c r="JHO216" s="36"/>
      <c r="JHP216" s="36"/>
      <c r="JHQ216" s="36"/>
      <c r="JHR216" s="36"/>
      <c r="JHS216" s="36"/>
      <c r="JHT216" s="36"/>
      <c r="JHU216" s="36"/>
      <c r="JHV216" s="36"/>
      <c r="JHW216" s="36"/>
      <c r="JHX216" s="36"/>
      <c r="JHY216" s="36"/>
      <c r="JHZ216" s="36"/>
      <c r="JIA216" s="36"/>
      <c r="JIB216" s="36"/>
      <c r="JIC216" s="36"/>
      <c r="JID216" s="36"/>
      <c r="JIE216" s="36"/>
      <c r="JIF216" s="36"/>
      <c r="JIG216" s="36"/>
      <c r="JIH216" s="36"/>
      <c r="JII216" s="36"/>
      <c r="JIJ216" s="36"/>
      <c r="JIK216" s="36"/>
      <c r="JIL216" s="36"/>
      <c r="JIM216" s="36"/>
      <c r="JIN216" s="36"/>
      <c r="JIO216" s="36"/>
      <c r="JIP216" s="36"/>
      <c r="JIQ216" s="36"/>
      <c r="JIR216" s="36"/>
      <c r="JIS216" s="36"/>
      <c r="JIT216" s="36"/>
      <c r="JIU216" s="36"/>
      <c r="JIV216" s="36"/>
      <c r="JIW216" s="36"/>
      <c r="JIX216" s="36"/>
      <c r="JIY216" s="36"/>
      <c r="JIZ216" s="36"/>
      <c r="JJA216" s="36"/>
      <c r="JJB216" s="36"/>
      <c r="JJC216" s="36"/>
      <c r="JJD216" s="36"/>
      <c r="JJE216" s="36"/>
      <c r="JJF216" s="36"/>
      <c r="JJG216" s="36"/>
      <c r="JJH216" s="36"/>
      <c r="JJI216" s="36"/>
      <c r="JJJ216" s="36"/>
      <c r="JJK216" s="36"/>
      <c r="JJL216" s="36"/>
      <c r="JJM216" s="36"/>
      <c r="JJN216" s="36"/>
      <c r="JJO216" s="36"/>
      <c r="JJP216" s="36"/>
      <c r="JJQ216" s="36"/>
      <c r="JJR216" s="36"/>
      <c r="JJS216" s="36"/>
      <c r="JJT216" s="36"/>
      <c r="JJU216" s="36"/>
      <c r="JJV216" s="36"/>
      <c r="JJW216" s="36"/>
      <c r="JJX216" s="36"/>
      <c r="JJY216" s="36"/>
      <c r="JJZ216" s="36"/>
      <c r="JKA216" s="36"/>
      <c r="JKB216" s="36"/>
      <c r="JKC216" s="36"/>
      <c r="JKD216" s="36"/>
      <c r="JKE216" s="36"/>
      <c r="JKF216" s="36"/>
      <c r="JKG216" s="36"/>
      <c r="JKH216" s="36"/>
      <c r="JKI216" s="36"/>
      <c r="JKJ216" s="36"/>
      <c r="JKK216" s="36"/>
      <c r="JKL216" s="36"/>
      <c r="JKM216" s="36"/>
      <c r="JKN216" s="36"/>
      <c r="JKO216" s="36"/>
      <c r="JKP216" s="36"/>
      <c r="JKQ216" s="36"/>
      <c r="JKR216" s="36"/>
      <c r="JKS216" s="36"/>
      <c r="JKT216" s="36"/>
      <c r="JKU216" s="36"/>
      <c r="JKV216" s="36"/>
      <c r="JKW216" s="36"/>
      <c r="JKX216" s="36"/>
      <c r="JKY216" s="36"/>
      <c r="JKZ216" s="36"/>
      <c r="JLA216" s="36"/>
      <c r="JLB216" s="36"/>
      <c r="JLC216" s="36"/>
      <c r="JLD216" s="36"/>
      <c r="JLE216" s="36"/>
      <c r="JLF216" s="36"/>
      <c r="JLG216" s="36"/>
      <c r="JLH216" s="36"/>
      <c r="JLI216" s="36"/>
      <c r="JLJ216" s="36"/>
      <c r="JLK216" s="36"/>
      <c r="JLL216" s="36"/>
      <c r="JLM216" s="36"/>
      <c r="JLN216" s="36"/>
      <c r="JLO216" s="36"/>
      <c r="JLP216" s="36"/>
      <c r="JLQ216" s="36"/>
      <c r="JLR216" s="36"/>
      <c r="JLS216" s="36"/>
      <c r="JLT216" s="36"/>
      <c r="JLU216" s="36"/>
      <c r="JLV216" s="36"/>
      <c r="JLW216" s="36"/>
      <c r="JLX216" s="36"/>
      <c r="JLY216" s="36"/>
      <c r="JLZ216" s="36"/>
      <c r="JMA216" s="36"/>
      <c r="JMB216" s="36"/>
      <c r="JMC216" s="36"/>
      <c r="JMD216" s="36"/>
      <c r="JME216" s="36"/>
      <c r="JMF216" s="36"/>
      <c r="JMG216" s="36"/>
      <c r="JMH216" s="36"/>
      <c r="JMI216" s="36"/>
      <c r="JMJ216" s="36"/>
      <c r="JMK216" s="36"/>
      <c r="JML216" s="36"/>
      <c r="JMM216" s="36"/>
      <c r="JMN216" s="36"/>
      <c r="JMO216" s="36"/>
      <c r="JMP216" s="36"/>
      <c r="JMQ216" s="36"/>
      <c r="JMR216" s="36"/>
      <c r="JMS216" s="36"/>
      <c r="JMT216" s="36"/>
      <c r="JMU216" s="36"/>
      <c r="JMV216" s="36"/>
      <c r="JMW216" s="36"/>
      <c r="JMX216" s="36"/>
      <c r="JMY216" s="36"/>
      <c r="JMZ216" s="36"/>
      <c r="JNA216" s="36"/>
      <c r="JNB216" s="36"/>
      <c r="JNC216" s="36"/>
      <c r="JND216" s="36"/>
      <c r="JNE216" s="36"/>
      <c r="JNF216" s="36"/>
      <c r="JNG216" s="36"/>
      <c r="JNH216" s="36"/>
      <c r="JNI216" s="36"/>
      <c r="JNJ216" s="36"/>
      <c r="JNK216" s="36"/>
      <c r="JNL216" s="36"/>
      <c r="JNM216" s="36"/>
      <c r="JNN216" s="36"/>
      <c r="JNO216" s="36"/>
      <c r="JNP216" s="36"/>
      <c r="JNQ216" s="36"/>
      <c r="JNR216" s="36"/>
      <c r="JNS216" s="36"/>
      <c r="JNT216" s="36"/>
      <c r="JNU216" s="36"/>
      <c r="JNV216" s="36"/>
      <c r="JNW216" s="36"/>
      <c r="JNX216" s="36"/>
      <c r="JNY216" s="36"/>
      <c r="JNZ216" s="36"/>
      <c r="JOA216" s="36"/>
      <c r="JOB216" s="36"/>
      <c r="JOC216" s="36"/>
      <c r="JOD216" s="36"/>
      <c r="JOE216" s="36"/>
      <c r="JOF216" s="36"/>
      <c r="JOG216" s="36"/>
      <c r="JOH216" s="36"/>
      <c r="JOI216" s="36"/>
      <c r="JOJ216" s="36"/>
      <c r="JOK216" s="36"/>
      <c r="JOL216" s="36"/>
      <c r="JOM216" s="36"/>
      <c r="JON216" s="36"/>
      <c r="JOO216" s="36"/>
      <c r="JOP216" s="36"/>
      <c r="JOQ216" s="36"/>
      <c r="JOR216" s="36"/>
      <c r="JOS216" s="36"/>
      <c r="JOT216" s="36"/>
      <c r="JOU216" s="36"/>
      <c r="JOV216" s="36"/>
      <c r="JOW216" s="36"/>
      <c r="JOX216" s="36"/>
      <c r="JOY216" s="36"/>
      <c r="JOZ216" s="36"/>
      <c r="JPA216" s="36"/>
      <c r="JPB216" s="36"/>
      <c r="JPC216" s="36"/>
      <c r="JPD216" s="36"/>
      <c r="JPE216" s="36"/>
      <c r="JPF216" s="36"/>
      <c r="JPG216" s="36"/>
      <c r="JPH216" s="36"/>
      <c r="JPI216" s="36"/>
      <c r="JPJ216" s="36"/>
      <c r="JPK216" s="36"/>
      <c r="JPL216" s="36"/>
      <c r="JPM216" s="36"/>
      <c r="JPN216" s="36"/>
      <c r="JPO216" s="36"/>
      <c r="JPP216" s="36"/>
      <c r="JPQ216" s="36"/>
      <c r="JPR216" s="36"/>
      <c r="JPS216" s="36"/>
      <c r="JPT216" s="36"/>
      <c r="JPU216" s="36"/>
      <c r="JPV216" s="36"/>
      <c r="JPW216" s="36"/>
      <c r="JPX216" s="36"/>
      <c r="JPY216" s="36"/>
      <c r="JPZ216" s="36"/>
      <c r="JQA216" s="36"/>
      <c r="JQB216" s="36"/>
      <c r="JQC216" s="36"/>
      <c r="JQD216" s="36"/>
      <c r="JQE216" s="36"/>
      <c r="JQF216" s="36"/>
      <c r="JQG216" s="36"/>
      <c r="JQH216" s="36"/>
      <c r="JQI216" s="36"/>
      <c r="JQJ216" s="36"/>
      <c r="JQK216" s="36"/>
      <c r="JQL216" s="36"/>
      <c r="JQM216" s="36"/>
      <c r="JQN216" s="36"/>
      <c r="JQO216" s="36"/>
      <c r="JQP216" s="36"/>
      <c r="JQQ216" s="36"/>
      <c r="JQR216" s="36"/>
      <c r="JQS216" s="36"/>
      <c r="JQT216" s="36"/>
      <c r="JQU216" s="36"/>
      <c r="JQV216" s="36"/>
      <c r="JQW216" s="36"/>
      <c r="JQX216" s="36"/>
      <c r="JQY216" s="36"/>
      <c r="JQZ216" s="36"/>
      <c r="JRA216" s="36"/>
      <c r="JRB216" s="36"/>
      <c r="JRC216" s="36"/>
      <c r="JRD216" s="36"/>
      <c r="JRE216" s="36"/>
      <c r="JRF216" s="36"/>
      <c r="JRG216" s="36"/>
      <c r="JRH216" s="36"/>
      <c r="JRI216" s="36"/>
      <c r="JRJ216" s="36"/>
      <c r="JRK216" s="36"/>
      <c r="JRL216" s="36"/>
      <c r="JRM216" s="36"/>
      <c r="JRN216" s="36"/>
      <c r="JRO216" s="36"/>
      <c r="JRP216" s="36"/>
      <c r="JRQ216" s="36"/>
      <c r="JRR216" s="36"/>
      <c r="JRS216" s="36"/>
      <c r="JRT216" s="36"/>
      <c r="JRU216" s="36"/>
      <c r="JRV216" s="36"/>
      <c r="JRW216" s="36"/>
      <c r="JRX216" s="36"/>
      <c r="JRY216" s="36"/>
      <c r="JRZ216" s="36"/>
      <c r="JSA216" s="36"/>
      <c r="JSB216" s="36"/>
      <c r="JSC216" s="36"/>
      <c r="JSD216" s="36"/>
      <c r="JSE216" s="36"/>
      <c r="JSF216" s="36"/>
      <c r="JSG216" s="36"/>
      <c r="JSH216" s="36"/>
      <c r="JSI216" s="36"/>
      <c r="JSJ216" s="36"/>
      <c r="JSK216" s="36"/>
      <c r="JSL216" s="36"/>
      <c r="JSM216" s="36"/>
      <c r="JSN216" s="36"/>
      <c r="JSO216" s="36"/>
      <c r="JSP216" s="36"/>
      <c r="JSQ216" s="36"/>
      <c r="JSR216" s="36"/>
      <c r="JSS216" s="36"/>
      <c r="JST216" s="36"/>
      <c r="JSU216" s="36"/>
      <c r="JSV216" s="36"/>
      <c r="JSW216" s="36"/>
      <c r="JSX216" s="36"/>
      <c r="JSY216" s="36"/>
      <c r="JSZ216" s="36"/>
      <c r="JTA216" s="36"/>
      <c r="JTB216" s="36"/>
      <c r="JTC216" s="36"/>
      <c r="JTD216" s="36"/>
      <c r="JTE216" s="36"/>
      <c r="JTF216" s="36"/>
      <c r="JTG216" s="36"/>
      <c r="JTH216" s="36"/>
      <c r="JTI216" s="36"/>
      <c r="JTJ216" s="36"/>
      <c r="JTK216" s="36"/>
      <c r="JTL216" s="36"/>
      <c r="JTM216" s="36"/>
      <c r="JTN216" s="36"/>
      <c r="JTO216" s="36"/>
      <c r="JTP216" s="36"/>
      <c r="JTQ216" s="36"/>
      <c r="JTR216" s="36"/>
      <c r="JTS216" s="36"/>
      <c r="JTT216" s="36"/>
      <c r="JTU216" s="36"/>
      <c r="JTV216" s="36"/>
      <c r="JTW216" s="36"/>
      <c r="JTX216" s="36"/>
      <c r="JTY216" s="36"/>
      <c r="JTZ216" s="36"/>
      <c r="JUA216" s="36"/>
      <c r="JUB216" s="36"/>
      <c r="JUC216" s="36"/>
      <c r="JUD216" s="36"/>
      <c r="JUE216" s="36"/>
      <c r="JUF216" s="36"/>
      <c r="JUG216" s="36"/>
      <c r="JUH216" s="36"/>
      <c r="JUI216" s="36"/>
      <c r="JUJ216" s="36"/>
      <c r="JUK216" s="36"/>
      <c r="JUL216" s="36"/>
      <c r="JUM216" s="36"/>
      <c r="JUN216" s="36"/>
      <c r="JUO216" s="36"/>
      <c r="JUP216" s="36"/>
      <c r="JUQ216" s="36"/>
      <c r="JUR216" s="36"/>
      <c r="JUS216" s="36"/>
      <c r="JUT216" s="36"/>
      <c r="JUU216" s="36"/>
      <c r="JUV216" s="36"/>
      <c r="JUW216" s="36"/>
      <c r="JUX216" s="36"/>
      <c r="JUY216" s="36"/>
      <c r="JUZ216" s="36"/>
      <c r="JVA216" s="36"/>
      <c r="JVB216" s="36"/>
      <c r="JVC216" s="36"/>
      <c r="JVD216" s="36"/>
      <c r="JVE216" s="36"/>
      <c r="JVF216" s="36"/>
      <c r="JVG216" s="36"/>
      <c r="JVH216" s="36"/>
      <c r="JVI216" s="36"/>
      <c r="JVJ216" s="36"/>
      <c r="JVK216" s="36"/>
      <c r="JVL216" s="36"/>
      <c r="JVM216" s="36"/>
      <c r="JVN216" s="36"/>
      <c r="JVO216" s="36"/>
      <c r="JVP216" s="36"/>
      <c r="JVQ216" s="36"/>
      <c r="JVR216" s="36"/>
      <c r="JVS216" s="36"/>
      <c r="JVT216" s="36"/>
      <c r="JVU216" s="36"/>
      <c r="JVV216" s="36"/>
      <c r="JVW216" s="36"/>
      <c r="JVX216" s="36"/>
      <c r="JVY216" s="36"/>
      <c r="JVZ216" s="36"/>
      <c r="JWA216" s="36"/>
      <c r="JWB216" s="36"/>
      <c r="JWC216" s="36"/>
      <c r="JWD216" s="36"/>
      <c r="JWE216" s="36"/>
      <c r="JWF216" s="36"/>
      <c r="JWG216" s="36"/>
      <c r="JWH216" s="36"/>
      <c r="JWI216" s="36"/>
      <c r="JWJ216" s="36"/>
      <c r="JWK216" s="36"/>
      <c r="JWL216" s="36"/>
      <c r="JWM216" s="36"/>
      <c r="JWN216" s="36"/>
      <c r="JWO216" s="36"/>
      <c r="JWP216" s="36"/>
      <c r="JWQ216" s="36"/>
      <c r="JWR216" s="36"/>
      <c r="JWS216" s="36"/>
      <c r="JWT216" s="36"/>
      <c r="JWU216" s="36"/>
      <c r="JWV216" s="36"/>
      <c r="JWW216" s="36"/>
      <c r="JWX216" s="36"/>
      <c r="JWY216" s="36"/>
      <c r="JWZ216" s="36"/>
      <c r="JXA216" s="36"/>
      <c r="JXB216" s="36"/>
      <c r="JXC216" s="36"/>
      <c r="JXD216" s="36"/>
      <c r="JXE216" s="36"/>
      <c r="JXF216" s="36"/>
      <c r="JXG216" s="36"/>
      <c r="JXH216" s="36"/>
      <c r="JXI216" s="36"/>
      <c r="JXJ216" s="36"/>
      <c r="JXK216" s="36"/>
      <c r="JXL216" s="36"/>
      <c r="JXM216" s="36"/>
      <c r="JXN216" s="36"/>
      <c r="JXO216" s="36"/>
      <c r="JXP216" s="36"/>
      <c r="JXQ216" s="36"/>
      <c r="JXR216" s="36"/>
      <c r="JXS216" s="36"/>
      <c r="JXT216" s="36"/>
      <c r="JXU216" s="36"/>
      <c r="JXV216" s="36"/>
      <c r="JXW216" s="36"/>
      <c r="JXX216" s="36"/>
      <c r="JXY216" s="36"/>
      <c r="JXZ216" s="36"/>
      <c r="JYA216" s="36"/>
      <c r="JYB216" s="36"/>
      <c r="JYC216" s="36"/>
      <c r="JYD216" s="36"/>
      <c r="JYE216" s="36"/>
      <c r="JYF216" s="36"/>
      <c r="JYG216" s="36"/>
      <c r="JYH216" s="36"/>
      <c r="JYI216" s="36"/>
      <c r="JYJ216" s="36"/>
      <c r="JYK216" s="36"/>
      <c r="JYL216" s="36"/>
      <c r="JYM216" s="36"/>
      <c r="JYN216" s="36"/>
      <c r="JYO216" s="36"/>
      <c r="JYP216" s="36"/>
      <c r="JYQ216" s="36"/>
      <c r="JYR216" s="36"/>
      <c r="JYS216" s="36"/>
      <c r="JYT216" s="36"/>
      <c r="JYU216" s="36"/>
      <c r="JYV216" s="36"/>
      <c r="JYW216" s="36"/>
      <c r="JYX216" s="36"/>
      <c r="JYY216" s="36"/>
      <c r="JYZ216" s="36"/>
      <c r="JZA216" s="36"/>
      <c r="JZB216" s="36"/>
      <c r="JZC216" s="36"/>
      <c r="JZD216" s="36"/>
      <c r="JZE216" s="36"/>
      <c r="JZF216" s="36"/>
      <c r="JZG216" s="36"/>
      <c r="JZH216" s="36"/>
      <c r="JZI216" s="36"/>
      <c r="JZJ216" s="36"/>
      <c r="JZK216" s="36"/>
      <c r="JZL216" s="36"/>
      <c r="JZM216" s="36"/>
      <c r="JZN216" s="36"/>
      <c r="JZO216" s="36"/>
      <c r="JZP216" s="36"/>
      <c r="JZQ216" s="36"/>
      <c r="JZR216" s="36"/>
      <c r="JZS216" s="36"/>
      <c r="JZT216" s="36"/>
      <c r="JZU216" s="36"/>
      <c r="JZV216" s="36"/>
      <c r="JZW216" s="36"/>
      <c r="JZX216" s="36"/>
      <c r="JZY216" s="36"/>
      <c r="JZZ216" s="36"/>
      <c r="KAA216" s="36"/>
      <c r="KAB216" s="36"/>
      <c r="KAC216" s="36"/>
      <c r="KAD216" s="36"/>
      <c r="KAE216" s="36"/>
      <c r="KAF216" s="36"/>
      <c r="KAG216" s="36"/>
      <c r="KAH216" s="36"/>
      <c r="KAI216" s="36"/>
      <c r="KAJ216" s="36"/>
      <c r="KAK216" s="36"/>
      <c r="KAL216" s="36"/>
      <c r="KAM216" s="36"/>
      <c r="KAN216" s="36"/>
      <c r="KAO216" s="36"/>
      <c r="KAP216" s="36"/>
      <c r="KAQ216" s="36"/>
      <c r="KAR216" s="36"/>
      <c r="KAS216" s="36"/>
      <c r="KAT216" s="36"/>
      <c r="KAU216" s="36"/>
      <c r="KAV216" s="36"/>
      <c r="KAW216" s="36"/>
      <c r="KAX216" s="36"/>
      <c r="KAY216" s="36"/>
      <c r="KAZ216" s="36"/>
      <c r="KBA216" s="36"/>
      <c r="KBB216" s="36"/>
      <c r="KBC216" s="36"/>
      <c r="KBD216" s="36"/>
      <c r="KBE216" s="36"/>
      <c r="KBF216" s="36"/>
      <c r="KBG216" s="36"/>
      <c r="KBH216" s="36"/>
      <c r="KBI216" s="36"/>
      <c r="KBJ216" s="36"/>
      <c r="KBK216" s="36"/>
      <c r="KBL216" s="36"/>
      <c r="KBM216" s="36"/>
      <c r="KBN216" s="36"/>
      <c r="KBO216" s="36"/>
      <c r="KBP216" s="36"/>
      <c r="KBQ216" s="36"/>
      <c r="KBR216" s="36"/>
      <c r="KBS216" s="36"/>
      <c r="KBT216" s="36"/>
      <c r="KBU216" s="36"/>
      <c r="KBV216" s="36"/>
      <c r="KBW216" s="36"/>
      <c r="KBX216" s="36"/>
      <c r="KBY216" s="36"/>
      <c r="KBZ216" s="36"/>
      <c r="KCA216" s="36"/>
      <c r="KCB216" s="36"/>
      <c r="KCC216" s="36"/>
      <c r="KCD216" s="36"/>
      <c r="KCE216" s="36"/>
      <c r="KCF216" s="36"/>
      <c r="KCG216" s="36"/>
      <c r="KCH216" s="36"/>
      <c r="KCI216" s="36"/>
      <c r="KCJ216" s="36"/>
      <c r="KCK216" s="36"/>
      <c r="KCL216" s="36"/>
      <c r="KCM216" s="36"/>
      <c r="KCN216" s="36"/>
      <c r="KCO216" s="36"/>
      <c r="KCP216" s="36"/>
      <c r="KCQ216" s="36"/>
      <c r="KCR216" s="36"/>
      <c r="KCS216" s="36"/>
      <c r="KCT216" s="36"/>
      <c r="KCU216" s="36"/>
      <c r="KCV216" s="36"/>
      <c r="KCW216" s="36"/>
      <c r="KCX216" s="36"/>
      <c r="KCY216" s="36"/>
      <c r="KCZ216" s="36"/>
      <c r="KDA216" s="36"/>
      <c r="KDB216" s="36"/>
      <c r="KDC216" s="36"/>
      <c r="KDD216" s="36"/>
      <c r="KDE216" s="36"/>
      <c r="KDF216" s="36"/>
      <c r="KDG216" s="36"/>
      <c r="KDH216" s="36"/>
      <c r="KDI216" s="36"/>
      <c r="KDJ216" s="36"/>
      <c r="KDK216" s="36"/>
      <c r="KDL216" s="36"/>
      <c r="KDM216" s="36"/>
      <c r="KDN216" s="36"/>
      <c r="KDO216" s="36"/>
      <c r="KDP216" s="36"/>
      <c r="KDQ216" s="36"/>
      <c r="KDR216" s="36"/>
      <c r="KDS216" s="36"/>
      <c r="KDT216" s="36"/>
      <c r="KDU216" s="36"/>
      <c r="KDV216" s="36"/>
      <c r="KDW216" s="36"/>
      <c r="KDX216" s="36"/>
      <c r="KDY216" s="36"/>
      <c r="KDZ216" s="36"/>
      <c r="KEA216" s="36"/>
      <c r="KEB216" s="36"/>
      <c r="KEC216" s="36"/>
      <c r="KED216" s="36"/>
      <c r="KEE216" s="36"/>
      <c r="KEF216" s="36"/>
      <c r="KEG216" s="36"/>
      <c r="KEH216" s="36"/>
      <c r="KEI216" s="36"/>
      <c r="KEJ216" s="36"/>
      <c r="KEK216" s="36"/>
      <c r="KEL216" s="36"/>
      <c r="KEM216" s="36"/>
      <c r="KEN216" s="36"/>
      <c r="KEO216" s="36"/>
      <c r="KEP216" s="36"/>
      <c r="KEQ216" s="36"/>
      <c r="KER216" s="36"/>
      <c r="KES216" s="36"/>
      <c r="KET216" s="36"/>
      <c r="KEU216" s="36"/>
      <c r="KEV216" s="36"/>
      <c r="KEW216" s="36"/>
      <c r="KEX216" s="36"/>
      <c r="KEY216" s="36"/>
      <c r="KEZ216" s="36"/>
      <c r="KFA216" s="36"/>
      <c r="KFB216" s="36"/>
      <c r="KFC216" s="36"/>
      <c r="KFD216" s="36"/>
      <c r="KFE216" s="36"/>
      <c r="KFF216" s="36"/>
      <c r="KFG216" s="36"/>
      <c r="KFH216" s="36"/>
      <c r="KFI216" s="36"/>
      <c r="KFJ216" s="36"/>
      <c r="KFK216" s="36"/>
      <c r="KFL216" s="36"/>
      <c r="KFM216" s="36"/>
      <c r="KFN216" s="36"/>
      <c r="KFO216" s="36"/>
      <c r="KFP216" s="36"/>
      <c r="KFQ216" s="36"/>
      <c r="KFR216" s="36"/>
      <c r="KFS216" s="36"/>
      <c r="KFT216" s="36"/>
      <c r="KFU216" s="36"/>
      <c r="KFV216" s="36"/>
      <c r="KFW216" s="36"/>
      <c r="KFX216" s="36"/>
      <c r="KFY216" s="36"/>
      <c r="KFZ216" s="36"/>
      <c r="KGA216" s="36"/>
      <c r="KGB216" s="36"/>
      <c r="KGC216" s="36"/>
      <c r="KGD216" s="36"/>
      <c r="KGE216" s="36"/>
      <c r="KGF216" s="36"/>
      <c r="KGG216" s="36"/>
      <c r="KGH216" s="36"/>
      <c r="KGI216" s="36"/>
      <c r="KGJ216" s="36"/>
      <c r="KGK216" s="36"/>
      <c r="KGL216" s="36"/>
      <c r="KGM216" s="36"/>
      <c r="KGN216" s="36"/>
      <c r="KGO216" s="36"/>
      <c r="KGP216" s="36"/>
      <c r="KGQ216" s="36"/>
      <c r="KGR216" s="36"/>
      <c r="KGS216" s="36"/>
      <c r="KGT216" s="36"/>
      <c r="KGU216" s="36"/>
      <c r="KGV216" s="36"/>
      <c r="KGW216" s="36"/>
      <c r="KGX216" s="36"/>
      <c r="KGY216" s="36"/>
      <c r="KGZ216" s="36"/>
      <c r="KHA216" s="36"/>
      <c r="KHB216" s="36"/>
      <c r="KHC216" s="36"/>
      <c r="KHD216" s="36"/>
      <c r="KHE216" s="36"/>
      <c r="KHF216" s="36"/>
      <c r="KHG216" s="36"/>
      <c r="KHH216" s="36"/>
      <c r="KHI216" s="36"/>
      <c r="KHJ216" s="36"/>
      <c r="KHK216" s="36"/>
      <c r="KHL216" s="36"/>
      <c r="KHM216" s="36"/>
      <c r="KHN216" s="36"/>
      <c r="KHO216" s="36"/>
      <c r="KHP216" s="36"/>
      <c r="KHQ216" s="36"/>
      <c r="KHR216" s="36"/>
      <c r="KHS216" s="36"/>
      <c r="KHT216" s="36"/>
      <c r="KHU216" s="36"/>
      <c r="KHV216" s="36"/>
      <c r="KHW216" s="36"/>
      <c r="KHX216" s="36"/>
      <c r="KHY216" s="36"/>
      <c r="KHZ216" s="36"/>
      <c r="KIA216" s="36"/>
      <c r="KIB216" s="36"/>
      <c r="KIC216" s="36"/>
      <c r="KID216" s="36"/>
      <c r="KIE216" s="36"/>
      <c r="KIF216" s="36"/>
      <c r="KIG216" s="36"/>
      <c r="KIH216" s="36"/>
      <c r="KII216" s="36"/>
      <c r="KIJ216" s="36"/>
      <c r="KIK216" s="36"/>
      <c r="KIL216" s="36"/>
      <c r="KIM216" s="36"/>
      <c r="KIN216" s="36"/>
      <c r="KIO216" s="36"/>
      <c r="KIP216" s="36"/>
      <c r="KIQ216" s="36"/>
      <c r="KIR216" s="36"/>
      <c r="KIS216" s="36"/>
      <c r="KIT216" s="36"/>
      <c r="KIU216" s="36"/>
      <c r="KIV216" s="36"/>
      <c r="KIW216" s="36"/>
      <c r="KIX216" s="36"/>
      <c r="KIY216" s="36"/>
      <c r="KIZ216" s="36"/>
      <c r="KJA216" s="36"/>
      <c r="KJB216" s="36"/>
      <c r="KJC216" s="36"/>
      <c r="KJD216" s="36"/>
      <c r="KJE216" s="36"/>
      <c r="KJF216" s="36"/>
      <c r="KJG216" s="36"/>
      <c r="KJH216" s="36"/>
      <c r="KJI216" s="36"/>
      <c r="KJJ216" s="36"/>
      <c r="KJK216" s="36"/>
      <c r="KJL216" s="36"/>
      <c r="KJM216" s="36"/>
      <c r="KJN216" s="36"/>
      <c r="KJO216" s="36"/>
      <c r="KJP216" s="36"/>
      <c r="KJQ216" s="36"/>
      <c r="KJR216" s="36"/>
      <c r="KJS216" s="36"/>
      <c r="KJT216" s="36"/>
      <c r="KJU216" s="36"/>
      <c r="KJV216" s="36"/>
      <c r="KJW216" s="36"/>
      <c r="KJX216" s="36"/>
      <c r="KJY216" s="36"/>
      <c r="KJZ216" s="36"/>
      <c r="KKA216" s="36"/>
      <c r="KKB216" s="36"/>
      <c r="KKC216" s="36"/>
      <c r="KKD216" s="36"/>
      <c r="KKE216" s="36"/>
      <c r="KKF216" s="36"/>
      <c r="KKG216" s="36"/>
      <c r="KKH216" s="36"/>
      <c r="KKI216" s="36"/>
      <c r="KKJ216" s="36"/>
      <c r="KKK216" s="36"/>
      <c r="KKL216" s="36"/>
      <c r="KKM216" s="36"/>
      <c r="KKN216" s="36"/>
      <c r="KKO216" s="36"/>
      <c r="KKP216" s="36"/>
      <c r="KKQ216" s="36"/>
      <c r="KKR216" s="36"/>
      <c r="KKS216" s="36"/>
      <c r="KKT216" s="36"/>
      <c r="KKU216" s="36"/>
      <c r="KKV216" s="36"/>
      <c r="KKW216" s="36"/>
      <c r="KKX216" s="36"/>
      <c r="KKY216" s="36"/>
      <c r="KKZ216" s="36"/>
      <c r="KLA216" s="36"/>
      <c r="KLB216" s="36"/>
      <c r="KLC216" s="36"/>
      <c r="KLD216" s="36"/>
      <c r="KLE216" s="36"/>
      <c r="KLF216" s="36"/>
      <c r="KLG216" s="36"/>
      <c r="KLH216" s="36"/>
      <c r="KLI216" s="36"/>
      <c r="KLJ216" s="36"/>
      <c r="KLK216" s="36"/>
      <c r="KLL216" s="36"/>
      <c r="KLM216" s="36"/>
      <c r="KLN216" s="36"/>
      <c r="KLO216" s="36"/>
      <c r="KLP216" s="36"/>
      <c r="KLQ216" s="36"/>
      <c r="KLR216" s="36"/>
      <c r="KLS216" s="36"/>
      <c r="KLT216" s="36"/>
      <c r="KLU216" s="36"/>
      <c r="KLV216" s="36"/>
      <c r="KLW216" s="36"/>
      <c r="KLX216" s="36"/>
      <c r="KLY216" s="36"/>
      <c r="KLZ216" s="36"/>
      <c r="KMA216" s="36"/>
      <c r="KMB216" s="36"/>
      <c r="KMC216" s="36"/>
      <c r="KMD216" s="36"/>
      <c r="KME216" s="36"/>
      <c r="KMF216" s="36"/>
      <c r="KMG216" s="36"/>
      <c r="KMH216" s="36"/>
      <c r="KMI216" s="36"/>
      <c r="KMJ216" s="36"/>
      <c r="KMK216" s="36"/>
      <c r="KML216" s="36"/>
      <c r="KMM216" s="36"/>
      <c r="KMN216" s="36"/>
      <c r="KMO216" s="36"/>
      <c r="KMP216" s="36"/>
      <c r="KMQ216" s="36"/>
      <c r="KMR216" s="36"/>
      <c r="KMS216" s="36"/>
      <c r="KMT216" s="36"/>
      <c r="KMU216" s="36"/>
      <c r="KMV216" s="36"/>
      <c r="KMW216" s="36"/>
      <c r="KMX216" s="36"/>
      <c r="KMY216" s="36"/>
      <c r="KMZ216" s="36"/>
      <c r="KNA216" s="36"/>
      <c r="KNB216" s="36"/>
      <c r="KNC216" s="36"/>
      <c r="KND216" s="36"/>
      <c r="KNE216" s="36"/>
      <c r="KNF216" s="36"/>
      <c r="KNG216" s="36"/>
      <c r="KNH216" s="36"/>
      <c r="KNI216" s="36"/>
      <c r="KNJ216" s="36"/>
      <c r="KNK216" s="36"/>
      <c r="KNL216" s="36"/>
      <c r="KNM216" s="36"/>
      <c r="KNN216" s="36"/>
      <c r="KNO216" s="36"/>
      <c r="KNP216" s="36"/>
      <c r="KNQ216" s="36"/>
      <c r="KNR216" s="36"/>
      <c r="KNS216" s="36"/>
      <c r="KNT216" s="36"/>
      <c r="KNU216" s="36"/>
      <c r="KNV216" s="36"/>
      <c r="KNW216" s="36"/>
      <c r="KNX216" s="36"/>
      <c r="KNY216" s="36"/>
      <c r="KNZ216" s="36"/>
      <c r="KOA216" s="36"/>
      <c r="KOB216" s="36"/>
      <c r="KOC216" s="36"/>
      <c r="KOD216" s="36"/>
      <c r="KOE216" s="36"/>
      <c r="KOF216" s="36"/>
      <c r="KOG216" s="36"/>
      <c r="KOH216" s="36"/>
      <c r="KOI216" s="36"/>
      <c r="KOJ216" s="36"/>
      <c r="KOK216" s="36"/>
      <c r="KOL216" s="36"/>
      <c r="KOM216" s="36"/>
      <c r="KON216" s="36"/>
      <c r="KOO216" s="36"/>
      <c r="KOP216" s="36"/>
      <c r="KOQ216" s="36"/>
      <c r="KOR216" s="36"/>
      <c r="KOS216" s="36"/>
      <c r="KOT216" s="36"/>
      <c r="KOU216" s="36"/>
      <c r="KOV216" s="36"/>
      <c r="KOW216" s="36"/>
      <c r="KOX216" s="36"/>
      <c r="KOY216" s="36"/>
      <c r="KOZ216" s="36"/>
      <c r="KPA216" s="36"/>
      <c r="KPB216" s="36"/>
      <c r="KPC216" s="36"/>
      <c r="KPD216" s="36"/>
      <c r="KPE216" s="36"/>
      <c r="KPF216" s="36"/>
      <c r="KPG216" s="36"/>
      <c r="KPH216" s="36"/>
      <c r="KPI216" s="36"/>
      <c r="KPJ216" s="36"/>
      <c r="KPK216" s="36"/>
      <c r="KPL216" s="36"/>
      <c r="KPM216" s="36"/>
      <c r="KPN216" s="36"/>
      <c r="KPO216" s="36"/>
      <c r="KPP216" s="36"/>
      <c r="KPQ216" s="36"/>
      <c r="KPR216" s="36"/>
      <c r="KPS216" s="36"/>
      <c r="KPT216" s="36"/>
      <c r="KPU216" s="36"/>
      <c r="KPV216" s="36"/>
      <c r="KPW216" s="36"/>
      <c r="KPX216" s="36"/>
      <c r="KPY216" s="36"/>
      <c r="KPZ216" s="36"/>
      <c r="KQA216" s="36"/>
      <c r="KQB216" s="36"/>
      <c r="KQC216" s="36"/>
      <c r="KQD216" s="36"/>
      <c r="KQE216" s="36"/>
      <c r="KQF216" s="36"/>
      <c r="KQG216" s="36"/>
      <c r="KQH216" s="36"/>
      <c r="KQI216" s="36"/>
      <c r="KQJ216" s="36"/>
      <c r="KQK216" s="36"/>
      <c r="KQL216" s="36"/>
      <c r="KQM216" s="36"/>
      <c r="KQN216" s="36"/>
      <c r="KQO216" s="36"/>
      <c r="KQP216" s="36"/>
      <c r="KQQ216" s="36"/>
      <c r="KQR216" s="36"/>
      <c r="KQS216" s="36"/>
      <c r="KQT216" s="36"/>
      <c r="KQU216" s="36"/>
      <c r="KQV216" s="36"/>
      <c r="KQW216" s="36"/>
      <c r="KQX216" s="36"/>
      <c r="KQY216" s="36"/>
      <c r="KQZ216" s="36"/>
      <c r="KRA216" s="36"/>
      <c r="KRB216" s="36"/>
      <c r="KRC216" s="36"/>
      <c r="KRD216" s="36"/>
      <c r="KRE216" s="36"/>
      <c r="KRF216" s="36"/>
      <c r="KRG216" s="36"/>
      <c r="KRH216" s="36"/>
      <c r="KRI216" s="36"/>
      <c r="KRJ216" s="36"/>
      <c r="KRK216" s="36"/>
      <c r="KRL216" s="36"/>
      <c r="KRM216" s="36"/>
      <c r="KRN216" s="36"/>
      <c r="KRO216" s="36"/>
      <c r="KRP216" s="36"/>
      <c r="KRQ216" s="36"/>
      <c r="KRR216" s="36"/>
      <c r="KRS216" s="36"/>
      <c r="KRT216" s="36"/>
      <c r="KRU216" s="36"/>
      <c r="KRV216" s="36"/>
      <c r="KRW216" s="36"/>
      <c r="KRX216" s="36"/>
      <c r="KRY216" s="36"/>
      <c r="KRZ216" s="36"/>
      <c r="KSA216" s="36"/>
      <c r="KSB216" s="36"/>
      <c r="KSC216" s="36"/>
      <c r="KSD216" s="36"/>
      <c r="KSE216" s="36"/>
      <c r="KSF216" s="36"/>
      <c r="KSG216" s="36"/>
      <c r="KSH216" s="36"/>
      <c r="KSI216" s="36"/>
      <c r="KSJ216" s="36"/>
      <c r="KSK216" s="36"/>
      <c r="KSL216" s="36"/>
      <c r="KSM216" s="36"/>
      <c r="KSN216" s="36"/>
      <c r="KSO216" s="36"/>
      <c r="KSP216" s="36"/>
      <c r="KSQ216" s="36"/>
      <c r="KSR216" s="36"/>
      <c r="KSS216" s="36"/>
      <c r="KST216" s="36"/>
      <c r="KSU216" s="36"/>
      <c r="KSV216" s="36"/>
      <c r="KSW216" s="36"/>
      <c r="KSX216" s="36"/>
      <c r="KSY216" s="36"/>
      <c r="KSZ216" s="36"/>
      <c r="KTA216" s="36"/>
      <c r="KTB216" s="36"/>
      <c r="KTC216" s="36"/>
      <c r="KTD216" s="36"/>
      <c r="KTE216" s="36"/>
      <c r="KTF216" s="36"/>
      <c r="KTG216" s="36"/>
      <c r="KTH216" s="36"/>
      <c r="KTI216" s="36"/>
      <c r="KTJ216" s="36"/>
      <c r="KTK216" s="36"/>
      <c r="KTL216" s="36"/>
      <c r="KTM216" s="36"/>
      <c r="KTN216" s="36"/>
      <c r="KTO216" s="36"/>
      <c r="KTP216" s="36"/>
      <c r="KTQ216" s="36"/>
      <c r="KTR216" s="36"/>
      <c r="KTS216" s="36"/>
      <c r="KTT216" s="36"/>
      <c r="KTU216" s="36"/>
      <c r="KTV216" s="36"/>
      <c r="KTW216" s="36"/>
      <c r="KTX216" s="36"/>
      <c r="KTY216" s="36"/>
      <c r="KTZ216" s="36"/>
      <c r="KUA216" s="36"/>
      <c r="KUB216" s="36"/>
      <c r="KUC216" s="36"/>
      <c r="KUD216" s="36"/>
      <c r="KUE216" s="36"/>
      <c r="KUF216" s="36"/>
      <c r="KUG216" s="36"/>
      <c r="KUH216" s="36"/>
      <c r="KUI216" s="36"/>
      <c r="KUJ216" s="36"/>
      <c r="KUK216" s="36"/>
      <c r="KUL216" s="36"/>
      <c r="KUM216" s="36"/>
      <c r="KUN216" s="36"/>
      <c r="KUO216" s="36"/>
      <c r="KUP216" s="36"/>
      <c r="KUQ216" s="36"/>
      <c r="KUR216" s="36"/>
      <c r="KUS216" s="36"/>
      <c r="KUT216" s="36"/>
      <c r="KUU216" s="36"/>
      <c r="KUV216" s="36"/>
      <c r="KUW216" s="36"/>
      <c r="KUX216" s="36"/>
      <c r="KUY216" s="36"/>
      <c r="KUZ216" s="36"/>
      <c r="KVA216" s="36"/>
      <c r="KVB216" s="36"/>
      <c r="KVC216" s="36"/>
      <c r="KVD216" s="36"/>
      <c r="KVE216" s="36"/>
      <c r="KVF216" s="36"/>
      <c r="KVG216" s="36"/>
      <c r="KVH216" s="36"/>
      <c r="KVI216" s="36"/>
      <c r="KVJ216" s="36"/>
      <c r="KVK216" s="36"/>
      <c r="KVL216" s="36"/>
      <c r="KVM216" s="36"/>
      <c r="KVN216" s="36"/>
      <c r="KVO216" s="36"/>
      <c r="KVP216" s="36"/>
      <c r="KVQ216" s="36"/>
      <c r="KVR216" s="36"/>
      <c r="KVS216" s="36"/>
      <c r="KVT216" s="36"/>
      <c r="KVU216" s="36"/>
      <c r="KVV216" s="36"/>
      <c r="KVW216" s="36"/>
      <c r="KVX216" s="36"/>
      <c r="KVY216" s="36"/>
      <c r="KVZ216" s="36"/>
      <c r="KWA216" s="36"/>
      <c r="KWB216" s="36"/>
      <c r="KWC216" s="36"/>
      <c r="KWD216" s="36"/>
      <c r="KWE216" s="36"/>
      <c r="KWF216" s="36"/>
      <c r="KWG216" s="36"/>
      <c r="KWH216" s="36"/>
      <c r="KWI216" s="36"/>
      <c r="KWJ216" s="36"/>
      <c r="KWK216" s="36"/>
      <c r="KWL216" s="36"/>
      <c r="KWM216" s="36"/>
      <c r="KWN216" s="36"/>
      <c r="KWO216" s="36"/>
      <c r="KWP216" s="36"/>
      <c r="KWQ216" s="36"/>
      <c r="KWR216" s="36"/>
      <c r="KWS216" s="36"/>
      <c r="KWT216" s="36"/>
      <c r="KWU216" s="36"/>
      <c r="KWV216" s="36"/>
      <c r="KWW216" s="36"/>
      <c r="KWX216" s="36"/>
      <c r="KWY216" s="36"/>
      <c r="KWZ216" s="36"/>
      <c r="KXA216" s="36"/>
      <c r="KXB216" s="36"/>
      <c r="KXC216" s="36"/>
      <c r="KXD216" s="36"/>
      <c r="KXE216" s="36"/>
      <c r="KXF216" s="36"/>
      <c r="KXG216" s="36"/>
      <c r="KXH216" s="36"/>
      <c r="KXI216" s="36"/>
      <c r="KXJ216" s="36"/>
      <c r="KXK216" s="36"/>
      <c r="KXL216" s="36"/>
      <c r="KXM216" s="36"/>
      <c r="KXN216" s="36"/>
      <c r="KXO216" s="36"/>
      <c r="KXP216" s="36"/>
      <c r="KXQ216" s="36"/>
      <c r="KXR216" s="36"/>
      <c r="KXS216" s="36"/>
      <c r="KXT216" s="36"/>
      <c r="KXU216" s="36"/>
      <c r="KXV216" s="36"/>
      <c r="KXW216" s="36"/>
      <c r="KXX216" s="36"/>
      <c r="KXY216" s="36"/>
      <c r="KXZ216" s="36"/>
      <c r="KYA216" s="36"/>
      <c r="KYB216" s="36"/>
      <c r="KYC216" s="36"/>
      <c r="KYD216" s="36"/>
      <c r="KYE216" s="36"/>
      <c r="KYF216" s="36"/>
      <c r="KYG216" s="36"/>
      <c r="KYH216" s="36"/>
      <c r="KYI216" s="36"/>
      <c r="KYJ216" s="36"/>
      <c r="KYK216" s="36"/>
      <c r="KYL216" s="36"/>
      <c r="KYM216" s="36"/>
      <c r="KYN216" s="36"/>
      <c r="KYO216" s="36"/>
      <c r="KYP216" s="36"/>
      <c r="KYQ216" s="36"/>
      <c r="KYR216" s="36"/>
      <c r="KYS216" s="36"/>
      <c r="KYT216" s="36"/>
      <c r="KYU216" s="36"/>
      <c r="KYV216" s="36"/>
      <c r="KYW216" s="36"/>
      <c r="KYX216" s="36"/>
      <c r="KYY216" s="36"/>
      <c r="KYZ216" s="36"/>
      <c r="KZA216" s="36"/>
      <c r="KZB216" s="36"/>
      <c r="KZC216" s="36"/>
      <c r="KZD216" s="36"/>
      <c r="KZE216" s="36"/>
      <c r="KZF216" s="36"/>
      <c r="KZG216" s="36"/>
      <c r="KZH216" s="36"/>
      <c r="KZI216" s="36"/>
      <c r="KZJ216" s="36"/>
      <c r="KZK216" s="36"/>
      <c r="KZL216" s="36"/>
      <c r="KZM216" s="36"/>
      <c r="KZN216" s="36"/>
      <c r="KZO216" s="36"/>
      <c r="KZP216" s="36"/>
      <c r="KZQ216" s="36"/>
      <c r="KZR216" s="36"/>
      <c r="KZS216" s="36"/>
      <c r="KZT216" s="36"/>
      <c r="KZU216" s="36"/>
      <c r="KZV216" s="36"/>
      <c r="KZW216" s="36"/>
      <c r="KZX216" s="36"/>
      <c r="KZY216" s="36"/>
      <c r="KZZ216" s="36"/>
      <c r="LAA216" s="36"/>
      <c r="LAB216" s="36"/>
      <c r="LAC216" s="36"/>
      <c r="LAD216" s="36"/>
      <c r="LAE216" s="36"/>
      <c r="LAF216" s="36"/>
      <c r="LAG216" s="36"/>
      <c r="LAH216" s="36"/>
      <c r="LAI216" s="36"/>
      <c r="LAJ216" s="36"/>
      <c r="LAK216" s="36"/>
      <c r="LAL216" s="36"/>
      <c r="LAM216" s="36"/>
      <c r="LAN216" s="36"/>
      <c r="LAO216" s="36"/>
      <c r="LAP216" s="36"/>
      <c r="LAQ216" s="36"/>
      <c r="LAR216" s="36"/>
      <c r="LAS216" s="36"/>
      <c r="LAT216" s="36"/>
      <c r="LAU216" s="36"/>
      <c r="LAV216" s="36"/>
      <c r="LAW216" s="36"/>
      <c r="LAX216" s="36"/>
      <c r="LAY216" s="36"/>
      <c r="LAZ216" s="36"/>
      <c r="LBA216" s="36"/>
      <c r="LBB216" s="36"/>
      <c r="LBC216" s="36"/>
      <c r="LBD216" s="36"/>
      <c r="LBE216" s="36"/>
      <c r="LBF216" s="36"/>
      <c r="LBG216" s="36"/>
      <c r="LBH216" s="36"/>
      <c r="LBI216" s="36"/>
      <c r="LBJ216" s="36"/>
      <c r="LBK216" s="36"/>
      <c r="LBL216" s="36"/>
      <c r="LBM216" s="36"/>
      <c r="LBN216" s="36"/>
      <c r="LBO216" s="36"/>
      <c r="LBP216" s="36"/>
      <c r="LBQ216" s="36"/>
      <c r="LBR216" s="36"/>
      <c r="LBS216" s="36"/>
      <c r="LBT216" s="36"/>
      <c r="LBU216" s="36"/>
      <c r="LBV216" s="36"/>
      <c r="LBW216" s="36"/>
      <c r="LBX216" s="36"/>
      <c r="LBY216" s="36"/>
      <c r="LBZ216" s="36"/>
      <c r="LCA216" s="36"/>
      <c r="LCB216" s="36"/>
      <c r="LCC216" s="36"/>
      <c r="LCD216" s="36"/>
      <c r="LCE216" s="36"/>
      <c r="LCF216" s="36"/>
      <c r="LCG216" s="36"/>
      <c r="LCH216" s="36"/>
      <c r="LCI216" s="36"/>
      <c r="LCJ216" s="36"/>
      <c r="LCK216" s="36"/>
      <c r="LCL216" s="36"/>
      <c r="LCM216" s="36"/>
      <c r="LCN216" s="36"/>
      <c r="LCO216" s="36"/>
      <c r="LCP216" s="36"/>
      <c r="LCQ216" s="36"/>
      <c r="LCR216" s="36"/>
      <c r="LCS216" s="36"/>
      <c r="LCT216" s="36"/>
      <c r="LCU216" s="36"/>
      <c r="LCV216" s="36"/>
      <c r="LCW216" s="36"/>
      <c r="LCX216" s="36"/>
      <c r="LCY216" s="36"/>
      <c r="LCZ216" s="36"/>
      <c r="LDA216" s="36"/>
      <c r="LDB216" s="36"/>
      <c r="LDC216" s="36"/>
      <c r="LDD216" s="36"/>
      <c r="LDE216" s="36"/>
      <c r="LDF216" s="36"/>
      <c r="LDG216" s="36"/>
      <c r="LDH216" s="36"/>
      <c r="LDI216" s="36"/>
      <c r="LDJ216" s="36"/>
      <c r="LDK216" s="36"/>
      <c r="LDL216" s="36"/>
      <c r="LDM216" s="36"/>
      <c r="LDN216" s="36"/>
      <c r="LDO216" s="36"/>
      <c r="LDP216" s="36"/>
      <c r="LDQ216" s="36"/>
      <c r="LDR216" s="36"/>
      <c r="LDS216" s="36"/>
      <c r="LDT216" s="36"/>
      <c r="LDU216" s="36"/>
      <c r="LDV216" s="36"/>
      <c r="LDW216" s="36"/>
      <c r="LDX216" s="36"/>
      <c r="LDY216" s="36"/>
      <c r="LDZ216" s="36"/>
      <c r="LEA216" s="36"/>
      <c r="LEB216" s="36"/>
      <c r="LEC216" s="36"/>
      <c r="LED216" s="36"/>
      <c r="LEE216" s="36"/>
      <c r="LEF216" s="36"/>
      <c r="LEG216" s="36"/>
      <c r="LEH216" s="36"/>
      <c r="LEI216" s="36"/>
      <c r="LEJ216" s="36"/>
      <c r="LEK216" s="36"/>
      <c r="LEL216" s="36"/>
      <c r="LEM216" s="36"/>
      <c r="LEN216" s="36"/>
      <c r="LEO216" s="36"/>
      <c r="LEP216" s="36"/>
      <c r="LEQ216" s="36"/>
      <c r="LER216" s="36"/>
      <c r="LES216" s="36"/>
      <c r="LET216" s="36"/>
      <c r="LEU216" s="36"/>
      <c r="LEV216" s="36"/>
      <c r="LEW216" s="36"/>
      <c r="LEX216" s="36"/>
      <c r="LEY216" s="36"/>
      <c r="LEZ216" s="36"/>
      <c r="LFA216" s="36"/>
      <c r="LFB216" s="36"/>
      <c r="LFC216" s="36"/>
      <c r="LFD216" s="36"/>
      <c r="LFE216" s="36"/>
      <c r="LFF216" s="36"/>
      <c r="LFG216" s="36"/>
      <c r="LFH216" s="36"/>
      <c r="LFI216" s="36"/>
      <c r="LFJ216" s="36"/>
      <c r="LFK216" s="36"/>
      <c r="LFL216" s="36"/>
      <c r="LFM216" s="36"/>
      <c r="LFN216" s="36"/>
      <c r="LFO216" s="36"/>
      <c r="LFP216" s="36"/>
      <c r="LFQ216" s="36"/>
      <c r="LFR216" s="36"/>
      <c r="LFS216" s="36"/>
      <c r="LFT216" s="36"/>
      <c r="LFU216" s="36"/>
      <c r="LFV216" s="36"/>
      <c r="LFW216" s="36"/>
      <c r="LFX216" s="36"/>
      <c r="LFY216" s="36"/>
      <c r="LFZ216" s="36"/>
      <c r="LGA216" s="36"/>
      <c r="LGB216" s="36"/>
      <c r="LGC216" s="36"/>
      <c r="LGD216" s="36"/>
      <c r="LGE216" s="36"/>
      <c r="LGF216" s="36"/>
      <c r="LGG216" s="36"/>
      <c r="LGH216" s="36"/>
      <c r="LGI216" s="36"/>
      <c r="LGJ216" s="36"/>
      <c r="LGK216" s="36"/>
      <c r="LGL216" s="36"/>
      <c r="LGM216" s="36"/>
      <c r="LGN216" s="36"/>
      <c r="LGO216" s="36"/>
      <c r="LGP216" s="36"/>
      <c r="LGQ216" s="36"/>
      <c r="LGR216" s="36"/>
      <c r="LGS216" s="36"/>
      <c r="LGT216" s="36"/>
      <c r="LGU216" s="36"/>
      <c r="LGV216" s="36"/>
      <c r="LGW216" s="36"/>
      <c r="LGX216" s="36"/>
      <c r="LGY216" s="36"/>
      <c r="LGZ216" s="36"/>
      <c r="LHA216" s="36"/>
      <c r="LHB216" s="36"/>
      <c r="LHC216" s="36"/>
      <c r="LHD216" s="36"/>
      <c r="LHE216" s="36"/>
      <c r="LHF216" s="36"/>
      <c r="LHG216" s="36"/>
      <c r="LHH216" s="36"/>
      <c r="LHI216" s="36"/>
      <c r="LHJ216" s="36"/>
      <c r="LHK216" s="36"/>
      <c r="LHL216" s="36"/>
      <c r="LHM216" s="36"/>
      <c r="LHN216" s="36"/>
      <c r="LHO216" s="36"/>
      <c r="LHP216" s="36"/>
      <c r="LHQ216" s="36"/>
      <c r="LHR216" s="36"/>
      <c r="LHS216" s="36"/>
      <c r="LHT216" s="36"/>
      <c r="LHU216" s="36"/>
      <c r="LHV216" s="36"/>
      <c r="LHW216" s="36"/>
      <c r="LHX216" s="36"/>
      <c r="LHY216" s="36"/>
      <c r="LHZ216" s="36"/>
      <c r="LIA216" s="36"/>
      <c r="LIB216" s="36"/>
      <c r="LIC216" s="36"/>
      <c r="LID216" s="36"/>
      <c r="LIE216" s="36"/>
      <c r="LIF216" s="36"/>
      <c r="LIG216" s="36"/>
      <c r="LIH216" s="36"/>
      <c r="LII216" s="36"/>
      <c r="LIJ216" s="36"/>
      <c r="LIK216" s="36"/>
      <c r="LIL216" s="36"/>
      <c r="LIM216" s="36"/>
      <c r="LIN216" s="36"/>
      <c r="LIO216" s="36"/>
      <c r="LIP216" s="36"/>
      <c r="LIQ216" s="36"/>
      <c r="LIR216" s="36"/>
      <c r="LIS216" s="36"/>
      <c r="LIT216" s="36"/>
      <c r="LIU216" s="36"/>
      <c r="LIV216" s="36"/>
      <c r="LIW216" s="36"/>
      <c r="LIX216" s="36"/>
      <c r="LIY216" s="36"/>
      <c r="LIZ216" s="36"/>
      <c r="LJA216" s="36"/>
      <c r="LJB216" s="36"/>
      <c r="LJC216" s="36"/>
      <c r="LJD216" s="36"/>
      <c r="LJE216" s="36"/>
      <c r="LJF216" s="36"/>
      <c r="LJG216" s="36"/>
      <c r="LJH216" s="36"/>
      <c r="LJI216" s="36"/>
      <c r="LJJ216" s="36"/>
      <c r="LJK216" s="36"/>
      <c r="LJL216" s="36"/>
      <c r="LJM216" s="36"/>
      <c r="LJN216" s="36"/>
      <c r="LJO216" s="36"/>
      <c r="LJP216" s="36"/>
      <c r="LJQ216" s="36"/>
      <c r="LJR216" s="36"/>
      <c r="LJS216" s="36"/>
      <c r="LJT216" s="36"/>
      <c r="LJU216" s="36"/>
      <c r="LJV216" s="36"/>
      <c r="LJW216" s="36"/>
      <c r="LJX216" s="36"/>
      <c r="LJY216" s="36"/>
      <c r="LJZ216" s="36"/>
      <c r="LKA216" s="36"/>
      <c r="LKB216" s="36"/>
      <c r="LKC216" s="36"/>
      <c r="LKD216" s="36"/>
      <c r="LKE216" s="36"/>
      <c r="LKF216" s="36"/>
      <c r="LKG216" s="36"/>
      <c r="LKH216" s="36"/>
      <c r="LKI216" s="36"/>
      <c r="LKJ216" s="36"/>
      <c r="LKK216" s="36"/>
      <c r="LKL216" s="36"/>
      <c r="LKM216" s="36"/>
      <c r="LKN216" s="36"/>
      <c r="LKO216" s="36"/>
      <c r="LKP216" s="36"/>
      <c r="LKQ216" s="36"/>
      <c r="LKR216" s="36"/>
      <c r="LKS216" s="36"/>
      <c r="LKT216" s="36"/>
      <c r="LKU216" s="36"/>
      <c r="LKV216" s="36"/>
      <c r="LKW216" s="36"/>
      <c r="LKX216" s="36"/>
      <c r="LKY216" s="36"/>
      <c r="LKZ216" s="36"/>
      <c r="LLA216" s="36"/>
      <c r="LLB216" s="36"/>
      <c r="LLC216" s="36"/>
      <c r="LLD216" s="36"/>
      <c r="LLE216" s="36"/>
      <c r="LLF216" s="36"/>
      <c r="LLG216" s="36"/>
      <c r="LLH216" s="36"/>
      <c r="LLI216" s="36"/>
      <c r="LLJ216" s="36"/>
      <c r="LLK216" s="36"/>
      <c r="LLL216" s="36"/>
      <c r="LLM216" s="36"/>
      <c r="LLN216" s="36"/>
      <c r="LLO216" s="36"/>
      <c r="LLP216" s="36"/>
      <c r="LLQ216" s="36"/>
      <c r="LLR216" s="36"/>
      <c r="LLS216" s="36"/>
      <c r="LLT216" s="36"/>
      <c r="LLU216" s="36"/>
      <c r="LLV216" s="36"/>
      <c r="LLW216" s="36"/>
      <c r="LLX216" s="36"/>
      <c r="LLY216" s="36"/>
      <c r="LLZ216" s="36"/>
      <c r="LMA216" s="36"/>
      <c r="LMB216" s="36"/>
      <c r="LMC216" s="36"/>
      <c r="LMD216" s="36"/>
      <c r="LME216" s="36"/>
      <c r="LMF216" s="36"/>
      <c r="LMG216" s="36"/>
      <c r="LMH216" s="36"/>
      <c r="LMI216" s="36"/>
      <c r="LMJ216" s="36"/>
      <c r="LMK216" s="36"/>
      <c r="LML216" s="36"/>
      <c r="LMM216" s="36"/>
      <c r="LMN216" s="36"/>
      <c r="LMO216" s="36"/>
      <c r="LMP216" s="36"/>
      <c r="LMQ216" s="36"/>
      <c r="LMR216" s="36"/>
      <c r="LMS216" s="36"/>
      <c r="LMT216" s="36"/>
      <c r="LMU216" s="36"/>
      <c r="LMV216" s="36"/>
      <c r="LMW216" s="36"/>
      <c r="LMX216" s="36"/>
      <c r="LMY216" s="36"/>
      <c r="LMZ216" s="36"/>
      <c r="LNA216" s="36"/>
      <c r="LNB216" s="36"/>
      <c r="LNC216" s="36"/>
      <c r="LND216" s="36"/>
      <c r="LNE216" s="36"/>
      <c r="LNF216" s="36"/>
      <c r="LNG216" s="36"/>
      <c r="LNH216" s="36"/>
      <c r="LNI216" s="36"/>
      <c r="LNJ216" s="36"/>
      <c r="LNK216" s="36"/>
      <c r="LNL216" s="36"/>
      <c r="LNM216" s="36"/>
      <c r="LNN216" s="36"/>
      <c r="LNO216" s="36"/>
      <c r="LNP216" s="36"/>
      <c r="LNQ216" s="36"/>
      <c r="LNR216" s="36"/>
      <c r="LNS216" s="36"/>
      <c r="LNT216" s="36"/>
      <c r="LNU216" s="36"/>
      <c r="LNV216" s="36"/>
      <c r="LNW216" s="36"/>
      <c r="LNX216" s="36"/>
      <c r="LNY216" s="36"/>
      <c r="LNZ216" s="36"/>
      <c r="LOA216" s="36"/>
      <c r="LOB216" s="36"/>
      <c r="LOC216" s="36"/>
      <c r="LOD216" s="36"/>
      <c r="LOE216" s="36"/>
      <c r="LOF216" s="36"/>
      <c r="LOG216" s="36"/>
      <c r="LOH216" s="36"/>
      <c r="LOI216" s="36"/>
      <c r="LOJ216" s="36"/>
      <c r="LOK216" s="36"/>
      <c r="LOL216" s="36"/>
      <c r="LOM216" s="36"/>
      <c r="LON216" s="36"/>
      <c r="LOO216" s="36"/>
      <c r="LOP216" s="36"/>
      <c r="LOQ216" s="36"/>
      <c r="LOR216" s="36"/>
      <c r="LOS216" s="36"/>
      <c r="LOT216" s="36"/>
      <c r="LOU216" s="36"/>
      <c r="LOV216" s="36"/>
      <c r="LOW216" s="36"/>
      <c r="LOX216" s="36"/>
      <c r="LOY216" s="36"/>
      <c r="LOZ216" s="36"/>
      <c r="LPA216" s="36"/>
      <c r="LPB216" s="36"/>
      <c r="LPC216" s="36"/>
      <c r="LPD216" s="36"/>
      <c r="LPE216" s="36"/>
      <c r="LPF216" s="36"/>
      <c r="LPG216" s="36"/>
      <c r="LPH216" s="36"/>
      <c r="LPI216" s="36"/>
      <c r="LPJ216" s="36"/>
      <c r="LPK216" s="36"/>
      <c r="LPL216" s="36"/>
      <c r="LPM216" s="36"/>
      <c r="LPN216" s="36"/>
      <c r="LPO216" s="36"/>
      <c r="LPP216" s="36"/>
      <c r="LPQ216" s="36"/>
      <c r="LPR216" s="36"/>
      <c r="LPS216" s="36"/>
      <c r="LPT216" s="36"/>
      <c r="LPU216" s="36"/>
      <c r="LPV216" s="36"/>
      <c r="LPW216" s="36"/>
      <c r="LPX216" s="36"/>
      <c r="LPY216" s="36"/>
      <c r="LPZ216" s="36"/>
      <c r="LQA216" s="36"/>
      <c r="LQB216" s="36"/>
      <c r="LQC216" s="36"/>
      <c r="LQD216" s="36"/>
      <c r="LQE216" s="36"/>
      <c r="LQF216" s="36"/>
      <c r="LQG216" s="36"/>
      <c r="LQH216" s="36"/>
      <c r="LQI216" s="36"/>
      <c r="LQJ216" s="36"/>
      <c r="LQK216" s="36"/>
      <c r="LQL216" s="36"/>
      <c r="LQM216" s="36"/>
      <c r="LQN216" s="36"/>
      <c r="LQO216" s="36"/>
      <c r="LQP216" s="36"/>
      <c r="LQQ216" s="36"/>
      <c r="LQR216" s="36"/>
      <c r="LQS216" s="36"/>
      <c r="LQT216" s="36"/>
      <c r="LQU216" s="36"/>
      <c r="LQV216" s="36"/>
      <c r="LQW216" s="36"/>
      <c r="LQX216" s="36"/>
      <c r="LQY216" s="36"/>
      <c r="LQZ216" s="36"/>
      <c r="LRA216" s="36"/>
      <c r="LRB216" s="36"/>
      <c r="LRC216" s="36"/>
      <c r="LRD216" s="36"/>
      <c r="LRE216" s="36"/>
      <c r="LRF216" s="36"/>
      <c r="LRG216" s="36"/>
      <c r="LRH216" s="36"/>
      <c r="LRI216" s="36"/>
      <c r="LRJ216" s="36"/>
      <c r="LRK216" s="36"/>
      <c r="LRL216" s="36"/>
      <c r="LRM216" s="36"/>
      <c r="LRN216" s="36"/>
      <c r="LRO216" s="36"/>
      <c r="LRP216" s="36"/>
      <c r="LRQ216" s="36"/>
      <c r="LRR216" s="36"/>
      <c r="LRS216" s="36"/>
      <c r="LRT216" s="36"/>
      <c r="LRU216" s="36"/>
      <c r="LRV216" s="36"/>
      <c r="LRW216" s="36"/>
      <c r="LRX216" s="36"/>
      <c r="LRY216" s="36"/>
      <c r="LRZ216" s="36"/>
      <c r="LSA216" s="36"/>
      <c r="LSB216" s="36"/>
      <c r="LSC216" s="36"/>
      <c r="LSD216" s="36"/>
      <c r="LSE216" s="36"/>
      <c r="LSF216" s="36"/>
      <c r="LSG216" s="36"/>
      <c r="LSH216" s="36"/>
      <c r="LSI216" s="36"/>
      <c r="LSJ216" s="36"/>
      <c r="LSK216" s="36"/>
      <c r="LSL216" s="36"/>
      <c r="LSM216" s="36"/>
      <c r="LSN216" s="36"/>
      <c r="LSO216" s="36"/>
      <c r="LSP216" s="36"/>
      <c r="LSQ216" s="36"/>
      <c r="LSR216" s="36"/>
      <c r="LSS216" s="36"/>
      <c r="LST216" s="36"/>
      <c r="LSU216" s="36"/>
      <c r="LSV216" s="36"/>
      <c r="LSW216" s="36"/>
      <c r="LSX216" s="36"/>
      <c r="LSY216" s="36"/>
      <c r="LSZ216" s="36"/>
      <c r="LTA216" s="36"/>
      <c r="LTB216" s="36"/>
      <c r="LTC216" s="36"/>
      <c r="LTD216" s="36"/>
      <c r="LTE216" s="36"/>
      <c r="LTF216" s="36"/>
      <c r="LTG216" s="36"/>
      <c r="LTH216" s="36"/>
      <c r="LTI216" s="36"/>
      <c r="LTJ216" s="36"/>
      <c r="LTK216" s="36"/>
      <c r="LTL216" s="36"/>
      <c r="LTM216" s="36"/>
      <c r="LTN216" s="36"/>
      <c r="LTO216" s="36"/>
      <c r="LTP216" s="36"/>
      <c r="LTQ216" s="36"/>
      <c r="LTR216" s="36"/>
      <c r="LTS216" s="36"/>
      <c r="LTT216" s="36"/>
      <c r="LTU216" s="36"/>
      <c r="LTV216" s="36"/>
      <c r="LTW216" s="36"/>
      <c r="LTX216" s="36"/>
      <c r="LTY216" s="36"/>
      <c r="LTZ216" s="36"/>
      <c r="LUA216" s="36"/>
      <c r="LUB216" s="36"/>
      <c r="LUC216" s="36"/>
      <c r="LUD216" s="36"/>
      <c r="LUE216" s="36"/>
      <c r="LUF216" s="36"/>
      <c r="LUG216" s="36"/>
      <c r="LUH216" s="36"/>
      <c r="LUI216" s="36"/>
      <c r="LUJ216" s="36"/>
      <c r="LUK216" s="36"/>
      <c r="LUL216" s="36"/>
      <c r="LUM216" s="36"/>
      <c r="LUN216" s="36"/>
      <c r="LUO216" s="36"/>
      <c r="LUP216" s="36"/>
      <c r="LUQ216" s="36"/>
      <c r="LUR216" s="36"/>
      <c r="LUS216" s="36"/>
      <c r="LUT216" s="36"/>
      <c r="LUU216" s="36"/>
      <c r="LUV216" s="36"/>
      <c r="LUW216" s="36"/>
      <c r="LUX216" s="36"/>
      <c r="LUY216" s="36"/>
      <c r="LUZ216" s="36"/>
      <c r="LVA216" s="36"/>
      <c r="LVB216" s="36"/>
      <c r="LVC216" s="36"/>
      <c r="LVD216" s="36"/>
      <c r="LVE216" s="36"/>
      <c r="LVF216" s="36"/>
      <c r="LVG216" s="36"/>
      <c r="LVH216" s="36"/>
      <c r="LVI216" s="36"/>
      <c r="LVJ216" s="36"/>
      <c r="LVK216" s="36"/>
      <c r="LVL216" s="36"/>
      <c r="LVM216" s="36"/>
      <c r="LVN216" s="36"/>
      <c r="LVO216" s="36"/>
      <c r="LVP216" s="36"/>
      <c r="LVQ216" s="36"/>
      <c r="LVR216" s="36"/>
      <c r="LVS216" s="36"/>
      <c r="LVT216" s="36"/>
      <c r="LVU216" s="36"/>
      <c r="LVV216" s="36"/>
      <c r="LVW216" s="36"/>
      <c r="LVX216" s="36"/>
      <c r="LVY216" s="36"/>
      <c r="LVZ216" s="36"/>
      <c r="LWA216" s="36"/>
      <c r="LWB216" s="36"/>
      <c r="LWC216" s="36"/>
      <c r="LWD216" s="36"/>
      <c r="LWE216" s="36"/>
      <c r="LWF216" s="36"/>
      <c r="LWG216" s="36"/>
      <c r="LWH216" s="36"/>
      <c r="LWI216" s="36"/>
      <c r="LWJ216" s="36"/>
      <c r="LWK216" s="36"/>
      <c r="LWL216" s="36"/>
      <c r="LWM216" s="36"/>
      <c r="LWN216" s="36"/>
      <c r="LWO216" s="36"/>
      <c r="LWP216" s="36"/>
      <c r="LWQ216" s="36"/>
      <c r="LWR216" s="36"/>
      <c r="LWS216" s="36"/>
      <c r="LWT216" s="36"/>
      <c r="LWU216" s="36"/>
      <c r="LWV216" s="36"/>
      <c r="LWW216" s="36"/>
      <c r="LWX216" s="36"/>
      <c r="LWY216" s="36"/>
      <c r="LWZ216" s="36"/>
      <c r="LXA216" s="36"/>
      <c r="LXB216" s="36"/>
      <c r="LXC216" s="36"/>
      <c r="LXD216" s="36"/>
      <c r="LXE216" s="36"/>
      <c r="LXF216" s="36"/>
      <c r="LXG216" s="36"/>
      <c r="LXH216" s="36"/>
      <c r="LXI216" s="36"/>
      <c r="LXJ216" s="36"/>
      <c r="LXK216" s="36"/>
      <c r="LXL216" s="36"/>
      <c r="LXM216" s="36"/>
      <c r="LXN216" s="36"/>
      <c r="LXO216" s="36"/>
      <c r="LXP216" s="36"/>
      <c r="LXQ216" s="36"/>
      <c r="LXR216" s="36"/>
      <c r="LXS216" s="36"/>
      <c r="LXT216" s="36"/>
      <c r="LXU216" s="36"/>
      <c r="LXV216" s="36"/>
      <c r="LXW216" s="36"/>
      <c r="LXX216" s="36"/>
      <c r="LXY216" s="36"/>
      <c r="LXZ216" s="36"/>
      <c r="LYA216" s="36"/>
      <c r="LYB216" s="36"/>
      <c r="LYC216" s="36"/>
      <c r="LYD216" s="36"/>
      <c r="LYE216" s="36"/>
      <c r="LYF216" s="36"/>
      <c r="LYG216" s="36"/>
      <c r="LYH216" s="36"/>
      <c r="LYI216" s="36"/>
      <c r="LYJ216" s="36"/>
      <c r="LYK216" s="36"/>
      <c r="LYL216" s="36"/>
      <c r="LYM216" s="36"/>
      <c r="LYN216" s="36"/>
      <c r="LYO216" s="36"/>
      <c r="LYP216" s="36"/>
      <c r="LYQ216" s="36"/>
      <c r="LYR216" s="36"/>
      <c r="LYS216" s="36"/>
      <c r="LYT216" s="36"/>
      <c r="LYU216" s="36"/>
      <c r="LYV216" s="36"/>
      <c r="LYW216" s="36"/>
      <c r="LYX216" s="36"/>
      <c r="LYY216" s="36"/>
      <c r="LYZ216" s="36"/>
      <c r="LZA216" s="36"/>
      <c r="LZB216" s="36"/>
      <c r="LZC216" s="36"/>
      <c r="LZD216" s="36"/>
      <c r="LZE216" s="36"/>
      <c r="LZF216" s="36"/>
      <c r="LZG216" s="36"/>
      <c r="LZH216" s="36"/>
      <c r="LZI216" s="36"/>
      <c r="LZJ216" s="36"/>
      <c r="LZK216" s="36"/>
      <c r="LZL216" s="36"/>
      <c r="LZM216" s="36"/>
      <c r="LZN216" s="36"/>
      <c r="LZO216" s="36"/>
      <c r="LZP216" s="36"/>
      <c r="LZQ216" s="36"/>
      <c r="LZR216" s="36"/>
      <c r="LZS216" s="36"/>
      <c r="LZT216" s="36"/>
      <c r="LZU216" s="36"/>
      <c r="LZV216" s="36"/>
      <c r="LZW216" s="36"/>
      <c r="LZX216" s="36"/>
      <c r="LZY216" s="36"/>
      <c r="LZZ216" s="36"/>
      <c r="MAA216" s="36"/>
      <c r="MAB216" s="36"/>
      <c r="MAC216" s="36"/>
      <c r="MAD216" s="36"/>
      <c r="MAE216" s="36"/>
      <c r="MAF216" s="36"/>
      <c r="MAG216" s="36"/>
      <c r="MAH216" s="36"/>
      <c r="MAI216" s="36"/>
      <c r="MAJ216" s="36"/>
      <c r="MAK216" s="36"/>
      <c r="MAL216" s="36"/>
      <c r="MAM216" s="36"/>
      <c r="MAN216" s="36"/>
      <c r="MAO216" s="36"/>
      <c r="MAP216" s="36"/>
      <c r="MAQ216" s="36"/>
      <c r="MAR216" s="36"/>
      <c r="MAS216" s="36"/>
      <c r="MAT216" s="36"/>
      <c r="MAU216" s="36"/>
      <c r="MAV216" s="36"/>
      <c r="MAW216" s="36"/>
      <c r="MAX216" s="36"/>
      <c r="MAY216" s="36"/>
      <c r="MAZ216" s="36"/>
      <c r="MBA216" s="36"/>
      <c r="MBB216" s="36"/>
      <c r="MBC216" s="36"/>
      <c r="MBD216" s="36"/>
      <c r="MBE216" s="36"/>
      <c r="MBF216" s="36"/>
      <c r="MBG216" s="36"/>
      <c r="MBH216" s="36"/>
      <c r="MBI216" s="36"/>
      <c r="MBJ216" s="36"/>
      <c r="MBK216" s="36"/>
      <c r="MBL216" s="36"/>
      <c r="MBM216" s="36"/>
      <c r="MBN216" s="36"/>
      <c r="MBO216" s="36"/>
      <c r="MBP216" s="36"/>
      <c r="MBQ216" s="36"/>
      <c r="MBR216" s="36"/>
      <c r="MBS216" s="36"/>
      <c r="MBT216" s="36"/>
      <c r="MBU216" s="36"/>
      <c r="MBV216" s="36"/>
      <c r="MBW216" s="36"/>
      <c r="MBX216" s="36"/>
      <c r="MBY216" s="36"/>
      <c r="MBZ216" s="36"/>
      <c r="MCA216" s="36"/>
      <c r="MCB216" s="36"/>
      <c r="MCC216" s="36"/>
      <c r="MCD216" s="36"/>
      <c r="MCE216" s="36"/>
      <c r="MCF216" s="36"/>
      <c r="MCG216" s="36"/>
      <c r="MCH216" s="36"/>
      <c r="MCI216" s="36"/>
      <c r="MCJ216" s="36"/>
      <c r="MCK216" s="36"/>
      <c r="MCL216" s="36"/>
      <c r="MCM216" s="36"/>
      <c r="MCN216" s="36"/>
      <c r="MCO216" s="36"/>
      <c r="MCP216" s="36"/>
      <c r="MCQ216" s="36"/>
      <c r="MCR216" s="36"/>
      <c r="MCS216" s="36"/>
      <c r="MCT216" s="36"/>
      <c r="MCU216" s="36"/>
      <c r="MCV216" s="36"/>
      <c r="MCW216" s="36"/>
      <c r="MCX216" s="36"/>
      <c r="MCY216" s="36"/>
      <c r="MCZ216" s="36"/>
      <c r="MDA216" s="36"/>
      <c r="MDB216" s="36"/>
      <c r="MDC216" s="36"/>
      <c r="MDD216" s="36"/>
      <c r="MDE216" s="36"/>
      <c r="MDF216" s="36"/>
      <c r="MDG216" s="36"/>
      <c r="MDH216" s="36"/>
      <c r="MDI216" s="36"/>
      <c r="MDJ216" s="36"/>
      <c r="MDK216" s="36"/>
      <c r="MDL216" s="36"/>
      <c r="MDM216" s="36"/>
      <c r="MDN216" s="36"/>
      <c r="MDO216" s="36"/>
      <c r="MDP216" s="36"/>
      <c r="MDQ216" s="36"/>
      <c r="MDR216" s="36"/>
      <c r="MDS216" s="36"/>
      <c r="MDT216" s="36"/>
      <c r="MDU216" s="36"/>
      <c r="MDV216" s="36"/>
      <c r="MDW216" s="36"/>
      <c r="MDX216" s="36"/>
      <c r="MDY216" s="36"/>
      <c r="MDZ216" s="36"/>
      <c r="MEA216" s="36"/>
      <c r="MEB216" s="36"/>
      <c r="MEC216" s="36"/>
      <c r="MED216" s="36"/>
      <c r="MEE216" s="36"/>
      <c r="MEF216" s="36"/>
      <c r="MEG216" s="36"/>
      <c r="MEH216" s="36"/>
      <c r="MEI216" s="36"/>
      <c r="MEJ216" s="36"/>
      <c r="MEK216" s="36"/>
      <c r="MEL216" s="36"/>
      <c r="MEM216" s="36"/>
      <c r="MEN216" s="36"/>
      <c r="MEO216" s="36"/>
      <c r="MEP216" s="36"/>
      <c r="MEQ216" s="36"/>
      <c r="MER216" s="36"/>
      <c r="MES216" s="36"/>
      <c r="MET216" s="36"/>
      <c r="MEU216" s="36"/>
      <c r="MEV216" s="36"/>
      <c r="MEW216" s="36"/>
      <c r="MEX216" s="36"/>
      <c r="MEY216" s="36"/>
      <c r="MEZ216" s="36"/>
      <c r="MFA216" s="36"/>
      <c r="MFB216" s="36"/>
      <c r="MFC216" s="36"/>
      <c r="MFD216" s="36"/>
      <c r="MFE216" s="36"/>
      <c r="MFF216" s="36"/>
      <c r="MFG216" s="36"/>
      <c r="MFH216" s="36"/>
      <c r="MFI216" s="36"/>
      <c r="MFJ216" s="36"/>
      <c r="MFK216" s="36"/>
      <c r="MFL216" s="36"/>
      <c r="MFM216" s="36"/>
      <c r="MFN216" s="36"/>
      <c r="MFO216" s="36"/>
      <c r="MFP216" s="36"/>
      <c r="MFQ216" s="36"/>
      <c r="MFR216" s="36"/>
      <c r="MFS216" s="36"/>
      <c r="MFT216" s="36"/>
      <c r="MFU216" s="36"/>
      <c r="MFV216" s="36"/>
      <c r="MFW216" s="36"/>
      <c r="MFX216" s="36"/>
      <c r="MFY216" s="36"/>
      <c r="MFZ216" s="36"/>
      <c r="MGA216" s="36"/>
      <c r="MGB216" s="36"/>
      <c r="MGC216" s="36"/>
      <c r="MGD216" s="36"/>
      <c r="MGE216" s="36"/>
      <c r="MGF216" s="36"/>
      <c r="MGG216" s="36"/>
      <c r="MGH216" s="36"/>
      <c r="MGI216" s="36"/>
      <c r="MGJ216" s="36"/>
      <c r="MGK216" s="36"/>
      <c r="MGL216" s="36"/>
      <c r="MGM216" s="36"/>
      <c r="MGN216" s="36"/>
      <c r="MGO216" s="36"/>
      <c r="MGP216" s="36"/>
      <c r="MGQ216" s="36"/>
      <c r="MGR216" s="36"/>
      <c r="MGS216" s="36"/>
      <c r="MGT216" s="36"/>
      <c r="MGU216" s="36"/>
      <c r="MGV216" s="36"/>
      <c r="MGW216" s="36"/>
      <c r="MGX216" s="36"/>
      <c r="MGY216" s="36"/>
      <c r="MGZ216" s="36"/>
      <c r="MHA216" s="36"/>
      <c r="MHB216" s="36"/>
      <c r="MHC216" s="36"/>
      <c r="MHD216" s="36"/>
      <c r="MHE216" s="36"/>
      <c r="MHF216" s="36"/>
      <c r="MHG216" s="36"/>
      <c r="MHH216" s="36"/>
      <c r="MHI216" s="36"/>
      <c r="MHJ216" s="36"/>
      <c r="MHK216" s="36"/>
      <c r="MHL216" s="36"/>
      <c r="MHM216" s="36"/>
      <c r="MHN216" s="36"/>
      <c r="MHO216" s="36"/>
      <c r="MHP216" s="36"/>
      <c r="MHQ216" s="36"/>
      <c r="MHR216" s="36"/>
      <c r="MHS216" s="36"/>
      <c r="MHT216" s="36"/>
      <c r="MHU216" s="36"/>
      <c r="MHV216" s="36"/>
      <c r="MHW216" s="36"/>
      <c r="MHX216" s="36"/>
      <c r="MHY216" s="36"/>
      <c r="MHZ216" s="36"/>
      <c r="MIA216" s="36"/>
      <c r="MIB216" s="36"/>
      <c r="MIC216" s="36"/>
      <c r="MID216" s="36"/>
      <c r="MIE216" s="36"/>
      <c r="MIF216" s="36"/>
      <c r="MIG216" s="36"/>
      <c r="MIH216" s="36"/>
      <c r="MII216" s="36"/>
      <c r="MIJ216" s="36"/>
      <c r="MIK216" s="36"/>
      <c r="MIL216" s="36"/>
      <c r="MIM216" s="36"/>
      <c r="MIN216" s="36"/>
      <c r="MIO216" s="36"/>
      <c r="MIP216" s="36"/>
      <c r="MIQ216" s="36"/>
      <c r="MIR216" s="36"/>
      <c r="MIS216" s="36"/>
      <c r="MIT216" s="36"/>
      <c r="MIU216" s="36"/>
      <c r="MIV216" s="36"/>
      <c r="MIW216" s="36"/>
      <c r="MIX216" s="36"/>
      <c r="MIY216" s="36"/>
      <c r="MIZ216" s="36"/>
      <c r="MJA216" s="36"/>
      <c r="MJB216" s="36"/>
      <c r="MJC216" s="36"/>
      <c r="MJD216" s="36"/>
      <c r="MJE216" s="36"/>
      <c r="MJF216" s="36"/>
      <c r="MJG216" s="36"/>
      <c r="MJH216" s="36"/>
      <c r="MJI216" s="36"/>
      <c r="MJJ216" s="36"/>
      <c r="MJK216" s="36"/>
      <c r="MJL216" s="36"/>
      <c r="MJM216" s="36"/>
      <c r="MJN216" s="36"/>
      <c r="MJO216" s="36"/>
      <c r="MJP216" s="36"/>
      <c r="MJQ216" s="36"/>
      <c r="MJR216" s="36"/>
      <c r="MJS216" s="36"/>
      <c r="MJT216" s="36"/>
      <c r="MJU216" s="36"/>
      <c r="MJV216" s="36"/>
      <c r="MJW216" s="36"/>
      <c r="MJX216" s="36"/>
      <c r="MJY216" s="36"/>
      <c r="MJZ216" s="36"/>
      <c r="MKA216" s="36"/>
      <c r="MKB216" s="36"/>
      <c r="MKC216" s="36"/>
      <c r="MKD216" s="36"/>
      <c r="MKE216" s="36"/>
      <c r="MKF216" s="36"/>
      <c r="MKG216" s="36"/>
      <c r="MKH216" s="36"/>
      <c r="MKI216" s="36"/>
      <c r="MKJ216" s="36"/>
      <c r="MKK216" s="36"/>
      <c r="MKL216" s="36"/>
      <c r="MKM216" s="36"/>
      <c r="MKN216" s="36"/>
      <c r="MKO216" s="36"/>
      <c r="MKP216" s="36"/>
      <c r="MKQ216" s="36"/>
      <c r="MKR216" s="36"/>
      <c r="MKS216" s="36"/>
      <c r="MKT216" s="36"/>
      <c r="MKU216" s="36"/>
      <c r="MKV216" s="36"/>
      <c r="MKW216" s="36"/>
      <c r="MKX216" s="36"/>
      <c r="MKY216" s="36"/>
      <c r="MKZ216" s="36"/>
      <c r="MLA216" s="36"/>
      <c r="MLB216" s="36"/>
      <c r="MLC216" s="36"/>
      <c r="MLD216" s="36"/>
      <c r="MLE216" s="36"/>
      <c r="MLF216" s="36"/>
      <c r="MLG216" s="36"/>
      <c r="MLH216" s="36"/>
      <c r="MLI216" s="36"/>
      <c r="MLJ216" s="36"/>
      <c r="MLK216" s="36"/>
      <c r="MLL216" s="36"/>
      <c r="MLM216" s="36"/>
      <c r="MLN216" s="36"/>
      <c r="MLO216" s="36"/>
      <c r="MLP216" s="36"/>
      <c r="MLQ216" s="36"/>
      <c r="MLR216" s="36"/>
      <c r="MLS216" s="36"/>
      <c r="MLT216" s="36"/>
      <c r="MLU216" s="36"/>
      <c r="MLV216" s="36"/>
      <c r="MLW216" s="36"/>
      <c r="MLX216" s="36"/>
      <c r="MLY216" s="36"/>
      <c r="MLZ216" s="36"/>
      <c r="MMA216" s="36"/>
      <c r="MMB216" s="36"/>
      <c r="MMC216" s="36"/>
      <c r="MMD216" s="36"/>
      <c r="MME216" s="36"/>
      <c r="MMF216" s="36"/>
      <c r="MMG216" s="36"/>
      <c r="MMH216" s="36"/>
      <c r="MMI216" s="36"/>
      <c r="MMJ216" s="36"/>
      <c r="MMK216" s="36"/>
      <c r="MML216" s="36"/>
      <c r="MMM216" s="36"/>
      <c r="MMN216" s="36"/>
      <c r="MMO216" s="36"/>
      <c r="MMP216" s="36"/>
      <c r="MMQ216" s="36"/>
      <c r="MMR216" s="36"/>
      <c r="MMS216" s="36"/>
      <c r="MMT216" s="36"/>
      <c r="MMU216" s="36"/>
      <c r="MMV216" s="36"/>
      <c r="MMW216" s="36"/>
      <c r="MMX216" s="36"/>
      <c r="MMY216" s="36"/>
      <c r="MMZ216" s="36"/>
      <c r="MNA216" s="36"/>
      <c r="MNB216" s="36"/>
      <c r="MNC216" s="36"/>
      <c r="MND216" s="36"/>
      <c r="MNE216" s="36"/>
      <c r="MNF216" s="36"/>
      <c r="MNG216" s="36"/>
      <c r="MNH216" s="36"/>
      <c r="MNI216" s="36"/>
      <c r="MNJ216" s="36"/>
      <c r="MNK216" s="36"/>
      <c r="MNL216" s="36"/>
      <c r="MNM216" s="36"/>
      <c r="MNN216" s="36"/>
      <c r="MNO216" s="36"/>
      <c r="MNP216" s="36"/>
      <c r="MNQ216" s="36"/>
      <c r="MNR216" s="36"/>
      <c r="MNS216" s="36"/>
      <c r="MNT216" s="36"/>
      <c r="MNU216" s="36"/>
      <c r="MNV216" s="36"/>
      <c r="MNW216" s="36"/>
      <c r="MNX216" s="36"/>
      <c r="MNY216" s="36"/>
      <c r="MNZ216" s="36"/>
      <c r="MOA216" s="36"/>
      <c r="MOB216" s="36"/>
      <c r="MOC216" s="36"/>
      <c r="MOD216" s="36"/>
      <c r="MOE216" s="36"/>
      <c r="MOF216" s="36"/>
      <c r="MOG216" s="36"/>
      <c r="MOH216" s="36"/>
      <c r="MOI216" s="36"/>
      <c r="MOJ216" s="36"/>
      <c r="MOK216" s="36"/>
      <c r="MOL216" s="36"/>
      <c r="MOM216" s="36"/>
      <c r="MON216" s="36"/>
      <c r="MOO216" s="36"/>
      <c r="MOP216" s="36"/>
      <c r="MOQ216" s="36"/>
      <c r="MOR216" s="36"/>
      <c r="MOS216" s="36"/>
      <c r="MOT216" s="36"/>
      <c r="MOU216" s="36"/>
      <c r="MOV216" s="36"/>
      <c r="MOW216" s="36"/>
      <c r="MOX216" s="36"/>
      <c r="MOY216" s="36"/>
      <c r="MOZ216" s="36"/>
      <c r="MPA216" s="36"/>
      <c r="MPB216" s="36"/>
      <c r="MPC216" s="36"/>
      <c r="MPD216" s="36"/>
      <c r="MPE216" s="36"/>
      <c r="MPF216" s="36"/>
      <c r="MPG216" s="36"/>
      <c r="MPH216" s="36"/>
      <c r="MPI216" s="36"/>
      <c r="MPJ216" s="36"/>
      <c r="MPK216" s="36"/>
      <c r="MPL216" s="36"/>
      <c r="MPM216" s="36"/>
      <c r="MPN216" s="36"/>
      <c r="MPO216" s="36"/>
      <c r="MPP216" s="36"/>
      <c r="MPQ216" s="36"/>
      <c r="MPR216" s="36"/>
      <c r="MPS216" s="36"/>
      <c r="MPT216" s="36"/>
      <c r="MPU216" s="36"/>
      <c r="MPV216" s="36"/>
      <c r="MPW216" s="36"/>
      <c r="MPX216" s="36"/>
      <c r="MPY216" s="36"/>
      <c r="MPZ216" s="36"/>
      <c r="MQA216" s="36"/>
      <c r="MQB216" s="36"/>
      <c r="MQC216" s="36"/>
      <c r="MQD216" s="36"/>
      <c r="MQE216" s="36"/>
      <c r="MQF216" s="36"/>
      <c r="MQG216" s="36"/>
      <c r="MQH216" s="36"/>
      <c r="MQI216" s="36"/>
      <c r="MQJ216" s="36"/>
      <c r="MQK216" s="36"/>
      <c r="MQL216" s="36"/>
      <c r="MQM216" s="36"/>
      <c r="MQN216" s="36"/>
      <c r="MQO216" s="36"/>
      <c r="MQP216" s="36"/>
      <c r="MQQ216" s="36"/>
      <c r="MQR216" s="36"/>
      <c r="MQS216" s="36"/>
      <c r="MQT216" s="36"/>
      <c r="MQU216" s="36"/>
      <c r="MQV216" s="36"/>
      <c r="MQW216" s="36"/>
      <c r="MQX216" s="36"/>
      <c r="MQY216" s="36"/>
      <c r="MQZ216" s="36"/>
      <c r="MRA216" s="36"/>
      <c r="MRB216" s="36"/>
      <c r="MRC216" s="36"/>
      <c r="MRD216" s="36"/>
      <c r="MRE216" s="36"/>
      <c r="MRF216" s="36"/>
      <c r="MRG216" s="36"/>
      <c r="MRH216" s="36"/>
      <c r="MRI216" s="36"/>
      <c r="MRJ216" s="36"/>
      <c r="MRK216" s="36"/>
      <c r="MRL216" s="36"/>
      <c r="MRM216" s="36"/>
      <c r="MRN216" s="36"/>
      <c r="MRO216" s="36"/>
      <c r="MRP216" s="36"/>
      <c r="MRQ216" s="36"/>
      <c r="MRR216" s="36"/>
      <c r="MRS216" s="36"/>
      <c r="MRT216" s="36"/>
      <c r="MRU216" s="36"/>
      <c r="MRV216" s="36"/>
      <c r="MRW216" s="36"/>
      <c r="MRX216" s="36"/>
      <c r="MRY216" s="36"/>
      <c r="MRZ216" s="36"/>
      <c r="MSA216" s="36"/>
      <c r="MSB216" s="36"/>
      <c r="MSC216" s="36"/>
      <c r="MSD216" s="36"/>
      <c r="MSE216" s="36"/>
      <c r="MSF216" s="36"/>
      <c r="MSG216" s="36"/>
      <c r="MSH216" s="36"/>
      <c r="MSI216" s="36"/>
      <c r="MSJ216" s="36"/>
      <c r="MSK216" s="36"/>
      <c r="MSL216" s="36"/>
      <c r="MSM216" s="36"/>
      <c r="MSN216" s="36"/>
      <c r="MSO216" s="36"/>
      <c r="MSP216" s="36"/>
      <c r="MSQ216" s="36"/>
      <c r="MSR216" s="36"/>
      <c r="MSS216" s="36"/>
      <c r="MST216" s="36"/>
      <c r="MSU216" s="36"/>
      <c r="MSV216" s="36"/>
      <c r="MSW216" s="36"/>
      <c r="MSX216" s="36"/>
      <c r="MSY216" s="36"/>
      <c r="MSZ216" s="36"/>
      <c r="MTA216" s="36"/>
      <c r="MTB216" s="36"/>
      <c r="MTC216" s="36"/>
      <c r="MTD216" s="36"/>
      <c r="MTE216" s="36"/>
      <c r="MTF216" s="36"/>
      <c r="MTG216" s="36"/>
      <c r="MTH216" s="36"/>
      <c r="MTI216" s="36"/>
      <c r="MTJ216" s="36"/>
      <c r="MTK216" s="36"/>
      <c r="MTL216" s="36"/>
      <c r="MTM216" s="36"/>
      <c r="MTN216" s="36"/>
      <c r="MTO216" s="36"/>
      <c r="MTP216" s="36"/>
      <c r="MTQ216" s="36"/>
      <c r="MTR216" s="36"/>
      <c r="MTS216" s="36"/>
      <c r="MTT216" s="36"/>
      <c r="MTU216" s="36"/>
      <c r="MTV216" s="36"/>
      <c r="MTW216" s="36"/>
      <c r="MTX216" s="36"/>
      <c r="MTY216" s="36"/>
      <c r="MTZ216" s="36"/>
      <c r="MUA216" s="36"/>
      <c r="MUB216" s="36"/>
      <c r="MUC216" s="36"/>
      <c r="MUD216" s="36"/>
      <c r="MUE216" s="36"/>
      <c r="MUF216" s="36"/>
      <c r="MUG216" s="36"/>
      <c r="MUH216" s="36"/>
      <c r="MUI216" s="36"/>
      <c r="MUJ216" s="36"/>
      <c r="MUK216" s="36"/>
      <c r="MUL216" s="36"/>
      <c r="MUM216" s="36"/>
      <c r="MUN216" s="36"/>
      <c r="MUO216" s="36"/>
      <c r="MUP216" s="36"/>
      <c r="MUQ216" s="36"/>
      <c r="MUR216" s="36"/>
      <c r="MUS216" s="36"/>
      <c r="MUT216" s="36"/>
      <c r="MUU216" s="36"/>
      <c r="MUV216" s="36"/>
      <c r="MUW216" s="36"/>
      <c r="MUX216" s="36"/>
      <c r="MUY216" s="36"/>
      <c r="MUZ216" s="36"/>
      <c r="MVA216" s="36"/>
      <c r="MVB216" s="36"/>
      <c r="MVC216" s="36"/>
      <c r="MVD216" s="36"/>
      <c r="MVE216" s="36"/>
      <c r="MVF216" s="36"/>
      <c r="MVG216" s="36"/>
      <c r="MVH216" s="36"/>
      <c r="MVI216" s="36"/>
      <c r="MVJ216" s="36"/>
      <c r="MVK216" s="36"/>
      <c r="MVL216" s="36"/>
      <c r="MVM216" s="36"/>
      <c r="MVN216" s="36"/>
      <c r="MVO216" s="36"/>
      <c r="MVP216" s="36"/>
      <c r="MVQ216" s="36"/>
      <c r="MVR216" s="36"/>
      <c r="MVS216" s="36"/>
      <c r="MVT216" s="36"/>
      <c r="MVU216" s="36"/>
      <c r="MVV216" s="36"/>
      <c r="MVW216" s="36"/>
      <c r="MVX216" s="36"/>
      <c r="MVY216" s="36"/>
      <c r="MVZ216" s="36"/>
      <c r="MWA216" s="36"/>
      <c r="MWB216" s="36"/>
      <c r="MWC216" s="36"/>
      <c r="MWD216" s="36"/>
      <c r="MWE216" s="36"/>
      <c r="MWF216" s="36"/>
      <c r="MWG216" s="36"/>
      <c r="MWH216" s="36"/>
      <c r="MWI216" s="36"/>
      <c r="MWJ216" s="36"/>
      <c r="MWK216" s="36"/>
      <c r="MWL216" s="36"/>
      <c r="MWM216" s="36"/>
      <c r="MWN216" s="36"/>
      <c r="MWO216" s="36"/>
      <c r="MWP216" s="36"/>
      <c r="MWQ216" s="36"/>
      <c r="MWR216" s="36"/>
      <c r="MWS216" s="36"/>
      <c r="MWT216" s="36"/>
      <c r="MWU216" s="36"/>
      <c r="MWV216" s="36"/>
      <c r="MWW216" s="36"/>
      <c r="MWX216" s="36"/>
      <c r="MWY216" s="36"/>
      <c r="MWZ216" s="36"/>
      <c r="MXA216" s="36"/>
      <c r="MXB216" s="36"/>
      <c r="MXC216" s="36"/>
      <c r="MXD216" s="36"/>
      <c r="MXE216" s="36"/>
      <c r="MXF216" s="36"/>
      <c r="MXG216" s="36"/>
      <c r="MXH216" s="36"/>
      <c r="MXI216" s="36"/>
      <c r="MXJ216" s="36"/>
      <c r="MXK216" s="36"/>
      <c r="MXL216" s="36"/>
      <c r="MXM216" s="36"/>
      <c r="MXN216" s="36"/>
      <c r="MXO216" s="36"/>
      <c r="MXP216" s="36"/>
      <c r="MXQ216" s="36"/>
      <c r="MXR216" s="36"/>
      <c r="MXS216" s="36"/>
      <c r="MXT216" s="36"/>
      <c r="MXU216" s="36"/>
      <c r="MXV216" s="36"/>
      <c r="MXW216" s="36"/>
      <c r="MXX216" s="36"/>
      <c r="MXY216" s="36"/>
      <c r="MXZ216" s="36"/>
      <c r="MYA216" s="36"/>
      <c r="MYB216" s="36"/>
      <c r="MYC216" s="36"/>
      <c r="MYD216" s="36"/>
      <c r="MYE216" s="36"/>
      <c r="MYF216" s="36"/>
      <c r="MYG216" s="36"/>
      <c r="MYH216" s="36"/>
      <c r="MYI216" s="36"/>
      <c r="MYJ216" s="36"/>
      <c r="MYK216" s="36"/>
      <c r="MYL216" s="36"/>
      <c r="MYM216" s="36"/>
      <c r="MYN216" s="36"/>
      <c r="MYO216" s="36"/>
      <c r="MYP216" s="36"/>
      <c r="MYQ216" s="36"/>
      <c r="MYR216" s="36"/>
      <c r="MYS216" s="36"/>
      <c r="MYT216" s="36"/>
      <c r="MYU216" s="36"/>
      <c r="MYV216" s="36"/>
      <c r="MYW216" s="36"/>
      <c r="MYX216" s="36"/>
      <c r="MYY216" s="36"/>
      <c r="MYZ216" s="36"/>
      <c r="MZA216" s="36"/>
      <c r="MZB216" s="36"/>
      <c r="MZC216" s="36"/>
      <c r="MZD216" s="36"/>
      <c r="MZE216" s="36"/>
      <c r="MZF216" s="36"/>
      <c r="MZG216" s="36"/>
      <c r="MZH216" s="36"/>
      <c r="MZI216" s="36"/>
      <c r="MZJ216" s="36"/>
      <c r="MZK216" s="36"/>
      <c r="MZL216" s="36"/>
      <c r="MZM216" s="36"/>
      <c r="MZN216" s="36"/>
      <c r="MZO216" s="36"/>
      <c r="MZP216" s="36"/>
      <c r="MZQ216" s="36"/>
      <c r="MZR216" s="36"/>
      <c r="MZS216" s="36"/>
      <c r="MZT216" s="36"/>
      <c r="MZU216" s="36"/>
      <c r="MZV216" s="36"/>
      <c r="MZW216" s="36"/>
      <c r="MZX216" s="36"/>
      <c r="MZY216" s="36"/>
      <c r="MZZ216" s="36"/>
      <c r="NAA216" s="36"/>
      <c r="NAB216" s="36"/>
      <c r="NAC216" s="36"/>
      <c r="NAD216" s="36"/>
      <c r="NAE216" s="36"/>
      <c r="NAF216" s="36"/>
      <c r="NAG216" s="36"/>
      <c r="NAH216" s="36"/>
      <c r="NAI216" s="36"/>
      <c r="NAJ216" s="36"/>
      <c r="NAK216" s="36"/>
      <c r="NAL216" s="36"/>
      <c r="NAM216" s="36"/>
      <c r="NAN216" s="36"/>
      <c r="NAO216" s="36"/>
      <c r="NAP216" s="36"/>
      <c r="NAQ216" s="36"/>
      <c r="NAR216" s="36"/>
      <c r="NAS216" s="36"/>
      <c r="NAT216" s="36"/>
      <c r="NAU216" s="36"/>
      <c r="NAV216" s="36"/>
      <c r="NAW216" s="36"/>
      <c r="NAX216" s="36"/>
      <c r="NAY216" s="36"/>
      <c r="NAZ216" s="36"/>
      <c r="NBA216" s="36"/>
      <c r="NBB216" s="36"/>
      <c r="NBC216" s="36"/>
      <c r="NBD216" s="36"/>
      <c r="NBE216" s="36"/>
      <c r="NBF216" s="36"/>
      <c r="NBG216" s="36"/>
      <c r="NBH216" s="36"/>
      <c r="NBI216" s="36"/>
      <c r="NBJ216" s="36"/>
      <c r="NBK216" s="36"/>
      <c r="NBL216" s="36"/>
      <c r="NBM216" s="36"/>
      <c r="NBN216" s="36"/>
      <c r="NBO216" s="36"/>
      <c r="NBP216" s="36"/>
      <c r="NBQ216" s="36"/>
      <c r="NBR216" s="36"/>
      <c r="NBS216" s="36"/>
      <c r="NBT216" s="36"/>
      <c r="NBU216" s="36"/>
      <c r="NBV216" s="36"/>
      <c r="NBW216" s="36"/>
      <c r="NBX216" s="36"/>
      <c r="NBY216" s="36"/>
      <c r="NBZ216" s="36"/>
      <c r="NCA216" s="36"/>
      <c r="NCB216" s="36"/>
      <c r="NCC216" s="36"/>
      <c r="NCD216" s="36"/>
      <c r="NCE216" s="36"/>
      <c r="NCF216" s="36"/>
      <c r="NCG216" s="36"/>
      <c r="NCH216" s="36"/>
      <c r="NCI216" s="36"/>
      <c r="NCJ216" s="36"/>
      <c r="NCK216" s="36"/>
      <c r="NCL216" s="36"/>
      <c r="NCM216" s="36"/>
      <c r="NCN216" s="36"/>
      <c r="NCO216" s="36"/>
      <c r="NCP216" s="36"/>
      <c r="NCQ216" s="36"/>
      <c r="NCR216" s="36"/>
      <c r="NCS216" s="36"/>
      <c r="NCT216" s="36"/>
      <c r="NCU216" s="36"/>
      <c r="NCV216" s="36"/>
      <c r="NCW216" s="36"/>
      <c r="NCX216" s="36"/>
      <c r="NCY216" s="36"/>
      <c r="NCZ216" s="36"/>
      <c r="NDA216" s="36"/>
      <c r="NDB216" s="36"/>
      <c r="NDC216" s="36"/>
      <c r="NDD216" s="36"/>
      <c r="NDE216" s="36"/>
      <c r="NDF216" s="36"/>
      <c r="NDG216" s="36"/>
      <c r="NDH216" s="36"/>
      <c r="NDI216" s="36"/>
      <c r="NDJ216" s="36"/>
      <c r="NDK216" s="36"/>
      <c r="NDL216" s="36"/>
      <c r="NDM216" s="36"/>
      <c r="NDN216" s="36"/>
      <c r="NDO216" s="36"/>
      <c r="NDP216" s="36"/>
      <c r="NDQ216" s="36"/>
      <c r="NDR216" s="36"/>
      <c r="NDS216" s="36"/>
      <c r="NDT216" s="36"/>
      <c r="NDU216" s="36"/>
      <c r="NDV216" s="36"/>
      <c r="NDW216" s="36"/>
      <c r="NDX216" s="36"/>
      <c r="NDY216" s="36"/>
      <c r="NDZ216" s="36"/>
      <c r="NEA216" s="36"/>
      <c r="NEB216" s="36"/>
      <c r="NEC216" s="36"/>
      <c r="NED216" s="36"/>
      <c r="NEE216" s="36"/>
      <c r="NEF216" s="36"/>
      <c r="NEG216" s="36"/>
      <c r="NEH216" s="36"/>
      <c r="NEI216" s="36"/>
      <c r="NEJ216" s="36"/>
      <c r="NEK216" s="36"/>
      <c r="NEL216" s="36"/>
      <c r="NEM216" s="36"/>
      <c r="NEN216" s="36"/>
      <c r="NEO216" s="36"/>
      <c r="NEP216" s="36"/>
      <c r="NEQ216" s="36"/>
      <c r="NER216" s="36"/>
      <c r="NES216" s="36"/>
      <c r="NET216" s="36"/>
      <c r="NEU216" s="36"/>
      <c r="NEV216" s="36"/>
      <c r="NEW216" s="36"/>
      <c r="NEX216" s="36"/>
      <c r="NEY216" s="36"/>
      <c r="NEZ216" s="36"/>
      <c r="NFA216" s="36"/>
      <c r="NFB216" s="36"/>
      <c r="NFC216" s="36"/>
      <c r="NFD216" s="36"/>
      <c r="NFE216" s="36"/>
      <c r="NFF216" s="36"/>
      <c r="NFG216" s="36"/>
      <c r="NFH216" s="36"/>
      <c r="NFI216" s="36"/>
      <c r="NFJ216" s="36"/>
      <c r="NFK216" s="36"/>
      <c r="NFL216" s="36"/>
      <c r="NFM216" s="36"/>
      <c r="NFN216" s="36"/>
      <c r="NFO216" s="36"/>
      <c r="NFP216" s="36"/>
      <c r="NFQ216" s="36"/>
      <c r="NFR216" s="36"/>
      <c r="NFS216" s="36"/>
      <c r="NFT216" s="36"/>
      <c r="NFU216" s="36"/>
      <c r="NFV216" s="36"/>
      <c r="NFW216" s="36"/>
      <c r="NFX216" s="36"/>
      <c r="NFY216" s="36"/>
      <c r="NFZ216" s="36"/>
      <c r="NGA216" s="36"/>
      <c r="NGB216" s="36"/>
      <c r="NGC216" s="36"/>
      <c r="NGD216" s="36"/>
      <c r="NGE216" s="36"/>
      <c r="NGF216" s="36"/>
      <c r="NGG216" s="36"/>
      <c r="NGH216" s="36"/>
      <c r="NGI216" s="36"/>
      <c r="NGJ216" s="36"/>
      <c r="NGK216" s="36"/>
      <c r="NGL216" s="36"/>
      <c r="NGM216" s="36"/>
      <c r="NGN216" s="36"/>
      <c r="NGO216" s="36"/>
      <c r="NGP216" s="36"/>
      <c r="NGQ216" s="36"/>
      <c r="NGR216" s="36"/>
      <c r="NGS216" s="36"/>
      <c r="NGT216" s="36"/>
      <c r="NGU216" s="36"/>
      <c r="NGV216" s="36"/>
      <c r="NGW216" s="36"/>
      <c r="NGX216" s="36"/>
      <c r="NGY216" s="36"/>
      <c r="NGZ216" s="36"/>
      <c r="NHA216" s="36"/>
      <c r="NHB216" s="36"/>
      <c r="NHC216" s="36"/>
      <c r="NHD216" s="36"/>
      <c r="NHE216" s="36"/>
      <c r="NHF216" s="36"/>
      <c r="NHG216" s="36"/>
      <c r="NHH216" s="36"/>
      <c r="NHI216" s="36"/>
      <c r="NHJ216" s="36"/>
      <c r="NHK216" s="36"/>
      <c r="NHL216" s="36"/>
      <c r="NHM216" s="36"/>
      <c r="NHN216" s="36"/>
      <c r="NHO216" s="36"/>
      <c r="NHP216" s="36"/>
      <c r="NHQ216" s="36"/>
      <c r="NHR216" s="36"/>
      <c r="NHS216" s="36"/>
      <c r="NHT216" s="36"/>
      <c r="NHU216" s="36"/>
      <c r="NHV216" s="36"/>
      <c r="NHW216" s="36"/>
      <c r="NHX216" s="36"/>
      <c r="NHY216" s="36"/>
      <c r="NHZ216" s="36"/>
      <c r="NIA216" s="36"/>
      <c r="NIB216" s="36"/>
      <c r="NIC216" s="36"/>
      <c r="NID216" s="36"/>
      <c r="NIE216" s="36"/>
      <c r="NIF216" s="36"/>
      <c r="NIG216" s="36"/>
      <c r="NIH216" s="36"/>
      <c r="NII216" s="36"/>
      <c r="NIJ216" s="36"/>
      <c r="NIK216" s="36"/>
      <c r="NIL216" s="36"/>
      <c r="NIM216" s="36"/>
      <c r="NIN216" s="36"/>
      <c r="NIO216" s="36"/>
      <c r="NIP216" s="36"/>
      <c r="NIQ216" s="36"/>
      <c r="NIR216" s="36"/>
      <c r="NIS216" s="36"/>
      <c r="NIT216" s="36"/>
      <c r="NIU216" s="36"/>
      <c r="NIV216" s="36"/>
      <c r="NIW216" s="36"/>
      <c r="NIX216" s="36"/>
      <c r="NIY216" s="36"/>
      <c r="NIZ216" s="36"/>
      <c r="NJA216" s="36"/>
      <c r="NJB216" s="36"/>
      <c r="NJC216" s="36"/>
      <c r="NJD216" s="36"/>
      <c r="NJE216" s="36"/>
      <c r="NJF216" s="36"/>
      <c r="NJG216" s="36"/>
      <c r="NJH216" s="36"/>
      <c r="NJI216" s="36"/>
      <c r="NJJ216" s="36"/>
      <c r="NJK216" s="36"/>
      <c r="NJL216" s="36"/>
      <c r="NJM216" s="36"/>
      <c r="NJN216" s="36"/>
      <c r="NJO216" s="36"/>
      <c r="NJP216" s="36"/>
      <c r="NJQ216" s="36"/>
      <c r="NJR216" s="36"/>
      <c r="NJS216" s="36"/>
      <c r="NJT216" s="36"/>
      <c r="NJU216" s="36"/>
      <c r="NJV216" s="36"/>
      <c r="NJW216" s="36"/>
      <c r="NJX216" s="36"/>
      <c r="NJY216" s="36"/>
      <c r="NJZ216" s="36"/>
      <c r="NKA216" s="36"/>
      <c r="NKB216" s="36"/>
      <c r="NKC216" s="36"/>
      <c r="NKD216" s="36"/>
      <c r="NKE216" s="36"/>
      <c r="NKF216" s="36"/>
      <c r="NKG216" s="36"/>
      <c r="NKH216" s="36"/>
      <c r="NKI216" s="36"/>
      <c r="NKJ216" s="36"/>
      <c r="NKK216" s="36"/>
      <c r="NKL216" s="36"/>
      <c r="NKM216" s="36"/>
      <c r="NKN216" s="36"/>
      <c r="NKO216" s="36"/>
      <c r="NKP216" s="36"/>
      <c r="NKQ216" s="36"/>
      <c r="NKR216" s="36"/>
      <c r="NKS216" s="36"/>
      <c r="NKT216" s="36"/>
      <c r="NKU216" s="36"/>
      <c r="NKV216" s="36"/>
      <c r="NKW216" s="36"/>
      <c r="NKX216" s="36"/>
      <c r="NKY216" s="36"/>
      <c r="NKZ216" s="36"/>
      <c r="NLA216" s="36"/>
      <c r="NLB216" s="36"/>
      <c r="NLC216" s="36"/>
      <c r="NLD216" s="36"/>
      <c r="NLE216" s="36"/>
      <c r="NLF216" s="36"/>
      <c r="NLG216" s="36"/>
      <c r="NLH216" s="36"/>
      <c r="NLI216" s="36"/>
      <c r="NLJ216" s="36"/>
      <c r="NLK216" s="36"/>
      <c r="NLL216" s="36"/>
      <c r="NLM216" s="36"/>
      <c r="NLN216" s="36"/>
      <c r="NLO216" s="36"/>
      <c r="NLP216" s="36"/>
      <c r="NLQ216" s="36"/>
      <c r="NLR216" s="36"/>
      <c r="NLS216" s="36"/>
      <c r="NLT216" s="36"/>
      <c r="NLU216" s="36"/>
      <c r="NLV216" s="36"/>
      <c r="NLW216" s="36"/>
      <c r="NLX216" s="36"/>
      <c r="NLY216" s="36"/>
      <c r="NLZ216" s="36"/>
      <c r="NMA216" s="36"/>
      <c r="NMB216" s="36"/>
      <c r="NMC216" s="36"/>
      <c r="NMD216" s="36"/>
      <c r="NME216" s="36"/>
      <c r="NMF216" s="36"/>
      <c r="NMG216" s="36"/>
      <c r="NMH216" s="36"/>
      <c r="NMI216" s="36"/>
      <c r="NMJ216" s="36"/>
      <c r="NMK216" s="36"/>
      <c r="NML216" s="36"/>
      <c r="NMM216" s="36"/>
      <c r="NMN216" s="36"/>
      <c r="NMO216" s="36"/>
      <c r="NMP216" s="36"/>
      <c r="NMQ216" s="36"/>
      <c r="NMR216" s="36"/>
      <c r="NMS216" s="36"/>
      <c r="NMT216" s="36"/>
      <c r="NMU216" s="36"/>
      <c r="NMV216" s="36"/>
      <c r="NMW216" s="36"/>
      <c r="NMX216" s="36"/>
      <c r="NMY216" s="36"/>
      <c r="NMZ216" s="36"/>
      <c r="NNA216" s="36"/>
      <c r="NNB216" s="36"/>
      <c r="NNC216" s="36"/>
      <c r="NND216" s="36"/>
      <c r="NNE216" s="36"/>
      <c r="NNF216" s="36"/>
      <c r="NNG216" s="36"/>
      <c r="NNH216" s="36"/>
      <c r="NNI216" s="36"/>
      <c r="NNJ216" s="36"/>
      <c r="NNK216" s="36"/>
      <c r="NNL216" s="36"/>
      <c r="NNM216" s="36"/>
      <c r="NNN216" s="36"/>
      <c r="NNO216" s="36"/>
      <c r="NNP216" s="36"/>
      <c r="NNQ216" s="36"/>
      <c r="NNR216" s="36"/>
      <c r="NNS216" s="36"/>
      <c r="NNT216" s="36"/>
      <c r="NNU216" s="36"/>
      <c r="NNV216" s="36"/>
      <c r="NNW216" s="36"/>
      <c r="NNX216" s="36"/>
      <c r="NNY216" s="36"/>
      <c r="NNZ216" s="36"/>
      <c r="NOA216" s="36"/>
      <c r="NOB216" s="36"/>
      <c r="NOC216" s="36"/>
      <c r="NOD216" s="36"/>
      <c r="NOE216" s="36"/>
      <c r="NOF216" s="36"/>
      <c r="NOG216" s="36"/>
      <c r="NOH216" s="36"/>
      <c r="NOI216" s="36"/>
      <c r="NOJ216" s="36"/>
      <c r="NOK216" s="36"/>
      <c r="NOL216" s="36"/>
      <c r="NOM216" s="36"/>
      <c r="NON216" s="36"/>
      <c r="NOO216" s="36"/>
      <c r="NOP216" s="36"/>
      <c r="NOQ216" s="36"/>
      <c r="NOR216" s="36"/>
      <c r="NOS216" s="36"/>
      <c r="NOT216" s="36"/>
      <c r="NOU216" s="36"/>
      <c r="NOV216" s="36"/>
      <c r="NOW216" s="36"/>
      <c r="NOX216" s="36"/>
      <c r="NOY216" s="36"/>
      <c r="NOZ216" s="36"/>
      <c r="NPA216" s="36"/>
      <c r="NPB216" s="36"/>
      <c r="NPC216" s="36"/>
      <c r="NPD216" s="36"/>
      <c r="NPE216" s="36"/>
      <c r="NPF216" s="36"/>
      <c r="NPG216" s="36"/>
      <c r="NPH216" s="36"/>
      <c r="NPI216" s="36"/>
      <c r="NPJ216" s="36"/>
      <c r="NPK216" s="36"/>
      <c r="NPL216" s="36"/>
      <c r="NPM216" s="36"/>
      <c r="NPN216" s="36"/>
      <c r="NPO216" s="36"/>
      <c r="NPP216" s="36"/>
      <c r="NPQ216" s="36"/>
      <c r="NPR216" s="36"/>
      <c r="NPS216" s="36"/>
      <c r="NPT216" s="36"/>
      <c r="NPU216" s="36"/>
      <c r="NPV216" s="36"/>
      <c r="NPW216" s="36"/>
      <c r="NPX216" s="36"/>
      <c r="NPY216" s="36"/>
      <c r="NPZ216" s="36"/>
      <c r="NQA216" s="36"/>
      <c r="NQB216" s="36"/>
      <c r="NQC216" s="36"/>
      <c r="NQD216" s="36"/>
      <c r="NQE216" s="36"/>
      <c r="NQF216" s="36"/>
      <c r="NQG216" s="36"/>
      <c r="NQH216" s="36"/>
      <c r="NQI216" s="36"/>
      <c r="NQJ216" s="36"/>
      <c r="NQK216" s="36"/>
      <c r="NQL216" s="36"/>
      <c r="NQM216" s="36"/>
      <c r="NQN216" s="36"/>
      <c r="NQO216" s="36"/>
      <c r="NQP216" s="36"/>
      <c r="NQQ216" s="36"/>
      <c r="NQR216" s="36"/>
      <c r="NQS216" s="36"/>
      <c r="NQT216" s="36"/>
      <c r="NQU216" s="36"/>
      <c r="NQV216" s="36"/>
      <c r="NQW216" s="36"/>
      <c r="NQX216" s="36"/>
      <c r="NQY216" s="36"/>
      <c r="NQZ216" s="36"/>
      <c r="NRA216" s="36"/>
      <c r="NRB216" s="36"/>
      <c r="NRC216" s="36"/>
      <c r="NRD216" s="36"/>
      <c r="NRE216" s="36"/>
      <c r="NRF216" s="36"/>
      <c r="NRG216" s="36"/>
      <c r="NRH216" s="36"/>
      <c r="NRI216" s="36"/>
      <c r="NRJ216" s="36"/>
      <c r="NRK216" s="36"/>
      <c r="NRL216" s="36"/>
      <c r="NRM216" s="36"/>
      <c r="NRN216" s="36"/>
      <c r="NRO216" s="36"/>
      <c r="NRP216" s="36"/>
      <c r="NRQ216" s="36"/>
      <c r="NRR216" s="36"/>
      <c r="NRS216" s="36"/>
      <c r="NRT216" s="36"/>
      <c r="NRU216" s="36"/>
      <c r="NRV216" s="36"/>
      <c r="NRW216" s="36"/>
      <c r="NRX216" s="36"/>
      <c r="NRY216" s="36"/>
      <c r="NRZ216" s="36"/>
      <c r="NSA216" s="36"/>
      <c r="NSB216" s="36"/>
      <c r="NSC216" s="36"/>
      <c r="NSD216" s="36"/>
      <c r="NSE216" s="36"/>
      <c r="NSF216" s="36"/>
      <c r="NSG216" s="36"/>
      <c r="NSH216" s="36"/>
      <c r="NSI216" s="36"/>
      <c r="NSJ216" s="36"/>
      <c r="NSK216" s="36"/>
      <c r="NSL216" s="36"/>
      <c r="NSM216" s="36"/>
      <c r="NSN216" s="36"/>
      <c r="NSO216" s="36"/>
      <c r="NSP216" s="36"/>
      <c r="NSQ216" s="36"/>
      <c r="NSR216" s="36"/>
      <c r="NSS216" s="36"/>
      <c r="NST216" s="36"/>
      <c r="NSU216" s="36"/>
      <c r="NSV216" s="36"/>
      <c r="NSW216" s="36"/>
      <c r="NSX216" s="36"/>
      <c r="NSY216" s="36"/>
      <c r="NSZ216" s="36"/>
      <c r="NTA216" s="36"/>
      <c r="NTB216" s="36"/>
      <c r="NTC216" s="36"/>
      <c r="NTD216" s="36"/>
      <c r="NTE216" s="36"/>
      <c r="NTF216" s="36"/>
      <c r="NTG216" s="36"/>
      <c r="NTH216" s="36"/>
      <c r="NTI216" s="36"/>
      <c r="NTJ216" s="36"/>
      <c r="NTK216" s="36"/>
      <c r="NTL216" s="36"/>
      <c r="NTM216" s="36"/>
      <c r="NTN216" s="36"/>
      <c r="NTO216" s="36"/>
      <c r="NTP216" s="36"/>
      <c r="NTQ216" s="36"/>
      <c r="NTR216" s="36"/>
      <c r="NTS216" s="36"/>
      <c r="NTT216" s="36"/>
      <c r="NTU216" s="36"/>
      <c r="NTV216" s="36"/>
      <c r="NTW216" s="36"/>
      <c r="NTX216" s="36"/>
      <c r="NTY216" s="36"/>
      <c r="NTZ216" s="36"/>
      <c r="NUA216" s="36"/>
      <c r="NUB216" s="36"/>
      <c r="NUC216" s="36"/>
      <c r="NUD216" s="36"/>
      <c r="NUE216" s="36"/>
      <c r="NUF216" s="36"/>
      <c r="NUG216" s="36"/>
      <c r="NUH216" s="36"/>
      <c r="NUI216" s="36"/>
      <c r="NUJ216" s="36"/>
      <c r="NUK216" s="36"/>
      <c r="NUL216" s="36"/>
      <c r="NUM216" s="36"/>
      <c r="NUN216" s="36"/>
      <c r="NUO216" s="36"/>
      <c r="NUP216" s="36"/>
      <c r="NUQ216" s="36"/>
      <c r="NUR216" s="36"/>
      <c r="NUS216" s="36"/>
      <c r="NUT216" s="36"/>
      <c r="NUU216" s="36"/>
      <c r="NUV216" s="36"/>
      <c r="NUW216" s="36"/>
      <c r="NUX216" s="36"/>
      <c r="NUY216" s="36"/>
      <c r="NUZ216" s="36"/>
      <c r="NVA216" s="36"/>
      <c r="NVB216" s="36"/>
      <c r="NVC216" s="36"/>
      <c r="NVD216" s="36"/>
      <c r="NVE216" s="36"/>
      <c r="NVF216" s="36"/>
      <c r="NVG216" s="36"/>
      <c r="NVH216" s="36"/>
      <c r="NVI216" s="36"/>
      <c r="NVJ216" s="36"/>
      <c r="NVK216" s="36"/>
      <c r="NVL216" s="36"/>
      <c r="NVM216" s="36"/>
      <c r="NVN216" s="36"/>
      <c r="NVO216" s="36"/>
      <c r="NVP216" s="36"/>
      <c r="NVQ216" s="36"/>
      <c r="NVR216" s="36"/>
      <c r="NVS216" s="36"/>
      <c r="NVT216" s="36"/>
      <c r="NVU216" s="36"/>
      <c r="NVV216" s="36"/>
      <c r="NVW216" s="36"/>
      <c r="NVX216" s="36"/>
      <c r="NVY216" s="36"/>
      <c r="NVZ216" s="36"/>
      <c r="NWA216" s="36"/>
      <c r="NWB216" s="36"/>
      <c r="NWC216" s="36"/>
      <c r="NWD216" s="36"/>
      <c r="NWE216" s="36"/>
      <c r="NWF216" s="36"/>
      <c r="NWG216" s="36"/>
      <c r="NWH216" s="36"/>
      <c r="NWI216" s="36"/>
      <c r="NWJ216" s="36"/>
      <c r="NWK216" s="36"/>
      <c r="NWL216" s="36"/>
      <c r="NWM216" s="36"/>
      <c r="NWN216" s="36"/>
      <c r="NWO216" s="36"/>
      <c r="NWP216" s="36"/>
      <c r="NWQ216" s="36"/>
      <c r="NWR216" s="36"/>
      <c r="NWS216" s="36"/>
      <c r="NWT216" s="36"/>
      <c r="NWU216" s="36"/>
      <c r="NWV216" s="36"/>
      <c r="NWW216" s="36"/>
      <c r="NWX216" s="36"/>
      <c r="NWY216" s="36"/>
      <c r="NWZ216" s="36"/>
      <c r="NXA216" s="36"/>
      <c r="NXB216" s="36"/>
      <c r="NXC216" s="36"/>
      <c r="NXD216" s="36"/>
      <c r="NXE216" s="36"/>
      <c r="NXF216" s="36"/>
      <c r="NXG216" s="36"/>
      <c r="NXH216" s="36"/>
      <c r="NXI216" s="36"/>
      <c r="NXJ216" s="36"/>
      <c r="NXK216" s="36"/>
      <c r="NXL216" s="36"/>
      <c r="NXM216" s="36"/>
      <c r="NXN216" s="36"/>
      <c r="NXO216" s="36"/>
      <c r="NXP216" s="36"/>
      <c r="NXQ216" s="36"/>
      <c r="NXR216" s="36"/>
      <c r="NXS216" s="36"/>
      <c r="NXT216" s="36"/>
      <c r="NXU216" s="36"/>
      <c r="NXV216" s="36"/>
      <c r="NXW216" s="36"/>
      <c r="NXX216" s="36"/>
      <c r="NXY216" s="36"/>
      <c r="NXZ216" s="36"/>
      <c r="NYA216" s="36"/>
      <c r="NYB216" s="36"/>
      <c r="NYC216" s="36"/>
      <c r="NYD216" s="36"/>
      <c r="NYE216" s="36"/>
      <c r="NYF216" s="36"/>
      <c r="NYG216" s="36"/>
      <c r="NYH216" s="36"/>
      <c r="NYI216" s="36"/>
      <c r="NYJ216" s="36"/>
      <c r="NYK216" s="36"/>
      <c r="NYL216" s="36"/>
      <c r="NYM216" s="36"/>
      <c r="NYN216" s="36"/>
      <c r="NYO216" s="36"/>
      <c r="NYP216" s="36"/>
      <c r="NYQ216" s="36"/>
      <c r="NYR216" s="36"/>
      <c r="NYS216" s="36"/>
      <c r="NYT216" s="36"/>
      <c r="NYU216" s="36"/>
      <c r="NYV216" s="36"/>
      <c r="NYW216" s="36"/>
      <c r="NYX216" s="36"/>
      <c r="NYY216" s="36"/>
      <c r="NYZ216" s="36"/>
      <c r="NZA216" s="36"/>
      <c r="NZB216" s="36"/>
      <c r="NZC216" s="36"/>
      <c r="NZD216" s="36"/>
      <c r="NZE216" s="36"/>
      <c r="NZF216" s="36"/>
      <c r="NZG216" s="36"/>
      <c r="NZH216" s="36"/>
      <c r="NZI216" s="36"/>
      <c r="NZJ216" s="36"/>
      <c r="NZK216" s="36"/>
      <c r="NZL216" s="36"/>
      <c r="NZM216" s="36"/>
      <c r="NZN216" s="36"/>
      <c r="NZO216" s="36"/>
      <c r="NZP216" s="36"/>
      <c r="NZQ216" s="36"/>
      <c r="NZR216" s="36"/>
      <c r="NZS216" s="36"/>
      <c r="NZT216" s="36"/>
      <c r="NZU216" s="36"/>
      <c r="NZV216" s="36"/>
      <c r="NZW216" s="36"/>
      <c r="NZX216" s="36"/>
      <c r="NZY216" s="36"/>
      <c r="NZZ216" s="36"/>
      <c r="OAA216" s="36"/>
      <c r="OAB216" s="36"/>
      <c r="OAC216" s="36"/>
      <c r="OAD216" s="36"/>
      <c r="OAE216" s="36"/>
      <c r="OAF216" s="36"/>
      <c r="OAG216" s="36"/>
      <c r="OAH216" s="36"/>
      <c r="OAI216" s="36"/>
      <c r="OAJ216" s="36"/>
      <c r="OAK216" s="36"/>
      <c r="OAL216" s="36"/>
      <c r="OAM216" s="36"/>
      <c r="OAN216" s="36"/>
      <c r="OAO216" s="36"/>
      <c r="OAP216" s="36"/>
      <c r="OAQ216" s="36"/>
      <c r="OAR216" s="36"/>
      <c r="OAS216" s="36"/>
      <c r="OAT216" s="36"/>
      <c r="OAU216" s="36"/>
      <c r="OAV216" s="36"/>
      <c r="OAW216" s="36"/>
      <c r="OAX216" s="36"/>
      <c r="OAY216" s="36"/>
      <c r="OAZ216" s="36"/>
      <c r="OBA216" s="36"/>
      <c r="OBB216" s="36"/>
      <c r="OBC216" s="36"/>
      <c r="OBD216" s="36"/>
      <c r="OBE216" s="36"/>
      <c r="OBF216" s="36"/>
      <c r="OBG216" s="36"/>
      <c r="OBH216" s="36"/>
      <c r="OBI216" s="36"/>
      <c r="OBJ216" s="36"/>
      <c r="OBK216" s="36"/>
      <c r="OBL216" s="36"/>
      <c r="OBM216" s="36"/>
      <c r="OBN216" s="36"/>
      <c r="OBO216" s="36"/>
      <c r="OBP216" s="36"/>
      <c r="OBQ216" s="36"/>
      <c r="OBR216" s="36"/>
      <c r="OBS216" s="36"/>
      <c r="OBT216" s="36"/>
      <c r="OBU216" s="36"/>
      <c r="OBV216" s="36"/>
      <c r="OBW216" s="36"/>
      <c r="OBX216" s="36"/>
      <c r="OBY216" s="36"/>
      <c r="OBZ216" s="36"/>
      <c r="OCA216" s="36"/>
      <c r="OCB216" s="36"/>
      <c r="OCC216" s="36"/>
      <c r="OCD216" s="36"/>
      <c r="OCE216" s="36"/>
      <c r="OCF216" s="36"/>
      <c r="OCG216" s="36"/>
      <c r="OCH216" s="36"/>
      <c r="OCI216" s="36"/>
      <c r="OCJ216" s="36"/>
      <c r="OCK216" s="36"/>
      <c r="OCL216" s="36"/>
      <c r="OCM216" s="36"/>
      <c r="OCN216" s="36"/>
      <c r="OCO216" s="36"/>
      <c r="OCP216" s="36"/>
      <c r="OCQ216" s="36"/>
      <c r="OCR216" s="36"/>
      <c r="OCS216" s="36"/>
      <c r="OCT216" s="36"/>
      <c r="OCU216" s="36"/>
      <c r="OCV216" s="36"/>
      <c r="OCW216" s="36"/>
      <c r="OCX216" s="36"/>
      <c r="OCY216" s="36"/>
      <c r="OCZ216" s="36"/>
      <c r="ODA216" s="36"/>
      <c r="ODB216" s="36"/>
      <c r="ODC216" s="36"/>
      <c r="ODD216" s="36"/>
      <c r="ODE216" s="36"/>
      <c r="ODF216" s="36"/>
      <c r="ODG216" s="36"/>
      <c r="ODH216" s="36"/>
      <c r="ODI216" s="36"/>
      <c r="ODJ216" s="36"/>
      <c r="ODK216" s="36"/>
      <c r="ODL216" s="36"/>
      <c r="ODM216" s="36"/>
      <c r="ODN216" s="36"/>
      <c r="ODO216" s="36"/>
      <c r="ODP216" s="36"/>
      <c r="ODQ216" s="36"/>
      <c r="ODR216" s="36"/>
      <c r="ODS216" s="36"/>
      <c r="ODT216" s="36"/>
      <c r="ODU216" s="36"/>
      <c r="ODV216" s="36"/>
      <c r="ODW216" s="36"/>
      <c r="ODX216" s="36"/>
      <c r="ODY216" s="36"/>
      <c r="ODZ216" s="36"/>
      <c r="OEA216" s="36"/>
      <c r="OEB216" s="36"/>
      <c r="OEC216" s="36"/>
      <c r="OED216" s="36"/>
      <c r="OEE216" s="36"/>
      <c r="OEF216" s="36"/>
      <c r="OEG216" s="36"/>
      <c r="OEH216" s="36"/>
      <c r="OEI216" s="36"/>
      <c r="OEJ216" s="36"/>
      <c r="OEK216" s="36"/>
      <c r="OEL216" s="36"/>
      <c r="OEM216" s="36"/>
      <c r="OEN216" s="36"/>
      <c r="OEO216" s="36"/>
      <c r="OEP216" s="36"/>
      <c r="OEQ216" s="36"/>
      <c r="OER216" s="36"/>
      <c r="OES216" s="36"/>
      <c r="OET216" s="36"/>
      <c r="OEU216" s="36"/>
      <c r="OEV216" s="36"/>
      <c r="OEW216" s="36"/>
      <c r="OEX216" s="36"/>
      <c r="OEY216" s="36"/>
      <c r="OEZ216" s="36"/>
      <c r="OFA216" s="36"/>
      <c r="OFB216" s="36"/>
      <c r="OFC216" s="36"/>
      <c r="OFD216" s="36"/>
      <c r="OFE216" s="36"/>
      <c r="OFF216" s="36"/>
      <c r="OFG216" s="36"/>
      <c r="OFH216" s="36"/>
      <c r="OFI216" s="36"/>
      <c r="OFJ216" s="36"/>
      <c r="OFK216" s="36"/>
      <c r="OFL216" s="36"/>
      <c r="OFM216" s="36"/>
      <c r="OFN216" s="36"/>
      <c r="OFO216" s="36"/>
      <c r="OFP216" s="36"/>
      <c r="OFQ216" s="36"/>
      <c r="OFR216" s="36"/>
      <c r="OFS216" s="36"/>
      <c r="OFT216" s="36"/>
      <c r="OFU216" s="36"/>
      <c r="OFV216" s="36"/>
      <c r="OFW216" s="36"/>
      <c r="OFX216" s="36"/>
      <c r="OFY216" s="36"/>
      <c r="OFZ216" s="36"/>
      <c r="OGA216" s="36"/>
      <c r="OGB216" s="36"/>
      <c r="OGC216" s="36"/>
      <c r="OGD216" s="36"/>
      <c r="OGE216" s="36"/>
      <c r="OGF216" s="36"/>
      <c r="OGG216" s="36"/>
      <c r="OGH216" s="36"/>
      <c r="OGI216" s="36"/>
      <c r="OGJ216" s="36"/>
      <c r="OGK216" s="36"/>
      <c r="OGL216" s="36"/>
      <c r="OGM216" s="36"/>
      <c r="OGN216" s="36"/>
      <c r="OGO216" s="36"/>
      <c r="OGP216" s="36"/>
      <c r="OGQ216" s="36"/>
      <c r="OGR216" s="36"/>
      <c r="OGS216" s="36"/>
      <c r="OGT216" s="36"/>
      <c r="OGU216" s="36"/>
      <c r="OGV216" s="36"/>
      <c r="OGW216" s="36"/>
      <c r="OGX216" s="36"/>
      <c r="OGY216" s="36"/>
      <c r="OGZ216" s="36"/>
      <c r="OHA216" s="36"/>
      <c r="OHB216" s="36"/>
      <c r="OHC216" s="36"/>
      <c r="OHD216" s="36"/>
      <c r="OHE216" s="36"/>
      <c r="OHF216" s="36"/>
      <c r="OHG216" s="36"/>
      <c r="OHH216" s="36"/>
      <c r="OHI216" s="36"/>
      <c r="OHJ216" s="36"/>
      <c r="OHK216" s="36"/>
      <c r="OHL216" s="36"/>
      <c r="OHM216" s="36"/>
      <c r="OHN216" s="36"/>
      <c r="OHO216" s="36"/>
      <c r="OHP216" s="36"/>
      <c r="OHQ216" s="36"/>
      <c r="OHR216" s="36"/>
      <c r="OHS216" s="36"/>
      <c r="OHT216" s="36"/>
      <c r="OHU216" s="36"/>
      <c r="OHV216" s="36"/>
      <c r="OHW216" s="36"/>
      <c r="OHX216" s="36"/>
      <c r="OHY216" s="36"/>
      <c r="OHZ216" s="36"/>
      <c r="OIA216" s="36"/>
      <c r="OIB216" s="36"/>
      <c r="OIC216" s="36"/>
      <c r="OID216" s="36"/>
      <c r="OIE216" s="36"/>
      <c r="OIF216" s="36"/>
      <c r="OIG216" s="36"/>
      <c r="OIH216" s="36"/>
      <c r="OII216" s="36"/>
      <c r="OIJ216" s="36"/>
      <c r="OIK216" s="36"/>
      <c r="OIL216" s="36"/>
      <c r="OIM216" s="36"/>
      <c r="OIN216" s="36"/>
      <c r="OIO216" s="36"/>
      <c r="OIP216" s="36"/>
      <c r="OIQ216" s="36"/>
      <c r="OIR216" s="36"/>
      <c r="OIS216" s="36"/>
      <c r="OIT216" s="36"/>
      <c r="OIU216" s="36"/>
      <c r="OIV216" s="36"/>
      <c r="OIW216" s="36"/>
      <c r="OIX216" s="36"/>
      <c r="OIY216" s="36"/>
      <c r="OIZ216" s="36"/>
      <c r="OJA216" s="36"/>
      <c r="OJB216" s="36"/>
      <c r="OJC216" s="36"/>
      <c r="OJD216" s="36"/>
      <c r="OJE216" s="36"/>
      <c r="OJF216" s="36"/>
      <c r="OJG216" s="36"/>
      <c r="OJH216" s="36"/>
      <c r="OJI216" s="36"/>
      <c r="OJJ216" s="36"/>
      <c r="OJK216" s="36"/>
      <c r="OJL216" s="36"/>
      <c r="OJM216" s="36"/>
      <c r="OJN216" s="36"/>
      <c r="OJO216" s="36"/>
      <c r="OJP216" s="36"/>
      <c r="OJQ216" s="36"/>
      <c r="OJR216" s="36"/>
      <c r="OJS216" s="36"/>
      <c r="OJT216" s="36"/>
      <c r="OJU216" s="36"/>
      <c r="OJV216" s="36"/>
      <c r="OJW216" s="36"/>
      <c r="OJX216" s="36"/>
      <c r="OJY216" s="36"/>
      <c r="OJZ216" s="36"/>
      <c r="OKA216" s="36"/>
      <c r="OKB216" s="36"/>
      <c r="OKC216" s="36"/>
      <c r="OKD216" s="36"/>
      <c r="OKE216" s="36"/>
      <c r="OKF216" s="36"/>
      <c r="OKG216" s="36"/>
      <c r="OKH216" s="36"/>
      <c r="OKI216" s="36"/>
      <c r="OKJ216" s="36"/>
      <c r="OKK216" s="36"/>
      <c r="OKL216" s="36"/>
      <c r="OKM216" s="36"/>
      <c r="OKN216" s="36"/>
      <c r="OKO216" s="36"/>
      <c r="OKP216" s="36"/>
      <c r="OKQ216" s="36"/>
      <c r="OKR216" s="36"/>
      <c r="OKS216" s="36"/>
      <c r="OKT216" s="36"/>
      <c r="OKU216" s="36"/>
      <c r="OKV216" s="36"/>
      <c r="OKW216" s="36"/>
      <c r="OKX216" s="36"/>
      <c r="OKY216" s="36"/>
      <c r="OKZ216" s="36"/>
      <c r="OLA216" s="36"/>
      <c r="OLB216" s="36"/>
      <c r="OLC216" s="36"/>
      <c r="OLD216" s="36"/>
      <c r="OLE216" s="36"/>
      <c r="OLF216" s="36"/>
      <c r="OLG216" s="36"/>
      <c r="OLH216" s="36"/>
      <c r="OLI216" s="36"/>
      <c r="OLJ216" s="36"/>
      <c r="OLK216" s="36"/>
      <c r="OLL216" s="36"/>
      <c r="OLM216" s="36"/>
      <c r="OLN216" s="36"/>
      <c r="OLO216" s="36"/>
      <c r="OLP216" s="36"/>
      <c r="OLQ216" s="36"/>
      <c r="OLR216" s="36"/>
      <c r="OLS216" s="36"/>
      <c r="OLT216" s="36"/>
      <c r="OLU216" s="36"/>
      <c r="OLV216" s="36"/>
      <c r="OLW216" s="36"/>
      <c r="OLX216" s="36"/>
      <c r="OLY216" s="36"/>
      <c r="OLZ216" s="36"/>
      <c r="OMA216" s="36"/>
      <c r="OMB216" s="36"/>
      <c r="OMC216" s="36"/>
      <c r="OMD216" s="36"/>
      <c r="OME216" s="36"/>
      <c r="OMF216" s="36"/>
      <c r="OMG216" s="36"/>
      <c r="OMH216" s="36"/>
      <c r="OMI216" s="36"/>
      <c r="OMJ216" s="36"/>
      <c r="OMK216" s="36"/>
      <c r="OML216" s="36"/>
      <c r="OMM216" s="36"/>
      <c r="OMN216" s="36"/>
      <c r="OMO216" s="36"/>
      <c r="OMP216" s="36"/>
      <c r="OMQ216" s="36"/>
      <c r="OMR216" s="36"/>
      <c r="OMS216" s="36"/>
      <c r="OMT216" s="36"/>
      <c r="OMU216" s="36"/>
      <c r="OMV216" s="36"/>
      <c r="OMW216" s="36"/>
      <c r="OMX216" s="36"/>
      <c r="OMY216" s="36"/>
      <c r="OMZ216" s="36"/>
      <c r="ONA216" s="36"/>
      <c r="ONB216" s="36"/>
      <c r="ONC216" s="36"/>
      <c r="OND216" s="36"/>
      <c r="ONE216" s="36"/>
      <c r="ONF216" s="36"/>
      <c r="ONG216" s="36"/>
      <c r="ONH216" s="36"/>
      <c r="ONI216" s="36"/>
      <c r="ONJ216" s="36"/>
      <c r="ONK216" s="36"/>
      <c r="ONL216" s="36"/>
      <c r="ONM216" s="36"/>
      <c r="ONN216" s="36"/>
      <c r="ONO216" s="36"/>
      <c r="ONP216" s="36"/>
      <c r="ONQ216" s="36"/>
      <c r="ONR216" s="36"/>
      <c r="ONS216" s="36"/>
      <c r="ONT216" s="36"/>
      <c r="ONU216" s="36"/>
      <c r="ONV216" s="36"/>
      <c r="ONW216" s="36"/>
      <c r="ONX216" s="36"/>
      <c r="ONY216" s="36"/>
      <c r="ONZ216" s="36"/>
      <c r="OOA216" s="36"/>
      <c r="OOB216" s="36"/>
      <c r="OOC216" s="36"/>
      <c r="OOD216" s="36"/>
      <c r="OOE216" s="36"/>
      <c r="OOF216" s="36"/>
      <c r="OOG216" s="36"/>
      <c r="OOH216" s="36"/>
      <c r="OOI216" s="36"/>
      <c r="OOJ216" s="36"/>
      <c r="OOK216" s="36"/>
      <c r="OOL216" s="36"/>
      <c r="OOM216" s="36"/>
      <c r="OON216" s="36"/>
      <c r="OOO216" s="36"/>
      <c r="OOP216" s="36"/>
      <c r="OOQ216" s="36"/>
      <c r="OOR216" s="36"/>
      <c r="OOS216" s="36"/>
      <c r="OOT216" s="36"/>
      <c r="OOU216" s="36"/>
      <c r="OOV216" s="36"/>
      <c r="OOW216" s="36"/>
      <c r="OOX216" s="36"/>
      <c r="OOY216" s="36"/>
      <c r="OOZ216" s="36"/>
      <c r="OPA216" s="36"/>
      <c r="OPB216" s="36"/>
      <c r="OPC216" s="36"/>
      <c r="OPD216" s="36"/>
      <c r="OPE216" s="36"/>
      <c r="OPF216" s="36"/>
      <c r="OPG216" s="36"/>
      <c r="OPH216" s="36"/>
      <c r="OPI216" s="36"/>
      <c r="OPJ216" s="36"/>
      <c r="OPK216" s="36"/>
      <c r="OPL216" s="36"/>
      <c r="OPM216" s="36"/>
      <c r="OPN216" s="36"/>
      <c r="OPO216" s="36"/>
      <c r="OPP216" s="36"/>
      <c r="OPQ216" s="36"/>
      <c r="OPR216" s="36"/>
      <c r="OPS216" s="36"/>
      <c r="OPT216" s="36"/>
      <c r="OPU216" s="36"/>
      <c r="OPV216" s="36"/>
      <c r="OPW216" s="36"/>
      <c r="OPX216" s="36"/>
      <c r="OPY216" s="36"/>
      <c r="OPZ216" s="36"/>
      <c r="OQA216" s="36"/>
      <c r="OQB216" s="36"/>
      <c r="OQC216" s="36"/>
      <c r="OQD216" s="36"/>
      <c r="OQE216" s="36"/>
      <c r="OQF216" s="36"/>
      <c r="OQG216" s="36"/>
      <c r="OQH216" s="36"/>
      <c r="OQI216" s="36"/>
      <c r="OQJ216" s="36"/>
      <c r="OQK216" s="36"/>
      <c r="OQL216" s="36"/>
      <c r="OQM216" s="36"/>
      <c r="OQN216" s="36"/>
      <c r="OQO216" s="36"/>
      <c r="OQP216" s="36"/>
      <c r="OQQ216" s="36"/>
      <c r="OQR216" s="36"/>
      <c r="OQS216" s="36"/>
      <c r="OQT216" s="36"/>
      <c r="OQU216" s="36"/>
      <c r="OQV216" s="36"/>
      <c r="OQW216" s="36"/>
      <c r="OQX216" s="36"/>
      <c r="OQY216" s="36"/>
      <c r="OQZ216" s="36"/>
      <c r="ORA216" s="36"/>
      <c r="ORB216" s="36"/>
      <c r="ORC216" s="36"/>
      <c r="ORD216" s="36"/>
      <c r="ORE216" s="36"/>
      <c r="ORF216" s="36"/>
      <c r="ORG216" s="36"/>
      <c r="ORH216" s="36"/>
      <c r="ORI216" s="36"/>
      <c r="ORJ216" s="36"/>
      <c r="ORK216" s="36"/>
      <c r="ORL216" s="36"/>
      <c r="ORM216" s="36"/>
      <c r="ORN216" s="36"/>
      <c r="ORO216" s="36"/>
      <c r="ORP216" s="36"/>
      <c r="ORQ216" s="36"/>
      <c r="ORR216" s="36"/>
      <c r="ORS216" s="36"/>
      <c r="ORT216" s="36"/>
      <c r="ORU216" s="36"/>
      <c r="ORV216" s="36"/>
      <c r="ORW216" s="36"/>
      <c r="ORX216" s="36"/>
      <c r="ORY216" s="36"/>
      <c r="ORZ216" s="36"/>
      <c r="OSA216" s="36"/>
      <c r="OSB216" s="36"/>
      <c r="OSC216" s="36"/>
      <c r="OSD216" s="36"/>
      <c r="OSE216" s="36"/>
      <c r="OSF216" s="36"/>
      <c r="OSG216" s="36"/>
      <c r="OSH216" s="36"/>
      <c r="OSI216" s="36"/>
      <c r="OSJ216" s="36"/>
      <c r="OSK216" s="36"/>
      <c r="OSL216" s="36"/>
      <c r="OSM216" s="36"/>
      <c r="OSN216" s="36"/>
      <c r="OSO216" s="36"/>
      <c r="OSP216" s="36"/>
      <c r="OSQ216" s="36"/>
      <c r="OSR216" s="36"/>
      <c r="OSS216" s="36"/>
      <c r="OST216" s="36"/>
      <c r="OSU216" s="36"/>
      <c r="OSV216" s="36"/>
      <c r="OSW216" s="36"/>
      <c r="OSX216" s="36"/>
      <c r="OSY216" s="36"/>
      <c r="OSZ216" s="36"/>
      <c r="OTA216" s="36"/>
      <c r="OTB216" s="36"/>
      <c r="OTC216" s="36"/>
      <c r="OTD216" s="36"/>
      <c r="OTE216" s="36"/>
      <c r="OTF216" s="36"/>
      <c r="OTG216" s="36"/>
      <c r="OTH216" s="36"/>
      <c r="OTI216" s="36"/>
      <c r="OTJ216" s="36"/>
      <c r="OTK216" s="36"/>
      <c r="OTL216" s="36"/>
      <c r="OTM216" s="36"/>
      <c r="OTN216" s="36"/>
      <c r="OTO216" s="36"/>
      <c r="OTP216" s="36"/>
      <c r="OTQ216" s="36"/>
      <c r="OTR216" s="36"/>
      <c r="OTS216" s="36"/>
      <c r="OTT216" s="36"/>
      <c r="OTU216" s="36"/>
      <c r="OTV216" s="36"/>
      <c r="OTW216" s="36"/>
      <c r="OTX216" s="36"/>
      <c r="OTY216" s="36"/>
      <c r="OTZ216" s="36"/>
      <c r="OUA216" s="36"/>
      <c r="OUB216" s="36"/>
      <c r="OUC216" s="36"/>
      <c r="OUD216" s="36"/>
      <c r="OUE216" s="36"/>
      <c r="OUF216" s="36"/>
      <c r="OUG216" s="36"/>
      <c r="OUH216" s="36"/>
      <c r="OUI216" s="36"/>
      <c r="OUJ216" s="36"/>
      <c r="OUK216" s="36"/>
      <c r="OUL216" s="36"/>
      <c r="OUM216" s="36"/>
      <c r="OUN216" s="36"/>
      <c r="OUO216" s="36"/>
      <c r="OUP216" s="36"/>
      <c r="OUQ216" s="36"/>
      <c r="OUR216" s="36"/>
      <c r="OUS216" s="36"/>
      <c r="OUT216" s="36"/>
      <c r="OUU216" s="36"/>
      <c r="OUV216" s="36"/>
      <c r="OUW216" s="36"/>
      <c r="OUX216" s="36"/>
      <c r="OUY216" s="36"/>
      <c r="OUZ216" s="36"/>
      <c r="OVA216" s="36"/>
      <c r="OVB216" s="36"/>
      <c r="OVC216" s="36"/>
      <c r="OVD216" s="36"/>
      <c r="OVE216" s="36"/>
      <c r="OVF216" s="36"/>
      <c r="OVG216" s="36"/>
      <c r="OVH216" s="36"/>
      <c r="OVI216" s="36"/>
      <c r="OVJ216" s="36"/>
      <c r="OVK216" s="36"/>
      <c r="OVL216" s="36"/>
      <c r="OVM216" s="36"/>
      <c r="OVN216" s="36"/>
      <c r="OVO216" s="36"/>
      <c r="OVP216" s="36"/>
      <c r="OVQ216" s="36"/>
      <c r="OVR216" s="36"/>
      <c r="OVS216" s="36"/>
      <c r="OVT216" s="36"/>
      <c r="OVU216" s="36"/>
      <c r="OVV216" s="36"/>
      <c r="OVW216" s="36"/>
      <c r="OVX216" s="36"/>
      <c r="OVY216" s="36"/>
      <c r="OVZ216" s="36"/>
      <c r="OWA216" s="36"/>
      <c r="OWB216" s="36"/>
      <c r="OWC216" s="36"/>
      <c r="OWD216" s="36"/>
      <c r="OWE216" s="36"/>
      <c r="OWF216" s="36"/>
      <c r="OWG216" s="36"/>
      <c r="OWH216" s="36"/>
      <c r="OWI216" s="36"/>
      <c r="OWJ216" s="36"/>
      <c r="OWK216" s="36"/>
      <c r="OWL216" s="36"/>
      <c r="OWM216" s="36"/>
      <c r="OWN216" s="36"/>
      <c r="OWO216" s="36"/>
      <c r="OWP216" s="36"/>
      <c r="OWQ216" s="36"/>
      <c r="OWR216" s="36"/>
      <c r="OWS216" s="36"/>
      <c r="OWT216" s="36"/>
      <c r="OWU216" s="36"/>
      <c r="OWV216" s="36"/>
      <c r="OWW216" s="36"/>
      <c r="OWX216" s="36"/>
      <c r="OWY216" s="36"/>
      <c r="OWZ216" s="36"/>
      <c r="OXA216" s="36"/>
      <c r="OXB216" s="36"/>
      <c r="OXC216" s="36"/>
      <c r="OXD216" s="36"/>
      <c r="OXE216" s="36"/>
      <c r="OXF216" s="36"/>
      <c r="OXG216" s="36"/>
      <c r="OXH216" s="36"/>
      <c r="OXI216" s="36"/>
      <c r="OXJ216" s="36"/>
      <c r="OXK216" s="36"/>
      <c r="OXL216" s="36"/>
      <c r="OXM216" s="36"/>
      <c r="OXN216" s="36"/>
      <c r="OXO216" s="36"/>
      <c r="OXP216" s="36"/>
      <c r="OXQ216" s="36"/>
      <c r="OXR216" s="36"/>
      <c r="OXS216" s="36"/>
      <c r="OXT216" s="36"/>
      <c r="OXU216" s="36"/>
      <c r="OXV216" s="36"/>
      <c r="OXW216" s="36"/>
      <c r="OXX216" s="36"/>
      <c r="OXY216" s="36"/>
      <c r="OXZ216" s="36"/>
      <c r="OYA216" s="36"/>
      <c r="OYB216" s="36"/>
      <c r="OYC216" s="36"/>
      <c r="OYD216" s="36"/>
      <c r="OYE216" s="36"/>
      <c r="OYF216" s="36"/>
      <c r="OYG216" s="36"/>
      <c r="OYH216" s="36"/>
      <c r="OYI216" s="36"/>
      <c r="OYJ216" s="36"/>
      <c r="OYK216" s="36"/>
      <c r="OYL216" s="36"/>
      <c r="OYM216" s="36"/>
      <c r="OYN216" s="36"/>
      <c r="OYO216" s="36"/>
      <c r="OYP216" s="36"/>
      <c r="OYQ216" s="36"/>
      <c r="OYR216" s="36"/>
      <c r="OYS216" s="36"/>
      <c r="OYT216" s="36"/>
      <c r="OYU216" s="36"/>
      <c r="OYV216" s="36"/>
      <c r="OYW216" s="36"/>
      <c r="OYX216" s="36"/>
      <c r="OYY216" s="36"/>
      <c r="OYZ216" s="36"/>
      <c r="OZA216" s="36"/>
      <c r="OZB216" s="36"/>
      <c r="OZC216" s="36"/>
      <c r="OZD216" s="36"/>
      <c r="OZE216" s="36"/>
      <c r="OZF216" s="36"/>
      <c r="OZG216" s="36"/>
      <c r="OZH216" s="36"/>
      <c r="OZI216" s="36"/>
      <c r="OZJ216" s="36"/>
      <c r="OZK216" s="36"/>
      <c r="OZL216" s="36"/>
      <c r="OZM216" s="36"/>
      <c r="OZN216" s="36"/>
      <c r="OZO216" s="36"/>
      <c r="OZP216" s="36"/>
      <c r="OZQ216" s="36"/>
      <c r="OZR216" s="36"/>
      <c r="OZS216" s="36"/>
      <c r="OZT216" s="36"/>
      <c r="OZU216" s="36"/>
      <c r="OZV216" s="36"/>
      <c r="OZW216" s="36"/>
      <c r="OZX216" s="36"/>
      <c r="OZY216" s="36"/>
      <c r="OZZ216" s="36"/>
      <c r="PAA216" s="36"/>
      <c r="PAB216" s="36"/>
      <c r="PAC216" s="36"/>
      <c r="PAD216" s="36"/>
      <c r="PAE216" s="36"/>
      <c r="PAF216" s="36"/>
      <c r="PAG216" s="36"/>
      <c r="PAH216" s="36"/>
      <c r="PAI216" s="36"/>
      <c r="PAJ216" s="36"/>
      <c r="PAK216" s="36"/>
      <c r="PAL216" s="36"/>
      <c r="PAM216" s="36"/>
      <c r="PAN216" s="36"/>
      <c r="PAO216" s="36"/>
      <c r="PAP216" s="36"/>
      <c r="PAQ216" s="36"/>
      <c r="PAR216" s="36"/>
      <c r="PAS216" s="36"/>
      <c r="PAT216" s="36"/>
      <c r="PAU216" s="36"/>
      <c r="PAV216" s="36"/>
      <c r="PAW216" s="36"/>
      <c r="PAX216" s="36"/>
      <c r="PAY216" s="36"/>
      <c r="PAZ216" s="36"/>
      <c r="PBA216" s="36"/>
      <c r="PBB216" s="36"/>
      <c r="PBC216" s="36"/>
      <c r="PBD216" s="36"/>
      <c r="PBE216" s="36"/>
      <c r="PBF216" s="36"/>
      <c r="PBG216" s="36"/>
      <c r="PBH216" s="36"/>
      <c r="PBI216" s="36"/>
      <c r="PBJ216" s="36"/>
      <c r="PBK216" s="36"/>
      <c r="PBL216" s="36"/>
      <c r="PBM216" s="36"/>
      <c r="PBN216" s="36"/>
      <c r="PBO216" s="36"/>
      <c r="PBP216" s="36"/>
      <c r="PBQ216" s="36"/>
      <c r="PBR216" s="36"/>
      <c r="PBS216" s="36"/>
      <c r="PBT216" s="36"/>
      <c r="PBU216" s="36"/>
      <c r="PBV216" s="36"/>
      <c r="PBW216" s="36"/>
      <c r="PBX216" s="36"/>
      <c r="PBY216" s="36"/>
      <c r="PBZ216" s="36"/>
      <c r="PCA216" s="36"/>
      <c r="PCB216" s="36"/>
      <c r="PCC216" s="36"/>
      <c r="PCD216" s="36"/>
      <c r="PCE216" s="36"/>
      <c r="PCF216" s="36"/>
      <c r="PCG216" s="36"/>
      <c r="PCH216" s="36"/>
      <c r="PCI216" s="36"/>
      <c r="PCJ216" s="36"/>
      <c r="PCK216" s="36"/>
      <c r="PCL216" s="36"/>
      <c r="PCM216" s="36"/>
      <c r="PCN216" s="36"/>
      <c r="PCO216" s="36"/>
      <c r="PCP216" s="36"/>
      <c r="PCQ216" s="36"/>
      <c r="PCR216" s="36"/>
      <c r="PCS216" s="36"/>
      <c r="PCT216" s="36"/>
      <c r="PCU216" s="36"/>
      <c r="PCV216" s="36"/>
      <c r="PCW216" s="36"/>
      <c r="PCX216" s="36"/>
      <c r="PCY216" s="36"/>
      <c r="PCZ216" s="36"/>
      <c r="PDA216" s="36"/>
      <c r="PDB216" s="36"/>
      <c r="PDC216" s="36"/>
      <c r="PDD216" s="36"/>
      <c r="PDE216" s="36"/>
      <c r="PDF216" s="36"/>
      <c r="PDG216" s="36"/>
      <c r="PDH216" s="36"/>
      <c r="PDI216" s="36"/>
      <c r="PDJ216" s="36"/>
      <c r="PDK216" s="36"/>
      <c r="PDL216" s="36"/>
      <c r="PDM216" s="36"/>
      <c r="PDN216" s="36"/>
      <c r="PDO216" s="36"/>
      <c r="PDP216" s="36"/>
      <c r="PDQ216" s="36"/>
      <c r="PDR216" s="36"/>
      <c r="PDS216" s="36"/>
      <c r="PDT216" s="36"/>
      <c r="PDU216" s="36"/>
      <c r="PDV216" s="36"/>
      <c r="PDW216" s="36"/>
      <c r="PDX216" s="36"/>
      <c r="PDY216" s="36"/>
      <c r="PDZ216" s="36"/>
      <c r="PEA216" s="36"/>
      <c r="PEB216" s="36"/>
      <c r="PEC216" s="36"/>
      <c r="PED216" s="36"/>
      <c r="PEE216" s="36"/>
      <c r="PEF216" s="36"/>
      <c r="PEG216" s="36"/>
      <c r="PEH216" s="36"/>
      <c r="PEI216" s="36"/>
      <c r="PEJ216" s="36"/>
      <c r="PEK216" s="36"/>
      <c r="PEL216" s="36"/>
      <c r="PEM216" s="36"/>
      <c r="PEN216" s="36"/>
      <c r="PEO216" s="36"/>
      <c r="PEP216" s="36"/>
      <c r="PEQ216" s="36"/>
      <c r="PER216" s="36"/>
      <c r="PES216" s="36"/>
      <c r="PET216" s="36"/>
      <c r="PEU216" s="36"/>
      <c r="PEV216" s="36"/>
      <c r="PEW216" s="36"/>
      <c r="PEX216" s="36"/>
      <c r="PEY216" s="36"/>
      <c r="PEZ216" s="36"/>
      <c r="PFA216" s="36"/>
      <c r="PFB216" s="36"/>
      <c r="PFC216" s="36"/>
      <c r="PFD216" s="36"/>
      <c r="PFE216" s="36"/>
      <c r="PFF216" s="36"/>
      <c r="PFG216" s="36"/>
      <c r="PFH216" s="36"/>
      <c r="PFI216" s="36"/>
      <c r="PFJ216" s="36"/>
      <c r="PFK216" s="36"/>
      <c r="PFL216" s="36"/>
      <c r="PFM216" s="36"/>
      <c r="PFN216" s="36"/>
      <c r="PFO216" s="36"/>
      <c r="PFP216" s="36"/>
      <c r="PFQ216" s="36"/>
      <c r="PFR216" s="36"/>
      <c r="PFS216" s="36"/>
      <c r="PFT216" s="36"/>
      <c r="PFU216" s="36"/>
      <c r="PFV216" s="36"/>
      <c r="PFW216" s="36"/>
      <c r="PFX216" s="36"/>
      <c r="PFY216" s="36"/>
      <c r="PFZ216" s="36"/>
      <c r="PGA216" s="36"/>
      <c r="PGB216" s="36"/>
      <c r="PGC216" s="36"/>
      <c r="PGD216" s="36"/>
      <c r="PGE216" s="36"/>
      <c r="PGF216" s="36"/>
      <c r="PGG216" s="36"/>
      <c r="PGH216" s="36"/>
      <c r="PGI216" s="36"/>
      <c r="PGJ216" s="36"/>
      <c r="PGK216" s="36"/>
      <c r="PGL216" s="36"/>
      <c r="PGM216" s="36"/>
      <c r="PGN216" s="36"/>
      <c r="PGO216" s="36"/>
      <c r="PGP216" s="36"/>
      <c r="PGQ216" s="36"/>
      <c r="PGR216" s="36"/>
      <c r="PGS216" s="36"/>
      <c r="PGT216" s="36"/>
      <c r="PGU216" s="36"/>
      <c r="PGV216" s="36"/>
      <c r="PGW216" s="36"/>
      <c r="PGX216" s="36"/>
      <c r="PGY216" s="36"/>
      <c r="PGZ216" s="36"/>
      <c r="PHA216" s="36"/>
      <c r="PHB216" s="36"/>
      <c r="PHC216" s="36"/>
      <c r="PHD216" s="36"/>
      <c r="PHE216" s="36"/>
      <c r="PHF216" s="36"/>
      <c r="PHG216" s="36"/>
      <c r="PHH216" s="36"/>
      <c r="PHI216" s="36"/>
      <c r="PHJ216" s="36"/>
      <c r="PHK216" s="36"/>
      <c r="PHL216" s="36"/>
      <c r="PHM216" s="36"/>
      <c r="PHN216" s="36"/>
      <c r="PHO216" s="36"/>
      <c r="PHP216" s="36"/>
      <c r="PHQ216" s="36"/>
      <c r="PHR216" s="36"/>
      <c r="PHS216" s="36"/>
      <c r="PHT216" s="36"/>
      <c r="PHU216" s="36"/>
      <c r="PHV216" s="36"/>
      <c r="PHW216" s="36"/>
      <c r="PHX216" s="36"/>
      <c r="PHY216" s="36"/>
      <c r="PHZ216" s="36"/>
      <c r="PIA216" s="36"/>
      <c r="PIB216" s="36"/>
      <c r="PIC216" s="36"/>
      <c r="PID216" s="36"/>
      <c r="PIE216" s="36"/>
      <c r="PIF216" s="36"/>
      <c r="PIG216" s="36"/>
      <c r="PIH216" s="36"/>
      <c r="PII216" s="36"/>
      <c r="PIJ216" s="36"/>
      <c r="PIK216" s="36"/>
      <c r="PIL216" s="36"/>
      <c r="PIM216" s="36"/>
      <c r="PIN216" s="36"/>
      <c r="PIO216" s="36"/>
      <c r="PIP216" s="36"/>
      <c r="PIQ216" s="36"/>
      <c r="PIR216" s="36"/>
      <c r="PIS216" s="36"/>
      <c r="PIT216" s="36"/>
      <c r="PIU216" s="36"/>
      <c r="PIV216" s="36"/>
      <c r="PIW216" s="36"/>
      <c r="PIX216" s="36"/>
      <c r="PIY216" s="36"/>
      <c r="PIZ216" s="36"/>
      <c r="PJA216" s="36"/>
      <c r="PJB216" s="36"/>
      <c r="PJC216" s="36"/>
      <c r="PJD216" s="36"/>
      <c r="PJE216" s="36"/>
      <c r="PJF216" s="36"/>
      <c r="PJG216" s="36"/>
      <c r="PJH216" s="36"/>
      <c r="PJI216" s="36"/>
      <c r="PJJ216" s="36"/>
      <c r="PJK216" s="36"/>
      <c r="PJL216" s="36"/>
      <c r="PJM216" s="36"/>
      <c r="PJN216" s="36"/>
      <c r="PJO216" s="36"/>
      <c r="PJP216" s="36"/>
      <c r="PJQ216" s="36"/>
      <c r="PJR216" s="36"/>
      <c r="PJS216" s="36"/>
      <c r="PJT216" s="36"/>
      <c r="PJU216" s="36"/>
      <c r="PJV216" s="36"/>
      <c r="PJW216" s="36"/>
      <c r="PJX216" s="36"/>
      <c r="PJY216" s="36"/>
      <c r="PJZ216" s="36"/>
      <c r="PKA216" s="36"/>
      <c r="PKB216" s="36"/>
      <c r="PKC216" s="36"/>
      <c r="PKD216" s="36"/>
      <c r="PKE216" s="36"/>
      <c r="PKF216" s="36"/>
      <c r="PKG216" s="36"/>
      <c r="PKH216" s="36"/>
      <c r="PKI216" s="36"/>
      <c r="PKJ216" s="36"/>
      <c r="PKK216" s="36"/>
      <c r="PKL216" s="36"/>
      <c r="PKM216" s="36"/>
      <c r="PKN216" s="36"/>
      <c r="PKO216" s="36"/>
      <c r="PKP216" s="36"/>
      <c r="PKQ216" s="36"/>
      <c r="PKR216" s="36"/>
      <c r="PKS216" s="36"/>
      <c r="PKT216" s="36"/>
      <c r="PKU216" s="36"/>
      <c r="PKV216" s="36"/>
      <c r="PKW216" s="36"/>
      <c r="PKX216" s="36"/>
      <c r="PKY216" s="36"/>
      <c r="PKZ216" s="36"/>
      <c r="PLA216" s="36"/>
      <c r="PLB216" s="36"/>
      <c r="PLC216" s="36"/>
      <c r="PLD216" s="36"/>
      <c r="PLE216" s="36"/>
      <c r="PLF216" s="36"/>
      <c r="PLG216" s="36"/>
      <c r="PLH216" s="36"/>
      <c r="PLI216" s="36"/>
      <c r="PLJ216" s="36"/>
      <c r="PLK216" s="36"/>
      <c r="PLL216" s="36"/>
      <c r="PLM216" s="36"/>
      <c r="PLN216" s="36"/>
      <c r="PLO216" s="36"/>
      <c r="PLP216" s="36"/>
      <c r="PLQ216" s="36"/>
      <c r="PLR216" s="36"/>
      <c r="PLS216" s="36"/>
      <c r="PLT216" s="36"/>
      <c r="PLU216" s="36"/>
      <c r="PLV216" s="36"/>
      <c r="PLW216" s="36"/>
      <c r="PLX216" s="36"/>
      <c r="PLY216" s="36"/>
      <c r="PLZ216" s="36"/>
      <c r="PMA216" s="36"/>
      <c r="PMB216" s="36"/>
      <c r="PMC216" s="36"/>
      <c r="PMD216" s="36"/>
      <c r="PME216" s="36"/>
      <c r="PMF216" s="36"/>
      <c r="PMG216" s="36"/>
      <c r="PMH216" s="36"/>
      <c r="PMI216" s="36"/>
      <c r="PMJ216" s="36"/>
      <c r="PMK216" s="36"/>
      <c r="PML216" s="36"/>
      <c r="PMM216" s="36"/>
      <c r="PMN216" s="36"/>
      <c r="PMO216" s="36"/>
      <c r="PMP216" s="36"/>
      <c r="PMQ216" s="36"/>
      <c r="PMR216" s="36"/>
      <c r="PMS216" s="36"/>
      <c r="PMT216" s="36"/>
      <c r="PMU216" s="36"/>
      <c r="PMV216" s="36"/>
      <c r="PMW216" s="36"/>
      <c r="PMX216" s="36"/>
      <c r="PMY216" s="36"/>
      <c r="PMZ216" s="36"/>
      <c r="PNA216" s="36"/>
      <c r="PNB216" s="36"/>
      <c r="PNC216" s="36"/>
      <c r="PND216" s="36"/>
      <c r="PNE216" s="36"/>
      <c r="PNF216" s="36"/>
      <c r="PNG216" s="36"/>
      <c r="PNH216" s="36"/>
      <c r="PNI216" s="36"/>
      <c r="PNJ216" s="36"/>
      <c r="PNK216" s="36"/>
      <c r="PNL216" s="36"/>
      <c r="PNM216" s="36"/>
      <c r="PNN216" s="36"/>
      <c r="PNO216" s="36"/>
      <c r="PNP216" s="36"/>
      <c r="PNQ216" s="36"/>
      <c r="PNR216" s="36"/>
      <c r="PNS216" s="36"/>
      <c r="PNT216" s="36"/>
      <c r="PNU216" s="36"/>
      <c r="PNV216" s="36"/>
      <c r="PNW216" s="36"/>
      <c r="PNX216" s="36"/>
      <c r="PNY216" s="36"/>
      <c r="PNZ216" s="36"/>
      <c r="POA216" s="36"/>
      <c r="POB216" s="36"/>
      <c r="POC216" s="36"/>
      <c r="POD216" s="36"/>
      <c r="POE216" s="36"/>
      <c r="POF216" s="36"/>
      <c r="POG216" s="36"/>
      <c r="POH216" s="36"/>
      <c r="POI216" s="36"/>
      <c r="POJ216" s="36"/>
      <c r="POK216" s="36"/>
      <c r="POL216" s="36"/>
      <c r="POM216" s="36"/>
      <c r="PON216" s="36"/>
      <c r="POO216" s="36"/>
      <c r="POP216" s="36"/>
      <c r="POQ216" s="36"/>
      <c r="POR216" s="36"/>
      <c r="POS216" s="36"/>
      <c r="POT216" s="36"/>
      <c r="POU216" s="36"/>
      <c r="POV216" s="36"/>
      <c r="POW216" s="36"/>
      <c r="POX216" s="36"/>
      <c r="POY216" s="36"/>
      <c r="POZ216" s="36"/>
      <c r="PPA216" s="36"/>
      <c r="PPB216" s="36"/>
      <c r="PPC216" s="36"/>
      <c r="PPD216" s="36"/>
      <c r="PPE216" s="36"/>
      <c r="PPF216" s="36"/>
      <c r="PPG216" s="36"/>
      <c r="PPH216" s="36"/>
      <c r="PPI216" s="36"/>
      <c r="PPJ216" s="36"/>
      <c r="PPK216" s="36"/>
      <c r="PPL216" s="36"/>
      <c r="PPM216" s="36"/>
      <c r="PPN216" s="36"/>
      <c r="PPO216" s="36"/>
      <c r="PPP216" s="36"/>
      <c r="PPQ216" s="36"/>
      <c r="PPR216" s="36"/>
      <c r="PPS216" s="36"/>
      <c r="PPT216" s="36"/>
      <c r="PPU216" s="36"/>
      <c r="PPV216" s="36"/>
      <c r="PPW216" s="36"/>
      <c r="PPX216" s="36"/>
      <c r="PPY216" s="36"/>
      <c r="PPZ216" s="36"/>
      <c r="PQA216" s="36"/>
      <c r="PQB216" s="36"/>
      <c r="PQC216" s="36"/>
      <c r="PQD216" s="36"/>
      <c r="PQE216" s="36"/>
      <c r="PQF216" s="36"/>
      <c r="PQG216" s="36"/>
      <c r="PQH216" s="36"/>
      <c r="PQI216" s="36"/>
      <c r="PQJ216" s="36"/>
      <c r="PQK216" s="36"/>
      <c r="PQL216" s="36"/>
      <c r="PQM216" s="36"/>
      <c r="PQN216" s="36"/>
      <c r="PQO216" s="36"/>
      <c r="PQP216" s="36"/>
      <c r="PQQ216" s="36"/>
      <c r="PQR216" s="36"/>
      <c r="PQS216" s="36"/>
      <c r="PQT216" s="36"/>
      <c r="PQU216" s="36"/>
      <c r="PQV216" s="36"/>
      <c r="PQW216" s="36"/>
      <c r="PQX216" s="36"/>
      <c r="PQY216" s="36"/>
      <c r="PQZ216" s="36"/>
      <c r="PRA216" s="36"/>
      <c r="PRB216" s="36"/>
      <c r="PRC216" s="36"/>
      <c r="PRD216" s="36"/>
      <c r="PRE216" s="36"/>
      <c r="PRF216" s="36"/>
      <c r="PRG216" s="36"/>
      <c r="PRH216" s="36"/>
      <c r="PRI216" s="36"/>
      <c r="PRJ216" s="36"/>
      <c r="PRK216" s="36"/>
      <c r="PRL216" s="36"/>
      <c r="PRM216" s="36"/>
      <c r="PRN216" s="36"/>
      <c r="PRO216" s="36"/>
      <c r="PRP216" s="36"/>
      <c r="PRQ216" s="36"/>
      <c r="PRR216" s="36"/>
      <c r="PRS216" s="36"/>
      <c r="PRT216" s="36"/>
      <c r="PRU216" s="36"/>
      <c r="PRV216" s="36"/>
      <c r="PRW216" s="36"/>
      <c r="PRX216" s="36"/>
      <c r="PRY216" s="36"/>
      <c r="PRZ216" s="36"/>
      <c r="PSA216" s="36"/>
      <c r="PSB216" s="36"/>
      <c r="PSC216" s="36"/>
      <c r="PSD216" s="36"/>
      <c r="PSE216" s="36"/>
      <c r="PSF216" s="36"/>
      <c r="PSG216" s="36"/>
      <c r="PSH216" s="36"/>
      <c r="PSI216" s="36"/>
      <c r="PSJ216" s="36"/>
      <c r="PSK216" s="36"/>
      <c r="PSL216" s="36"/>
      <c r="PSM216" s="36"/>
      <c r="PSN216" s="36"/>
      <c r="PSO216" s="36"/>
      <c r="PSP216" s="36"/>
      <c r="PSQ216" s="36"/>
      <c r="PSR216" s="36"/>
      <c r="PSS216" s="36"/>
      <c r="PST216" s="36"/>
      <c r="PSU216" s="36"/>
      <c r="PSV216" s="36"/>
      <c r="PSW216" s="36"/>
      <c r="PSX216" s="36"/>
      <c r="PSY216" s="36"/>
      <c r="PSZ216" s="36"/>
      <c r="PTA216" s="36"/>
      <c r="PTB216" s="36"/>
      <c r="PTC216" s="36"/>
      <c r="PTD216" s="36"/>
      <c r="PTE216" s="36"/>
      <c r="PTF216" s="36"/>
      <c r="PTG216" s="36"/>
      <c r="PTH216" s="36"/>
      <c r="PTI216" s="36"/>
      <c r="PTJ216" s="36"/>
      <c r="PTK216" s="36"/>
      <c r="PTL216" s="36"/>
      <c r="PTM216" s="36"/>
      <c r="PTN216" s="36"/>
      <c r="PTO216" s="36"/>
      <c r="PTP216" s="36"/>
      <c r="PTQ216" s="36"/>
      <c r="PTR216" s="36"/>
      <c r="PTS216" s="36"/>
      <c r="PTT216" s="36"/>
      <c r="PTU216" s="36"/>
      <c r="PTV216" s="36"/>
      <c r="PTW216" s="36"/>
      <c r="PTX216" s="36"/>
      <c r="PTY216" s="36"/>
      <c r="PTZ216" s="36"/>
      <c r="PUA216" s="36"/>
      <c r="PUB216" s="36"/>
      <c r="PUC216" s="36"/>
      <c r="PUD216" s="36"/>
      <c r="PUE216" s="36"/>
      <c r="PUF216" s="36"/>
      <c r="PUG216" s="36"/>
      <c r="PUH216" s="36"/>
      <c r="PUI216" s="36"/>
      <c r="PUJ216" s="36"/>
      <c r="PUK216" s="36"/>
      <c r="PUL216" s="36"/>
      <c r="PUM216" s="36"/>
      <c r="PUN216" s="36"/>
      <c r="PUO216" s="36"/>
      <c r="PUP216" s="36"/>
      <c r="PUQ216" s="36"/>
      <c r="PUR216" s="36"/>
      <c r="PUS216" s="36"/>
      <c r="PUT216" s="36"/>
      <c r="PUU216" s="36"/>
      <c r="PUV216" s="36"/>
      <c r="PUW216" s="36"/>
      <c r="PUX216" s="36"/>
      <c r="PUY216" s="36"/>
      <c r="PUZ216" s="36"/>
      <c r="PVA216" s="36"/>
      <c r="PVB216" s="36"/>
      <c r="PVC216" s="36"/>
      <c r="PVD216" s="36"/>
      <c r="PVE216" s="36"/>
      <c r="PVF216" s="36"/>
      <c r="PVG216" s="36"/>
      <c r="PVH216" s="36"/>
      <c r="PVI216" s="36"/>
      <c r="PVJ216" s="36"/>
      <c r="PVK216" s="36"/>
      <c r="PVL216" s="36"/>
      <c r="PVM216" s="36"/>
      <c r="PVN216" s="36"/>
      <c r="PVO216" s="36"/>
      <c r="PVP216" s="36"/>
      <c r="PVQ216" s="36"/>
      <c r="PVR216" s="36"/>
      <c r="PVS216" s="36"/>
      <c r="PVT216" s="36"/>
      <c r="PVU216" s="36"/>
      <c r="PVV216" s="36"/>
      <c r="PVW216" s="36"/>
      <c r="PVX216" s="36"/>
      <c r="PVY216" s="36"/>
      <c r="PVZ216" s="36"/>
      <c r="PWA216" s="36"/>
      <c r="PWB216" s="36"/>
      <c r="PWC216" s="36"/>
      <c r="PWD216" s="36"/>
      <c r="PWE216" s="36"/>
      <c r="PWF216" s="36"/>
      <c r="PWG216" s="36"/>
      <c r="PWH216" s="36"/>
      <c r="PWI216" s="36"/>
      <c r="PWJ216" s="36"/>
      <c r="PWK216" s="36"/>
      <c r="PWL216" s="36"/>
      <c r="PWM216" s="36"/>
      <c r="PWN216" s="36"/>
      <c r="PWO216" s="36"/>
      <c r="PWP216" s="36"/>
      <c r="PWQ216" s="36"/>
      <c r="PWR216" s="36"/>
      <c r="PWS216" s="36"/>
      <c r="PWT216" s="36"/>
      <c r="PWU216" s="36"/>
      <c r="PWV216" s="36"/>
      <c r="PWW216" s="36"/>
      <c r="PWX216" s="36"/>
      <c r="PWY216" s="36"/>
      <c r="PWZ216" s="36"/>
      <c r="PXA216" s="36"/>
      <c r="PXB216" s="36"/>
      <c r="PXC216" s="36"/>
      <c r="PXD216" s="36"/>
      <c r="PXE216" s="36"/>
      <c r="PXF216" s="36"/>
      <c r="PXG216" s="36"/>
      <c r="PXH216" s="36"/>
      <c r="PXI216" s="36"/>
      <c r="PXJ216" s="36"/>
      <c r="PXK216" s="36"/>
      <c r="PXL216" s="36"/>
      <c r="PXM216" s="36"/>
      <c r="PXN216" s="36"/>
      <c r="PXO216" s="36"/>
      <c r="PXP216" s="36"/>
      <c r="PXQ216" s="36"/>
      <c r="PXR216" s="36"/>
      <c r="PXS216" s="36"/>
      <c r="PXT216" s="36"/>
      <c r="PXU216" s="36"/>
      <c r="PXV216" s="36"/>
      <c r="PXW216" s="36"/>
      <c r="PXX216" s="36"/>
      <c r="PXY216" s="36"/>
      <c r="PXZ216" s="36"/>
      <c r="PYA216" s="36"/>
      <c r="PYB216" s="36"/>
      <c r="PYC216" s="36"/>
      <c r="PYD216" s="36"/>
      <c r="PYE216" s="36"/>
      <c r="PYF216" s="36"/>
      <c r="PYG216" s="36"/>
      <c r="PYH216" s="36"/>
      <c r="PYI216" s="36"/>
      <c r="PYJ216" s="36"/>
      <c r="PYK216" s="36"/>
      <c r="PYL216" s="36"/>
      <c r="PYM216" s="36"/>
      <c r="PYN216" s="36"/>
      <c r="PYO216" s="36"/>
      <c r="PYP216" s="36"/>
      <c r="PYQ216" s="36"/>
      <c r="PYR216" s="36"/>
      <c r="PYS216" s="36"/>
      <c r="PYT216" s="36"/>
      <c r="PYU216" s="36"/>
      <c r="PYV216" s="36"/>
      <c r="PYW216" s="36"/>
      <c r="PYX216" s="36"/>
      <c r="PYY216" s="36"/>
      <c r="PYZ216" s="36"/>
      <c r="PZA216" s="36"/>
      <c r="PZB216" s="36"/>
      <c r="PZC216" s="36"/>
      <c r="PZD216" s="36"/>
      <c r="PZE216" s="36"/>
      <c r="PZF216" s="36"/>
      <c r="PZG216" s="36"/>
      <c r="PZH216" s="36"/>
      <c r="PZI216" s="36"/>
      <c r="PZJ216" s="36"/>
      <c r="PZK216" s="36"/>
      <c r="PZL216" s="36"/>
      <c r="PZM216" s="36"/>
      <c r="PZN216" s="36"/>
      <c r="PZO216" s="36"/>
      <c r="PZP216" s="36"/>
      <c r="PZQ216" s="36"/>
      <c r="PZR216" s="36"/>
      <c r="PZS216" s="36"/>
      <c r="PZT216" s="36"/>
      <c r="PZU216" s="36"/>
      <c r="PZV216" s="36"/>
      <c r="PZW216" s="36"/>
      <c r="PZX216" s="36"/>
      <c r="PZY216" s="36"/>
      <c r="PZZ216" s="36"/>
      <c r="QAA216" s="36"/>
      <c r="QAB216" s="36"/>
      <c r="QAC216" s="36"/>
      <c r="QAD216" s="36"/>
      <c r="QAE216" s="36"/>
      <c r="QAF216" s="36"/>
      <c r="QAG216" s="36"/>
      <c r="QAH216" s="36"/>
      <c r="QAI216" s="36"/>
      <c r="QAJ216" s="36"/>
      <c r="QAK216" s="36"/>
      <c r="QAL216" s="36"/>
      <c r="QAM216" s="36"/>
      <c r="QAN216" s="36"/>
      <c r="QAO216" s="36"/>
      <c r="QAP216" s="36"/>
      <c r="QAQ216" s="36"/>
      <c r="QAR216" s="36"/>
      <c r="QAS216" s="36"/>
      <c r="QAT216" s="36"/>
      <c r="QAU216" s="36"/>
      <c r="QAV216" s="36"/>
      <c r="QAW216" s="36"/>
      <c r="QAX216" s="36"/>
      <c r="QAY216" s="36"/>
      <c r="QAZ216" s="36"/>
      <c r="QBA216" s="36"/>
      <c r="QBB216" s="36"/>
      <c r="QBC216" s="36"/>
      <c r="QBD216" s="36"/>
      <c r="QBE216" s="36"/>
      <c r="QBF216" s="36"/>
      <c r="QBG216" s="36"/>
      <c r="QBH216" s="36"/>
      <c r="QBI216" s="36"/>
      <c r="QBJ216" s="36"/>
      <c r="QBK216" s="36"/>
      <c r="QBL216" s="36"/>
      <c r="QBM216" s="36"/>
      <c r="QBN216" s="36"/>
      <c r="QBO216" s="36"/>
      <c r="QBP216" s="36"/>
      <c r="QBQ216" s="36"/>
      <c r="QBR216" s="36"/>
      <c r="QBS216" s="36"/>
      <c r="QBT216" s="36"/>
      <c r="QBU216" s="36"/>
      <c r="QBV216" s="36"/>
      <c r="QBW216" s="36"/>
      <c r="QBX216" s="36"/>
      <c r="QBY216" s="36"/>
      <c r="QBZ216" s="36"/>
      <c r="QCA216" s="36"/>
      <c r="QCB216" s="36"/>
      <c r="QCC216" s="36"/>
      <c r="QCD216" s="36"/>
      <c r="QCE216" s="36"/>
      <c r="QCF216" s="36"/>
      <c r="QCG216" s="36"/>
      <c r="QCH216" s="36"/>
      <c r="QCI216" s="36"/>
      <c r="QCJ216" s="36"/>
      <c r="QCK216" s="36"/>
      <c r="QCL216" s="36"/>
      <c r="QCM216" s="36"/>
      <c r="QCN216" s="36"/>
      <c r="QCO216" s="36"/>
      <c r="QCP216" s="36"/>
      <c r="QCQ216" s="36"/>
      <c r="QCR216" s="36"/>
      <c r="QCS216" s="36"/>
      <c r="QCT216" s="36"/>
      <c r="QCU216" s="36"/>
      <c r="QCV216" s="36"/>
      <c r="QCW216" s="36"/>
      <c r="QCX216" s="36"/>
      <c r="QCY216" s="36"/>
      <c r="QCZ216" s="36"/>
      <c r="QDA216" s="36"/>
      <c r="QDB216" s="36"/>
      <c r="QDC216" s="36"/>
      <c r="QDD216" s="36"/>
      <c r="QDE216" s="36"/>
      <c r="QDF216" s="36"/>
      <c r="QDG216" s="36"/>
      <c r="QDH216" s="36"/>
      <c r="QDI216" s="36"/>
      <c r="QDJ216" s="36"/>
      <c r="QDK216" s="36"/>
      <c r="QDL216" s="36"/>
      <c r="QDM216" s="36"/>
      <c r="QDN216" s="36"/>
      <c r="QDO216" s="36"/>
      <c r="QDP216" s="36"/>
      <c r="QDQ216" s="36"/>
      <c r="QDR216" s="36"/>
      <c r="QDS216" s="36"/>
      <c r="QDT216" s="36"/>
      <c r="QDU216" s="36"/>
      <c r="QDV216" s="36"/>
      <c r="QDW216" s="36"/>
      <c r="QDX216" s="36"/>
      <c r="QDY216" s="36"/>
      <c r="QDZ216" s="36"/>
      <c r="QEA216" s="36"/>
      <c r="QEB216" s="36"/>
      <c r="QEC216" s="36"/>
      <c r="QED216" s="36"/>
      <c r="QEE216" s="36"/>
      <c r="QEF216" s="36"/>
      <c r="QEG216" s="36"/>
      <c r="QEH216" s="36"/>
      <c r="QEI216" s="36"/>
      <c r="QEJ216" s="36"/>
      <c r="QEK216" s="36"/>
      <c r="QEL216" s="36"/>
      <c r="QEM216" s="36"/>
      <c r="QEN216" s="36"/>
      <c r="QEO216" s="36"/>
      <c r="QEP216" s="36"/>
      <c r="QEQ216" s="36"/>
      <c r="QER216" s="36"/>
      <c r="QES216" s="36"/>
      <c r="QET216" s="36"/>
      <c r="QEU216" s="36"/>
      <c r="QEV216" s="36"/>
      <c r="QEW216" s="36"/>
      <c r="QEX216" s="36"/>
      <c r="QEY216" s="36"/>
      <c r="QEZ216" s="36"/>
      <c r="QFA216" s="36"/>
      <c r="QFB216" s="36"/>
      <c r="QFC216" s="36"/>
      <c r="QFD216" s="36"/>
      <c r="QFE216" s="36"/>
      <c r="QFF216" s="36"/>
      <c r="QFG216" s="36"/>
      <c r="QFH216" s="36"/>
      <c r="QFI216" s="36"/>
      <c r="QFJ216" s="36"/>
      <c r="QFK216" s="36"/>
      <c r="QFL216" s="36"/>
      <c r="QFM216" s="36"/>
      <c r="QFN216" s="36"/>
      <c r="QFO216" s="36"/>
      <c r="QFP216" s="36"/>
      <c r="QFQ216" s="36"/>
      <c r="QFR216" s="36"/>
      <c r="QFS216" s="36"/>
      <c r="QFT216" s="36"/>
      <c r="QFU216" s="36"/>
      <c r="QFV216" s="36"/>
      <c r="QFW216" s="36"/>
      <c r="QFX216" s="36"/>
      <c r="QFY216" s="36"/>
      <c r="QFZ216" s="36"/>
      <c r="QGA216" s="36"/>
      <c r="QGB216" s="36"/>
      <c r="QGC216" s="36"/>
      <c r="QGD216" s="36"/>
      <c r="QGE216" s="36"/>
      <c r="QGF216" s="36"/>
      <c r="QGG216" s="36"/>
      <c r="QGH216" s="36"/>
      <c r="QGI216" s="36"/>
      <c r="QGJ216" s="36"/>
      <c r="QGK216" s="36"/>
      <c r="QGL216" s="36"/>
      <c r="QGM216" s="36"/>
      <c r="QGN216" s="36"/>
      <c r="QGO216" s="36"/>
      <c r="QGP216" s="36"/>
      <c r="QGQ216" s="36"/>
      <c r="QGR216" s="36"/>
      <c r="QGS216" s="36"/>
      <c r="QGT216" s="36"/>
      <c r="QGU216" s="36"/>
      <c r="QGV216" s="36"/>
      <c r="QGW216" s="36"/>
      <c r="QGX216" s="36"/>
      <c r="QGY216" s="36"/>
      <c r="QGZ216" s="36"/>
      <c r="QHA216" s="36"/>
      <c r="QHB216" s="36"/>
      <c r="QHC216" s="36"/>
      <c r="QHD216" s="36"/>
      <c r="QHE216" s="36"/>
      <c r="QHF216" s="36"/>
      <c r="QHG216" s="36"/>
      <c r="QHH216" s="36"/>
      <c r="QHI216" s="36"/>
      <c r="QHJ216" s="36"/>
      <c r="QHK216" s="36"/>
      <c r="QHL216" s="36"/>
      <c r="QHM216" s="36"/>
      <c r="QHN216" s="36"/>
      <c r="QHO216" s="36"/>
      <c r="QHP216" s="36"/>
      <c r="QHQ216" s="36"/>
      <c r="QHR216" s="36"/>
      <c r="QHS216" s="36"/>
      <c r="QHT216" s="36"/>
      <c r="QHU216" s="36"/>
      <c r="QHV216" s="36"/>
      <c r="QHW216" s="36"/>
      <c r="QHX216" s="36"/>
      <c r="QHY216" s="36"/>
      <c r="QHZ216" s="36"/>
      <c r="QIA216" s="36"/>
      <c r="QIB216" s="36"/>
      <c r="QIC216" s="36"/>
      <c r="QID216" s="36"/>
      <c r="QIE216" s="36"/>
      <c r="QIF216" s="36"/>
      <c r="QIG216" s="36"/>
      <c r="QIH216" s="36"/>
      <c r="QII216" s="36"/>
      <c r="QIJ216" s="36"/>
      <c r="QIK216" s="36"/>
      <c r="QIL216" s="36"/>
      <c r="QIM216" s="36"/>
      <c r="QIN216" s="36"/>
      <c r="QIO216" s="36"/>
      <c r="QIP216" s="36"/>
      <c r="QIQ216" s="36"/>
      <c r="QIR216" s="36"/>
      <c r="QIS216" s="36"/>
      <c r="QIT216" s="36"/>
      <c r="QIU216" s="36"/>
      <c r="QIV216" s="36"/>
      <c r="QIW216" s="36"/>
      <c r="QIX216" s="36"/>
      <c r="QIY216" s="36"/>
      <c r="QIZ216" s="36"/>
      <c r="QJA216" s="36"/>
      <c r="QJB216" s="36"/>
      <c r="QJC216" s="36"/>
      <c r="QJD216" s="36"/>
      <c r="QJE216" s="36"/>
      <c r="QJF216" s="36"/>
      <c r="QJG216" s="36"/>
      <c r="QJH216" s="36"/>
      <c r="QJI216" s="36"/>
      <c r="QJJ216" s="36"/>
      <c r="QJK216" s="36"/>
      <c r="QJL216" s="36"/>
      <c r="QJM216" s="36"/>
      <c r="QJN216" s="36"/>
      <c r="QJO216" s="36"/>
      <c r="QJP216" s="36"/>
      <c r="QJQ216" s="36"/>
      <c r="QJR216" s="36"/>
      <c r="QJS216" s="36"/>
      <c r="QJT216" s="36"/>
      <c r="QJU216" s="36"/>
      <c r="QJV216" s="36"/>
      <c r="QJW216" s="36"/>
      <c r="QJX216" s="36"/>
      <c r="QJY216" s="36"/>
      <c r="QJZ216" s="36"/>
      <c r="QKA216" s="36"/>
      <c r="QKB216" s="36"/>
      <c r="QKC216" s="36"/>
      <c r="QKD216" s="36"/>
      <c r="QKE216" s="36"/>
      <c r="QKF216" s="36"/>
      <c r="QKG216" s="36"/>
      <c r="QKH216" s="36"/>
      <c r="QKI216" s="36"/>
      <c r="QKJ216" s="36"/>
      <c r="QKK216" s="36"/>
      <c r="QKL216" s="36"/>
      <c r="QKM216" s="36"/>
      <c r="QKN216" s="36"/>
      <c r="QKO216" s="36"/>
      <c r="QKP216" s="36"/>
      <c r="QKQ216" s="36"/>
      <c r="QKR216" s="36"/>
      <c r="QKS216" s="36"/>
      <c r="QKT216" s="36"/>
      <c r="QKU216" s="36"/>
      <c r="QKV216" s="36"/>
      <c r="QKW216" s="36"/>
      <c r="QKX216" s="36"/>
      <c r="QKY216" s="36"/>
      <c r="QKZ216" s="36"/>
      <c r="QLA216" s="36"/>
      <c r="QLB216" s="36"/>
      <c r="QLC216" s="36"/>
      <c r="QLD216" s="36"/>
      <c r="QLE216" s="36"/>
      <c r="QLF216" s="36"/>
      <c r="QLG216" s="36"/>
      <c r="QLH216" s="36"/>
      <c r="QLI216" s="36"/>
      <c r="QLJ216" s="36"/>
      <c r="QLK216" s="36"/>
      <c r="QLL216" s="36"/>
      <c r="QLM216" s="36"/>
      <c r="QLN216" s="36"/>
      <c r="QLO216" s="36"/>
      <c r="QLP216" s="36"/>
      <c r="QLQ216" s="36"/>
      <c r="QLR216" s="36"/>
      <c r="QLS216" s="36"/>
      <c r="QLT216" s="36"/>
      <c r="QLU216" s="36"/>
      <c r="QLV216" s="36"/>
      <c r="QLW216" s="36"/>
      <c r="QLX216" s="36"/>
      <c r="QLY216" s="36"/>
      <c r="QLZ216" s="36"/>
      <c r="QMA216" s="36"/>
      <c r="QMB216" s="36"/>
      <c r="QMC216" s="36"/>
      <c r="QMD216" s="36"/>
      <c r="QME216" s="36"/>
      <c r="QMF216" s="36"/>
      <c r="QMG216" s="36"/>
      <c r="QMH216" s="36"/>
      <c r="QMI216" s="36"/>
      <c r="QMJ216" s="36"/>
      <c r="QMK216" s="36"/>
      <c r="QML216" s="36"/>
      <c r="QMM216" s="36"/>
      <c r="QMN216" s="36"/>
      <c r="QMO216" s="36"/>
      <c r="QMP216" s="36"/>
      <c r="QMQ216" s="36"/>
      <c r="QMR216" s="36"/>
      <c r="QMS216" s="36"/>
      <c r="QMT216" s="36"/>
      <c r="QMU216" s="36"/>
      <c r="QMV216" s="36"/>
      <c r="QMW216" s="36"/>
      <c r="QMX216" s="36"/>
      <c r="QMY216" s="36"/>
      <c r="QMZ216" s="36"/>
      <c r="QNA216" s="36"/>
      <c r="QNB216" s="36"/>
      <c r="QNC216" s="36"/>
      <c r="QND216" s="36"/>
      <c r="QNE216" s="36"/>
      <c r="QNF216" s="36"/>
      <c r="QNG216" s="36"/>
      <c r="QNH216" s="36"/>
      <c r="QNI216" s="36"/>
      <c r="QNJ216" s="36"/>
      <c r="QNK216" s="36"/>
      <c r="QNL216" s="36"/>
      <c r="QNM216" s="36"/>
      <c r="QNN216" s="36"/>
      <c r="QNO216" s="36"/>
      <c r="QNP216" s="36"/>
      <c r="QNQ216" s="36"/>
      <c r="QNR216" s="36"/>
      <c r="QNS216" s="36"/>
      <c r="QNT216" s="36"/>
      <c r="QNU216" s="36"/>
      <c r="QNV216" s="36"/>
      <c r="QNW216" s="36"/>
      <c r="QNX216" s="36"/>
      <c r="QNY216" s="36"/>
      <c r="QNZ216" s="36"/>
      <c r="QOA216" s="36"/>
      <c r="QOB216" s="36"/>
      <c r="QOC216" s="36"/>
      <c r="QOD216" s="36"/>
      <c r="QOE216" s="36"/>
      <c r="QOF216" s="36"/>
      <c r="QOG216" s="36"/>
      <c r="QOH216" s="36"/>
      <c r="QOI216" s="36"/>
      <c r="QOJ216" s="36"/>
      <c r="QOK216" s="36"/>
      <c r="QOL216" s="36"/>
      <c r="QOM216" s="36"/>
      <c r="QON216" s="36"/>
      <c r="QOO216" s="36"/>
      <c r="QOP216" s="36"/>
      <c r="QOQ216" s="36"/>
      <c r="QOR216" s="36"/>
      <c r="QOS216" s="36"/>
      <c r="QOT216" s="36"/>
      <c r="QOU216" s="36"/>
      <c r="QOV216" s="36"/>
      <c r="QOW216" s="36"/>
      <c r="QOX216" s="36"/>
      <c r="QOY216" s="36"/>
      <c r="QOZ216" s="36"/>
      <c r="QPA216" s="36"/>
      <c r="QPB216" s="36"/>
      <c r="QPC216" s="36"/>
      <c r="QPD216" s="36"/>
      <c r="QPE216" s="36"/>
      <c r="QPF216" s="36"/>
      <c r="QPG216" s="36"/>
      <c r="QPH216" s="36"/>
      <c r="QPI216" s="36"/>
      <c r="QPJ216" s="36"/>
      <c r="QPK216" s="36"/>
      <c r="QPL216" s="36"/>
      <c r="QPM216" s="36"/>
      <c r="QPN216" s="36"/>
      <c r="QPO216" s="36"/>
      <c r="QPP216" s="36"/>
      <c r="QPQ216" s="36"/>
      <c r="QPR216" s="36"/>
      <c r="QPS216" s="36"/>
      <c r="QPT216" s="36"/>
      <c r="QPU216" s="36"/>
      <c r="QPV216" s="36"/>
      <c r="QPW216" s="36"/>
      <c r="QPX216" s="36"/>
      <c r="QPY216" s="36"/>
      <c r="QPZ216" s="36"/>
      <c r="QQA216" s="36"/>
      <c r="QQB216" s="36"/>
      <c r="QQC216" s="36"/>
      <c r="QQD216" s="36"/>
      <c r="QQE216" s="36"/>
      <c r="QQF216" s="36"/>
      <c r="QQG216" s="36"/>
      <c r="QQH216" s="36"/>
      <c r="QQI216" s="36"/>
      <c r="QQJ216" s="36"/>
      <c r="QQK216" s="36"/>
      <c r="QQL216" s="36"/>
      <c r="QQM216" s="36"/>
      <c r="QQN216" s="36"/>
      <c r="QQO216" s="36"/>
      <c r="QQP216" s="36"/>
      <c r="QQQ216" s="36"/>
      <c r="QQR216" s="36"/>
      <c r="QQS216" s="36"/>
      <c r="QQT216" s="36"/>
      <c r="QQU216" s="36"/>
      <c r="QQV216" s="36"/>
      <c r="QQW216" s="36"/>
      <c r="QQX216" s="36"/>
      <c r="QQY216" s="36"/>
      <c r="QQZ216" s="36"/>
      <c r="QRA216" s="36"/>
      <c r="QRB216" s="36"/>
      <c r="QRC216" s="36"/>
      <c r="QRD216" s="36"/>
      <c r="QRE216" s="36"/>
      <c r="QRF216" s="36"/>
      <c r="QRG216" s="36"/>
      <c r="QRH216" s="36"/>
      <c r="QRI216" s="36"/>
      <c r="QRJ216" s="36"/>
      <c r="QRK216" s="36"/>
      <c r="QRL216" s="36"/>
      <c r="QRM216" s="36"/>
      <c r="QRN216" s="36"/>
      <c r="QRO216" s="36"/>
      <c r="QRP216" s="36"/>
      <c r="QRQ216" s="36"/>
      <c r="QRR216" s="36"/>
      <c r="QRS216" s="36"/>
      <c r="QRT216" s="36"/>
      <c r="QRU216" s="36"/>
      <c r="QRV216" s="36"/>
      <c r="QRW216" s="36"/>
      <c r="QRX216" s="36"/>
      <c r="QRY216" s="36"/>
      <c r="QRZ216" s="36"/>
      <c r="QSA216" s="36"/>
      <c r="QSB216" s="36"/>
      <c r="QSC216" s="36"/>
      <c r="QSD216" s="36"/>
      <c r="QSE216" s="36"/>
      <c r="QSF216" s="36"/>
      <c r="QSG216" s="36"/>
      <c r="QSH216" s="36"/>
      <c r="QSI216" s="36"/>
      <c r="QSJ216" s="36"/>
      <c r="QSK216" s="36"/>
      <c r="QSL216" s="36"/>
      <c r="QSM216" s="36"/>
      <c r="QSN216" s="36"/>
      <c r="QSO216" s="36"/>
      <c r="QSP216" s="36"/>
      <c r="QSQ216" s="36"/>
      <c r="QSR216" s="36"/>
      <c r="QSS216" s="36"/>
      <c r="QST216" s="36"/>
      <c r="QSU216" s="36"/>
      <c r="QSV216" s="36"/>
      <c r="QSW216" s="36"/>
      <c r="QSX216" s="36"/>
      <c r="QSY216" s="36"/>
      <c r="QSZ216" s="36"/>
      <c r="QTA216" s="36"/>
      <c r="QTB216" s="36"/>
      <c r="QTC216" s="36"/>
      <c r="QTD216" s="36"/>
      <c r="QTE216" s="36"/>
      <c r="QTF216" s="36"/>
      <c r="QTG216" s="36"/>
      <c r="QTH216" s="36"/>
      <c r="QTI216" s="36"/>
      <c r="QTJ216" s="36"/>
      <c r="QTK216" s="36"/>
      <c r="QTL216" s="36"/>
      <c r="QTM216" s="36"/>
      <c r="QTN216" s="36"/>
      <c r="QTO216" s="36"/>
      <c r="QTP216" s="36"/>
      <c r="QTQ216" s="36"/>
      <c r="QTR216" s="36"/>
      <c r="QTS216" s="36"/>
      <c r="QTT216" s="36"/>
      <c r="QTU216" s="36"/>
      <c r="QTV216" s="36"/>
      <c r="QTW216" s="36"/>
      <c r="QTX216" s="36"/>
      <c r="QTY216" s="36"/>
      <c r="QTZ216" s="36"/>
      <c r="QUA216" s="36"/>
      <c r="QUB216" s="36"/>
      <c r="QUC216" s="36"/>
      <c r="QUD216" s="36"/>
      <c r="QUE216" s="36"/>
      <c r="QUF216" s="36"/>
      <c r="QUG216" s="36"/>
      <c r="QUH216" s="36"/>
      <c r="QUI216" s="36"/>
      <c r="QUJ216" s="36"/>
      <c r="QUK216" s="36"/>
      <c r="QUL216" s="36"/>
      <c r="QUM216" s="36"/>
      <c r="QUN216" s="36"/>
      <c r="QUO216" s="36"/>
      <c r="QUP216" s="36"/>
      <c r="QUQ216" s="36"/>
      <c r="QUR216" s="36"/>
      <c r="QUS216" s="36"/>
      <c r="QUT216" s="36"/>
      <c r="QUU216" s="36"/>
      <c r="QUV216" s="36"/>
      <c r="QUW216" s="36"/>
      <c r="QUX216" s="36"/>
      <c r="QUY216" s="36"/>
      <c r="QUZ216" s="36"/>
      <c r="QVA216" s="36"/>
      <c r="QVB216" s="36"/>
      <c r="QVC216" s="36"/>
      <c r="QVD216" s="36"/>
      <c r="QVE216" s="36"/>
      <c r="QVF216" s="36"/>
      <c r="QVG216" s="36"/>
      <c r="QVH216" s="36"/>
      <c r="QVI216" s="36"/>
      <c r="QVJ216" s="36"/>
      <c r="QVK216" s="36"/>
      <c r="QVL216" s="36"/>
      <c r="QVM216" s="36"/>
      <c r="QVN216" s="36"/>
      <c r="QVO216" s="36"/>
      <c r="QVP216" s="36"/>
      <c r="QVQ216" s="36"/>
      <c r="QVR216" s="36"/>
      <c r="QVS216" s="36"/>
      <c r="QVT216" s="36"/>
      <c r="QVU216" s="36"/>
      <c r="QVV216" s="36"/>
      <c r="QVW216" s="36"/>
      <c r="QVX216" s="36"/>
      <c r="QVY216" s="36"/>
      <c r="QVZ216" s="36"/>
      <c r="QWA216" s="36"/>
      <c r="QWB216" s="36"/>
      <c r="QWC216" s="36"/>
      <c r="QWD216" s="36"/>
      <c r="QWE216" s="36"/>
      <c r="QWF216" s="36"/>
      <c r="QWG216" s="36"/>
      <c r="QWH216" s="36"/>
      <c r="QWI216" s="36"/>
      <c r="QWJ216" s="36"/>
      <c r="QWK216" s="36"/>
      <c r="QWL216" s="36"/>
      <c r="QWM216" s="36"/>
      <c r="QWN216" s="36"/>
      <c r="QWO216" s="36"/>
      <c r="QWP216" s="36"/>
      <c r="QWQ216" s="36"/>
      <c r="QWR216" s="36"/>
      <c r="QWS216" s="36"/>
      <c r="QWT216" s="36"/>
      <c r="QWU216" s="36"/>
      <c r="QWV216" s="36"/>
      <c r="QWW216" s="36"/>
      <c r="QWX216" s="36"/>
      <c r="QWY216" s="36"/>
      <c r="QWZ216" s="36"/>
      <c r="QXA216" s="36"/>
      <c r="QXB216" s="36"/>
      <c r="QXC216" s="36"/>
      <c r="QXD216" s="36"/>
      <c r="QXE216" s="36"/>
      <c r="QXF216" s="36"/>
      <c r="QXG216" s="36"/>
      <c r="QXH216" s="36"/>
      <c r="QXI216" s="36"/>
      <c r="QXJ216" s="36"/>
      <c r="QXK216" s="36"/>
      <c r="QXL216" s="36"/>
      <c r="QXM216" s="36"/>
      <c r="QXN216" s="36"/>
      <c r="QXO216" s="36"/>
      <c r="QXP216" s="36"/>
      <c r="QXQ216" s="36"/>
      <c r="QXR216" s="36"/>
      <c r="QXS216" s="36"/>
      <c r="QXT216" s="36"/>
      <c r="QXU216" s="36"/>
      <c r="QXV216" s="36"/>
      <c r="QXW216" s="36"/>
      <c r="QXX216" s="36"/>
      <c r="QXY216" s="36"/>
      <c r="QXZ216" s="36"/>
      <c r="QYA216" s="36"/>
      <c r="QYB216" s="36"/>
      <c r="QYC216" s="36"/>
      <c r="QYD216" s="36"/>
      <c r="QYE216" s="36"/>
      <c r="QYF216" s="36"/>
      <c r="QYG216" s="36"/>
      <c r="QYH216" s="36"/>
      <c r="QYI216" s="36"/>
      <c r="QYJ216" s="36"/>
      <c r="QYK216" s="36"/>
      <c r="QYL216" s="36"/>
      <c r="QYM216" s="36"/>
      <c r="QYN216" s="36"/>
      <c r="QYO216" s="36"/>
      <c r="QYP216" s="36"/>
      <c r="QYQ216" s="36"/>
      <c r="QYR216" s="36"/>
      <c r="QYS216" s="36"/>
      <c r="QYT216" s="36"/>
      <c r="QYU216" s="36"/>
      <c r="QYV216" s="36"/>
      <c r="QYW216" s="36"/>
      <c r="QYX216" s="36"/>
      <c r="QYY216" s="36"/>
      <c r="QYZ216" s="36"/>
      <c r="QZA216" s="36"/>
      <c r="QZB216" s="36"/>
      <c r="QZC216" s="36"/>
      <c r="QZD216" s="36"/>
      <c r="QZE216" s="36"/>
      <c r="QZF216" s="36"/>
      <c r="QZG216" s="36"/>
      <c r="QZH216" s="36"/>
      <c r="QZI216" s="36"/>
      <c r="QZJ216" s="36"/>
      <c r="QZK216" s="36"/>
      <c r="QZL216" s="36"/>
      <c r="QZM216" s="36"/>
      <c r="QZN216" s="36"/>
      <c r="QZO216" s="36"/>
      <c r="QZP216" s="36"/>
      <c r="QZQ216" s="36"/>
      <c r="QZR216" s="36"/>
      <c r="QZS216" s="36"/>
      <c r="QZT216" s="36"/>
      <c r="QZU216" s="36"/>
      <c r="QZV216" s="36"/>
      <c r="QZW216" s="36"/>
      <c r="QZX216" s="36"/>
      <c r="QZY216" s="36"/>
      <c r="QZZ216" s="36"/>
      <c r="RAA216" s="36"/>
      <c r="RAB216" s="36"/>
      <c r="RAC216" s="36"/>
      <c r="RAD216" s="36"/>
      <c r="RAE216" s="36"/>
      <c r="RAF216" s="36"/>
      <c r="RAG216" s="36"/>
      <c r="RAH216" s="36"/>
      <c r="RAI216" s="36"/>
      <c r="RAJ216" s="36"/>
      <c r="RAK216" s="36"/>
      <c r="RAL216" s="36"/>
      <c r="RAM216" s="36"/>
      <c r="RAN216" s="36"/>
      <c r="RAO216" s="36"/>
      <c r="RAP216" s="36"/>
      <c r="RAQ216" s="36"/>
      <c r="RAR216" s="36"/>
      <c r="RAS216" s="36"/>
      <c r="RAT216" s="36"/>
      <c r="RAU216" s="36"/>
      <c r="RAV216" s="36"/>
      <c r="RAW216" s="36"/>
      <c r="RAX216" s="36"/>
      <c r="RAY216" s="36"/>
      <c r="RAZ216" s="36"/>
      <c r="RBA216" s="36"/>
      <c r="RBB216" s="36"/>
      <c r="RBC216" s="36"/>
      <c r="RBD216" s="36"/>
      <c r="RBE216" s="36"/>
      <c r="RBF216" s="36"/>
      <c r="RBG216" s="36"/>
      <c r="RBH216" s="36"/>
      <c r="RBI216" s="36"/>
      <c r="RBJ216" s="36"/>
      <c r="RBK216" s="36"/>
      <c r="RBL216" s="36"/>
      <c r="RBM216" s="36"/>
      <c r="RBN216" s="36"/>
      <c r="RBO216" s="36"/>
      <c r="RBP216" s="36"/>
      <c r="RBQ216" s="36"/>
      <c r="RBR216" s="36"/>
      <c r="RBS216" s="36"/>
      <c r="RBT216" s="36"/>
      <c r="RBU216" s="36"/>
      <c r="RBV216" s="36"/>
      <c r="RBW216" s="36"/>
      <c r="RBX216" s="36"/>
      <c r="RBY216" s="36"/>
      <c r="RBZ216" s="36"/>
      <c r="RCA216" s="36"/>
      <c r="RCB216" s="36"/>
      <c r="RCC216" s="36"/>
      <c r="RCD216" s="36"/>
      <c r="RCE216" s="36"/>
      <c r="RCF216" s="36"/>
      <c r="RCG216" s="36"/>
      <c r="RCH216" s="36"/>
      <c r="RCI216" s="36"/>
      <c r="RCJ216" s="36"/>
      <c r="RCK216" s="36"/>
      <c r="RCL216" s="36"/>
      <c r="RCM216" s="36"/>
      <c r="RCN216" s="36"/>
      <c r="RCO216" s="36"/>
      <c r="RCP216" s="36"/>
      <c r="RCQ216" s="36"/>
      <c r="RCR216" s="36"/>
      <c r="RCS216" s="36"/>
      <c r="RCT216" s="36"/>
      <c r="RCU216" s="36"/>
      <c r="RCV216" s="36"/>
      <c r="RCW216" s="36"/>
      <c r="RCX216" s="36"/>
      <c r="RCY216" s="36"/>
      <c r="RCZ216" s="36"/>
      <c r="RDA216" s="36"/>
      <c r="RDB216" s="36"/>
      <c r="RDC216" s="36"/>
      <c r="RDD216" s="36"/>
      <c r="RDE216" s="36"/>
      <c r="RDF216" s="36"/>
      <c r="RDG216" s="36"/>
      <c r="RDH216" s="36"/>
      <c r="RDI216" s="36"/>
      <c r="RDJ216" s="36"/>
      <c r="RDK216" s="36"/>
      <c r="RDL216" s="36"/>
      <c r="RDM216" s="36"/>
      <c r="RDN216" s="36"/>
      <c r="RDO216" s="36"/>
      <c r="RDP216" s="36"/>
      <c r="RDQ216" s="36"/>
      <c r="RDR216" s="36"/>
      <c r="RDS216" s="36"/>
      <c r="RDT216" s="36"/>
      <c r="RDU216" s="36"/>
      <c r="RDV216" s="36"/>
      <c r="RDW216" s="36"/>
      <c r="RDX216" s="36"/>
      <c r="RDY216" s="36"/>
      <c r="RDZ216" s="36"/>
      <c r="REA216" s="36"/>
      <c r="REB216" s="36"/>
      <c r="REC216" s="36"/>
      <c r="RED216" s="36"/>
      <c r="REE216" s="36"/>
      <c r="REF216" s="36"/>
      <c r="REG216" s="36"/>
      <c r="REH216" s="36"/>
      <c r="REI216" s="36"/>
      <c r="REJ216" s="36"/>
      <c r="REK216" s="36"/>
      <c r="REL216" s="36"/>
      <c r="REM216" s="36"/>
      <c r="REN216" s="36"/>
      <c r="REO216" s="36"/>
      <c r="REP216" s="36"/>
      <c r="REQ216" s="36"/>
      <c r="RER216" s="36"/>
      <c r="RES216" s="36"/>
      <c r="RET216" s="36"/>
      <c r="REU216" s="36"/>
      <c r="REV216" s="36"/>
      <c r="REW216" s="36"/>
      <c r="REX216" s="36"/>
      <c r="REY216" s="36"/>
      <c r="REZ216" s="36"/>
      <c r="RFA216" s="36"/>
      <c r="RFB216" s="36"/>
      <c r="RFC216" s="36"/>
      <c r="RFD216" s="36"/>
      <c r="RFE216" s="36"/>
      <c r="RFF216" s="36"/>
      <c r="RFG216" s="36"/>
      <c r="RFH216" s="36"/>
      <c r="RFI216" s="36"/>
      <c r="RFJ216" s="36"/>
      <c r="RFK216" s="36"/>
      <c r="RFL216" s="36"/>
      <c r="RFM216" s="36"/>
      <c r="RFN216" s="36"/>
      <c r="RFO216" s="36"/>
      <c r="RFP216" s="36"/>
      <c r="RFQ216" s="36"/>
      <c r="RFR216" s="36"/>
      <c r="RFS216" s="36"/>
      <c r="RFT216" s="36"/>
      <c r="RFU216" s="36"/>
      <c r="RFV216" s="36"/>
      <c r="RFW216" s="36"/>
      <c r="RFX216" s="36"/>
      <c r="RFY216" s="36"/>
      <c r="RFZ216" s="36"/>
      <c r="RGA216" s="36"/>
      <c r="RGB216" s="36"/>
      <c r="RGC216" s="36"/>
      <c r="RGD216" s="36"/>
      <c r="RGE216" s="36"/>
      <c r="RGF216" s="36"/>
      <c r="RGG216" s="36"/>
      <c r="RGH216" s="36"/>
      <c r="RGI216" s="36"/>
      <c r="RGJ216" s="36"/>
      <c r="RGK216" s="36"/>
      <c r="RGL216" s="36"/>
      <c r="RGM216" s="36"/>
      <c r="RGN216" s="36"/>
      <c r="RGO216" s="36"/>
      <c r="RGP216" s="36"/>
      <c r="RGQ216" s="36"/>
      <c r="RGR216" s="36"/>
      <c r="RGS216" s="36"/>
      <c r="RGT216" s="36"/>
      <c r="RGU216" s="36"/>
      <c r="RGV216" s="36"/>
      <c r="RGW216" s="36"/>
      <c r="RGX216" s="36"/>
      <c r="RGY216" s="36"/>
      <c r="RGZ216" s="36"/>
      <c r="RHA216" s="36"/>
      <c r="RHB216" s="36"/>
      <c r="RHC216" s="36"/>
      <c r="RHD216" s="36"/>
      <c r="RHE216" s="36"/>
      <c r="RHF216" s="36"/>
      <c r="RHG216" s="36"/>
      <c r="RHH216" s="36"/>
      <c r="RHI216" s="36"/>
      <c r="RHJ216" s="36"/>
      <c r="RHK216" s="36"/>
      <c r="RHL216" s="36"/>
      <c r="RHM216" s="36"/>
      <c r="RHN216" s="36"/>
      <c r="RHO216" s="36"/>
      <c r="RHP216" s="36"/>
      <c r="RHQ216" s="36"/>
      <c r="RHR216" s="36"/>
      <c r="RHS216" s="36"/>
      <c r="RHT216" s="36"/>
      <c r="RHU216" s="36"/>
      <c r="RHV216" s="36"/>
      <c r="RHW216" s="36"/>
      <c r="RHX216" s="36"/>
      <c r="RHY216" s="36"/>
      <c r="RHZ216" s="36"/>
      <c r="RIA216" s="36"/>
      <c r="RIB216" s="36"/>
      <c r="RIC216" s="36"/>
      <c r="RID216" s="36"/>
      <c r="RIE216" s="36"/>
      <c r="RIF216" s="36"/>
      <c r="RIG216" s="36"/>
      <c r="RIH216" s="36"/>
      <c r="RII216" s="36"/>
      <c r="RIJ216" s="36"/>
      <c r="RIK216" s="36"/>
      <c r="RIL216" s="36"/>
      <c r="RIM216" s="36"/>
      <c r="RIN216" s="36"/>
      <c r="RIO216" s="36"/>
      <c r="RIP216" s="36"/>
      <c r="RIQ216" s="36"/>
      <c r="RIR216" s="36"/>
      <c r="RIS216" s="36"/>
      <c r="RIT216" s="36"/>
      <c r="RIU216" s="36"/>
      <c r="RIV216" s="36"/>
      <c r="RIW216" s="36"/>
      <c r="RIX216" s="36"/>
      <c r="RIY216" s="36"/>
      <c r="RIZ216" s="36"/>
      <c r="RJA216" s="36"/>
      <c r="RJB216" s="36"/>
      <c r="RJC216" s="36"/>
      <c r="RJD216" s="36"/>
      <c r="RJE216" s="36"/>
      <c r="RJF216" s="36"/>
      <c r="RJG216" s="36"/>
      <c r="RJH216" s="36"/>
      <c r="RJI216" s="36"/>
      <c r="RJJ216" s="36"/>
      <c r="RJK216" s="36"/>
      <c r="RJL216" s="36"/>
      <c r="RJM216" s="36"/>
      <c r="RJN216" s="36"/>
      <c r="RJO216" s="36"/>
      <c r="RJP216" s="36"/>
      <c r="RJQ216" s="36"/>
      <c r="RJR216" s="36"/>
      <c r="RJS216" s="36"/>
      <c r="RJT216" s="36"/>
      <c r="RJU216" s="36"/>
      <c r="RJV216" s="36"/>
      <c r="RJW216" s="36"/>
      <c r="RJX216" s="36"/>
      <c r="RJY216" s="36"/>
      <c r="RJZ216" s="36"/>
      <c r="RKA216" s="36"/>
      <c r="RKB216" s="36"/>
      <c r="RKC216" s="36"/>
      <c r="RKD216" s="36"/>
      <c r="RKE216" s="36"/>
      <c r="RKF216" s="36"/>
      <c r="RKG216" s="36"/>
      <c r="RKH216" s="36"/>
      <c r="RKI216" s="36"/>
      <c r="RKJ216" s="36"/>
      <c r="RKK216" s="36"/>
      <c r="RKL216" s="36"/>
      <c r="RKM216" s="36"/>
      <c r="RKN216" s="36"/>
      <c r="RKO216" s="36"/>
      <c r="RKP216" s="36"/>
      <c r="RKQ216" s="36"/>
      <c r="RKR216" s="36"/>
      <c r="RKS216" s="36"/>
      <c r="RKT216" s="36"/>
      <c r="RKU216" s="36"/>
      <c r="RKV216" s="36"/>
      <c r="RKW216" s="36"/>
      <c r="RKX216" s="36"/>
      <c r="RKY216" s="36"/>
      <c r="RKZ216" s="36"/>
      <c r="RLA216" s="36"/>
      <c r="RLB216" s="36"/>
      <c r="RLC216" s="36"/>
      <c r="RLD216" s="36"/>
      <c r="RLE216" s="36"/>
      <c r="RLF216" s="36"/>
      <c r="RLG216" s="36"/>
      <c r="RLH216" s="36"/>
      <c r="RLI216" s="36"/>
      <c r="RLJ216" s="36"/>
      <c r="RLK216" s="36"/>
      <c r="RLL216" s="36"/>
      <c r="RLM216" s="36"/>
      <c r="RLN216" s="36"/>
      <c r="RLO216" s="36"/>
      <c r="RLP216" s="36"/>
      <c r="RLQ216" s="36"/>
      <c r="RLR216" s="36"/>
      <c r="RLS216" s="36"/>
      <c r="RLT216" s="36"/>
      <c r="RLU216" s="36"/>
      <c r="RLV216" s="36"/>
      <c r="RLW216" s="36"/>
      <c r="RLX216" s="36"/>
      <c r="RLY216" s="36"/>
      <c r="RLZ216" s="36"/>
      <c r="RMA216" s="36"/>
      <c r="RMB216" s="36"/>
      <c r="RMC216" s="36"/>
      <c r="RMD216" s="36"/>
      <c r="RME216" s="36"/>
      <c r="RMF216" s="36"/>
      <c r="RMG216" s="36"/>
      <c r="RMH216" s="36"/>
      <c r="RMI216" s="36"/>
      <c r="RMJ216" s="36"/>
      <c r="RMK216" s="36"/>
      <c r="RML216" s="36"/>
      <c r="RMM216" s="36"/>
      <c r="RMN216" s="36"/>
      <c r="RMO216" s="36"/>
      <c r="RMP216" s="36"/>
      <c r="RMQ216" s="36"/>
      <c r="RMR216" s="36"/>
      <c r="RMS216" s="36"/>
      <c r="RMT216" s="36"/>
      <c r="RMU216" s="36"/>
      <c r="RMV216" s="36"/>
      <c r="RMW216" s="36"/>
      <c r="RMX216" s="36"/>
      <c r="RMY216" s="36"/>
      <c r="RMZ216" s="36"/>
      <c r="RNA216" s="36"/>
      <c r="RNB216" s="36"/>
      <c r="RNC216" s="36"/>
      <c r="RND216" s="36"/>
      <c r="RNE216" s="36"/>
      <c r="RNF216" s="36"/>
      <c r="RNG216" s="36"/>
      <c r="RNH216" s="36"/>
      <c r="RNI216" s="36"/>
      <c r="RNJ216" s="36"/>
      <c r="RNK216" s="36"/>
      <c r="RNL216" s="36"/>
      <c r="RNM216" s="36"/>
      <c r="RNN216" s="36"/>
      <c r="RNO216" s="36"/>
      <c r="RNP216" s="36"/>
      <c r="RNQ216" s="36"/>
      <c r="RNR216" s="36"/>
      <c r="RNS216" s="36"/>
      <c r="RNT216" s="36"/>
      <c r="RNU216" s="36"/>
      <c r="RNV216" s="36"/>
      <c r="RNW216" s="36"/>
      <c r="RNX216" s="36"/>
      <c r="RNY216" s="36"/>
      <c r="RNZ216" s="36"/>
      <c r="ROA216" s="36"/>
      <c r="ROB216" s="36"/>
      <c r="ROC216" s="36"/>
      <c r="ROD216" s="36"/>
      <c r="ROE216" s="36"/>
      <c r="ROF216" s="36"/>
      <c r="ROG216" s="36"/>
      <c r="ROH216" s="36"/>
      <c r="ROI216" s="36"/>
      <c r="ROJ216" s="36"/>
      <c r="ROK216" s="36"/>
      <c r="ROL216" s="36"/>
      <c r="ROM216" s="36"/>
      <c r="RON216" s="36"/>
      <c r="ROO216" s="36"/>
      <c r="ROP216" s="36"/>
      <c r="ROQ216" s="36"/>
      <c r="ROR216" s="36"/>
      <c r="ROS216" s="36"/>
      <c r="ROT216" s="36"/>
      <c r="ROU216" s="36"/>
      <c r="ROV216" s="36"/>
      <c r="ROW216" s="36"/>
      <c r="ROX216" s="36"/>
      <c r="ROY216" s="36"/>
      <c r="ROZ216" s="36"/>
      <c r="RPA216" s="36"/>
      <c r="RPB216" s="36"/>
      <c r="RPC216" s="36"/>
      <c r="RPD216" s="36"/>
      <c r="RPE216" s="36"/>
      <c r="RPF216" s="36"/>
      <c r="RPG216" s="36"/>
      <c r="RPH216" s="36"/>
      <c r="RPI216" s="36"/>
      <c r="RPJ216" s="36"/>
      <c r="RPK216" s="36"/>
      <c r="RPL216" s="36"/>
      <c r="RPM216" s="36"/>
      <c r="RPN216" s="36"/>
      <c r="RPO216" s="36"/>
      <c r="RPP216" s="36"/>
      <c r="RPQ216" s="36"/>
      <c r="RPR216" s="36"/>
      <c r="RPS216" s="36"/>
      <c r="RPT216" s="36"/>
      <c r="RPU216" s="36"/>
      <c r="RPV216" s="36"/>
      <c r="RPW216" s="36"/>
      <c r="RPX216" s="36"/>
      <c r="RPY216" s="36"/>
      <c r="RPZ216" s="36"/>
      <c r="RQA216" s="36"/>
      <c r="RQB216" s="36"/>
      <c r="RQC216" s="36"/>
      <c r="RQD216" s="36"/>
      <c r="RQE216" s="36"/>
      <c r="RQF216" s="36"/>
      <c r="RQG216" s="36"/>
      <c r="RQH216" s="36"/>
      <c r="RQI216" s="36"/>
      <c r="RQJ216" s="36"/>
      <c r="RQK216" s="36"/>
      <c r="RQL216" s="36"/>
      <c r="RQM216" s="36"/>
      <c r="RQN216" s="36"/>
      <c r="RQO216" s="36"/>
      <c r="RQP216" s="36"/>
      <c r="RQQ216" s="36"/>
      <c r="RQR216" s="36"/>
      <c r="RQS216" s="36"/>
      <c r="RQT216" s="36"/>
      <c r="RQU216" s="36"/>
      <c r="RQV216" s="36"/>
      <c r="RQW216" s="36"/>
      <c r="RQX216" s="36"/>
      <c r="RQY216" s="36"/>
      <c r="RQZ216" s="36"/>
      <c r="RRA216" s="36"/>
      <c r="RRB216" s="36"/>
      <c r="RRC216" s="36"/>
      <c r="RRD216" s="36"/>
      <c r="RRE216" s="36"/>
      <c r="RRF216" s="36"/>
      <c r="RRG216" s="36"/>
      <c r="RRH216" s="36"/>
      <c r="RRI216" s="36"/>
      <c r="RRJ216" s="36"/>
      <c r="RRK216" s="36"/>
      <c r="RRL216" s="36"/>
      <c r="RRM216" s="36"/>
      <c r="RRN216" s="36"/>
      <c r="RRO216" s="36"/>
      <c r="RRP216" s="36"/>
      <c r="RRQ216" s="36"/>
      <c r="RRR216" s="36"/>
      <c r="RRS216" s="36"/>
      <c r="RRT216" s="36"/>
      <c r="RRU216" s="36"/>
      <c r="RRV216" s="36"/>
      <c r="RRW216" s="36"/>
      <c r="RRX216" s="36"/>
      <c r="RRY216" s="36"/>
      <c r="RRZ216" s="36"/>
      <c r="RSA216" s="36"/>
      <c r="RSB216" s="36"/>
      <c r="RSC216" s="36"/>
      <c r="RSD216" s="36"/>
      <c r="RSE216" s="36"/>
      <c r="RSF216" s="36"/>
      <c r="RSG216" s="36"/>
      <c r="RSH216" s="36"/>
      <c r="RSI216" s="36"/>
      <c r="RSJ216" s="36"/>
      <c r="RSK216" s="36"/>
      <c r="RSL216" s="36"/>
      <c r="RSM216" s="36"/>
      <c r="RSN216" s="36"/>
      <c r="RSO216" s="36"/>
      <c r="RSP216" s="36"/>
      <c r="RSQ216" s="36"/>
      <c r="RSR216" s="36"/>
      <c r="RSS216" s="36"/>
      <c r="RST216" s="36"/>
      <c r="RSU216" s="36"/>
      <c r="RSV216" s="36"/>
      <c r="RSW216" s="36"/>
      <c r="RSX216" s="36"/>
      <c r="RSY216" s="36"/>
      <c r="RSZ216" s="36"/>
      <c r="RTA216" s="36"/>
      <c r="RTB216" s="36"/>
      <c r="RTC216" s="36"/>
      <c r="RTD216" s="36"/>
      <c r="RTE216" s="36"/>
      <c r="RTF216" s="36"/>
      <c r="RTG216" s="36"/>
      <c r="RTH216" s="36"/>
      <c r="RTI216" s="36"/>
      <c r="RTJ216" s="36"/>
      <c r="RTK216" s="36"/>
      <c r="RTL216" s="36"/>
      <c r="RTM216" s="36"/>
      <c r="RTN216" s="36"/>
      <c r="RTO216" s="36"/>
      <c r="RTP216" s="36"/>
      <c r="RTQ216" s="36"/>
      <c r="RTR216" s="36"/>
      <c r="RTS216" s="36"/>
      <c r="RTT216" s="36"/>
      <c r="RTU216" s="36"/>
      <c r="RTV216" s="36"/>
      <c r="RTW216" s="36"/>
      <c r="RTX216" s="36"/>
      <c r="RTY216" s="36"/>
      <c r="RTZ216" s="36"/>
      <c r="RUA216" s="36"/>
      <c r="RUB216" s="36"/>
      <c r="RUC216" s="36"/>
      <c r="RUD216" s="36"/>
      <c r="RUE216" s="36"/>
      <c r="RUF216" s="36"/>
      <c r="RUG216" s="36"/>
      <c r="RUH216" s="36"/>
      <c r="RUI216" s="36"/>
      <c r="RUJ216" s="36"/>
      <c r="RUK216" s="36"/>
      <c r="RUL216" s="36"/>
      <c r="RUM216" s="36"/>
      <c r="RUN216" s="36"/>
      <c r="RUO216" s="36"/>
      <c r="RUP216" s="36"/>
      <c r="RUQ216" s="36"/>
      <c r="RUR216" s="36"/>
      <c r="RUS216" s="36"/>
      <c r="RUT216" s="36"/>
      <c r="RUU216" s="36"/>
      <c r="RUV216" s="36"/>
      <c r="RUW216" s="36"/>
      <c r="RUX216" s="36"/>
      <c r="RUY216" s="36"/>
      <c r="RUZ216" s="36"/>
      <c r="RVA216" s="36"/>
      <c r="RVB216" s="36"/>
      <c r="RVC216" s="36"/>
      <c r="RVD216" s="36"/>
      <c r="RVE216" s="36"/>
      <c r="RVF216" s="36"/>
      <c r="RVG216" s="36"/>
      <c r="RVH216" s="36"/>
      <c r="RVI216" s="36"/>
      <c r="RVJ216" s="36"/>
      <c r="RVK216" s="36"/>
      <c r="RVL216" s="36"/>
      <c r="RVM216" s="36"/>
      <c r="RVN216" s="36"/>
      <c r="RVO216" s="36"/>
      <c r="RVP216" s="36"/>
      <c r="RVQ216" s="36"/>
      <c r="RVR216" s="36"/>
      <c r="RVS216" s="36"/>
      <c r="RVT216" s="36"/>
      <c r="RVU216" s="36"/>
      <c r="RVV216" s="36"/>
      <c r="RVW216" s="36"/>
      <c r="RVX216" s="36"/>
      <c r="RVY216" s="36"/>
      <c r="RVZ216" s="36"/>
      <c r="RWA216" s="36"/>
      <c r="RWB216" s="36"/>
      <c r="RWC216" s="36"/>
      <c r="RWD216" s="36"/>
      <c r="RWE216" s="36"/>
      <c r="RWF216" s="36"/>
      <c r="RWG216" s="36"/>
      <c r="RWH216" s="36"/>
      <c r="RWI216" s="36"/>
      <c r="RWJ216" s="36"/>
      <c r="RWK216" s="36"/>
      <c r="RWL216" s="36"/>
      <c r="RWM216" s="36"/>
      <c r="RWN216" s="36"/>
      <c r="RWO216" s="36"/>
      <c r="RWP216" s="36"/>
      <c r="RWQ216" s="36"/>
      <c r="RWR216" s="36"/>
      <c r="RWS216" s="36"/>
      <c r="RWT216" s="36"/>
      <c r="RWU216" s="36"/>
      <c r="RWV216" s="36"/>
      <c r="RWW216" s="36"/>
      <c r="RWX216" s="36"/>
      <c r="RWY216" s="36"/>
      <c r="RWZ216" s="36"/>
      <c r="RXA216" s="36"/>
      <c r="RXB216" s="36"/>
      <c r="RXC216" s="36"/>
      <c r="RXD216" s="36"/>
      <c r="RXE216" s="36"/>
      <c r="RXF216" s="36"/>
      <c r="RXG216" s="36"/>
      <c r="RXH216" s="36"/>
      <c r="RXI216" s="36"/>
      <c r="RXJ216" s="36"/>
      <c r="RXK216" s="36"/>
      <c r="RXL216" s="36"/>
      <c r="RXM216" s="36"/>
      <c r="RXN216" s="36"/>
      <c r="RXO216" s="36"/>
      <c r="RXP216" s="36"/>
      <c r="RXQ216" s="36"/>
      <c r="RXR216" s="36"/>
      <c r="RXS216" s="36"/>
      <c r="RXT216" s="36"/>
      <c r="RXU216" s="36"/>
      <c r="RXV216" s="36"/>
      <c r="RXW216" s="36"/>
      <c r="RXX216" s="36"/>
      <c r="RXY216" s="36"/>
      <c r="RXZ216" s="36"/>
      <c r="RYA216" s="36"/>
      <c r="RYB216" s="36"/>
      <c r="RYC216" s="36"/>
      <c r="RYD216" s="36"/>
      <c r="RYE216" s="36"/>
      <c r="RYF216" s="36"/>
      <c r="RYG216" s="36"/>
      <c r="RYH216" s="36"/>
      <c r="RYI216" s="36"/>
      <c r="RYJ216" s="36"/>
      <c r="RYK216" s="36"/>
      <c r="RYL216" s="36"/>
      <c r="RYM216" s="36"/>
      <c r="RYN216" s="36"/>
      <c r="RYO216" s="36"/>
      <c r="RYP216" s="36"/>
      <c r="RYQ216" s="36"/>
      <c r="RYR216" s="36"/>
      <c r="RYS216" s="36"/>
      <c r="RYT216" s="36"/>
      <c r="RYU216" s="36"/>
      <c r="RYV216" s="36"/>
      <c r="RYW216" s="36"/>
      <c r="RYX216" s="36"/>
      <c r="RYY216" s="36"/>
      <c r="RYZ216" s="36"/>
      <c r="RZA216" s="36"/>
      <c r="RZB216" s="36"/>
      <c r="RZC216" s="36"/>
      <c r="RZD216" s="36"/>
      <c r="RZE216" s="36"/>
      <c r="RZF216" s="36"/>
      <c r="RZG216" s="36"/>
      <c r="RZH216" s="36"/>
      <c r="RZI216" s="36"/>
      <c r="RZJ216" s="36"/>
      <c r="RZK216" s="36"/>
      <c r="RZL216" s="36"/>
      <c r="RZM216" s="36"/>
      <c r="RZN216" s="36"/>
      <c r="RZO216" s="36"/>
      <c r="RZP216" s="36"/>
      <c r="RZQ216" s="36"/>
      <c r="RZR216" s="36"/>
      <c r="RZS216" s="36"/>
      <c r="RZT216" s="36"/>
      <c r="RZU216" s="36"/>
      <c r="RZV216" s="36"/>
      <c r="RZW216" s="36"/>
      <c r="RZX216" s="36"/>
      <c r="RZY216" s="36"/>
      <c r="RZZ216" s="36"/>
      <c r="SAA216" s="36"/>
      <c r="SAB216" s="36"/>
      <c r="SAC216" s="36"/>
      <c r="SAD216" s="36"/>
      <c r="SAE216" s="36"/>
      <c r="SAF216" s="36"/>
      <c r="SAG216" s="36"/>
      <c r="SAH216" s="36"/>
      <c r="SAI216" s="36"/>
      <c r="SAJ216" s="36"/>
      <c r="SAK216" s="36"/>
      <c r="SAL216" s="36"/>
      <c r="SAM216" s="36"/>
      <c r="SAN216" s="36"/>
      <c r="SAO216" s="36"/>
      <c r="SAP216" s="36"/>
      <c r="SAQ216" s="36"/>
      <c r="SAR216" s="36"/>
      <c r="SAS216" s="36"/>
      <c r="SAT216" s="36"/>
      <c r="SAU216" s="36"/>
      <c r="SAV216" s="36"/>
      <c r="SAW216" s="36"/>
      <c r="SAX216" s="36"/>
      <c r="SAY216" s="36"/>
      <c r="SAZ216" s="36"/>
      <c r="SBA216" s="36"/>
      <c r="SBB216" s="36"/>
      <c r="SBC216" s="36"/>
      <c r="SBD216" s="36"/>
      <c r="SBE216" s="36"/>
      <c r="SBF216" s="36"/>
      <c r="SBG216" s="36"/>
      <c r="SBH216" s="36"/>
      <c r="SBI216" s="36"/>
      <c r="SBJ216" s="36"/>
      <c r="SBK216" s="36"/>
      <c r="SBL216" s="36"/>
      <c r="SBM216" s="36"/>
      <c r="SBN216" s="36"/>
      <c r="SBO216" s="36"/>
      <c r="SBP216" s="36"/>
      <c r="SBQ216" s="36"/>
      <c r="SBR216" s="36"/>
      <c r="SBS216" s="36"/>
      <c r="SBT216" s="36"/>
      <c r="SBU216" s="36"/>
      <c r="SBV216" s="36"/>
      <c r="SBW216" s="36"/>
      <c r="SBX216" s="36"/>
      <c r="SBY216" s="36"/>
      <c r="SBZ216" s="36"/>
      <c r="SCA216" s="36"/>
      <c r="SCB216" s="36"/>
      <c r="SCC216" s="36"/>
      <c r="SCD216" s="36"/>
      <c r="SCE216" s="36"/>
      <c r="SCF216" s="36"/>
      <c r="SCG216" s="36"/>
      <c r="SCH216" s="36"/>
      <c r="SCI216" s="36"/>
      <c r="SCJ216" s="36"/>
      <c r="SCK216" s="36"/>
      <c r="SCL216" s="36"/>
      <c r="SCM216" s="36"/>
      <c r="SCN216" s="36"/>
      <c r="SCO216" s="36"/>
      <c r="SCP216" s="36"/>
      <c r="SCQ216" s="36"/>
      <c r="SCR216" s="36"/>
      <c r="SCS216" s="36"/>
      <c r="SCT216" s="36"/>
      <c r="SCU216" s="36"/>
      <c r="SCV216" s="36"/>
      <c r="SCW216" s="36"/>
      <c r="SCX216" s="36"/>
      <c r="SCY216" s="36"/>
      <c r="SCZ216" s="36"/>
      <c r="SDA216" s="36"/>
      <c r="SDB216" s="36"/>
      <c r="SDC216" s="36"/>
      <c r="SDD216" s="36"/>
      <c r="SDE216" s="36"/>
      <c r="SDF216" s="36"/>
      <c r="SDG216" s="36"/>
      <c r="SDH216" s="36"/>
      <c r="SDI216" s="36"/>
      <c r="SDJ216" s="36"/>
      <c r="SDK216" s="36"/>
      <c r="SDL216" s="36"/>
      <c r="SDM216" s="36"/>
      <c r="SDN216" s="36"/>
      <c r="SDO216" s="36"/>
      <c r="SDP216" s="36"/>
      <c r="SDQ216" s="36"/>
      <c r="SDR216" s="36"/>
      <c r="SDS216" s="36"/>
      <c r="SDT216" s="36"/>
      <c r="SDU216" s="36"/>
      <c r="SDV216" s="36"/>
      <c r="SDW216" s="36"/>
      <c r="SDX216" s="36"/>
      <c r="SDY216" s="36"/>
      <c r="SDZ216" s="36"/>
      <c r="SEA216" s="36"/>
      <c r="SEB216" s="36"/>
      <c r="SEC216" s="36"/>
      <c r="SED216" s="36"/>
      <c r="SEE216" s="36"/>
      <c r="SEF216" s="36"/>
      <c r="SEG216" s="36"/>
      <c r="SEH216" s="36"/>
      <c r="SEI216" s="36"/>
      <c r="SEJ216" s="36"/>
      <c r="SEK216" s="36"/>
      <c r="SEL216" s="36"/>
      <c r="SEM216" s="36"/>
      <c r="SEN216" s="36"/>
      <c r="SEO216" s="36"/>
      <c r="SEP216" s="36"/>
      <c r="SEQ216" s="36"/>
      <c r="SER216" s="36"/>
      <c r="SES216" s="36"/>
      <c r="SET216" s="36"/>
      <c r="SEU216" s="36"/>
      <c r="SEV216" s="36"/>
      <c r="SEW216" s="36"/>
      <c r="SEX216" s="36"/>
      <c r="SEY216" s="36"/>
      <c r="SEZ216" s="36"/>
      <c r="SFA216" s="36"/>
      <c r="SFB216" s="36"/>
      <c r="SFC216" s="36"/>
      <c r="SFD216" s="36"/>
      <c r="SFE216" s="36"/>
      <c r="SFF216" s="36"/>
      <c r="SFG216" s="36"/>
      <c r="SFH216" s="36"/>
      <c r="SFI216" s="36"/>
      <c r="SFJ216" s="36"/>
      <c r="SFK216" s="36"/>
      <c r="SFL216" s="36"/>
      <c r="SFM216" s="36"/>
      <c r="SFN216" s="36"/>
      <c r="SFO216" s="36"/>
      <c r="SFP216" s="36"/>
      <c r="SFQ216" s="36"/>
      <c r="SFR216" s="36"/>
      <c r="SFS216" s="36"/>
      <c r="SFT216" s="36"/>
      <c r="SFU216" s="36"/>
      <c r="SFV216" s="36"/>
      <c r="SFW216" s="36"/>
      <c r="SFX216" s="36"/>
      <c r="SFY216" s="36"/>
      <c r="SFZ216" s="36"/>
      <c r="SGA216" s="36"/>
      <c r="SGB216" s="36"/>
      <c r="SGC216" s="36"/>
      <c r="SGD216" s="36"/>
      <c r="SGE216" s="36"/>
      <c r="SGF216" s="36"/>
      <c r="SGG216" s="36"/>
      <c r="SGH216" s="36"/>
      <c r="SGI216" s="36"/>
      <c r="SGJ216" s="36"/>
      <c r="SGK216" s="36"/>
      <c r="SGL216" s="36"/>
      <c r="SGM216" s="36"/>
      <c r="SGN216" s="36"/>
      <c r="SGO216" s="36"/>
      <c r="SGP216" s="36"/>
      <c r="SGQ216" s="36"/>
      <c r="SGR216" s="36"/>
      <c r="SGS216" s="36"/>
      <c r="SGT216" s="36"/>
      <c r="SGU216" s="36"/>
      <c r="SGV216" s="36"/>
      <c r="SGW216" s="36"/>
      <c r="SGX216" s="36"/>
      <c r="SGY216" s="36"/>
      <c r="SGZ216" s="36"/>
      <c r="SHA216" s="36"/>
      <c r="SHB216" s="36"/>
      <c r="SHC216" s="36"/>
      <c r="SHD216" s="36"/>
      <c r="SHE216" s="36"/>
      <c r="SHF216" s="36"/>
      <c r="SHG216" s="36"/>
      <c r="SHH216" s="36"/>
      <c r="SHI216" s="36"/>
      <c r="SHJ216" s="36"/>
      <c r="SHK216" s="36"/>
      <c r="SHL216" s="36"/>
      <c r="SHM216" s="36"/>
      <c r="SHN216" s="36"/>
      <c r="SHO216" s="36"/>
      <c r="SHP216" s="36"/>
      <c r="SHQ216" s="36"/>
      <c r="SHR216" s="36"/>
      <c r="SHS216" s="36"/>
      <c r="SHT216" s="36"/>
      <c r="SHU216" s="36"/>
      <c r="SHV216" s="36"/>
      <c r="SHW216" s="36"/>
      <c r="SHX216" s="36"/>
      <c r="SHY216" s="36"/>
      <c r="SHZ216" s="36"/>
      <c r="SIA216" s="36"/>
      <c r="SIB216" s="36"/>
      <c r="SIC216" s="36"/>
      <c r="SID216" s="36"/>
      <c r="SIE216" s="36"/>
      <c r="SIF216" s="36"/>
      <c r="SIG216" s="36"/>
      <c r="SIH216" s="36"/>
      <c r="SII216" s="36"/>
      <c r="SIJ216" s="36"/>
      <c r="SIK216" s="36"/>
      <c r="SIL216" s="36"/>
      <c r="SIM216" s="36"/>
      <c r="SIN216" s="36"/>
      <c r="SIO216" s="36"/>
      <c r="SIP216" s="36"/>
      <c r="SIQ216" s="36"/>
      <c r="SIR216" s="36"/>
      <c r="SIS216" s="36"/>
      <c r="SIT216" s="36"/>
      <c r="SIU216" s="36"/>
      <c r="SIV216" s="36"/>
      <c r="SIW216" s="36"/>
      <c r="SIX216" s="36"/>
      <c r="SIY216" s="36"/>
      <c r="SIZ216" s="36"/>
      <c r="SJA216" s="36"/>
      <c r="SJB216" s="36"/>
      <c r="SJC216" s="36"/>
      <c r="SJD216" s="36"/>
      <c r="SJE216" s="36"/>
      <c r="SJF216" s="36"/>
      <c r="SJG216" s="36"/>
      <c r="SJH216" s="36"/>
      <c r="SJI216" s="36"/>
      <c r="SJJ216" s="36"/>
      <c r="SJK216" s="36"/>
      <c r="SJL216" s="36"/>
      <c r="SJM216" s="36"/>
      <c r="SJN216" s="36"/>
      <c r="SJO216" s="36"/>
      <c r="SJP216" s="36"/>
      <c r="SJQ216" s="36"/>
      <c r="SJR216" s="36"/>
      <c r="SJS216" s="36"/>
      <c r="SJT216" s="36"/>
      <c r="SJU216" s="36"/>
      <c r="SJV216" s="36"/>
      <c r="SJW216" s="36"/>
      <c r="SJX216" s="36"/>
      <c r="SJY216" s="36"/>
      <c r="SJZ216" s="36"/>
      <c r="SKA216" s="36"/>
      <c r="SKB216" s="36"/>
      <c r="SKC216" s="36"/>
      <c r="SKD216" s="36"/>
      <c r="SKE216" s="36"/>
      <c r="SKF216" s="36"/>
      <c r="SKG216" s="36"/>
      <c r="SKH216" s="36"/>
      <c r="SKI216" s="36"/>
      <c r="SKJ216" s="36"/>
      <c r="SKK216" s="36"/>
      <c r="SKL216" s="36"/>
      <c r="SKM216" s="36"/>
      <c r="SKN216" s="36"/>
      <c r="SKO216" s="36"/>
      <c r="SKP216" s="36"/>
      <c r="SKQ216" s="36"/>
      <c r="SKR216" s="36"/>
      <c r="SKS216" s="36"/>
      <c r="SKT216" s="36"/>
      <c r="SKU216" s="36"/>
      <c r="SKV216" s="36"/>
      <c r="SKW216" s="36"/>
      <c r="SKX216" s="36"/>
      <c r="SKY216" s="36"/>
      <c r="SKZ216" s="36"/>
      <c r="SLA216" s="36"/>
      <c r="SLB216" s="36"/>
      <c r="SLC216" s="36"/>
      <c r="SLD216" s="36"/>
      <c r="SLE216" s="36"/>
      <c r="SLF216" s="36"/>
      <c r="SLG216" s="36"/>
      <c r="SLH216" s="36"/>
      <c r="SLI216" s="36"/>
      <c r="SLJ216" s="36"/>
      <c r="SLK216" s="36"/>
      <c r="SLL216" s="36"/>
      <c r="SLM216" s="36"/>
      <c r="SLN216" s="36"/>
      <c r="SLO216" s="36"/>
      <c r="SLP216" s="36"/>
      <c r="SLQ216" s="36"/>
      <c r="SLR216" s="36"/>
      <c r="SLS216" s="36"/>
      <c r="SLT216" s="36"/>
      <c r="SLU216" s="36"/>
      <c r="SLV216" s="36"/>
      <c r="SLW216" s="36"/>
      <c r="SLX216" s="36"/>
      <c r="SLY216" s="36"/>
      <c r="SLZ216" s="36"/>
      <c r="SMA216" s="36"/>
      <c r="SMB216" s="36"/>
      <c r="SMC216" s="36"/>
      <c r="SMD216" s="36"/>
      <c r="SME216" s="36"/>
      <c r="SMF216" s="36"/>
      <c r="SMG216" s="36"/>
      <c r="SMH216" s="36"/>
      <c r="SMI216" s="36"/>
      <c r="SMJ216" s="36"/>
      <c r="SMK216" s="36"/>
      <c r="SML216" s="36"/>
      <c r="SMM216" s="36"/>
      <c r="SMN216" s="36"/>
      <c r="SMO216" s="36"/>
      <c r="SMP216" s="36"/>
      <c r="SMQ216" s="36"/>
      <c r="SMR216" s="36"/>
      <c r="SMS216" s="36"/>
      <c r="SMT216" s="36"/>
      <c r="SMU216" s="36"/>
      <c r="SMV216" s="36"/>
      <c r="SMW216" s="36"/>
      <c r="SMX216" s="36"/>
      <c r="SMY216" s="36"/>
      <c r="SMZ216" s="36"/>
      <c r="SNA216" s="36"/>
      <c r="SNB216" s="36"/>
      <c r="SNC216" s="36"/>
      <c r="SND216" s="36"/>
      <c r="SNE216" s="36"/>
      <c r="SNF216" s="36"/>
      <c r="SNG216" s="36"/>
      <c r="SNH216" s="36"/>
      <c r="SNI216" s="36"/>
      <c r="SNJ216" s="36"/>
      <c r="SNK216" s="36"/>
      <c r="SNL216" s="36"/>
      <c r="SNM216" s="36"/>
      <c r="SNN216" s="36"/>
      <c r="SNO216" s="36"/>
      <c r="SNP216" s="36"/>
      <c r="SNQ216" s="36"/>
      <c r="SNR216" s="36"/>
      <c r="SNS216" s="36"/>
      <c r="SNT216" s="36"/>
      <c r="SNU216" s="36"/>
      <c r="SNV216" s="36"/>
      <c r="SNW216" s="36"/>
      <c r="SNX216" s="36"/>
      <c r="SNY216" s="36"/>
      <c r="SNZ216" s="36"/>
      <c r="SOA216" s="36"/>
      <c r="SOB216" s="36"/>
      <c r="SOC216" s="36"/>
      <c r="SOD216" s="36"/>
      <c r="SOE216" s="36"/>
      <c r="SOF216" s="36"/>
      <c r="SOG216" s="36"/>
      <c r="SOH216" s="36"/>
      <c r="SOI216" s="36"/>
      <c r="SOJ216" s="36"/>
      <c r="SOK216" s="36"/>
      <c r="SOL216" s="36"/>
      <c r="SOM216" s="36"/>
      <c r="SON216" s="36"/>
      <c r="SOO216" s="36"/>
      <c r="SOP216" s="36"/>
      <c r="SOQ216" s="36"/>
      <c r="SOR216" s="36"/>
      <c r="SOS216" s="36"/>
      <c r="SOT216" s="36"/>
      <c r="SOU216" s="36"/>
      <c r="SOV216" s="36"/>
      <c r="SOW216" s="36"/>
      <c r="SOX216" s="36"/>
      <c r="SOY216" s="36"/>
      <c r="SOZ216" s="36"/>
      <c r="SPA216" s="36"/>
      <c r="SPB216" s="36"/>
      <c r="SPC216" s="36"/>
      <c r="SPD216" s="36"/>
      <c r="SPE216" s="36"/>
      <c r="SPF216" s="36"/>
      <c r="SPG216" s="36"/>
      <c r="SPH216" s="36"/>
      <c r="SPI216" s="36"/>
      <c r="SPJ216" s="36"/>
      <c r="SPK216" s="36"/>
      <c r="SPL216" s="36"/>
      <c r="SPM216" s="36"/>
      <c r="SPN216" s="36"/>
      <c r="SPO216" s="36"/>
      <c r="SPP216" s="36"/>
      <c r="SPQ216" s="36"/>
      <c r="SPR216" s="36"/>
      <c r="SPS216" s="36"/>
      <c r="SPT216" s="36"/>
      <c r="SPU216" s="36"/>
      <c r="SPV216" s="36"/>
      <c r="SPW216" s="36"/>
      <c r="SPX216" s="36"/>
      <c r="SPY216" s="36"/>
      <c r="SPZ216" s="36"/>
      <c r="SQA216" s="36"/>
      <c r="SQB216" s="36"/>
      <c r="SQC216" s="36"/>
      <c r="SQD216" s="36"/>
      <c r="SQE216" s="36"/>
      <c r="SQF216" s="36"/>
      <c r="SQG216" s="36"/>
      <c r="SQH216" s="36"/>
      <c r="SQI216" s="36"/>
      <c r="SQJ216" s="36"/>
      <c r="SQK216" s="36"/>
      <c r="SQL216" s="36"/>
      <c r="SQM216" s="36"/>
      <c r="SQN216" s="36"/>
      <c r="SQO216" s="36"/>
      <c r="SQP216" s="36"/>
      <c r="SQQ216" s="36"/>
      <c r="SQR216" s="36"/>
      <c r="SQS216" s="36"/>
      <c r="SQT216" s="36"/>
      <c r="SQU216" s="36"/>
      <c r="SQV216" s="36"/>
      <c r="SQW216" s="36"/>
      <c r="SQX216" s="36"/>
      <c r="SQY216" s="36"/>
      <c r="SQZ216" s="36"/>
      <c r="SRA216" s="36"/>
      <c r="SRB216" s="36"/>
      <c r="SRC216" s="36"/>
      <c r="SRD216" s="36"/>
      <c r="SRE216" s="36"/>
      <c r="SRF216" s="36"/>
      <c r="SRG216" s="36"/>
      <c r="SRH216" s="36"/>
      <c r="SRI216" s="36"/>
      <c r="SRJ216" s="36"/>
      <c r="SRK216" s="36"/>
      <c r="SRL216" s="36"/>
      <c r="SRM216" s="36"/>
      <c r="SRN216" s="36"/>
      <c r="SRO216" s="36"/>
      <c r="SRP216" s="36"/>
      <c r="SRQ216" s="36"/>
      <c r="SRR216" s="36"/>
      <c r="SRS216" s="36"/>
      <c r="SRT216" s="36"/>
      <c r="SRU216" s="36"/>
      <c r="SRV216" s="36"/>
      <c r="SRW216" s="36"/>
      <c r="SRX216" s="36"/>
      <c r="SRY216" s="36"/>
      <c r="SRZ216" s="36"/>
      <c r="SSA216" s="36"/>
      <c r="SSB216" s="36"/>
      <c r="SSC216" s="36"/>
      <c r="SSD216" s="36"/>
      <c r="SSE216" s="36"/>
      <c r="SSF216" s="36"/>
      <c r="SSG216" s="36"/>
      <c r="SSH216" s="36"/>
      <c r="SSI216" s="36"/>
      <c r="SSJ216" s="36"/>
      <c r="SSK216" s="36"/>
      <c r="SSL216" s="36"/>
      <c r="SSM216" s="36"/>
      <c r="SSN216" s="36"/>
      <c r="SSO216" s="36"/>
      <c r="SSP216" s="36"/>
      <c r="SSQ216" s="36"/>
      <c r="SSR216" s="36"/>
      <c r="SSS216" s="36"/>
      <c r="SST216" s="36"/>
      <c r="SSU216" s="36"/>
      <c r="SSV216" s="36"/>
      <c r="SSW216" s="36"/>
      <c r="SSX216" s="36"/>
      <c r="SSY216" s="36"/>
      <c r="SSZ216" s="36"/>
      <c r="STA216" s="36"/>
      <c r="STB216" s="36"/>
      <c r="STC216" s="36"/>
      <c r="STD216" s="36"/>
      <c r="STE216" s="36"/>
      <c r="STF216" s="36"/>
      <c r="STG216" s="36"/>
      <c r="STH216" s="36"/>
      <c r="STI216" s="36"/>
      <c r="STJ216" s="36"/>
      <c r="STK216" s="36"/>
      <c r="STL216" s="36"/>
      <c r="STM216" s="36"/>
      <c r="STN216" s="36"/>
      <c r="STO216" s="36"/>
      <c r="STP216" s="36"/>
      <c r="STQ216" s="36"/>
      <c r="STR216" s="36"/>
      <c r="STS216" s="36"/>
      <c r="STT216" s="36"/>
      <c r="STU216" s="36"/>
      <c r="STV216" s="36"/>
      <c r="STW216" s="36"/>
      <c r="STX216" s="36"/>
      <c r="STY216" s="36"/>
      <c r="STZ216" s="36"/>
      <c r="SUA216" s="36"/>
      <c r="SUB216" s="36"/>
      <c r="SUC216" s="36"/>
      <c r="SUD216" s="36"/>
      <c r="SUE216" s="36"/>
      <c r="SUF216" s="36"/>
      <c r="SUG216" s="36"/>
      <c r="SUH216" s="36"/>
      <c r="SUI216" s="36"/>
      <c r="SUJ216" s="36"/>
      <c r="SUK216" s="36"/>
      <c r="SUL216" s="36"/>
      <c r="SUM216" s="36"/>
      <c r="SUN216" s="36"/>
      <c r="SUO216" s="36"/>
      <c r="SUP216" s="36"/>
      <c r="SUQ216" s="36"/>
      <c r="SUR216" s="36"/>
      <c r="SUS216" s="36"/>
      <c r="SUT216" s="36"/>
      <c r="SUU216" s="36"/>
      <c r="SUV216" s="36"/>
      <c r="SUW216" s="36"/>
      <c r="SUX216" s="36"/>
      <c r="SUY216" s="36"/>
      <c r="SUZ216" s="36"/>
      <c r="SVA216" s="36"/>
      <c r="SVB216" s="36"/>
      <c r="SVC216" s="36"/>
      <c r="SVD216" s="36"/>
      <c r="SVE216" s="36"/>
      <c r="SVF216" s="36"/>
      <c r="SVG216" s="36"/>
      <c r="SVH216" s="36"/>
      <c r="SVI216" s="36"/>
      <c r="SVJ216" s="36"/>
      <c r="SVK216" s="36"/>
      <c r="SVL216" s="36"/>
      <c r="SVM216" s="36"/>
      <c r="SVN216" s="36"/>
      <c r="SVO216" s="36"/>
      <c r="SVP216" s="36"/>
      <c r="SVQ216" s="36"/>
      <c r="SVR216" s="36"/>
      <c r="SVS216" s="36"/>
      <c r="SVT216" s="36"/>
      <c r="SVU216" s="36"/>
      <c r="SVV216" s="36"/>
      <c r="SVW216" s="36"/>
      <c r="SVX216" s="36"/>
      <c r="SVY216" s="36"/>
      <c r="SVZ216" s="36"/>
      <c r="SWA216" s="36"/>
      <c r="SWB216" s="36"/>
      <c r="SWC216" s="36"/>
      <c r="SWD216" s="36"/>
      <c r="SWE216" s="36"/>
      <c r="SWF216" s="36"/>
      <c r="SWG216" s="36"/>
      <c r="SWH216" s="36"/>
      <c r="SWI216" s="36"/>
      <c r="SWJ216" s="36"/>
      <c r="SWK216" s="36"/>
      <c r="SWL216" s="36"/>
      <c r="SWM216" s="36"/>
      <c r="SWN216" s="36"/>
      <c r="SWO216" s="36"/>
      <c r="SWP216" s="36"/>
      <c r="SWQ216" s="36"/>
      <c r="SWR216" s="36"/>
      <c r="SWS216" s="36"/>
      <c r="SWT216" s="36"/>
      <c r="SWU216" s="36"/>
      <c r="SWV216" s="36"/>
      <c r="SWW216" s="36"/>
      <c r="SWX216" s="36"/>
      <c r="SWY216" s="36"/>
      <c r="SWZ216" s="36"/>
      <c r="SXA216" s="36"/>
      <c r="SXB216" s="36"/>
      <c r="SXC216" s="36"/>
      <c r="SXD216" s="36"/>
      <c r="SXE216" s="36"/>
      <c r="SXF216" s="36"/>
      <c r="SXG216" s="36"/>
      <c r="SXH216" s="36"/>
      <c r="SXI216" s="36"/>
      <c r="SXJ216" s="36"/>
      <c r="SXK216" s="36"/>
      <c r="SXL216" s="36"/>
      <c r="SXM216" s="36"/>
      <c r="SXN216" s="36"/>
      <c r="SXO216" s="36"/>
      <c r="SXP216" s="36"/>
      <c r="SXQ216" s="36"/>
      <c r="SXR216" s="36"/>
      <c r="SXS216" s="36"/>
      <c r="SXT216" s="36"/>
      <c r="SXU216" s="36"/>
      <c r="SXV216" s="36"/>
      <c r="SXW216" s="36"/>
      <c r="SXX216" s="36"/>
      <c r="SXY216" s="36"/>
      <c r="SXZ216" s="36"/>
      <c r="SYA216" s="36"/>
      <c r="SYB216" s="36"/>
      <c r="SYC216" s="36"/>
      <c r="SYD216" s="36"/>
      <c r="SYE216" s="36"/>
      <c r="SYF216" s="36"/>
      <c r="SYG216" s="36"/>
      <c r="SYH216" s="36"/>
      <c r="SYI216" s="36"/>
      <c r="SYJ216" s="36"/>
      <c r="SYK216" s="36"/>
      <c r="SYL216" s="36"/>
      <c r="SYM216" s="36"/>
      <c r="SYN216" s="36"/>
      <c r="SYO216" s="36"/>
      <c r="SYP216" s="36"/>
      <c r="SYQ216" s="36"/>
      <c r="SYR216" s="36"/>
      <c r="SYS216" s="36"/>
      <c r="SYT216" s="36"/>
      <c r="SYU216" s="36"/>
      <c r="SYV216" s="36"/>
      <c r="SYW216" s="36"/>
      <c r="SYX216" s="36"/>
      <c r="SYY216" s="36"/>
      <c r="SYZ216" s="36"/>
      <c r="SZA216" s="36"/>
      <c r="SZB216" s="36"/>
      <c r="SZC216" s="36"/>
      <c r="SZD216" s="36"/>
      <c r="SZE216" s="36"/>
      <c r="SZF216" s="36"/>
      <c r="SZG216" s="36"/>
      <c r="SZH216" s="36"/>
      <c r="SZI216" s="36"/>
      <c r="SZJ216" s="36"/>
      <c r="SZK216" s="36"/>
      <c r="SZL216" s="36"/>
      <c r="SZM216" s="36"/>
      <c r="SZN216" s="36"/>
      <c r="SZO216" s="36"/>
      <c r="SZP216" s="36"/>
      <c r="SZQ216" s="36"/>
      <c r="SZR216" s="36"/>
      <c r="SZS216" s="36"/>
      <c r="SZT216" s="36"/>
      <c r="SZU216" s="36"/>
      <c r="SZV216" s="36"/>
      <c r="SZW216" s="36"/>
      <c r="SZX216" s="36"/>
      <c r="SZY216" s="36"/>
      <c r="SZZ216" s="36"/>
      <c r="TAA216" s="36"/>
      <c r="TAB216" s="36"/>
      <c r="TAC216" s="36"/>
      <c r="TAD216" s="36"/>
      <c r="TAE216" s="36"/>
      <c r="TAF216" s="36"/>
      <c r="TAG216" s="36"/>
      <c r="TAH216" s="36"/>
      <c r="TAI216" s="36"/>
      <c r="TAJ216" s="36"/>
      <c r="TAK216" s="36"/>
      <c r="TAL216" s="36"/>
      <c r="TAM216" s="36"/>
      <c r="TAN216" s="36"/>
      <c r="TAO216" s="36"/>
      <c r="TAP216" s="36"/>
      <c r="TAQ216" s="36"/>
      <c r="TAR216" s="36"/>
      <c r="TAS216" s="36"/>
      <c r="TAT216" s="36"/>
      <c r="TAU216" s="36"/>
      <c r="TAV216" s="36"/>
      <c r="TAW216" s="36"/>
      <c r="TAX216" s="36"/>
      <c r="TAY216" s="36"/>
      <c r="TAZ216" s="36"/>
      <c r="TBA216" s="36"/>
      <c r="TBB216" s="36"/>
      <c r="TBC216" s="36"/>
      <c r="TBD216" s="36"/>
      <c r="TBE216" s="36"/>
      <c r="TBF216" s="36"/>
      <c r="TBG216" s="36"/>
      <c r="TBH216" s="36"/>
      <c r="TBI216" s="36"/>
      <c r="TBJ216" s="36"/>
      <c r="TBK216" s="36"/>
      <c r="TBL216" s="36"/>
      <c r="TBM216" s="36"/>
      <c r="TBN216" s="36"/>
      <c r="TBO216" s="36"/>
      <c r="TBP216" s="36"/>
      <c r="TBQ216" s="36"/>
      <c r="TBR216" s="36"/>
      <c r="TBS216" s="36"/>
      <c r="TBT216" s="36"/>
      <c r="TBU216" s="36"/>
      <c r="TBV216" s="36"/>
      <c r="TBW216" s="36"/>
      <c r="TBX216" s="36"/>
      <c r="TBY216" s="36"/>
      <c r="TBZ216" s="36"/>
      <c r="TCA216" s="36"/>
      <c r="TCB216" s="36"/>
      <c r="TCC216" s="36"/>
      <c r="TCD216" s="36"/>
      <c r="TCE216" s="36"/>
      <c r="TCF216" s="36"/>
      <c r="TCG216" s="36"/>
      <c r="TCH216" s="36"/>
      <c r="TCI216" s="36"/>
      <c r="TCJ216" s="36"/>
      <c r="TCK216" s="36"/>
      <c r="TCL216" s="36"/>
      <c r="TCM216" s="36"/>
      <c r="TCN216" s="36"/>
      <c r="TCO216" s="36"/>
      <c r="TCP216" s="36"/>
      <c r="TCQ216" s="36"/>
      <c r="TCR216" s="36"/>
      <c r="TCS216" s="36"/>
      <c r="TCT216" s="36"/>
      <c r="TCU216" s="36"/>
      <c r="TCV216" s="36"/>
      <c r="TCW216" s="36"/>
      <c r="TCX216" s="36"/>
      <c r="TCY216" s="36"/>
      <c r="TCZ216" s="36"/>
      <c r="TDA216" s="36"/>
      <c r="TDB216" s="36"/>
      <c r="TDC216" s="36"/>
      <c r="TDD216" s="36"/>
      <c r="TDE216" s="36"/>
      <c r="TDF216" s="36"/>
      <c r="TDG216" s="36"/>
      <c r="TDH216" s="36"/>
      <c r="TDI216" s="36"/>
      <c r="TDJ216" s="36"/>
      <c r="TDK216" s="36"/>
      <c r="TDL216" s="36"/>
      <c r="TDM216" s="36"/>
      <c r="TDN216" s="36"/>
      <c r="TDO216" s="36"/>
      <c r="TDP216" s="36"/>
      <c r="TDQ216" s="36"/>
      <c r="TDR216" s="36"/>
      <c r="TDS216" s="36"/>
      <c r="TDT216" s="36"/>
      <c r="TDU216" s="36"/>
      <c r="TDV216" s="36"/>
      <c r="TDW216" s="36"/>
      <c r="TDX216" s="36"/>
      <c r="TDY216" s="36"/>
      <c r="TDZ216" s="36"/>
      <c r="TEA216" s="36"/>
      <c r="TEB216" s="36"/>
      <c r="TEC216" s="36"/>
      <c r="TED216" s="36"/>
      <c r="TEE216" s="36"/>
      <c r="TEF216" s="36"/>
      <c r="TEG216" s="36"/>
      <c r="TEH216" s="36"/>
      <c r="TEI216" s="36"/>
      <c r="TEJ216" s="36"/>
      <c r="TEK216" s="36"/>
      <c r="TEL216" s="36"/>
      <c r="TEM216" s="36"/>
      <c r="TEN216" s="36"/>
      <c r="TEO216" s="36"/>
      <c r="TEP216" s="36"/>
      <c r="TEQ216" s="36"/>
      <c r="TER216" s="36"/>
      <c r="TES216" s="36"/>
      <c r="TET216" s="36"/>
      <c r="TEU216" s="36"/>
      <c r="TEV216" s="36"/>
      <c r="TEW216" s="36"/>
      <c r="TEX216" s="36"/>
      <c r="TEY216" s="36"/>
      <c r="TEZ216" s="36"/>
      <c r="TFA216" s="36"/>
      <c r="TFB216" s="36"/>
      <c r="TFC216" s="36"/>
      <c r="TFD216" s="36"/>
      <c r="TFE216" s="36"/>
      <c r="TFF216" s="36"/>
      <c r="TFG216" s="36"/>
      <c r="TFH216" s="36"/>
      <c r="TFI216" s="36"/>
      <c r="TFJ216" s="36"/>
      <c r="TFK216" s="36"/>
      <c r="TFL216" s="36"/>
      <c r="TFM216" s="36"/>
      <c r="TFN216" s="36"/>
      <c r="TFO216" s="36"/>
      <c r="TFP216" s="36"/>
      <c r="TFQ216" s="36"/>
      <c r="TFR216" s="36"/>
      <c r="TFS216" s="36"/>
      <c r="TFT216" s="36"/>
      <c r="TFU216" s="36"/>
      <c r="TFV216" s="36"/>
      <c r="TFW216" s="36"/>
      <c r="TFX216" s="36"/>
      <c r="TFY216" s="36"/>
      <c r="TFZ216" s="36"/>
      <c r="TGA216" s="36"/>
      <c r="TGB216" s="36"/>
      <c r="TGC216" s="36"/>
      <c r="TGD216" s="36"/>
      <c r="TGE216" s="36"/>
      <c r="TGF216" s="36"/>
      <c r="TGG216" s="36"/>
      <c r="TGH216" s="36"/>
      <c r="TGI216" s="36"/>
      <c r="TGJ216" s="36"/>
      <c r="TGK216" s="36"/>
      <c r="TGL216" s="36"/>
      <c r="TGM216" s="36"/>
      <c r="TGN216" s="36"/>
      <c r="TGO216" s="36"/>
      <c r="TGP216" s="36"/>
      <c r="TGQ216" s="36"/>
      <c r="TGR216" s="36"/>
      <c r="TGS216" s="36"/>
      <c r="TGT216" s="36"/>
      <c r="TGU216" s="36"/>
      <c r="TGV216" s="36"/>
      <c r="TGW216" s="36"/>
      <c r="TGX216" s="36"/>
      <c r="TGY216" s="36"/>
      <c r="TGZ216" s="36"/>
      <c r="THA216" s="36"/>
      <c r="THB216" s="36"/>
      <c r="THC216" s="36"/>
      <c r="THD216" s="36"/>
      <c r="THE216" s="36"/>
      <c r="THF216" s="36"/>
      <c r="THG216" s="36"/>
      <c r="THH216" s="36"/>
      <c r="THI216" s="36"/>
      <c r="THJ216" s="36"/>
      <c r="THK216" s="36"/>
      <c r="THL216" s="36"/>
      <c r="THM216" s="36"/>
      <c r="THN216" s="36"/>
      <c r="THO216" s="36"/>
      <c r="THP216" s="36"/>
      <c r="THQ216" s="36"/>
      <c r="THR216" s="36"/>
      <c r="THS216" s="36"/>
      <c r="THT216" s="36"/>
      <c r="THU216" s="36"/>
      <c r="THV216" s="36"/>
      <c r="THW216" s="36"/>
      <c r="THX216" s="36"/>
      <c r="THY216" s="36"/>
      <c r="THZ216" s="36"/>
      <c r="TIA216" s="36"/>
      <c r="TIB216" s="36"/>
      <c r="TIC216" s="36"/>
      <c r="TID216" s="36"/>
      <c r="TIE216" s="36"/>
      <c r="TIF216" s="36"/>
      <c r="TIG216" s="36"/>
      <c r="TIH216" s="36"/>
      <c r="TII216" s="36"/>
      <c r="TIJ216" s="36"/>
      <c r="TIK216" s="36"/>
      <c r="TIL216" s="36"/>
      <c r="TIM216" s="36"/>
      <c r="TIN216" s="36"/>
      <c r="TIO216" s="36"/>
      <c r="TIP216" s="36"/>
      <c r="TIQ216" s="36"/>
      <c r="TIR216" s="36"/>
      <c r="TIS216" s="36"/>
      <c r="TIT216" s="36"/>
      <c r="TIU216" s="36"/>
      <c r="TIV216" s="36"/>
      <c r="TIW216" s="36"/>
      <c r="TIX216" s="36"/>
      <c r="TIY216" s="36"/>
      <c r="TIZ216" s="36"/>
      <c r="TJA216" s="36"/>
      <c r="TJB216" s="36"/>
      <c r="TJC216" s="36"/>
      <c r="TJD216" s="36"/>
      <c r="TJE216" s="36"/>
      <c r="TJF216" s="36"/>
      <c r="TJG216" s="36"/>
      <c r="TJH216" s="36"/>
      <c r="TJI216" s="36"/>
      <c r="TJJ216" s="36"/>
      <c r="TJK216" s="36"/>
      <c r="TJL216" s="36"/>
      <c r="TJM216" s="36"/>
      <c r="TJN216" s="36"/>
      <c r="TJO216" s="36"/>
      <c r="TJP216" s="36"/>
      <c r="TJQ216" s="36"/>
      <c r="TJR216" s="36"/>
      <c r="TJS216" s="36"/>
      <c r="TJT216" s="36"/>
      <c r="TJU216" s="36"/>
      <c r="TJV216" s="36"/>
      <c r="TJW216" s="36"/>
      <c r="TJX216" s="36"/>
      <c r="TJY216" s="36"/>
      <c r="TJZ216" s="36"/>
      <c r="TKA216" s="36"/>
      <c r="TKB216" s="36"/>
      <c r="TKC216" s="36"/>
      <c r="TKD216" s="36"/>
      <c r="TKE216" s="36"/>
      <c r="TKF216" s="36"/>
      <c r="TKG216" s="36"/>
      <c r="TKH216" s="36"/>
      <c r="TKI216" s="36"/>
      <c r="TKJ216" s="36"/>
      <c r="TKK216" s="36"/>
      <c r="TKL216" s="36"/>
      <c r="TKM216" s="36"/>
      <c r="TKN216" s="36"/>
      <c r="TKO216" s="36"/>
      <c r="TKP216" s="36"/>
      <c r="TKQ216" s="36"/>
      <c r="TKR216" s="36"/>
      <c r="TKS216" s="36"/>
      <c r="TKT216" s="36"/>
      <c r="TKU216" s="36"/>
      <c r="TKV216" s="36"/>
      <c r="TKW216" s="36"/>
      <c r="TKX216" s="36"/>
      <c r="TKY216" s="36"/>
      <c r="TKZ216" s="36"/>
      <c r="TLA216" s="36"/>
      <c r="TLB216" s="36"/>
      <c r="TLC216" s="36"/>
      <c r="TLD216" s="36"/>
      <c r="TLE216" s="36"/>
      <c r="TLF216" s="36"/>
      <c r="TLG216" s="36"/>
      <c r="TLH216" s="36"/>
      <c r="TLI216" s="36"/>
      <c r="TLJ216" s="36"/>
      <c r="TLK216" s="36"/>
      <c r="TLL216" s="36"/>
      <c r="TLM216" s="36"/>
      <c r="TLN216" s="36"/>
      <c r="TLO216" s="36"/>
      <c r="TLP216" s="36"/>
      <c r="TLQ216" s="36"/>
      <c r="TLR216" s="36"/>
      <c r="TLS216" s="36"/>
      <c r="TLT216" s="36"/>
      <c r="TLU216" s="36"/>
      <c r="TLV216" s="36"/>
      <c r="TLW216" s="36"/>
      <c r="TLX216" s="36"/>
      <c r="TLY216" s="36"/>
      <c r="TLZ216" s="36"/>
      <c r="TMA216" s="36"/>
      <c r="TMB216" s="36"/>
      <c r="TMC216" s="36"/>
      <c r="TMD216" s="36"/>
      <c r="TME216" s="36"/>
      <c r="TMF216" s="36"/>
      <c r="TMG216" s="36"/>
      <c r="TMH216" s="36"/>
      <c r="TMI216" s="36"/>
      <c r="TMJ216" s="36"/>
      <c r="TMK216" s="36"/>
      <c r="TML216" s="36"/>
      <c r="TMM216" s="36"/>
      <c r="TMN216" s="36"/>
      <c r="TMO216" s="36"/>
      <c r="TMP216" s="36"/>
      <c r="TMQ216" s="36"/>
      <c r="TMR216" s="36"/>
      <c r="TMS216" s="36"/>
      <c r="TMT216" s="36"/>
      <c r="TMU216" s="36"/>
      <c r="TMV216" s="36"/>
      <c r="TMW216" s="36"/>
      <c r="TMX216" s="36"/>
      <c r="TMY216" s="36"/>
      <c r="TMZ216" s="36"/>
      <c r="TNA216" s="36"/>
      <c r="TNB216" s="36"/>
      <c r="TNC216" s="36"/>
      <c r="TND216" s="36"/>
      <c r="TNE216" s="36"/>
      <c r="TNF216" s="36"/>
      <c r="TNG216" s="36"/>
      <c r="TNH216" s="36"/>
      <c r="TNI216" s="36"/>
      <c r="TNJ216" s="36"/>
      <c r="TNK216" s="36"/>
      <c r="TNL216" s="36"/>
      <c r="TNM216" s="36"/>
      <c r="TNN216" s="36"/>
      <c r="TNO216" s="36"/>
      <c r="TNP216" s="36"/>
      <c r="TNQ216" s="36"/>
      <c r="TNR216" s="36"/>
      <c r="TNS216" s="36"/>
      <c r="TNT216" s="36"/>
      <c r="TNU216" s="36"/>
      <c r="TNV216" s="36"/>
      <c r="TNW216" s="36"/>
      <c r="TNX216" s="36"/>
      <c r="TNY216" s="36"/>
      <c r="TNZ216" s="36"/>
      <c r="TOA216" s="36"/>
      <c r="TOB216" s="36"/>
      <c r="TOC216" s="36"/>
      <c r="TOD216" s="36"/>
      <c r="TOE216" s="36"/>
      <c r="TOF216" s="36"/>
      <c r="TOG216" s="36"/>
      <c r="TOH216" s="36"/>
      <c r="TOI216" s="36"/>
      <c r="TOJ216" s="36"/>
      <c r="TOK216" s="36"/>
      <c r="TOL216" s="36"/>
      <c r="TOM216" s="36"/>
      <c r="TON216" s="36"/>
      <c r="TOO216" s="36"/>
      <c r="TOP216" s="36"/>
      <c r="TOQ216" s="36"/>
      <c r="TOR216" s="36"/>
      <c r="TOS216" s="36"/>
      <c r="TOT216" s="36"/>
      <c r="TOU216" s="36"/>
      <c r="TOV216" s="36"/>
      <c r="TOW216" s="36"/>
      <c r="TOX216" s="36"/>
      <c r="TOY216" s="36"/>
      <c r="TOZ216" s="36"/>
      <c r="TPA216" s="36"/>
      <c r="TPB216" s="36"/>
      <c r="TPC216" s="36"/>
      <c r="TPD216" s="36"/>
      <c r="TPE216" s="36"/>
      <c r="TPF216" s="36"/>
      <c r="TPG216" s="36"/>
      <c r="TPH216" s="36"/>
      <c r="TPI216" s="36"/>
      <c r="TPJ216" s="36"/>
      <c r="TPK216" s="36"/>
      <c r="TPL216" s="36"/>
      <c r="TPM216" s="36"/>
      <c r="TPN216" s="36"/>
      <c r="TPO216" s="36"/>
      <c r="TPP216" s="36"/>
      <c r="TPQ216" s="36"/>
      <c r="TPR216" s="36"/>
      <c r="TPS216" s="36"/>
      <c r="TPT216" s="36"/>
      <c r="TPU216" s="36"/>
      <c r="TPV216" s="36"/>
      <c r="TPW216" s="36"/>
      <c r="TPX216" s="36"/>
      <c r="TPY216" s="36"/>
      <c r="TPZ216" s="36"/>
      <c r="TQA216" s="36"/>
      <c r="TQB216" s="36"/>
      <c r="TQC216" s="36"/>
      <c r="TQD216" s="36"/>
      <c r="TQE216" s="36"/>
      <c r="TQF216" s="36"/>
      <c r="TQG216" s="36"/>
      <c r="TQH216" s="36"/>
      <c r="TQI216" s="36"/>
      <c r="TQJ216" s="36"/>
      <c r="TQK216" s="36"/>
      <c r="TQL216" s="36"/>
      <c r="TQM216" s="36"/>
      <c r="TQN216" s="36"/>
      <c r="TQO216" s="36"/>
      <c r="TQP216" s="36"/>
      <c r="TQQ216" s="36"/>
      <c r="TQR216" s="36"/>
      <c r="TQS216" s="36"/>
      <c r="TQT216" s="36"/>
      <c r="TQU216" s="36"/>
      <c r="TQV216" s="36"/>
      <c r="TQW216" s="36"/>
      <c r="TQX216" s="36"/>
      <c r="TQY216" s="36"/>
      <c r="TQZ216" s="36"/>
      <c r="TRA216" s="36"/>
      <c r="TRB216" s="36"/>
      <c r="TRC216" s="36"/>
      <c r="TRD216" s="36"/>
      <c r="TRE216" s="36"/>
      <c r="TRF216" s="36"/>
      <c r="TRG216" s="36"/>
      <c r="TRH216" s="36"/>
      <c r="TRI216" s="36"/>
      <c r="TRJ216" s="36"/>
      <c r="TRK216" s="36"/>
      <c r="TRL216" s="36"/>
      <c r="TRM216" s="36"/>
      <c r="TRN216" s="36"/>
      <c r="TRO216" s="36"/>
      <c r="TRP216" s="36"/>
      <c r="TRQ216" s="36"/>
      <c r="TRR216" s="36"/>
      <c r="TRS216" s="36"/>
      <c r="TRT216" s="36"/>
      <c r="TRU216" s="36"/>
      <c r="TRV216" s="36"/>
      <c r="TRW216" s="36"/>
      <c r="TRX216" s="36"/>
      <c r="TRY216" s="36"/>
      <c r="TRZ216" s="36"/>
      <c r="TSA216" s="36"/>
      <c r="TSB216" s="36"/>
      <c r="TSC216" s="36"/>
      <c r="TSD216" s="36"/>
      <c r="TSE216" s="36"/>
      <c r="TSF216" s="36"/>
      <c r="TSG216" s="36"/>
      <c r="TSH216" s="36"/>
      <c r="TSI216" s="36"/>
      <c r="TSJ216" s="36"/>
      <c r="TSK216" s="36"/>
      <c r="TSL216" s="36"/>
      <c r="TSM216" s="36"/>
      <c r="TSN216" s="36"/>
      <c r="TSO216" s="36"/>
      <c r="TSP216" s="36"/>
      <c r="TSQ216" s="36"/>
      <c r="TSR216" s="36"/>
      <c r="TSS216" s="36"/>
      <c r="TST216" s="36"/>
      <c r="TSU216" s="36"/>
      <c r="TSV216" s="36"/>
      <c r="TSW216" s="36"/>
      <c r="TSX216" s="36"/>
      <c r="TSY216" s="36"/>
      <c r="TSZ216" s="36"/>
      <c r="TTA216" s="36"/>
      <c r="TTB216" s="36"/>
      <c r="TTC216" s="36"/>
      <c r="TTD216" s="36"/>
      <c r="TTE216" s="36"/>
      <c r="TTF216" s="36"/>
      <c r="TTG216" s="36"/>
      <c r="TTH216" s="36"/>
      <c r="TTI216" s="36"/>
      <c r="TTJ216" s="36"/>
      <c r="TTK216" s="36"/>
      <c r="TTL216" s="36"/>
      <c r="TTM216" s="36"/>
      <c r="TTN216" s="36"/>
      <c r="TTO216" s="36"/>
      <c r="TTP216" s="36"/>
      <c r="TTQ216" s="36"/>
      <c r="TTR216" s="36"/>
      <c r="TTS216" s="36"/>
      <c r="TTT216" s="36"/>
      <c r="TTU216" s="36"/>
      <c r="TTV216" s="36"/>
      <c r="TTW216" s="36"/>
      <c r="TTX216" s="36"/>
      <c r="TTY216" s="36"/>
      <c r="TTZ216" s="36"/>
      <c r="TUA216" s="36"/>
      <c r="TUB216" s="36"/>
      <c r="TUC216" s="36"/>
      <c r="TUD216" s="36"/>
      <c r="TUE216" s="36"/>
      <c r="TUF216" s="36"/>
      <c r="TUG216" s="36"/>
      <c r="TUH216" s="36"/>
      <c r="TUI216" s="36"/>
      <c r="TUJ216" s="36"/>
      <c r="TUK216" s="36"/>
      <c r="TUL216" s="36"/>
      <c r="TUM216" s="36"/>
      <c r="TUN216" s="36"/>
      <c r="TUO216" s="36"/>
      <c r="TUP216" s="36"/>
      <c r="TUQ216" s="36"/>
      <c r="TUR216" s="36"/>
      <c r="TUS216" s="36"/>
      <c r="TUT216" s="36"/>
      <c r="TUU216" s="36"/>
      <c r="TUV216" s="36"/>
      <c r="TUW216" s="36"/>
      <c r="TUX216" s="36"/>
      <c r="TUY216" s="36"/>
      <c r="TUZ216" s="36"/>
      <c r="TVA216" s="36"/>
      <c r="TVB216" s="36"/>
      <c r="TVC216" s="36"/>
      <c r="TVD216" s="36"/>
      <c r="TVE216" s="36"/>
      <c r="TVF216" s="36"/>
      <c r="TVG216" s="36"/>
      <c r="TVH216" s="36"/>
      <c r="TVI216" s="36"/>
      <c r="TVJ216" s="36"/>
      <c r="TVK216" s="36"/>
      <c r="TVL216" s="36"/>
      <c r="TVM216" s="36"/>
      <c r="TVN216" s="36"/>
      <c r="TVO216" s="36"/>
      <c r="TVP216" s="36"/>
      <c r="TVQ216" s="36"/>
      <c r="TVR216" s="36"/>
      <c r="TVS216" s="36"/>
      <c r="TVT216" s="36"/>
      <c r="TVU216" s="36"/>
      <c r="TVV216" s="36"/>
      <c r="TVW216" s="36"/>
      <c r="TVX216" s="36"/>
      <c r="TVY216" s="36"/>
      <c r="TVZ216" s="36"/>
      <c r="TWA216" s="36"/>
      <c r="TWB216" s="36"/>
      <c r="TWC216" s="36"/>
      <c r="TWD216" s="36"/>
      <c r="TWE216" s="36"/>
      <c r="TWF216" s="36"/>
      <c r="TWG216" s="36"/>
      <c r="TWH216" s="36"/>
      <c r="TWI216" s="36"/>
      <c r="TWJ216" s="36"/>
      <c r="TWK216" s="36"/>
      <c r="TWL216" s="36"/>
      <c r="TWM216" s="36"/>
      <c r="TWN216" s="36"/>
      <c r="TWO216" s="36"/>
      <c r="TWP216" s="36"/>
      <c r="TWQ216" s="36"/>
      <c r="TWR216" s="36"/>
      <c r="TWS216" s="36"/>
      <c r="TWT216" s="36"/>
      <c r="TWU216" s="36"/>
      <c r="TWV216" s="36"/>
      <c r="TWW216" s="36"/>
      <c r="TWX216" s="36"/>
      <c r="TWY216" s="36"/>
      <c r="TWZ216" s="36"/>
      <c r="TXA216" s="36"/>
      <c r="TXB216" s="36"/>
      <c r="TXC216" s="36"/>
      <c r="TXD216" s="36"/>
      <c r="TXE216" s="36"/>
      <c r="TXF216" s="36"/>
      <c r="TXG216" s="36"/>
      <c r="TXH216" s="36"/>
      <c r="TXI216" s="36"/>
      <c r="TXJ216" s="36"/>
      <c r="TXK216" s="36"/>
      <c r="TXL216" s="36"/>
      <c r="TXM216" s="36"/>
      <c r="TXN216" s="36"/>
      <c r="TXO216" s="36"/>
      <c r="TXP216" s="36"/>
      <c r="TXQ216" s="36"/>
      <c r="TXR216" s="36"/>
      <c r="TXS216" s="36"/>
      <c r="TXT216" s="36"/>
      <c r="TXU216" s="36"/>
      <c r="TXV216" s="36"/>
      <c r="TXW216" s="36"/>
      <c r="TXX216" s="36"/>
      <c r="TXY216" s="36"/>
      <c r="TXZ216" s="36"/>
      <c r="TYA216" s="36"/>
      <c r="TYB216" s="36"/>
      <c r="TYC216" s="36"/>
      <c r="TYD216" s="36"/>
      <c r="TYE216" s="36"/>
      <c r="TYF216" s="36"/>
      <c r="TYG216" s="36"/>
      <c r="TYH216" s="36"/>
      <c r="TYI216" s="36"/>
      <c r="TYJ216" s="36"/>
      <c r="TYK216" s="36"/>
      <c r="TYL216" s="36"/>
      <c r="TYM216" s="36"/>
      <c r="TYN216" s="36"/>
      <c r="TYO216" s="36"/>
      <c r="TYP216" s="36"/>
      <c r="TYQ216" s="36"/>
      <c r="TYR216" s="36"/>
      <c r="TYS216" s="36"/>
      <c r="TYT216" s="36"/>
      <c r="TYU216" s="36"/>
      <c r="TYV216" s="36"/>
      <c r="TYW216" s="36"/>
      <c r="TYX216" s="36"/>
      <c r="TYY216" s="36"/>
      <c r="TYZ216" s="36"/>
      <c r="TZA216" s="36"/>
      <c r="TZB216" s="36"/>
      <c r="TZC216" s="36"/>
      <c r="TZD216" s="36"/>
      <c r="TZE216" s="36"/>
      <c r="TZF216" s="36"/>
      <c r="TZG216" s="36"/>
      <c r="TZH216" s="36"/>
      <c r="TZI216" s="36"/>
      <c r="TZJ216" s="36"/>
      <c r="TZK216" s="36"/>
      <c r="TZL216" s="36"/>
      <c r="TZM216" s="36"/>
      <c r="TZN216" s="36"/>
      <c r="TZO216" s="36"/>
      <c r="TZP216" s="36"/>
      <c r="TZQ216" s="36"/>
      <c r="TZR216" s="36"/>
      <c r="TZS216" s="36"/>
      <c r="TZT216" s="36"/>
      <c r="TZU216" s="36"/>
      <c r="TZV216" s="36"/>
      <c r="TZW216" s="36"/>
      <c r="TZX216" s="36"/>
      <c r="TZY216" s="36"/>
      <c r="TZZ216" s="36"/>
      <c r="UAA216" s="36"/>
      <c r="UAB216" s="36"/>
      <c r="UAC216" s="36"/>
      <c r="UAD216" s="36"/>
      <c r="UAE216" s="36"/>
      <c r="UAF216" s="36"/>
      <c r="UAG216" s="36"/>
      <c r="UAH216" s="36"/>
      <c r="UAI216" s="36"/>
      <c r="UAJ216" s="36"/>
      <c r="UAK216" s="36"/>
      <c r="UAL216" s="36"/>
      <c r="UAM216" s="36"/>
      <c r="UAN216" s="36"/>
      <c r="UAO216" s="36"/>
      <c r="UAP216" s="36"/>
      <c r="UAQ216" s="36"/>
      <c r="UAR216" s="36"/>
      <c r="UAS216" s="36"/>
      <c r="UAT216" s="36"/>
      <c r="UAU216" s="36"/>
      <c r="UAV216" s="36"/>
      <c r="UAW216" s="36"/>
      <c r="UAX216" s="36"/>
      <c r="UAY216" s="36"/>
      <c r="UAZ216" s="36"/>
      <c r="UBA216" s="36"/>
      <c r="UBB216" s="36"/>
      <c r="UBC216" s="36"/>
      <c r="UBD216" s="36"/>
      <c r="UBE216" s="36"/>
      <c r="UBF216" s="36"/>
      <c r="UBG216" s="36"/>
      <c r="UBH216" s="36"/>
      <c r="UBI216" s="36"/>
      <c r="UBJ216" s="36"/>
      <c r="UBK216" s="36"/>
      <c r="UBL216" s="36"/>
      <c r="UBM216" s="36"/>
      <c r="UBN216" s="36"/>
      <c r="UBO216" s="36"/>
      <c r="UBP216" s="36"/>
      <c r="UBQ216" s="36"/>
      <c r="UBR216" s="36"/>
      <c r="UBS216" s="36"/>
      <c r="UBT216" s="36"/>
      <c r="UBU216" s="36"/>
      <c r="UBV216" s="36"/>
      <c r="UBW216" s="36"/>
      <c r="UBX216" s="36"/>
      <c r="UBY216" s="36"/>
      <c r="UBZ216" s="36"/>
      <c r="UCA216" s="36"/>
      <c r="UCB216" s="36"/>
      <c r="UCC216" s="36"/>
      <c r="UCD216" s="36"/>
      <c r="UCE216" s="36"/>
      <c r="UCF216" s="36"/>
      <c r="UCG216" s="36"/>
      <c r="UCH216" s="36"/>
      <c r="UCI216" s="36"/>
      <c r="UCJ216" s="36"/>
      <c r="UCK216" s="36"/>
      <c r="UCL216" s="36"/>
      <c r="UCM216" s="36"/>
      <c r="UCN216" s="36"/>
      <c r="UCO216" s="36"/>
      <c r="UCP216" s="36"/>
      <c r="UCQ216" s="36"/>
      <c r="UCR216" s="36"/>
      <c r="UCS216" s="36"/>
      <c r="UCT216" s="36"/>
      <c r="UCU216" s="36"/>
      <c r="UCV216" s="36"/>
      <c r="UCW216" s="36"/>
      <c r="UCX216" s="36"/>
      <c r="UCY216" s="36"/>
      <c r="UCZ216" s="36"/>
      <c r="UDA216" s="36"/>
      <c r="UDB216" s="36"/>
      <c r="UDC216" s="36"/>
      <c r="UDD216" s="36"/>
      <c r="UDE216" s="36"/>
      <c r="UDF216" s="36"/>
      <c r="UDG216" s="36"/>
      <c r="UDH216" s="36"/>
      <c r="UDI216" s="36"/>
      <c r="UDJ216" s="36"/>
      <c r="UDK216" s="36"/>
      <c r="UDL216" s="36"/>
      <c r="UDM216" s="36"/>
      <c r="UDN216" s="36"/>
      <c r="UDO216" s="36"/>
      <c r="UDP216" s="36"/>
      <c r="UDQ216" s="36"/>
      <c r="UDR216" s="36"/>
      <c r="UDS216" s="36"/>
      <c r="UDT216" s="36"/>
      <c r="UDU216" s="36"/>
      <c r="UDV216" s="36"/>
      <c r="UDW216" s="36"/>
      <c r="UDX216" s="36"/>
      <c r="UDY216" s="36"/>
      <c r="UDZ216" s="36"/>
      <c r="UEA216" s="36"/>
      <c r="UEB216" s="36"/>
      <c r="UEC216" s="36"/>
      <c r="UED216" s="36"/>
      <c r="UEE216" s="36"/>
      <c r="UEF216" s="36"/>
      <c r="UEG216" s="36"/>
      <c r="UEH216" s="36"/>
      <c r="UEI216" s="36"/>
      <c r="UEJ216" s="36"/>
      <c r="UEK216" s="36"/>
      <c r="UEL216" s="36"/>
      <c r="UEM216" s="36"/>
      <c r="UEN216" s="36"/>
      <c r="UEO216" s="36"/>
      <c r="UEP216" s="36"/>
      <c r="UEQ216" s="36"/>
      <c r="UER216" s="36"/>
      <c r="UES216" s="36"/>
      <c r="UET216" s="36"/>
      <c r="UEU216" s="36"/>
      <c r="UEV216" s="36"/>
      <c r="UEW216" s="36"/>
      <c r="UEX216" s="36"/>
      <c r="UEY216" s="36"/>
      <c r="UEZ216" s="36"/>
      <c r="UFA216" s="36"/>
      <c r="UFB216" s="36"/>
      <c r="UFC216" s="36"/>
      <c r="UFD216" s="36"/>
      <c r="UFE216" s="36"/>
      <c r="UFF216" s="36"/>
      <c r="UFG216" s="36"/>
      <c r="UFH216" s="36"/>
      <c r="UFI216" s="36"/>
      <c r="UFJ216" s="36"/>
      <c r="UFK216" s="36"/>
      <c r="UFL216" s="36"/>
      <c r="UFM216" s="36"/>
      <c r="UFN216" s="36"/>
      <c r="UFO216" s="36"/>
      <c r="UFP216" s="36"/>
      <c r="UFQ216" s="36"/>
      <c r="UFR216" s="36"/>
      <c r="UFS216" s="36"/>
      <c r="UFT216" s="36"/>
      <c r="UFU216" s="36"/>
      <c r="UFV216" s="36"/>
      <c r="UFW216" s="36"/>
      <c r="UFX216" s="36"/>
      <c r="UFY216" s="36"/>
      <c r="UFZ216" s="36"/>
      <c r="UGA216" s="36"/>
      <c r="UGB216" s="36"/>
      <c r="UGC216" s="36"/>
      <c r="UGD216" s="36"/>
      <c r="UGE216" s="36"/>
      <c r="UGF216" s="36"/>
      <c r="UGG216" s="36"/>
      <c r="UGH216" s="36"/>
      <c r="UGI216" s="36"/>
      <c r="UGJ216" s="36"/>
      <c r="UGK216" s="36"/>
      <c r="UGL216" s="36"/>
      <c r="UGM216" s="36"/>
      <c r="UGN216" s="36"/>
      <c r="UGO216" s="36"/>
      <c r="UGP216" s="36"/>
      <c r="UGQ216" s="36"/>
      <c r="UGR216" s="36"/>
      <c r="UGS216" s="36"/>
      <c r="UGT216" s="36"/>
      <c r="UGU216" s="36"/>
      <c r="UGV216" s="36"/>
      <c r="UGW216" s="36"/>
      <c r="UGX216" s="36"/>
      <c r="UGY216" s="36"/>
      <c r="UGZ216" s="36"/>
      <c r="UHA216" s="36"/>
      <c r="UHB216" s="36"/>
      <c r="UHC216" s="36"/>
      <c r="UHD216" s="36"/>
      <c r="UHE216" s="36"/>
      <c r="UHF216" s="36"/>
      <c r="UHG216" s="36"/>
      <c r="UHH216" s="36"/>
      <c r="UHI216" s="36"/>
      <c r="UHJ216" s="36"/>
      <c r="UHK216" s="36"/>
      <c r="UHL216" s="36"/>
      <c r="UHM216" s="36"/>
      <c r="UHN216" s="36"/>
      <c r="UHO216" s="36"/>
      <c r="UHP216" s="36"/>
      <c r="UHQ216" s="36"/>
      <c r="UHR216" s="36"/>
      <c r="UHS216" s="36"/>
      <c r="UHT216" s="36"/>
      <c r="UHU216" s="36"/>
      <c r="UHV216" s="36"/>
      <c r="UHW216" s="36"/>
      <c r="UHX216" s="36"/>
      <c r="UHY216" s="36"/>
      <c r="UHZ216" s="36"/>
      <c r="UIA216" s="36"/>
      <c r="UIB216" s="36"/>
      <c r="UIC216" s="36"/>
      <c r="UID216" s="36"/>
      <c r="UIE216" s="36"/>
      <c r="UIF216" s="36"/>
      <c r="UIG216" s="36"/>
      <c r="UIH216" s="36"/>
      <c r="UII216" s="36"/>
      <c r="UIJ216" s="36"/>
      <c r="UIK216" s="36"/>
      <c r="UIL216" s="36"/>
      <c r="UIM216" s="36"/>
      <c r="UIN216" s="36"/>
      <c r="UIO216" s="36"/>
      <c r="UIP216" s="36"/>
      <c r="UIQ216" s="36"/>
      <c r="UIR216" s="36"/>
      <c r="UIS216" s="36"/>
      <c r="UIT216" s="36"/>
      <c r="UIU216" s="36"/>
      <c r="UIV216" s="36"/>
      <c r="UIW216" s="36"/>
      <c r="UIX216" s="36"/>
      <c r="UIY216" s="36"/>
      <c r="UIZ216" s="36"/>
      <c r="UJA216" s="36"/>
      <c r="UJB216" s="36"/>
      <c r="UJC216" s="36"/>
      <c r="UJD216" s="36"/>
      <c r="UJE216" s="36"/>
      <c r="UJF216" s="36"/>
      <c r="UJG216" s="36"/>
      <c r="UJH216" s="36"/>
      <c r="UJI216" s="36"/>
      <c r="UJJ216" s="36"/>
      <c r="UJK216" s="36"/>
      <c r="UJL216" s="36"/>
      <c r="UJM216" s="36"/>
      <c r="UJN216" s="36"/>
      <c r="UJO216" s="36"/>
      <c r="UJP216" s="36"/>
      <c r="UJQ216" s="36"/>
      <c r="UJR216" s="36"/>
      <c r="UJS216" s="36"/>
      <c r="UJT216" s="36"/>
      <c r="UJU216" s="36"/>
      <c r="UJV216" s="36"/>
      <c r="UJW216" s="36"/>
      <c r="UJX216" s="36"/>
      <c r="UJY216" s="36"/>
      <c r="UJZ216" s="36"/>
      <c r="UKA216" s="36"/>
      <c r="UKB216" s="36"/>
      <c r="UKC216" s="36"/>
      <c r="UKD216" s="36"/>
      <c r="UKE216" s="36"/>
      <c r="UKF216" s="36"/>
      <c r="UKG216" s="36"/>
      <c r="UKH216" s="36"/>
      <c r="UKI216" s="36"/>
      <c r="UKJ216" s="36"/>
      <c r="UKK216" s="36"/>
      <c r="UKL216" s="36"/>
      <c r="UKM216" s="36"/>
      <c r="UKN216" s="36"/>
      <c r="UKO216" s="36"/>
      <c r="UKP216" s="36"/>
      <c r="UKQ216" s="36"/>
      <c r="UKR216" s="36"/>
      <c r="UKS216" s="36"/>
      <c r="UKT216" s="36"/>
      <c r="UKU216" s="36"/>
      <c r="UKV216" s="36"/>
      <c r="UKW216" s="36"/>
      <c r="UKX216" s="36"/>
      <c r="UKY216" s="36"/>
      <c r="UKZ216" s="36"/>
      <c r="ULA216" s="36"/>
      <c r="ULB216" s="36"/>
      <c r="ULC216" s="36"/>
      <c r="ULD216" s="36"/>
      <c r="ULE216" s="36"/>
      <c r="ULF216" s="36"/>
      <c r="ULG216" s="36"/>
      <c r="ULH216" s="36"/>
      <c r="ULI216" s="36"/>
      <c r="ULJ216" s="36"/>
      <c r="ULK216" s="36"/>
      <c r="ULL216" s="36"/>
      <c r="ULM216" s="36"/>
      <c r="ULN216" s="36"/>
      <c r="ULO216" s="36"/>
      <c r="ULP216" s="36"/>
      <c r="ULQ216" s="36"/>
      <c r="ULR216" s="36"/>
      <c r="ULS216" s="36"/>
      <c r="ULT216" s="36"/>
      <c r="ULU216" s="36"/>
      <c r="ULV216" s="36"/>
      <c r="ULW216" s="36"/>
      <c r="ULX216" s="36"/>
      <c r="ULY216" s="36"/>
      <c r="ULZ216" s="36"/>
      <c r="UMA216" s="36"/>
      <c r="UMB216" s="36"/>
      <c r="UMC216" s="36"/>
      <c r="UMD216" s="36"/>
      <c r="UME216" s="36"/>
      <c r="UMF216" s="36"/>
      <c r="UMG216" s="36"/>
      <c r="UMH216" s="36"/>
      <c r="UMI216" s="36"/>
      <c r="UMJ216" s="36"/>
      <c r="UMK216" s="36"/>
      <c r="UML216" s="36"/>
      <c r="UMM216" s="36"/>
      <c r="UMN216" s="36"/>
      <c r="UMO216" s="36"/>
      <c r="UMP216" s="36"/>
      <c r="UMQ216" s="36"/>
      <c r="UMR216" s="36"/>
      <c r="UMS216" s="36"/>
      <c r="UMT216" s="36"/>
      <c r="UMU216" s="36"/>
      <c r="UMV216" s="36"/>
      <c r="UMW216" s="36"/>
      <c r="UMX216" s="36"/>
      <c r="UMY216" s="36"/>
      <c r="UMZ216" s="36"/>
      <c r="UNA216" s="36"/>
      <c r="UNB216" s="36"/>
      <c r="UNC216" s="36"/>
      <c r="UND216" s="36"/>
      <c r="UNE216" s="36"/>
      <c r="UNF216" s="36"/>
      <c r="UNG216" s="36"/>
      <c r="UNH216" s="36"/>
      <c r="UNI216" s="36"/>
      <c r="UNJ216" s="36"/>
      <c r="UNK216" s="36"/>
      <c r="UNL216" s="36"/>
      <c r="UNM216" s="36"/>
      <c r="UNN216" s="36"/>
      <c r="UNO216" s="36"/>
      <c r="UNP216" s="36"/>
      <c r="UNQ216" s="36"/>
      <c r="UNR216" s="36"/>
      <c r="UNS216" s="36"/>
      <c r="UNT216" s="36"/>
      <c r="UNU216" s="36"/>
      <c r="UNV216" s="36"/>
      <c r="UNW216" s="36"/>
      <c r="UNX216" s="36"/>
      <c r="UNY216" s="36"/>
      <c r="UNZ216" s="36"/>
      <c r="UOA216" s="36"/>
      <c r="UOB216" s="36"/>
      <c r="UOC216" s="36"/>
      <c r="UOD216" s="36"/>
      <c r="UOE216" s="36"/>
      <c r="UOF216" s="36"/>
      <c r="UOG216" s="36"/>
      <c r="UOH216" s="36"/>
      <c r="UOI216" s="36"/>
      <c r="UOJ216" s="36"/>
      <c r="UOK216" s="36"/>
      <c r="UOL216" s="36"/>
      <c r="UOM216" s="36"/>
      <c r="UON216" s="36"/>
      <c r="UOO216" s="36"/>
      <c r="UOP216" s="36"/>
      <c r="UOQ216" s="36"/>
      <c r="UOR216" s="36"/>
      <c r="UOS216" s="36"/>
      <c r="UOT216" s="36"/>
      <c r="UOU216" s="36"/>
      <c r="UOV216" s="36"/>
      <c r="UOW216" s="36"/>
      <c r="UOX216" s="36"/>
      <c r="UOY216" s="36"/>
      <c r="UOZ216" s="36"/>
      <c r="UPA216" s="36"/>
      <c r="UPB216" s="36"/>
      <c r="UPC216" s="36"/>
      <c r="UPD216" s="36"/>
      <c r="UPE216" s="36"/>
      <c r="UPF216" s="36"/>
      <c r="UPG216" s="36"/>
      <c r="UPH216" s="36"/>
      <c r="UPI216" s="36"/>
      <c r="UPJ216" s="36"/>
      <c r="UPK216" s="36"/>
      <c r="UPL216" s="36"/>
      <c r="UPM216" s="36"/>
      <c r="UPN216" s="36"/>
      <c r="UPO216" s="36"/>
      <c r="UPP216" s="36"/>
      <c r="UPQ216" s="36"/>
      <c r="UPR216" s="36"/>
      <c r="UPS216" s="36"/>
      <c r="UPT216" s="36"/>
      <c r="UPU216" s="36"/>
      <c r="UPV216" s="36"/>
      <c r="UPW216" s="36"/>
      <c r="UPX216" s="36"/>
      <c r="UPY216" s="36"/>
      <c r="UPZ216" s="36"/>
      <c r="UQA216" s="36"/>
      <c r="UQB216" s="36"/>
      <c r="UQC216" s="36"/>
      <c r="UQD216" s="36"/>
      <c r="UQE216" s="36"/>
      <c r="UQF216" s="36"/>
      <c r="UQG216" s="36"/>
      <c r="UQH216" s="36"/>
      <c r="UQI216" s="36"/>
      <c r="UQJ216" s="36"/>
      <c r="UQK216" s="36"/>
      <c r="UQL216" s="36"/>
      <c r="UQM216" s="36"/>
      <c r="UQN216" s="36"/>
      <c r="UQO216" s="36"/>
      <c r="UQP216" s="36"/>
      <c r="UQQ216" s="36"/>
      <c r="UQR216" s="36"/>
      <c r="UQS216" s="36"/>
      <c r="UQT216" s="36"/>
      <c r="UQU216" s="36"/>
      <c r="UQV216" s="36"/>
      <c r="UQW216" s="36"/>
      <c r="UQX216" s="36"/>
      <c r="UQY216" s="36"/>
      <c r="UQZ216" s="36"/>
      <c r="URA216" s="36"/>
      <c r="URB216" s="36"/>
      <c r="URC216" s="36"/>
      <c r="URD216" s="36"/>
      <c r="URE216" s="36"/>
      <c r="URF216" s="36"/>
      <c r="URG216" s="36"/>
      <c r="URH216" s="36"/>
      <c r="URI216" s="36"/>
      <c r="URJ216" s="36"/>
      <c r="URK216" s="36"/>
      <c r="URL216" s="36"/>
      <c r="URM216" s="36"/>
      <c r="URN216" s="36"/>
      <c r="URO216" s="36"/>
      <c r="URP216" s="36"/>
      <c r="URQ216" s="36"/>
      <c r="URR216" s="36"/>
      <c r="URS216" s="36"/>
      <c r="URT216" s="36"/>
      <c r="URU216" s="36"/>
      <c r="URV216" s="36"/>
      <c r="URW216" s="36"/>
      <c r="URX216" s="36"/>
      <c r="URY216" s="36"/>
      <c r="URZ216" s="36"/>
      <c r="USA216" s="36"/>
      <c r="USB216" s="36"/>
      <c r="USC216" s="36"/>
      <c r="USD216" s="36"/>
      <c r="USE216" s="36"/>
      <c r="USF216" s="36"/>
      <c r="USG216" s="36"/>
      <c r="USH216" s="36"/>
      <c r="USI216" s="36"/>
      <c r="USJ216" s="36"/>
      <c r="USK216" s="36"/>
      <c r="USL216" s="36"/>
      <c r="USM216" s="36"/>
      <c r="USN216" s="36"/>
      <c r="USO216" s="36"/>
      <c r="USP216" s="36"/>
      <c r="USQ216" s="36"/>
      <c r="USR216" s="36"/>
      <c r="USS216" s="36"/>
      <c r="UST216" s="36"/>
      <c r="USU216" s="36"/>
      <c r="USV216" s="36"/>
      <c r="USW216" s="36"/>
      <c r="USX216" s="36"/>
      <c r="USY216" s="36"/>
      <c r="USZ216" s="36"/>
      <c r="UTA216" s="36"/>
      <c r="UTB216" s="36"/>
      <c r="UTC216" s="36"/>
      <c r="UTD216" s="36"/>
      <c r="UTE216" s="36"/>
      <c r="UTF216" s="36"/>
      <c r="UTG216" s="36"/>
      <c r="UTH216" s="36"/>
      <c r="UTI216" s="36"/>
      <c r="UTJ216" s="36"/>
      <c r="UTK216" s="36"/>
      <c r="UTL216" s="36"/>
      <c r="UTM216" s="36"/>
      <c r="UTN216" s="36"/>
      <c r="UTO216" s="36"/>
      <c r="UTP216" s="36"/>
      <c r="UTQ216" s="36"/>
      <c r="UTR216" s="36"/>
      <c r="UTS216" s="36"/>
      <c r="UTT216" s="36"/>
      <c r="UTU216" s="36"/>
      <c r="UTV216" s="36"/>
      <c r="UTW216" s="36"/>
      <c r="UTX216" s="36"/>
      <c r="UTY216" s="36"/>
      <c r="UTZ216" s="36"/>
      <c r="UUA216" s="36"/>
      <c r="UUB216" s="36"/>
      <c r="UUC216" s="36"/>
      <c r="UUD216" s="36"/>
      <c r="UUE216" s="36"/>
      <c r="UUF216" s="36"/>
      <c r="UUG216" s="36"/>
      <c r="UUH216" s="36"/>
      <c r="UUI216" s="36"/>
      <c r="UUJ216" s="36"/>
      <c r="UUK216" s="36"/>
      <c r="UUL216" s="36"/>
      <c r="UUM216" s="36"/>
      <c r="UUN216" s="36"/>
      <c r="UUO216" s="36"/>
      <c r="UUP216" s="36"/>
      <c r="UUQ216" s="36"/>
      <c r="UUR216" s="36"/>
      <c r="UUS216" s="36"/>
      <c r="UUT216" s="36"/>
      <c r="UUU216" s="36"/>
      <c r="UUV216" s="36"/>
      <c r="UUW216" s="36"/>
      <c r="UUX216" s="36"/>
      <c r="UUY216" s="36"/>
      <c r="UUZ216" s="36"/>
      <c r="UVA216" s="36"/>
      <c r="UVB216" s="36"/>
      <c r="UVC216" s="36"/>
      <c r="UVD216" s="36"/>
      <c r="UVE216" s="36"/>
      <c r="UVF216" s="36"/>
      <c r="UVG216" s="36"/>
      <c r="UVH216" s="36"/>
      <c r="UVI216" s="36"/>
      <c r="UVJ216" s="36"/>
      <c r="UVK216" s="36"/>
      <c r="UVL216" s="36"/>
      <c r="UVM216" s="36"/>
      <c r="UVN216" s="36"/>
      <c r="UVO216" s="36"/>
      <c r="UVP216" s="36"/>
      <c r="UVQ216" s="36"/>
      <c r="UVR216" s="36"/>
      <c r="UVS216" s="36"/>
      <c r="UVT216" s="36"/>
      <c r="UVU216" s="36"/>
      <c r="UVV216" s="36"/>
      <c r="UVW216" s="36"/>
      <c r="UVX216" s="36"/>
      <c r="UVY216" s="36"/>
      <c r="UVZ216" s="36"/>
      <c r="UWA216" s="36"/>
      <c r="UWB216" s="36"/>
      <c r="UWC216" s="36"/>
      <c r="UWD216" s="36"/>
      <c r="UWE216" s="36"/>
      <c r="UWF216" s="36"/>
      <c r="UWG216" s="36"/>
      <c r="UWH216" s="36"/>
      <c r="UWI216" s="36"/>
      <c r="UWJ216" s="36"/>
      <c r="UWK216" s="36"/>
      <c r="UWL216" s="36"/>
      <c r="UWM216" s="36"/>
      <c r="UWN216" s="36"/>
      <c r="UWO216" s="36"/>
      <c r="UWP216" s="36"/>
      <c r="UWQ216" s="36"/>
      <c r="UWR216" s="36"/>
      <c r="UWS216" s="36"/>
      <c r="UWT216" s="36"/>
      <c r="UWU216" s="36"/>
      <c r="UWV216" s="36"/>
      <c r="UWW216" s="36"/>
      <c r="UWX216" s="36"/>
      <c r="UWY216" s="36"/>
      <c r="UWZ216" s="36"/>
      <c r="UXA216" s="36"/>
      <c r="UXB216" s="36"/>
      <c r="UXC216" s="36"/>
      <c r="UXD216" s="36"/>
      <c r="UXE216" s="36"/>
      <c r="UXF216" s="36"/>
      <c r="UXG216" s="36"/>
      <c r="UXH216" s="36"/>
      <c r="UXI216" s="36"/>
      <c r="UXJ216" s="36"/>
      <c r="UXK216" s="36"/>
      <c r="UXL216" s="36"/>
      <c r="UXM216" s="36"/>
      <c r="UXN216" s="36"/>
      <c r="UXO216" s="36"/>
      <c r="UXP216" s="36"/>
      <c r="UXQ216" s="36"/>
      <c r="UXR216" s="36"/>
      <c r="UXS216" s="36"/>
      <c r="UXT216" s="36"/>
      <c r="UXU216" s="36"/>
      <c r="UXV216" s="36"/>
      <c r="UXW216" s="36"/>
      <c r="UXX216" s="36"/>
      <c r="UXY216" s="36"/>
      <c r="UXZ216" s="36"/>
      <c r="UYA216" s="36"/>
      <c r="UYB216" s="36"/>
      <c r="UYC216" s="36"/>
      <c r="UYD216" s="36"/>
      <c r="UYE216" s="36"/>
      <c r="UYF216" s="36"/>
      <c r="UYG216" s="36"/>
      <c r="UYH216" s="36"/>
      <c r="UYI216" s="36"/>
      <c r="UYJ216" s="36"/>
      <c r="UYK216" s="36"/>
      <c r="UYL216" s="36"/>
      <c r="UYM216" s="36"/>
      <c r="UYN216" s="36"/>
      <c r="UYO216" s="36"/>
      <c r="UYP216" s="36"/>
      <c r="UYQ216" s="36"/>
      <c r="UYR216" s="36"/>
      <c r="UYS216" s="36"/>
      <c r="UYT216" s="36"/>
      <c r="UYU216" s="36"/>
      <c r="UYV216" s="36"/>
      <c r="UYW216" s="36"/>
      <c r="UYX216" s="36"/>
      <c r="UYY216" s="36"/>
      <c r="UYZ216" s="36"/>
      <c r="UZA216" s="36"/>
      <c r="UZB216" s="36"/>
      <c r="UZC216" s="36"/>
      <c r="UZD216" s="36"/>
      <c r="UZE216" s="36"/>
      <c r="UZF216" s="36"/>
      <c r="UZG216" s="36"/>
      <c r="UZH216" s="36"/>
      <c r="UZI216" s="36"/>
      <c r="UZJ216" s="36"/>
      <c r="UZK216" s="36"/>
      <c r="UZL216" s="36"/>
      <c r="UZM216" s="36"/>
      <c r="UZN216" s="36"/>
      <c r="UZO216" s="36"/>
      <c r="UZP216" s="36"/>
      <c r="UZQ216" s="36"/>
      <c r="UZR216" s="36"/>
      <c r="UZS216" s="36"/>
      <c r="UZT216" s="36"/>
      <c r="UZU216" s="36"/>
      <c r="UZV216" s="36"/>
      <c r="UZW216" s="36"/>
      <c r="UZX216" s="36"/>
      <c r="UZY216" s="36"/>
      <c r="UZZ216" s="36"/>
      <c r="VAA216" s="36"/>
      <c r="VAB216" s="36"/>
      <c r="VAC216" s="36"/>
      <c r="VAD216" s="36"/>
      <c r="VAE216" s="36"/>
      <c r="VAF216" s="36"/>
      <c r="VAG216" s="36"/>
      <c r="VAH216" s="36"/>
      <c r="VAI216" s="36"/>
      <c r="VAJ216" s="36"/>
      <c r="VAK216" s="36"/>
      <c r="VAL216" s="36"/>
      <c r="VAM216" s="36"/>
      <c r="VAN216" s="36"/>
      <c r="VAO216" s="36"/>
      <c r="VAP216" s="36"/>
      <c r="VAQ216" s="36"/>
      <c r="VAR216" s="36"/>
      <c r="VAS216" s="36"/>
      <c r="VAT216" s="36"/>
      <c r="VAU216" s="36"/>
      <c r="VAV216" s="36"/>
      <c r="VAW216" s="36"/>
      <c r="VAX216" s="36"/>
      <c r="VAY216" s="36"/>
      <c r="VAZ216" s="36"/>
      <c r="VBA216" s="36"/>
      <c r="VBB216" s="36"/>
      <c r="VBC216" s="36"/>
      <c r="VBD216" s="36"/>
      <c r="VBE216" s="36"/>
      <c r="VBF216" s="36"/>
      <c r="VBG216" s="36"/>
      <c r="VBH216" s="36"/>
      <c r="VBI216" s="36"/>
      <c r="VBJ216" s="36"/>
      <c r="VBK216" s="36"/>
      <c r="VBL216" s="36"/>
      <c r="VBM216" s="36"/>
      <c r="VBN216" s="36"/>
      <c r="VBO216" s="36"/>
      <c r="VBP216" s="36"/>
      <c r="VBQ216" s="36"/>
      <c r="VBR216" s="36"/>
      <c r="VBS216" s="36"/>
      <c r="VBT216" s="36"/>
      <c r="VBU216" s="36"/>
      <c r="VBV216" s="36"/>
      <c r="VBW216" s="36"/>
      <c r="VBX216" s="36"/>
      <c r="VBY216" s="36"/>
      <c r="VBZ216" s="36"/>
      <c r="VCA216" s="36"/>
      <c r="VCB216" s="36"/>
      <c r="VCC216" s="36"/>
      <c r="VCD216" s="36"/>
      <c r="VCE216" s="36"/>
      <c r="VCF216" s="36"/>
      <c r="VCG216" s="36"/>
      <c r="VCH216" s="36"/>
      <c r="VCI216" s="36"/>
      <c r="VCJ216" s="36"/>
      <c r="VCK216" s="36"/>
      <c r="VCL216" s="36"/>
      <c r="VCM216" s="36"/>
      <c r="VCN216" s="36"/>
      <c r="VCO216" s="36"/>
      <c r="VCP216" s="36"/>
      <c r="VCQ216" s="36"/>
      <c r="VCR216" s="36"/>
      <c r="VCS216" s="36"/>
      <c r="VCT216" s="36"/>
      <c r="VCU216" s="36"/>
      <c r="VCV216" s="36"/>
      <c r="VCW216" s="36"/>
      <c r="VCX216" s="36"/>
      <c r="VCY216" s="36"/>
      <c r="VCZ216" s="36"/>
      <c r="VDA216" s="36"/>
      <c r="VDB216" s="36"/>
      <c r="VDC216" s="36"/>
      <c r="VDD216" s="36"/>
      <c r="VDE216" s="36"/>
      <c r="VDF216" s="36"/>
      <c r="VDG216" s="36"/>
      <c r="VDH216" s="36"/>
      <c r="VDI216" s="36"/>
      <c r="VDJ216" s="36"/>
      <c r="VDK216" s="36"/>
      <c r="VDL216" s="36"/>
      <c r="VDM216" s="36"/>
      <c r="VDN216" s="36"/>
      <c r="VDO216" s="36"/>
      <c r="VDP216" s="36"/>
      <c r="VDQ216" s="36"/>
      <c r="VDR216" s="36"/>
      <c r="VDS216" s="36"/>
      <c r="VDT216" s="36"/>
      <c r="VDU216" s="36"/>
      <c r="VDV216" s="36"/>
      <c r="VDW216" s="36"/>
      <c r="VDX216" s="36"/>
      <c r="VDY216" s="36"/>
      <c r="VDZ216" s="36"/>
      <c r="VEA216" s="36"/>
      <c r="VEB216" s="36"/>
      <c r="VEC216" s="36"/>
      <c r="VED216" s="36"/>
      <c r="VEE216" s="36"/>
      <c r="VEF216" s="36"/>
      <c r="VEG216" s="36"/>
      <c r="VEH216" s="36"/>
      <c r="VEI216" s="36"/>
      <c r="VEJ216" s="36"/>
      <c r="VEK216" s="36"/>
      <c r="VEL216" s="36"/>
      <c r="VEM216" s="36"/>
      <c r="VEN216" s="36"/>
      <c r="VEO216" s="36"/>
      <c r="VEP216" s="36"/>
      <c r="VEQ216" s="36"/>
      <c r="VER216" s="36"/>
      <c r="VES216" s="36"/>
      <c r="VET216" s="36"/>
      <c r="VEU216" s="36"/>
      <c r="VEV216" s="36"/>
      <c r="VEW216" s="36"/>
      <c r="VEX216" s="36"/>
      <c r="VEY216" s="36"/>
      <c r="VEZ216" s="36"/>
      <c r="VFA216" s="36"/>
      <c r="VFB216" s="36"/>
      <c r="VFC216" s="36"/>
      <c r="VFD216" s="36"/>
      <c r="VFE216" s="36"/>
      <c r="VFF216" s="36"/>
      <c r="VFG216" s="36"/>
      <c r="VFH216" s="36"/>
      <c r="VFI216" s="36"/>
      <c r="VFJ216" s="36"/>
      <c r="VFK216" s="36"/>
      <c r="VFL216" s="36"/>
      <c r="VFM216" s="36"/>
      <c r="VFN216" s="36"/>
      <c r="VFO216" s="36"/>
      <c r="VFP216" s="36"/>
      <c r="VFQ216" s="36"/>
      <c r="VFR216" s="36"/>
      <c r="VFS216" s="36"/>
      <c r="VFT216" s="36"/>
      <c r="VFU216" s="36"/>
      <c r="VFV216" s="36"/>
      <c r="VFW216" s="36"/>
      <c r="VFX216" s="36"/>
      <c r="VFY216" s="36"/>
      <c r="VFZ216" s="36"/>
      <c r="VGA216" s="36"/>
      <c r="VGB216" s="36"/>
      <c r="VGC216" s="36"/>
      <c r="VGD216" s="36"/>
      <c r="VGE216" s="36"/>
      <c r="VGF216" s="36"/>
      <c r="VGG216" s="36"/>
      <c r="VGH216" s="36"/>
      <c r="VGI216" s="36"/>
      <c r="VGJ216" s="36"/>
      <c r="VGK216" s="36"/>
      <c r="VGL216" s="36"/>
      <c r="VGM216" s="36"/>
      <c r="VGN216" s="36"/>
      <c r="VGO216" s="36"/>
      <c r="VGP216" s="36"/>
      <c r="VGQ216" s="36"/>
      <c r="VGR216" s="36"/>
      <c r="VGS216" s="36"/>
      <c r="VGT216" s="36"/>
      <c r="VGU216" s="36"/>
      <c r="VGV216" s="36"/>
      <c r="VGW216" s="36"/>
      <c r="VGX216" s="36"/>
      <c r="VGY216" s="36"/>
      <c r="VGZ216" s="36"/>
      <c r="VHA216" s="36"/>
      <c r="VHB216" s="36"/>
      <c r="VHC216" s="36"/>
      <c r="VHD216" s="36"/>
      <c r="VHE216" s="36"/>
      <c r="VHF216" s="36"/>
      <c r="VHG216" s="36"/>
      <c r="VHH216" s="36"/>
      <c r="VHI216" s="36"/>
      <c r="VHJ216" s="36"/>
      <c r="VHK216" s="36"/>
      <c r="VHL216" s="36"/>
      <c r="VHM216" s="36"/>
      <c r="VHN216" s="36"/>
      <c r="VHO216" s="36"/>
      <c r="VHP216" s="36"/>
      <c r="VHQ216" s="36"/>
      <c r="VHR216" s="36"/>
      <c r="VHS216" s="36"/>
      <c r="VHT216" s="36"/>
      <c r="VHU216" s="36"/>
      <c r="VHV216" s="36"/>
      <c r="VHW216" s="36"/>
      <c r="VHX216" s="36"/>
      <c r="VHY216" s="36"/>
      <c r="VHZ216" s="36"/>
      <c r="VIA216" s="36"/>
      <c r="VIB216" s="36"/>
      <c r="VIC216" s="36"/>
      <c r="VID216" s="36"/>
      <c r="VIE216" s="36"/>
      <c r="VIF216" s="36"/>
      <c r="VIG216" s="36"/>
      <c r="VIH216" s="36"/>
      <c r="VII216" s="36"/>
      <c r="VIJ216" s="36"/>
      <c r="VIK216" s="36"/>
      <c r="VIL216" s="36"/>
      <c r="VIM216" s="36"/>
      <c r="VIN216" s="36"/>
      <c r="VIO216" s="36"/>
      <c r="VIP216" s="36"/>
      <c r="VIQ216" s="36"/>
      <c r="VIR216" s="36"/>
      <c r="VIS216" s="36"/>
      <c r="VIT216" s="36"/>
      <c r="VIU216" s="36"/>
      <c r="VIV216" s="36"/>
      <c r="VIW216" s="36"/>
      <c r="VIX216" s="36"/>
      <c r="VIY216" s="36"/>
      <c r="VIZ216" s="36"/>
      <c r="VJA216" s="36"/>
      <c r="VJB216" s="36"/>
      <c r="VJC216" s="36"/>
      <c r="VJD216" s="36"/>
      <c r="VJE216" s="36"/>
      <c r="VJF216" s="36"/>
      <c r="VJG216" s="36"/>
      <c r="VJH216" s="36"/>
      <c r="VJI216" s="36"/>
      <c r="VJJ216" s="36"/>
      <c r="VJK216" s="36"/>
      <c r="VJL216" s="36"/>
      <c r="VJM216" s="36"/>
      <c r="VJN216" s="36"/>
      <c r="VJO216" s="36"/>
      <c r="VJP216" s="36"/>
      <c r="VJQ216" s="36"/>
      <c r="VJR216" s="36"/>
      <c r="VJS216" s="36"/>
      <c r="VJT216" s="36"/>
      <c r="VJU216" s="36"/>
      <c r="VJV216" s="36"/>
      <c r="VJW216" s="36"/>
      <c r="VJX216" s="36"/>
      <c r="VJY216" s="36"/>
      <c r="VJZ216" s="36"/>
      <c r="VKA216" s="36"/>
      <c r="VKB216" s="36"/>
      <c r="VKC216" s="36"/>
      <c r="VKD216" s="36"/>
      <c r="VKE216" s="36"/>
      <c r="VKF216" s="36"/>
      <c r="VKG216" s="36"/>
      <c r="VKH216" s="36"/>
      <c r="VKI216" s="36"/>
      <c r="VKJ216" s="36"/>
      <c r="VKK216" s="36"/>
      <c r="VKL216" s="36"/>
      <c r="VKM216" s="36"/>
      <c r="VKN216" s="36"/>
      <c r="VKO216" s="36"/>
      <c r="VKP216" s="36"/>
      <c r="VKQ216" s="36"/>
      <c r="VKR216" s="36"/>
      <c r="VKS216" s="36"/>
      <c r="VKT216" s="36"/>
      <c r="VKU216" s="36"/>
      <c r="VKV216" s="36"/>
      <c r="VKW216" s="36"/>
      <c r="VKX216" s="36"/>
      <c r="VKY216" s="36"/>
      <c r="VKZ216" s="36"/>
      <c r="VLA216" s="36"/>
      <c r="VLB216" s="36"/>
      <c r="VLC216" s="36"/>
      <c r="VLD216" s="36"/>
      <c r="VLE216" s="36"/>
      <c r="VLF216" s="36"/>
      <c r="VLG216" s="36"/>
      <c r="VLH216" s="36"/>
      <c r="VLI216" s="36"/>
      <c r="VLJ216" s="36"/>
      <c r="VLK216" s="36"/>
      <c r="VLL216" s="36"/>
      <c r="VLM216" s="36"/>
      <c r="VLN216" s="36"/>
      <c r="VLO216" s="36"/>
      <c r="VLP216" s="36"/>
      <c r="VLQ216" s="36"/>
      <c r="VLR216" s="36"/>
      <c r="VLS216" s="36"/>
      <c r="VLT216" s="36"/>
      <c r="VLU216" s="36"/>
      <c r="VLV216" s="36"/>
      <c r="VLW216" s="36"/>
      <c r="VLX216" s="36"/>
      <c r="VLY216" s="36"/>
      <c r="VLZ216" s="36"/>
      <c r="VMA216" s="36"/>
      <c r="VMB216" s="36"/>
      <c r="VMC216" s="36"/>
      <c r="VMD216" s="36"/>
      <c r="VME216" s="36"/>
      <c r="VMF216" s="36"/>
      <c r="VMG216" s="36"/>
      <c r="VMH216" s="36"/>
      <c r="VMI216" s="36"/>
      <c r="VMJ216" s="36"/>
      <c r="VMK216" s="36"/>
      <c r="VML216" s="36"/>
      <c r="VMM216" s="36"/>
      <c r="VMN216" s="36"/>
      <c r="VMO216" s="36"/>
      <c r="VMP216" s="36"/>
      <c r="VMQ216" s="36"/>
      <c r="VMR216" s="36"/>
      <c r="VMS216" s="36"/>
      <c r="VMT216" s="36"/>
      <c r="VMU216" s="36"/>
      <c r="VMV216" s="36"/>
      <c r="VMW216" s="36"/>
      <c r="VMX216" s="36"/>
      <c r="VMY216" s="36"/>
      <c r="VMZ216" s="36"/>
      <c r="VNA216" s="36"/>
      <c r="VNB216" s="36"/>
      <c r="VNC216" s="36"/>
      <c r="VND216" s="36"/>
      <c r="VNE216" s="36"/>
      <c r="VNF216" s="36"/>
      <c r="VNG216" s="36"/>
      <c r="VNH216" s="36"/>
      <c r="VNI216" s="36"/>
      <c r="VNJ216" s="36"/>
      <c r="VNK216" s="36"/>
      <c r="VNL216" s="36"/>
      <c r="VNM216" s="36"/>
      <c r="VNN216" s="36"/>
      <c r="VNO216" s="36"/>
      <c r="VNP216" s="36"/>
      <c r="VNQ216" s="36"/>
      <c r="VNR216" s="36"/>
      <c r="VNS216" s="36"/>
      <c r="VNT216" s="36"/>
      <c r="VNU216" s="36"/>
      <c r="VNV216" s="36"/>
      <c r="VNW216" s="36"/>
      <c r="VNX216" s="36"/>
      <c r="VNY216" s="36"/>
      <c r="VNZ216" s="36"/>
      <c r="VOA216" s="36"/>
      <c r="VOB216" s="36"/>
      <c r="VOC216" s="36"/>
      <c r="VOD216" s="36"/>
      <c r="VOE216" s="36"/>
      <c r="VOF216" s="36"/>
      <c r="VOG216" s="36"/>
      <c r="VOH216" s="36"/>
      <c r="VOI216" s="36"/>
      <c r="VOJ216" s="36"/>
      <c r="VOK216" s="36"/>
      <c r="VOL216" s="36"/>
      <c r="VOM216" s="36"/>
      <c r="VON216" s="36"/>
      <c r="VOO216" s="36"/>
      <c r="VOP216" s="36"/>
      <c r="VOQ216" s="36"/>
      <c r="VOR216" s="36"/>
      <c r="VOS216" s="36"/>
      <c r="VOT216" s="36"/>
      <c r="VOU216" s="36"/>
      <c r="VOV216" s="36"/>
      <c r="VOW216" s="36"/>
      <c r="VOX216" s="36"/>
      <c r="VOY216" s="36"/>
      <c r="VOZ216" s="36"/>
      <c r="VPA216" s="36"/>
      <c r="VPB216" s="36"/>
      <c r="VPC216" s="36"/>
      <c r="VPD216" s="36"/>
      <c r="VPE216" s="36"/>
      <c r="VPF216" s="36"/>
      <c r="VPG216" s="36"/>
      <c r="VPH216" s="36"/>
      <c r="VPI216" s="36"/>
      <c r="VPJ216" s="36"/>
      <c r="VPK216" s="36"/>
      <c r="VPL216" s="36"/>
      <c r="VPM216" s="36"/>
      <c r="VPN216" s="36"/>
      <c r="VPO216" s="36"/>
      <c r="VPP216" s="36"/>
      <c r="VPQ216" s="36"/>
      <c r="VPR216" s="36"/>
      <c r="VPS216" s="36"/>
      <c r="VPT216" s="36"/>
      <c r="VPU216" s="36"/>
      <c r="VPV216" s="36"/>
      <c r="VPW216" s="36"/>
      <c r="VPX216" s="36"/>
      <c r="VPY216" s="36"/>
      <c r="VPZ216" s="36"/>
      <c r="VQA216" s="36"/>
      <c r="VQB216" s="36"/>
      <c r="VQC216" s="36"/>
      <c r="VQD216" s="36"/>
      <c r="VQE216" s="36"/>
      <c r="VQF216" s="36"/>
      <c r="VQG216" s="36"/>
      <c r="VQH216" s="36"/>
      <c r="VQI216" s="36"/>
      <c r="VQJ216" s="36"/>
      <c r="VQK216" s="36"/>
      <c r="VQL216" s="36"/>
      <c r="VQM216" s="36"/>
      <c r="VQN216" s="36"/>
      <c r="VQO216" s="36"/>
      <c r="VQP216" s="36"/>
      <c r="VQQ216" s="36"/>
      <c r="VQR216" s="36"/>
      <c r="VQS216" s="36"/>
      <c r="VQT216" s="36"/>
      <c r="VQU216" s="36"/>
      <c r="VQV216" s="36"/>
      <c r="VQW216" s="36"/>
      <c r="VQX216" s="36"/>
      <c r="VQY216" s="36"/>
      <c r="VQZ216" s="36"/>
      <c r="VRA216" s="36"/>
      <c r="VRB216" s="36"/>
      <c r="VRC216" s="36"/>
      <c r="VRD216" s="36"/>
      <c r="VRE216" s="36"/>
      <c r="VRF216" s="36"/>
      <c r="VRG216" s="36"/>
      <c r="VRH216" s="36"/>
      <c r="VRI216" s="36"/>
      <c r="VRJ216" s="36"/>
      <c r="VRK216" s="36"/>
      <c r="VRL216" s="36"/>
      <c r="VRM216" s="36"/>
      <c r="VRN216" s="36"/>
      <c r="VRO216" s="36"/>
      <c r="VRP216" s="36"/>
      <c r="VRQ216" s="36"/>
      <c r="VRR216" s="36"/>
      <c r="VRS216" s="36"/>
      <c r="VRT216" s="36"/>
      <c r="VRU216" s="36"/>
      <c r="VRV216" s="36"/>
      <c r="VRW216" s="36"/>
      <c r="VRX216" s="36"/>
      <c r="VRY216" s="36"/>
      <c r="VRZ216" s="36"/>
      <c r="VSA216" s="36"/>
      <c r="VSB216" s="36"/>
      <c r="VSC216" s="36"/>
      <c r="VSD216" s="36"/>
      <c r="VSE216" s="36"/>
      <c r="VSF216" s="36"/>
      <c r="VSG216" s="36"/>
      <c r="VSH216" s="36"/>
      <c r="VSI216" s="36"/>
      <c r="VSJ216" s="36"/>
      <c r="VSK216" s="36"/>
      <c r="VSL216" s="36"/>
      <c r="VSM216" s="36"/>
      <c r="VSN216" s="36"/>
      <c r="VSO216" s="36"/>
      <c r="VSP216" s="36"/>
      <c r="VSQ216" s="36"/>
      <c r="VSR216" s="36"/>
      <c r="VSS216" s="36"/>
      <c r="VST216" s="36"/>
      <c r="VSU216" s="36"/>
      <c r="VSV216" s="36"/>
      <c r="VSW216" s="36"/>
      <c r="VSX216" s="36"/>
      <c r="VSY216" s="36"/>
      <c r="VSZ216" s="36"/>
      <c r="VTA216" s="36"/>
      <c r="VTB216" s="36"/>
      <c r="VTC216" s="36"/>
      <c r="VTD216" s="36"/>
      <c r="VTE216" s="36"/>
      <c r="VTF216" s="36"/>
      <c r="VTG216" s="36"/>
      <c r="VTH216" s="36"/>
      <c r="VTI216" s="36"/>
      <c r="VTJ216" s="36"/>
      <c r="VTK216" s="36"/>
      <c r="VTL216" s="36"/>
      <c r="VTM216" s="36"/>
      <c r="VTN216" s="36"/>
      <c r="VTO216" s="36"/>
      <c r="VTP216" s="36"/>
      <c r="VTQ216" s="36"/>
      <c r="VTR216" s="36"/>
      <c r="VTS216" s="36"/>
      <c r="VTT216" s="36"/>
      <c r="VTU216" s="36"/>
      <c r="VTV216" s="36"/>
      <c r="VTW216" s="36"/>
      <c r="VTX216" s="36"/>
      <c r="VTY216" s="36"/>
      <c r="VTZ216" s="36"/>
      <c r="VUA216" s="36"/>
      <c r="VUB216" s="36"/>
      <c r="VUC216" s="36"/>
      <c r="VUD216" s="36"/>
      <c r="VUE216" s="36"/>
      <c r="VUF216" s="36"/>
      <c r="VUG216" s="36"/>
      <c r="VUH216" s="36"/>
      <c r="VUI216" s="36"/>
      <c r="VUJ216" s="36"/>
      <c r="VUK216" s="36"/>
      <c r="VUL216" s="36"/>
      <c r="VUM216" s="36"/>
      <c r="VUN216" s="36"/>
      <c r="VUO216" s="36"/>
      <c r="VUP216" s="36"/>
      <c r="VUQ216" s="36"/>
      <c r="VUR216" s="36"/>
      <c r="VUS216" s="36"/>
      <c r="VUT216" s="36"/>
      <c r="VUU216" s="36"/>
      <c r="VUV216" s="36"/>
      <c r="VUW216" s="36"/>
      <c r="VUX216" s="36"/>
      <c r="VUY216" s="36"/>
      <c r="VUZ216" s="36"/>
      <c r="VVA216" s="36"/>
      <c r="VVB216" s="36"/>
      <c r="VVC216" s="36"/>
      <c r="VVD216" s="36"/>
      <c r="VVE216" s="36"/>
      <c r="VVF216" s="36"/>
      <c r="VVG216" s="36"/>
      <c r="VVH216" s="36"/>
      <c r="VVI216" s="36"/>
      <c r="VVJ216" s="36"/>
      <c r="VVK216" s="36"/>
      <c r="VVL216" s="36"/>
      <c r="VVM216" s="36"/>
      <c r="VVN216" s="36"/>
      <c r="VVO216" s="36"/>
      <c r="VVP216" s="36"/>
      <c r="VVQ216" s="36"/>
      <c r="VVR216" s="36"/>
      <c r="VVS216" s="36"/>
      <c r="VVT216" s="36"/>
      <c r="VVU216" s="36"/>
      <c r="VVV216" s="36"/>
      <c r="VVW216" s="36"/>
      <c r="VVX216" s="36"/>
      <c r="VVY216" s="36"/>
      <c r="VVZ216" s="36"/>
      <c r="VWA216" s="36"/>
      <c r="VWB216" s="36"/>
      <c r="VWC216" s="36"/>
      <c r="VWD216" s="36"/>
      <c r="VWE216" s="36"/>
      <c r="VWF216" s="36"/>
      <c r="VWG216" s="36"/>
      <c r="VWH216" s="36"/>
      <c r="VWI216" s="36"/>
      <c r="VWJ216" s="36"/>
      <c r="VWK216" s="36"/>
      <c r="VWL216" s="36"/>
      <c r="VWM216" s="36"/>
      <c r="VWN216" s="36"/>
      <c r="VWO216" s="36"/>
      <c r="VWP216" s="36"/>
      <c r="VWQ216" s="36"/>
      <c r="VWR216" s="36"/>
      <c r="VWS216" s="36"/>
      <c r="VWT216" s="36"/>
      <c r="VWU216" s="36"/>
      <c r="VWV216" s="36"/>
      <c r="VWW216" s="36"/>
      <c r="VWX216" s="36"/>
      <c r="VWY216" s="36"/>
      <c r="VWZ216" s="36"/>
      <c r="VXA216" s="36"/>
      <c r="VXB216" s="36"/>
      <c r="VXC216" s="36"/>
      <c r="VXD216" s="36"/>
      <c r="VXE216" s="36"/>
      <c r="VXF216" s="36"/>
      <c r="VXG216" s="36"/>
      <c r="VXH216" s="36"/>
      <c r="VXI216" s="36"/>
      <c r="VXJ216" s="36"/>
      <c r="VXK216" s="36"/>
      <c r="VXL216" s="36"/>
      <c r="VXM216" s="36"/>
      <c r="VXN216" s="36"/>
      <c r="VXO216" s="36"/>
      <c r="VXP216" s="36"/>
      <c r="VXQ216" s="36"/>
      <c r="VXR216" s="36"/>
      <c r="VXS216" s="36"/>
      <c r="VXT216" s="36"/>
      <c r="VXU216" s="36"/>
      <c r="VXV216" s="36"/>
      <c r="VXW216" s="36"/>
      <c r="VXX216" s="36"/>
      <c r="VXY216" s="36"/>
      <c r="VXZ216" s="36"/>
      <c r="VYA216" s="36"/>
      <c r="VYB216" s="36"/>
      <c r="VYC216" s="36"/>
      <c r="VYD216" s="36"/>
      <c r="VYE216" s="36"/>
      <c r="VYF216" s="36"/>
      <c r="VYG216" s="36"/>
      <c r="VYH216" s="36"/>
      <c r="VYI216" s="36"/>
      <c r="VYJ216" s="36"/>
      <c r="VYK216" s="36"/>
      <c r="VYL216" s="36"/>
      <c r="VYM216" s="36"/>
      <c r="VYN216" s="36"/>
      <c r="VYO216" s="36"/>
      <c r="VYP216" s="36"/>
      <c r="VYQ216" s="36"/>
      <c r="VYR216" s="36"/>
      <c r="VYS216" s="36"/>
      <c r="VYT216" s="36"/>
      <c r="VYU216" s="36"/>
      <c r="VYV216" s="36"/>
      <c r="VYW216" s="36"/>
      <c r="VYX216" s="36"/>
      <c r="VYY216" s="36"/>
      <c r="VYZ216" s="36"/>
      <c r="VZA216" s="36"/>
      <c r="VZB216" s="36"/>
      <c r="VZC216" s="36"/>
      <c r="VZD216" s="36"/>
      <c r="VZE216" s="36"/>
      <c r="VZF216" s="36"/>
      <c r="VZG216" s="36"/>
      <c r="VZH216" s="36"/>
      <c r="VZI216" s="36"/>
      <c r="VZJ216" s="36"/>
      <c r="VZK216" s="36"/>
      <c r="VZL216" s="36"/>
      <c r="VZM216" s="36"/>
      <c r="VZN216" s="36"/>
      <c r="VZO216" s="36"/>
      <c r="VZP216" s="36"/>
      <c r="VZQ216" s="36"/>
      <c r="VZR216" s="36"/>
      <c r="VZS216" s="36"/>
      <c r="VZT216" s="36"/>
      <c r="VZU216" s="36"/>
      <c r="VZV216" s="36"/>
      <c r="VZW216" s="36"/>
      <c r="VZX216" s="36"/>
      <c r="VZY216" s="36"/>
      <c r="VZZ216" s="36"/>
      <c r="WAA216" s="36"/>
      <c r="WAB216" s="36"/>
      <c r="WAC216" s="36"/>
      <c r="WAD216" s="36"/>
      <c r="WAE216" s="36"/>
      <c r="WAF216" s="36"/>
      <c r="WAG216" s="36"/>
      <c r="WAH216" s="36"/>
      <c r="WAI216" s="36"/>
      <c r="WAJ216" s="36"/>
      <c r="WAK216" s="36"/>
      <c r="WAL216" s="36"/>
      <c r="WAM216" s="36"/>
      <c r="WAN216" s="36"/>
      <c r="WAO216" s="36"/>
      <c r="WAP216" s="36"/>
      <c r="WAQ216" s="36"/>
      <c r="WAR216" s="36"/>
      <c r="WAS216" s="36"/>
      <c r="WAT216" s="36"/>
      <c r="WAU216" s="36"/>
      <c r="WAV216" s="36"/>
      <c r="WAW216" s="36"/>
      <c r="WAX216" s="36"/>
      <c r="WAY216" s="36"/>
      <c r="WAZ216" s="36"/>
      <c r="WBA216" s="36"/>
      <c r="WBB216" s="36"/>
      <c r="WBC216" s="36"/>
      <c r="WBD216" s="36"/>
      <c r="WBE216" s="36"/>
      <c r="WBF216" s="36"/>
      <c r="WBG216" s="36"/>
      <c r="WBH216" s="36"/>
      <c r="WBI216" s="36"/>
      <c r="WBJ216" s="36"/>
      <c r="WBK216" s="36"/>
      <c r="WBL216" s="36"/>
      <c r="WBM216" s="36"/>
      <c r="WBN216" s="36"/>
      <c r="WBO216" s="36"/>
      <c r="WBP216" s="36"/>
      <c r="WBQ216" s="36"/>
      <c r="WBR216" s="36"/>
      <c r="WBS216" s="36"/>
      <c r="WBT216" s="36"/>
      <c r="WBU216" s="36"/>
      <c r="WBV216" s="36"/>
      <c r="WBW216" s="36"/>
      <c r="WBX216" s="36"/>
      <c r="WBY216" s="36"/>
      <c r="WBZ216" s="36"/>
      <c r="WCA216" s="36"/>
      <c r="WCB216" s="36"/>
      <c r="WCC216" s="36"/>
      <c r="WCD216" s="36"/>
      <c r="WCE216" s="36"/>
      <c r="WCF216" s="36"/>
      <c r="WCG216" s="36"/>
      <c r="WCH216" s="36"/>
      <c r="WCI216" s="36"/>
      <c r="WCJ216" s="36"/>
      <c r="WCK216" s="36"/>
      <c r="WCL216" s="36"/>
      <c r="WCM216" s="36"/>
      <c r="WCN216" s="36"/>
      <c r="WCO216" s="36"/>
      <c r="WCP216" s="36"/>
      <c r="WCQ216" s="36"/>
      <c r="WCR216" s="36"/>
      <c r="WCS216" s="36"/>
      <c r="WCT216" s="36"/>
      <c r="WCU216" s="36"/>
      <c r="WCV216" s="36"/>
      <c r="WCW216" s="36"/>
      <c r="WCX216" s="36"/>
      <c r="WCY216" s="36"/>
      <c r="WCZ216" s="36"/>
      <c r="WDA216" s="36"/>
      <c r="WDB216" s="36"/>
      <c r="WDC216" s="36"/>
      <c r="WDD216" s="36"/>
      <c r="WDE216" s="36"/>
      <c r="WDF216" s="36"/>
      <c r="WDG216" s="36"/>
      <c r="WDH216" s="36"/>
      <c r="WDI216" s="36"/>
      <c r="WDJ216" s="36"/>
      <c r="WDK216" s="36"/>
      <c r="WDL216" s="36"/>
      <c r="WDM216" s="36"/>
      <c r="WDN216" s="36"/>
      <c r="WDO216" s="36"/>
      <c r="WDP216" s="36"/>
      <c r="WDQ216" s="36"/>
      <c r="WDR216" s="36"/>
      <c r="WDS216" s="36"/>
      <c r="WDT216" s="36"/>
      <c r="WDU216" s="36"/>
      <c r="WDV216" s="36"/>
      <c r="WDW216" s="36"/>
      <c r="WDX216" s="36"/>
      <c r="WDY216" s="36"/>
      <c r="WDZ216" s="36"/>
      <c r="WEA216" s="36"/>
      <c r="WEB216" s="36"/>
      <c r="WEC216" s="36"/>
      <c r="WED216" s="36"/>
      <c r="WEE216" s="36"/>
      <c r="WEF216" s="36"/>
      <c r="WEG216" s="36"/>
      <c r="WEH216" s="36"/>
      <c r="WEI216" s="36"/>
      <c r="WEJ216" s="36"/>
      <c r="WEK216" s="36"/>
      <c r="WEL216" s="36"/>
      <c r="WEM216" s="36"/>
      <c r="WEN216" s="36"/>
      <c r="WEO216" s="36"/>
      <c r="WEP216" s="36"/>
      <c r="WEQ216" s="36"/>
      <c r="WER216" s="36"/>
      <c r="WES216" s="36"/>
      <c r="WET216" s="36"/>
      <c r="WEU216" s="36"/>
      <c r="WEV216" s="36"/>
      <c r="WEW216" s="36"/>
      <c r="WEX216" s="36"/>
      <c r="WEY216" s="36"/>
      <c r="WEZ216" s="36"/>
      <c r="WFA216" s="36"/>
      <c r="WFB216" s="36"/>
      <c r="WFC216" s="36"/>
      <c r="WFD216" s="36"/>
      <c r="WFE216" s="36"/>
      <c r="WFF216" s="36"/>
      <c r="WFG216" s="36"/>
      <c r="WFH216" s="36"/>
      <c r="WFI216" s="36"/>
      <c r="WFJ216" s="36"/>
      <c r="WFK216" s="36"/>
      <c r="WFL216" s="36"/>
      <c r="WFM216" s="36"/>
      <c r="WFN216" s="36"/>
      <c r="WFO216" s="36"/>
      <c r="WFP216" s="36"/>
      <c r="WFQ216" s="36"/>
      <c r="WFR216" s="36"/>
      <c r="WFS216" s="36"/>
      <c r="WFT216" s="36"/>
      <c r="WFU216" s="36"/>
      <c r="WFV216" s="36"/>
      <c r="WFW216" s="36"/>
      <c r="WFX216" s="36"/>
      <c r="WFY216" s="36"/>
      <c r="WFZ216" s="36"/>
      <c r="WGA216" s="36"/>
      <c r="WGB216" s="36"/>
      <c r="WGC216" s="36"/>
      <c r="WGD216" s="36"/>
      <c r="WGE216" s="36"/>
      <c r="WGF216" s="36"/>
      <c r="WGG216" s="36"/>
      <c r="WGH216" s="36"/>
      <c r="WGI216" s="36"/>
      <c r="WGJ216" s="36"/>
      <c r="WGK216" s="36"/>
      <c r="WGL216" s="36"/>
      <c r="WGM216" s="36"/>
      <c r="WGN216" s="36"/>
      <c r="WGO216" s="36"/>
      <c r="WGP216" s="36"/>
      <c r="WGQ216" s="36"/>
      <c r="WGR216" s="36"/>
      <c r="WGS216" s="36"/>
      <c r="WGT216" s="36"/>
      <c r="WGU216" s="36"/>
      <c r="WGV216" s="36"/>
      <c r="WGW216" s="36"/>
      <c r="WGX216" s="36"/>
      <c r="WGY216" s="36"/>
      <c r="WGZ216" s="36"/>
      <c r="WHA216" s="36"/>
      <c r="WHB216" s="36"/>
      <c r="WHC216" s="36"/>
      <c r="WHD216" s="36"/>
      <c r="WHE216" s="36"/>
      <c r="WHF216" s="36"/>
      <c r="WHG216" s="36"/>
      <c r="WHH216" s="36"/>
      <c r="WHI216" s="36"/>
      <c r="WHJ216" s="36"/>
      <c r="WHK216" s="36"/>
      <c r="WHL216" s="36"/>
      <c r="WHM216" s="36"/>
      <c r="WHN216" s="36"/>
      <c r="WHO216" s="36"/>
      <c r="WHP216" s="36"/>
      <c r="WHQ216" s="36"/>
      <c r="WHR216" s="36"/>
      <c r="WHS216" s="36"/>
      <c r="WHT216" s="36"/>
      <c r="WHU216" s="36"/>
      <c r="WHV216" s="36"/>
      <c r="WHW216" s="36"/>
      <c r="WHX216" s="36"/>
      <c r="WHY216" s="36"/>
      <c r="WHZ216" s="36"/>
      <c r="WIA216" s="36"/>
      <c r="WIB216" s="36"/>
      <c r="WIC216" s="36"/>
      <c r="WID216" s="36"/>
      <c r="WIE216" s="36"/>
      <c r="WIF216" s="36"/>
      <c r="WIG216" s="36"/>
      <c r="WIH216" s="36"/>
      <c r="WII216" s="36"/>
      <c r="WIJ216" s="36"/>
      <c r="WIK216" s="36"/>
      <c r="WIL216" s="36"/>
      <c r="WIM216" s="36"/>
      <c r="WIN216" s="36"/>
      <c r="WIO216" s="36"/>
      <c r="WIP216" s="36"/>
      <c r="WIQ216" s="36"/>
      <c r="WIR216" s="36"/>
      <c r="WIS216" s="36"/>
      <c r="WIT216" s="36"/>
      <c r="WIU216" s="36"/>
      <c r="WIV216" s="36"/>
      <c r="WIW216" s="36"/>
      <c r="WIX216" s="36"/>
      <c r="WIY216" s="36"/>
      <c r="WIZ216" s="36"/>
      <c r="WJA216" s="36"/>
      <c r="WJB216" s="36"/>
      <c r="WJC216" s="36"/>
      <c r="WJD216" s="36"/>
      <c r="WJE216" s="36"/>
      <c r="WJF216" s="36"/>
      <c r="WJG216" s="36"/>
      <c r="WJH216" s="36"/>
      <c r="WJI216" s="36"/>
      <c r="WJJ216" s="36"/>
      <c r="WJK216" s="36"/>
      <c r="WJL216" s="36"/>
      <c r="WJM216" s="36"/>
      <c r="WJN216" s="36"/>
      <c r="WJO216" s="36"/>
      <c r="WJP216" s="36"/>
      <c r="WJQ216" s="36"/>
      <c r="WJR216" s="36"/>
      <c r="WJS216" s="36"/>
      <c r="WJT216" s="36"/>
      <c r="WJU216" s="36"/>
      <c r="WJV216" s="36"/>
      <c r="WJW216" s="36"/>
      <c r="WJX216" s="36"/>
      <c r="WJY216" s="36"/>
      <c r="WJZ216" s="36"/>
      <c r="WKA216" s="36"/>
      <c r="WKB216" s="36"/>
      <c r="WKC216" s="36"/>
      <c r="WKD216" s="36"/>
      <c r="WKE216" s="36"/>
      <c r="WKF216" s="36"/>
      <c r="WKG216" s="36"/>
      <c r="WKH216" s="36"/>
      <c r="WKI216" s="36"/>
      <c r="WKJ216" s="36"/>
      <c r="WKK216" s="36"/>
      <c r="WKL216" s="36"/>
      <c r="WKM216" s="36"/>
      <c r="WKN216" s="36"/>
      <c r="WKO216" s="36"/>
      <c r="WKP216" s="36"/>
      <c r="WKQ216" s="36"/>
      <c r="WKR216" s="36"/>
      <c r="WKS216" s="36"/>
      <c r="WKT216" s="36"/>
      <c r="WKU216" s="36"/>
      <c r="WKV216" s="36"/>
      <c r="WKW216" s="36"/>
      <c r="WKX216" s="36"/>
      <c r="WKY216" s="36"/>
      <c r="WKZ216" s="36"/>
      <c r="WLA216" s="36"/>
      <c r="WLB216" s="36"/>
      <c r="WLC216" s="36"/>
      <c r="WLD216" s="36"/>
      <c r="WLE216" s="36"/>
      <c r="WLF216" s="36"/>
      <c r="WLG216" s="36"/>
      <c r="WLH216" s="36"/>
      <c r="WLI216" s="36"/>
      <c r="WLJ216" s="36"/>
      <c r="WLK216" s="36"/>
      <c r="WLL216" s="36"/>
      <c r="WLM216" s="36"/>
      <c r="WLN216" s="36"/>
      <c r="WLO216" s="36"/>
      <c r="WLP216" s="36"/>
      <c r="WLQ216" s="36"/>
      <c r="WLR216" s="36"/>
      <c r="WLS216" s="36"/>
      <c r="WLT216" s="36"/>
      <c r="WLU216" s="36"/>
      <c r="WLV216" s="36"/>
      <c r="WLW216" s="36"/>
      <c r="WLX216" s="36"/>
      <c r="WLY216" s="36"/>
      <c r="WLZ216" s="36"/>
      <c r="WMA216" s="36"/>
      <c r="WMB216" s="36"/>
      <c r="WMC216" s="36"/>
      <c r="WMD216" s="36"/>
      <c r="WME216" s="36"/>
      <c r="WMF216" s="36"/>
      <c r="WMG216" s="36"/>
      <c r="WMH216" s="36"/>
      <c r="WMI216" s="36"/>
      <c r="WMJ216" s="36"/>
      <c r="WMK216" s="36"/>
      <c r="WML216" s="36"/>
      <c r="WMM216" s="36"/>
      <c r="WMN216" s="36"/>
      <c r="WMO216" s="36"/>
      <c r="WMP216" s="36"/>
      <c r="WMQ216" s="36"/>
      <c r="WMR216" s="36"/>
      <c r="WMS216" s="36"/>
      <c r="WMT216" s="36"/>
      <c r="WMU216" s="36"/>
      <c r="WMV216" s="36"/>
      <c r="WMW216" s="36"/>
      <c r="WMX216" s="36"/>
      <c r="WMY216" s="36"/>
      <c r="WMZ216" s="36"/>
      <c r="WNA216" s="36"/>
      <c r="WNB216" s="36"/>
      <c r="WNC216" s="36"/>
      <c r="WND216" s="36"/>
      <c r="WNE216" s="36"/>
      <c r="WNF216" s="36"/>
      <c r="WNG216" s="36"/>
      <c r="WNH216" s="36"/>
      <c r="WNI216" s="36"/>
      <c r="WNJ216" s="36"/>
      <c r="WNK216" s="36"/>
      <c r="WNL216" s="36"/>
      <c r="WNM216" s="36"/>
      <c r="WNN216" s="36"/>
      <c r="WNO216" s="36"/>
      <c r="WNP216" s="36"/>
      <c r="WNQ216" s="36"/>
      <c r="WNR216" s="36"/>
      <c r="WNS216" s="36"/>
      <c r="WNT216" s="36"/>
      <c r="WNU216" s="36"/>
      <c r="WNV216" s="36"/>
      <c r="WNW216" s="36"/>
      <c r="WNX216" s="36"/>
      <c r="WNY216" s="36"/>
      <c r="WNZ216" s="36"/>
      <c r="WOA216" s="36"/>
      <c r="WOB216" s="36"/>
      <c r="WOC216" s="36"/>
      <c r="WOD216" s="36"/>
      <c r="WOE216" s="36"/>
      <c r="WOF216" s="36"/>
      <c r="WOG216" s="36"/>
      <c r="WOH216" s="36"/>
      <c r="WOI216" s="36"/>
      <c r="WOJ216" s="36"/>
      <c r="WOK216" s="36"/>
      <c r="WOL216" s="36"/>
      <c r="WOM216" s="36"/>
      <c r="WON216" s="36"/>
      <c r="WOO216" s="36"/>
      <c r="WOP216" s="36"/>
      <c r="WOQ216" s="36"/>
      <c r="WOR216" s="36"/>
      <c r="WOS216" s="36"/>
      <c r="WOT216" s="36"/>
      <c r="WOU216" s="36"/>
      <c r="WOV216" s="36"/>
      <c r="WOW216" s="36"/>
      <c r="WOX216" s="36"/>
      <c r="WOY216" s="36"/>
      <c r="WOZ216" s="36"/>
      <c r="WPA216" s="36"/>
      <c r="WPB216" s="36"/>
      <c r="WPC216" s="36"/>
      <c r="WPD216" s="36"/>
      <c r="WPE216" s="36"/>
      <c r="WPF216" s="36"/>
      <c r="WPG216" s="36"/>
      <c r="WPH216" s="36"/>
      <c r="WPI216" s="36"/>
      <c r="WPJ216" s="36"/>
      <c r="WPK216" s="36"/>
      <c r="WPL216" s="36"/>
      <c r="WPM216" s="36"/>
      <c r="WPN216" s="36"/>
      <c r="WPO216" s="36"/>
      <c r="WPP216" s="36"/>
      <c r="WPQ216" s="36"/>
      <c r="WPR216" s="36"/>
      <c r="WPS216" s="36"/>
      <c r="WPT216" s="36"/>
      <c r="WPU216" s="36"/>
      <c r="WPV216" s="36"/>
      <c r="WPW216" s="36"/>
      <c r="WPX216" s="36"/>
      <c r="WPY216" s="36"/>
      <c r="WPZ216" s="36"/>
      <c r="WQA216" s="36"/>
      <c r="WQB216" s="36"/>
      <c r="WQC216" s="36"/>
      <c r="WQD216" s="36"/>
      <c r="WQE216" s="36"/>
      <c r="WQF216" s="36"/>
      <c r="WQG216" s="36"/>
      <c r="WQH216" s="36"/>
      <c r="WQI216" s="36"/>
      <c r="WQJ216" s="36"/>
      <c r="WQK216" s="36"/>
      <c r="WQL216" s="36"/>
      <c r="WQM216" s="36"/>
      <c r="WQN216" s="36"/>
      <c r="WQO216" s="36"/>
      <c r="WQP216" s="36"/>
      <c r="WQQ216" s="36"/>
      <c r="WQR216" s="36"/>
      <c r="WQS216" s="36"/>
      <c r="WQT216" s="36"/>
      <c r="WQU216" s="36"/>
      <c r="WQV216" s="36"/>
      <c r="WQW216" s="36"/>
      <c r="WQX216" s="36"/>
      <c r="WQY216" s="36"/>
      <c r="WQZ216" s="36"/>
      <c r="WRA216" s="36"/>
      <c r="WRB216" s="36"/>
      <c r="WRC216" s="36"/>
      <c r="WRD216" s="36"/>
      <c r="WRE216" s="36"/>
      <c r="WRF216" s="36"/>
      <c r="WRG216" s="36"/>
      <c r="WRH216" s="36"/>
      <c r="WRI216" s="36"/>
      <c r="WRJ216" s="36"/>
      <c r="WRK216" s="36"/>
      <c r="WRL216" s="36"/>
      <c r="WRM216" s="36"/>
      <c r="WRN216" s="36"/>
      <c r="WRO216" s="36"/>
      <c r="WRP216" s="36"/>
      <c r="WRQ216" s="36"/>
      <c r="WRR216" s="36"/>
      <c r="WRS216" s="36"/>
      <c r="WRT216" s="36"/>
      <c r="WRU216" s="36"/>
      <c r="WRV216" s="36"/>
      <c r="WRW216" s="36"/>
      <c r="WRX216" s="36"/>
      <c r="WRY216" s="36"/>
      <c r="WRZ216" s="36"/>
      <c r="WSA216" s="36"/>
      <c r="WSB216" s="36"/>
      <c r="WSC216" s="36"/>
      <c r="WSD216" s="36"/>
      <c r="WSE216" s="36"/>
      <c r="WSF216" s="36"/>
      <c r="WSG216" s="36"/>
      <c r="WSH216" s="36"/>
      <c r="WSI216" s="36"/>
      <c r="WSJ216" s="36"/>
      <c r="WSK216" s="36"/>
      <c r="WSL216" s="36"/>
      <c r="WSM216" s="36"/>
      <c r="WSN216" s="36"/>
      <c r="WSO216" s="36"/>
      <c r="WSP216" s="36"/>
      <c r="WSQ216" s="36"/>
      <c r="WSR216" s="36"/>
      <c r="WSS216" s="36"/>
      <c r="WST216" s="36"/>
      <c r="WSU216" s="36"/>
      <c r="WSV216" s="36"/>
      <c r="WSW216" s="36"/>
      <c r="WSX216" s="36"/>
      <c r="WSY216" s="36"/>
      <c r="WSZ216" s="36"/>
      <c r="WTA216" s="36"/>
      <c r="WTB216" s="36"/>
      <c r="WTC216" s="36"/>
      <c r="WTD216" s="36"/>
      <c r="WTE216" s="36"/>
      <c r="WTF216" s="36"/>
      <c r="WTG216" s="36"/>
      <c r="WTH216" s="36"/>
      <c r="WTI216" s="36"/>
      <c r="WTJ216" s="36"/>
      <c r="WTK216" s="36"/>
      <c r="WTL216" s="36"/>
      <c r="WTM216" s="36"/>
      <c r="WTN216" s="36"/>
      <c r="WTO216" s="36"/>
      <c r="WTP216" s="36"/>
      <c r="WTQ216" s="36"/>
      <c r="WTR216" s="36"/>
      <c r="WTS216" s="36"/>
      <c r="WTT216" s="36"/>
      <c r="WTU216" s="36"/>
      <c r="WTV216" s="36"/>
      <c r="WTW216" s="36"/>
      <c r="WTX216" s="36"/>
      <c r="WTY216" s="36"/>
      <c r="WTZ216" s="36"/>
      <c r="WUA216" s="36"/>
      <c r="WUB216" s="36"/>
      <c r="WUC216" s="36"/>
      <c r="WUD216" s="36"/>
      <c r="WUE216" s="36"/>
      <c r="WUF216" s="36"/>
      <c r="WUG216" s="36"/>
      <c r="WUH216" s="36"/>
      <c r="WUI216" s="36"/>
      <c r="WUJ216" s="36"/>
      <c r="WUK216" s="36"/>
      <c r="WUL216" s="36"/>
      <c r="WUM216" s="36"/>
      <c r="WUN216" s="36"/>
      <c r="WUO216" s="36"/>
      <c r="WUP216" s="36"/>
      <c r="WUQ216" s="36"/>
      <c r="WUR216" s="36"/>
      <c r="WUS216" s="36"/>
      <c r="WUT216" s="36"/>
      <c r="WUU216" s="36"/>
      <c r="WUV216" s="36"/>
      <c r="WUW216" s="36"/>
      <c r="WUX216" s="36"/>
      <c r="WUY216" s="36"/>
      <c r="WUZ216" s="36"/>
      <c r="WVA216" s="36"/>
      <c r="WVB216" s="36"/>
      <c r="WVC216" s="36"/>
      <c r="WVD216" s="36"/>
      <c r="WVE216" s="36"/>
      <c r="WVF216" s="36"/>
      <c r="WVG216" s="36"/>
      <c r="WVH216" s="36"/>
      <c r="WVI216" s="36"/>
      <c r="WVJ216" s="36"/>
      <c r="WVK216" s="36"/>
      <c r="WVL216" s="36"/>
      <c r="WVM216" s="36"/>
      <c r="WVN216" s="36"/>
      <c r="WVO216" s="36"/>
      <c r="WVP216" s="36"/>
      <c r="WVQ216" s="36"/>
      <c r="WVR216" s="36"/>
      <c r="WVS216" s="36"/>
      <c r="WVT216" s="36"/>
      <c r="WVU216" s="36"/>
      <c r="WVV216" s="36"/>
      <c r="WVW216" s="36"/>
      <c r="WVX216" s="36"/>
      <c r="WVY216" s="36"/>
      <c r="WVZ216" s="36"/>
      <c r="WWA216" s="36"/>
      <c r="WWB216" s="36"/>
      <c r="WWC216" s="36"/>
      <c r="WWD216" s="36"/>
      <c r="WWE216" s="36"/>
      <c r="WWF216" s="36"/>
      <c r="WWG216" s="36"/>
      <c r="WWH216" s="36"/>
      <c r="WWI216" s="36"/>
      <c r="WWJ216" s="36"/>
      <c r="WWK216" s="36"/>
      <c r="WWL216" s="36"/>
      <c r="WWM216" s="36"/>
      <c r="WWN216" s="36"/>
      <c r="WWO216" s="36"/>
      <c r="WWP216" s="36"/>
      <c r="WWQ216" s="36"/>
      <c r="WWR216" s="36"/>
      <c r="WWS216" s="36"/>
      <c r="WWT216" s="36"/>
      <c r="WWU216" s="36"/>
      <c r="WWV216" s="36"/>
      <c r="WWW216" s="36"/>
      <c r="WWX216" s="36"/>
      <c r="WWY216" s="36"/>
      <c r="WWZ216" s="36"/>
      <c r="WXA216" s="36"/>
      <c r="WXB216" s="36"/>
      <c r="WXC216" s="36"/>
      <c r="WXD216" s="36"/>
      <c r="WXE216" s="36"/>
      <c r="WXF216" s="36"/>
      <c r="WXG216" s="36"/>
      <c r="WXH216" s="36"/>
      <c r="WXI216" s="36"/>
      <c r="WXJ216" s="36"/>
      <c r="WXK216" s="36"/>
      <c r="WXL216" s="36"/>
      <c r="WXM216" s="36"/>
      <c r="WXN216" s="36"/>
      <c r="WXO216" s="36"/>
      <c r="WXP216" s="36"/>
      <c r="WXQ216" s="36"/>
      <c r="WXR216" s="36"/>
      <c r="WXS216" s="36"/>
      <c r="WXT216" s="36"/>
      <c r="WXU216" s="36"/>
      <c r="WXV216" s="36"/>
      <c r="WXW216" s="36"/>
      <c r="WXX216" s="36"/>
      <c r="WXY216" s="36"/>
      <c r="WXZ216" s="36"/>
      <c r="WYA216" s="36"/>
      <c r="WYB216" s="36"/>
      <c r="WYC216" s="36"/>
      <c r="WYD216" s="36"/>
      <c r="WYE216" s="36"/>
      <c r="WYF216" s="36"/>
      <c r="WYG216" s="36"/>
      <c r="WYH216" s="36"/>
      <c r="WYI216" s="36"/>
      <c r="WYJ216" s="36"/>
      <c r="WYK216" s="36"/>
      <c r="WYL216" s="36"/>
      <c r="WYM216" s="36"/>
      <c r="WYN216" s="36"/>
      <c r="WYO216" s="36"/>
      <c r="WYP216" s="36"/>
      <c r="WYQ216" s="36"/>
      <c r="WYR216" s="36"/>
      <c r="WYS216" s="36"/>
      <c r="WYT216" s="36"/>
      <c r="WYU216" s="36"/>
      <c r="WYV216" s="36"/>
      <c r="WYW216" s="36"/>
      <c r="WYX216" s="36"/>
      <c r="WYY216" s="36"/>
      <c r="WYZ216" s="36"/>
      <c r="WZA216" s="36"/>
      <c r="WZB216" s="36"/>
      <c r="WZC216" s="36"/>
      <c r="WZD216" s="36"/>
      <c r="WZE216" s="36"/>
      <c r="WZF216" s="36"/>
      <c r="WZG216" s="36"/>
      <c r="WZH216" s="36"/>
      <c r="WZI216" s="36"/>
      <c r="WZJ216" s="36"/>
      <c r="WZK216" s="36"/>
      <c r="WZL216" s="36"/>
      <c r="WZM216" s="36"/>
      <c r="WZN216" s="36"/>
      <c r="WZO216" s="36"/>
      <c r="WZP216" s="36"/>
      <c r="WZQ216" s="36"/>
      <c r="WZR216" s="36"/>
      <c r="WZS216" s="36"/>
      <c r="WZT216" s="36"/>
      <c r="WZU216" s="36"/>
      <c r="WZV216" s="36"/>
      <c r="WZW216" s="36"/>
      <c r="WZX216" s="36"/>
      <c r="WZY216" s="36"/>
      <c r="WZZ216" s="36"/>
      <c r="XAA216" s="36"/>
      <c r="XAB216" s="36"/>
      <c r="XAC216" s="36"/>
      <c r="XAD216" s="36"/>
      <c r="XAE216" s="36"/>
      <c r="XAF216" s="36"/>
      <c r="XAG216" s="36"/>
      <c r="XAH216" s="36"/>
      <c r="XAI216" s="36"/>
      <c r="XAJ216" s="36"/>
      <c r="XAK216" s="36"/>
      <c r="XAL216" s="36"/>
      <c r="XAM216" s="36"/>
      <c r="XAN216" s="36"/>
      <c r="XAO216" s="36"/>
      <c r="XAP216" s="36"/>
      <c r="XAQ216" s="36"/>
      <c r="XAR216" s="36"/>
      <c r="XAS216" s="36"/>
      <c r="XAT216" s="36"/>
      <c r="XAU216" s="36"/>
      <c r="XAV216" s="36"/>
      <c r="XAW216" s="36"/>
      <c r="XAX216" s="36"/>
      <c r="XAY216" s="36"/>
      <c r="XAZ216" s="36"/>
      <c r="XBA216" s="36"/>
      <c r="XBB216" s="36"/>
      <c r="XBC216" s="36"/>
      <c r="XBD216" s="36"/>
      <c r="XBE216" s="36"/>
      <c r="XBF216" s="36"/>
      <c r="XBG216" s="36"/>
      <c r="XBH216" s="36"/>
      <c r="XBI216" s="36"/>
      <c r="XBJ216" s="36"/>
      <c r="XBK216" s="36"/>
      <c r="XBL216" s="36"/>
      <c r="XBM216" s="36"/>
      <c r="XBN216" s="36"/>
      <c r="XBO216" s="36"/>
      <c r="XBP216" s="36"/>
      <c r="XBQ216" s="36"/>
      <c r="XBR216" s="36"/>
      <c r="XBS216" s="36"/>
      <c r="XBT216" s="36"/>
      <c r="XBU216" s="36"/>
      <c r="XBV216" s="36"/>
      <c r="XBW216" s="36"/>
      <c r="XBX216" s="36"/>
      <c r="XBY216" s="36"/>
      <c r="XBZ216" s="36"/>
      <c r="XCA216" s="36"/>
      <c r="XCB216" s="36"/>
      <c r="XCC216" s="36"/>
      <c r="XCD216" s="36"/>
      <c r="XCE216" s="36"/>
      <c r="XCF216" s="36"/>
      <c r="XCG216" s="36"/>
      <c r="XCH216" s="36"/>
      <c r="XCI216" s="36"/>
      <c r="XCJ216" s="36"/>
      <c r="XCK216" s="36"/>
      <c r="XCL216" s="36"/>
      <c r="XCM216" s="36"/>
      <c r="XCN216" s="36"/>
      <c r="XCO216" s="36"/>
      <c r="XCP216" s="36"/>
      <c r="XCQ216" s="36"/>
      <c r="XCR216" s="36"/>
      <c r="XCS216" s="36"/>
      <c r="XCT216" s="36"/>
      <c r="XCU216" s="36"/>
      <c r="XCV216" s="36"/>
      <c r="XCW216" s="36"/>
      <c r="XCX216" s="36"/>
      <c r="XCY216" s="36"/>
      <c r="XCZ216" s="36"/>
      <c r="XDA216" s="36"/>
      <c r="XDB216" s="36"/>
      <c r="XDC216" s="36"/>
      <c r="XDD216" s="36"/>
      <c r="XDE216" s="36"/>
      <c r="XDF216" s="36"/>
      <c r="XDG216" s="36"/>
      <c r="XDH216" s="36"/>
      <c r="XDI216" s="36"/>
      <c r="XDJ216" s="36"/>
      <c r="XDK216" s="36"/>
      <c r="XDL216" s="36"/>
      <c r="XDM216" s="36"/>
      <c r="XDN216" s="36"/>
      <c r="XDO216" s="36"/>
      <c r="XDP216" s="36"/>
      <c r="XDQ216" s="36"/>
      <c r="XDR216" s="36"/>
      <c r="XDS216" s="36"/>
      <c r="XDT216" s="36"/>
      <c r="XDU216" s="36"/>
      <c r="XDV216" s="36"/>
      <c r="XDW216" s="36"/>
      <c r="XDX216" s="36"/>
      <c r="XDY216" s="36"/>
      <c r="XDZ216" s="36"/>
      <c r="XEA216" s="36"/>
      <c r="XEB216" s="36"/>
      <c r="XEC216" s="36"/>
      <c r="XED216" s="36"/>
      <c r="XEE216" s="36"/>
      <c r="XEF216" s="36"/>
      <c r="XEG216" s="36"/>
      <c r="XEH216" s="36"/>
      <c r="XEI216" s="36"/>
      <c r="XEJ216" s="36"/>
      <c r="XEK216" s="36"/>
      <c r="XEL216" s="36"/>
      <c r="XEM216" s="36"/>
      <c r="XEN216" s="36"/>
      <c r="XEO216" s="36"/>
      <c r="XEP216" s="36"/>
      <c r="XEQ216" s="36"/>
      <c r="XER216" s="36"/>
      <c r="XES216" s="36"/>
      <c r="XET216" s="36"/>
      <c r="XEU216" s="36"/>
      <c r="XEV216" s="36"/>
      <c r="XEW216" s="36"/>
      <c r="XEX216" s="36"/>
      <c r="XEY216" s="36"/>
      <c r="XEZ216" s="36"/>
      <c r="XFA216" s="36"/>
      <c r="XFB216" s="36"/>
      <c r="XFC216" s="36"/>
    </row>
    <row r="217" spans="1:16383" s="97" customFormat="1" ht="15" hidden="1" thickTop="1">
      <c r="A217" s="409"/>
      <c r="B217" s="412" t="s">
        <v>1262</v>
      </c>
      <c r="C217" s="2086" t="s">
        <v>275</v>
      </c>
      <c r="D217" s="832" t="s">
        <v>1262</v>
      </c>
      <c r="E217" s="1370" t="s">
        <v>224</v>
      </c>
      <c r="F217" s="1945" t="str">
        <f>IFERROR(G217/G$248,"")</f>
        <v/>
      </c>
      <c r="G217" s="1946">
        <f>SUMIFS(F$92:F$101,PlanRotationPaturageS0,$B217)+SUMIFS(F$78:F$87,PlanRotationS0,$B217)</f>
        <v>0</v>
      </c>
      <c r="H217" s="837" t="str">
        <f>IFERROR(I217/I$248,"")</f>
        <v/>
      </c>
      <c r="I217" s="845">
        <f>SUMIFS(H$92:H$101,PlanRotationPaturageS1,$B217)+SUMIFS(H$78:H$87,PlanRotationS1,$B217)</f>
        <v>0</v>
      </c>
      <c r="J217" s="839" t="str">
        <f>IFERROR(K217/K$248,"")</f>
        <v/>
      </c>
      <c r="K217" s="845">
        <f>SUMIFS(J$92:J$101,PlanRotationPaturageS2,$B217)+SUMIFS(J$78:J$87,PlanRotationS2,$B217)</f>
        <v>0</v>
      </c>
      <c r="L217" s="842" t="str">
        <f>IFERROR(M217/M$248,"")</f>
        <v/>
      </c>
      <c r="M217" s="845">
        <f>SUMIFS(L$92:L$101,PlanRotationPaturageS3,$B217)+SUMIFS(L$78:L$87,PlanRotationS3,$B217)</f>
        <v>0</v>
      </c>
      <c r="N217" s="842" t="str">
        <f>IFERROR(O217/O$248,"")</f>
        <v/>
      </c>
      <c r="O217" s="845">
        <f>SUMIFS(N$92:N$101,PlanRotationPaturageS4,$B217)+SUMIFS(N$78:N$87,PlanRotationS4,$B217)</f>
        <v>0</v>
      </c>
      <c r="P217" s="842" t="str">
        <f>IFERROR(Q217/Q$248,"")</f>
        <v/>
      </c>
      <c r="Q217" s="845">
        <f>SUMIFS(P$92:P$101,PlanRotationPaturageS5,$B217)+SUMIFS(P$78:P$87,PlanRotationS5,$B217)</f>
        <v>0</v>
      </c>
      <c r="R217" s="17"/>
    </row>
    <row r="218" spans="1:16383" s="97" customFormat="1" hidden="1">
      <c r="A218" s="409"/>
      <c r="B218" s="412" t="s">
        <v>1262</v>
      </c>
      <c r="D218" s="765" t="s">
        <v>281</v>
      </c>
      <c r="E218" s="1371" t="s">
        <v>254</v>
      </c>
      <c r="F218" s="1953"/>
      <c r="G218" s="1946">
        <f ca="1">OFFSET(RéfChamps!$CZ$55,0,IF(ProdS0="Biologique",0,3))</f>
        <v>921.24735620563843</v>
      </c>
      <c r="H218" s="994"/>
      <c r="I218" s="834">
        <f ca="1">OFFSET(RéfChamps!$CZ$55,0,IF(ProdS1="Biologique",0,3))</f>
        <v>1157.1995123333331</v>
      </c>
      <c r="J218" s="996"/>
      <c r="K218" s="834">
        <f ca="1">OFFSET(RéfChamps!$CZ$55,0,IF(ProdS2="Biologique",0,3))</f>
        <v>921.24735620563843</v>
      </c>
      <c r="L218" s="999"/>
      <c r="M218" s="834">
        <f ca="1">OFFSET(RéfChamps!$CZ$55,0,IF(ProdS3="Biologique",0,3))</f>
        <v>921.24735620563843</v>
      </c>
      <c r="N218" s="999"/>
      <c r="O218" s="834">
        <f ca="1">OFFSET(RéfChamps!$CZ$55,0,IF(ProdS4="Biologique",0,3))</f>
        <v>921.24735620563843</v>
      </c>
      <c r="P218" s="999"/>
      <c r="Q218" s="834">
        <f ca="1">OFFSET(RéfChamps!$CZ$55,0,IF(ProdS5="Biologique",0,3))</f>
        <v>921.24735620563843</v>
      </c>
      <c r="R218" s="17"/>
      <c r="S218" s="14"/>
    </row>
    <row r="219" spans="1:16383" s="97" customFormat="1" hidden="1">
      <c r="A219" s="409"/>
      <c r="B219" s="412" t="s">
        <v>1262</v>
      </c>
      <c r="D219" s="765" t="s">
        <v>252</v>
      </c>
      <c r="E219" s="1371" t="s">
        <v>937</v>
      </c>
      <c r="F219" s="1945"/>
      <c r="G219" s="1946">
        <f ca="1">OFFSET(RéfChamps!$CX$5,0,IF(ProdS0="Biologique",0,3))</f>
        <v>2</v>
      </c>
      <c r="H219" s="994"/>
      <c r="I219" s="1468">
        <f ca="1">OFFSET(RéfChamps!$CX$5,0,IF(ProdS1="Biologique",0,3))</f>
        <v>2</v>
      </c>
      <c r="J219" s="996"/>
      <c r="K219" s="1072">
        <f ca="1">OFFSET(RéfChamps!$CX$5,0,IF(ProdS2="Biologique",0,3))</f>
        <v>2</v>
      </c>
      <c r="L219" s="1073"/>
      <c r="M219" s="1072">
        <f ca="1">OFFSET(RéfChamps!$CX$5,0,IF(ProdS3="Biologique",0,3))</f>
        <v>2</v>
      </c>
      <c r="N219" s="1073"/>
      <c r="O219" s="1072">
        <f ca="1">OFFSET(RéfChamps!$CX$5,0,IF(ProdS4="Biologique",0,3))</f>
        <v>2</v>
      </c>
      <c r="P219" s="1073"/>
      <c r="Q219" s="1072">
        <f ca="1">OFFSET(RéfChamps!$CX$5,0,IF(ProdS5="Biologique",0,3))</f>
        <v>2</v>
      </c>
      <c r="R219" s="17"/>
    </row>
    <row r="220" spans="1:16383" s="97" customFormat="1" hidden="1">
      <c r="A220" s="409"/>
      <c r="B220" s="412" t="s">
        <v>1262</v>
      </c>
      <c r="D220" s="765" t="s">
        <v>253</v>
      </c>
      <c r="E220" s="1371" t="s">
        <v>225</v>
      </c>
      <c r="F220" s="1945"/>
      <c r="G220" s="1946">
        <f ca="1">OFFSET(RéfChamps!$CY$5,0,IF(PrixS0="Biologique",0,3))</f>
        <v>875</v>
      </c>
      <c r="H220" s="994"/>
      <c r="I220" s="835">
        <f ca="1">OFFSET(RéfChamps!$CY$5,0,IF(PrixS1="Biologique",0,3))</f>
        <v>875</v>
      </c>
      <c r="J220" s="996"/>
      <c r="K220" s="835">
        <f ca="1">OFFSET(RéfChamps!$CY$5,0,IF(PrixS2="Biologique",0,3))</f>
        <v>875</v>
      </c>
      <c r="L220" s="1000"/>
      <c r="M220" s="835">
        <f ca="1">OFFSET(RéfChamps!$CY$5,0,IF(PrixS3="Biologique",0,3))</f>
        <v>875</v>
      </c>
      <c r="N220" s="1000"/>
      <c r="O220" s="835">
        <f ca="1">OFFSET(RéfChamps!$CY$5,0,IF(PrixS4="Biologique",0,3))</f>
        <v>2000</v>
      </c>
      <c r="P220" s="1000"/>
      <c r="Q220" s="835">
        <f ca="1">OFFSET(RéfChamps!$CY$5,0,IF(PrixS5="Biologique",0,3))</f>
        <v>2000</v>
      </c>
      <c r="R220" s="17"/>
    </row>
    <row r="221" spans="1:16383" s="97" customFormat="1" hidden="1">
      <c r="A221" s="409"/>
      <c r="B221" s="412" t="s">
        <v>1262</v>
      </c>
      <c r="D221" s="765" t="s">
        <v>282</v>
      </c>
      <c r="E221" s="1371" t="s">
        <v>254</v>
      </c>
      <c r="F221" s="1945"/>
      <c r="G221" s="1946">
        <f ca="1">SUMPRODUCT(OFFSET(RéfChamps!$CX$5:$CX$9,0,IF(ProdS0="Biologique",0,3)),OFFSET(RéfChamps!$CY$5:$CY$9,0,IF(PrixS0="Biologique",0,3)))</f>
        <v>1813.924</v>
      </c>
      <c r="H221" s="994"/>
      <c r="I221" s="835">
        <f ca="1">SUMPRODUCT(OFFSET(RéfChamps!$CX$5:$CX$9,0,IF(ProdS1="Biologique",0,3)),OFFSET(RéfChamps!$CY$5:$CY$9,0,IF(PrixS1="Biologique",0,3)))</f>
        <v>1813.924</v>
      </c>
      <c r="J221" s="997"/>
      <c r="K221" s="835">
        <f ca="1">SUMPRODUCT(OFFSET(RéfChamps!$CX$5:$CX$9,0,IF(ProdS2="Biologique",0,3)),OFFSET(RéfChamps!$CY$5:$CY$9,0,IF(PrixS2="Biologique",0,3)))</f>
        <v>1813.924</v>
      </c>
      <c r="L221" s="1000"/>
      <c r="M221" s="835">
        <f ca="1">SUMPRODUCT(OFFSET(RéfChamps!$CX$5:$CX$9,0,IF(ProdS3="Biologique",0,3)),OFFSET(RéfChamps!$CY$5:$CY$9,0,IF(PrixS3="Biologique",0,3)))</f>
        <v>1813.924</v>
      </c>
      <c r="N221" s="1000"/>
      <c r="O221" s="835">
        <f ca="1">SUMPRODUCT(OFFSET(RéfChamps!$CX$5:$CX$9,0,IF(ProdS4="Biologique",0,3)),OFFSET(RéfChamps!$CY$5:$CY$9,0,IF(PrixS4="Biologique",0,3)))</f>
        <v>4158.424</v>
      </c>
      <c r="P221" s="1000"/>
      <c r="Q221" s="835">
        <f ca="1">SUMPRODUCT(OFFSET(RéfChamps!$CX$5:$CX$9,0,IF(ProdS5="Biologique",0,3)),OFFSET(RéfChamps!$CY$5:$CY$9,0,IF(PrixS5="Biologique",0,3)))</f>
        <v>4158.424</v>
      </c>
      <c r="R221" s="17"/>
    </row>
    <row r="222" spans="1:16383" s="346" customFormat="1" ht="15" hidden="1" thickBot="1">
      <c r="A222" s="413"/>
      <c r="B222" s="412" t="s">
        <v>1262</v>
      </c>
      <c r="D222" s="765" t="s">
        <v>1457</v>
      </c>
      <c r="E222" s="1371" t="s">
        <v>254</v>
      </c>
      <c r="F222" s="1945"/>
      <c r="G222" s="1951">
        <f ca="1">IFERROR(G221-G218,"Erreur")</f>
        <v>892.67664379436155</v>
      </c>
      <c r="H222" s="994"/>
      <c r="I222" s="846">
        <f ca="1">IFERROR(I221-I218,"Erreur")</f>
        <v>656.72448766666685</v>
      </c>
      <c r="J222" s="998"/>
      <c r="K222" s="846">
        <f ca="1">IFERROR(K221-K218,"Erreur")</f>
        <v>892.67664379436155</v>
      </c>
      <c r="L222" s="1001"/>
      <c r="M222" s="846">
        <f ca="1">IFERROR(M221-M218,"Erreur")</f>
        <v>892.67664379436155</v>
      </c>
      <c r="N222" s="1001"/>
      <c r="O222" s="846">
        <f ca="1">IFERROR(O221-O218,"Erreur")</f>
        <v>3237.1766437943616</v>
      </c>
      <c r="P222" s="1001"/>
      <c r="Q222" s="846">
        <f ca="1">IFERROR(Q221-Q218,"Erreur")</f>
        <v>3237.1766437943616</v>
      </c>
      <c r="R222" s="1698"/>
    </row>
    <row r="223" spans="1:16383" s="28" customFormat="1" ht="15" hidden="1" thickTop="1">
      <c r="A223" s="411"/>
      <c r="B223" s="412" t="s">
        <v>1262</v>
      </c>
      <c r="C223" s="36"/>
      <c r="D223" s="2085" t="str">
        <f>"Détails pour les "&amp;LOWER(D217)</f>
        <v>Détails pour les haricots secs</v>
      </c>
      <c r="E223" s="1371"/>
      <c r="F223" s="1952"/>
      <c r="G223" s="1946"/>
      <c r="H223" s="994"/>
      <c r="I223" s="1612"/>
      <c r="J223" s="1002"/>
      <c r="K223" s="1612"/>
      <c r="L223" s="1002"/>
      <c r="M223" s="1612"/>
      <c r="N223" s="1002"/>
      <c r="O223" s="1612"/>
      <c r="P223" s="1002"/>
      <c r="Q223" s="1612"/>
      <c r="R223" s="1701"/>
      <c r="S223" s="36"/>
      <c r="T223" s="36"/>
      <c r="U223" s="36"/>
      <c r="V223" s="36"/>
      <c r="W223" s="36"/>
      <c r="X223" s="36"/>
      <c r="Y223" s="36"/>
      <c r="Z223" s="36"/>
      <c r="AA223" s="36"/>
      <c r="AB223" s="36"/>
      <c r="AC223" s="36"/>
      <c r="AD223" s="36"/>
      <c r="AE223" s="36"/>
      <c r="AF223" s="36"/>
      <c r="AG223" s="36"/>
      <c r="AH223" s="36"/>
      <c r="AI223" s="36"/>
      <c r="AJ223" s="36"/>
      <c r="AK223" s="36"/>
      <c r="AL223" s="36"/>
      <c r="AM223" s="36"/>
      <c r="AN223" s="36"/>
      <c r="AO223" s="36"/>
      <c r="AP223" s="36"/>
      <c r="AQ223" s="36"/>
      <c r="AR223" s="36"/>
      <c r="AS223" s="36"/>
      <c r="AT223" s="36"/>
      <c r="AU223" s="36"/>
      <c r="AV223" s="36"/>
      <c r="AW223" s="36"/>
      <c r="AX223" s="36"/>
      <c r="AY223" s="36"/>
      <c r="AZ223" s="36"/>
      <c r="BA223" s="36"/>
      <c r="BB223" s="36"/>
      <c r="BC223" s="36"/>
      <c r="BD223" s="36"/>
      <c r="BE223" s="36"/>
      <c r="BF223" s="36"/>
      <c r="BG223" s="36"/>
      <c r="BH223" s="36"/>
      <c r="BI223" s="36"/>
      <c r="BJ223" s="36"/>
      <c r="BK223" s="36"/>
      <c r="BL223" s="36"/>
      <c r="BM223" s="36"/>
      <c r="BN223" s="36"/>
      <c r="BO223" s="36"/>
      <c r="BP223" s="36"/>
      <c r="BQ223" s="36"/>
      <c r="BR223" s="36"/>
      <c r="BS223" s="36"/>
      <c r="BT223" s="36"/>
      <c r="BU223" s="36"/>
      <c r="BV223" s="36"/>
      <c r="BW223" s="36"/>
      <c r="BX223" s="36"/>
      <c r="BY223" s="36"/>
      <c r="BZ223" s="36"/>
      <c r="CA223" s="36"/>
      <c r="CB223" s="36"/>
      <c r="CC223" s="36"/>
      <c r="CD223" s="36"/>
      <c r="CE223" s="36"/>
      <c r="CF223" s="36"/>
      <c r="CG223" s="36"/>
      <c r="CH223" s="36"/>
      <c r="CI223" s="36"/>
      <c r="CJ223" s="36"/>
      <c r="CK223" s="36"/>
      <c r="CL223" s="36"/>
      <c r="CM223" s="36"/>
      <c r="CN223" s="36"/>
      <c r="CO223" s="36"/>
      <c r="CP223" s="36"/>
      <c r="CQ223" s="36"/>
      <c r="CR223" s="36"/>
      <c r="CS223" s="36"/>
      <c r="CT223" s="36"/>
      <c r="CU223" s="36"/>
      <c r="CV223" s="36"/>
      <c r="CW223" s="36"/>
      <c r="CX223" s="36"/>
      <c r="CY223" s="36"/>
      <c r="CZ223" s="36"/>
      <c r="DA223" s="36"/>
      <c r="DB223" s="36"/>
      <c r="DC223" s="36"/>
      <c r="DD223" s="36"/>
      <c r="DE223" s="36"/>
      <c r="DF223" s="36"/>
      <c r="DG223" s="36"/>
      <c r="DH223" s="36"/>
      <c r="DI223" s="36"/>
      <c r="DJ223" s="36"/>
      <c r="DK223" s="36"/>
      <c r="DL223" s="36"/>
      <c r="DM223" s="36"/>
      <c r="DN223" s="36"/>
      <c r="DO223" s="36"/>
      <c r="DP223" s="36"/>
      <c r="DQ223" s="36"/>
      <c r="DR223" s="36"/>
      <c r="DS223" s="36"/>
      <c r="DT223" s="36"/>
      <c r="DU223" s="36"/>
      <c r="DV223" s="36"/>
      <c r="DW223" s="36"/>
      <c r="DX223" s="36"/>
      <c r="DY223" s="36"/>
      <c r="DZ223" s="36"/>
      <c r="EA223" s="36"/>
      <c r="EB223" s="36"/>
      <c r="EC223" s="36"/>
      <c r="ED223" s="36"/>
      <c r="EE223" s="36"/>
      <c r="EF223" s="36"/>
      <c r="EG223" s="36"/>
      <c r="EH223" s="36"/>
      <c r="EI223" s="36"/>
      <c r="EJ223" s="36"/>
      <c r="EK223" s="36"/>
      <c r="EL223" s="36"/>
      <c r="EM223" s="36"/>
      <c r="EN223" s="36"/>
      <c r="EO223" s="36"/>
      <c r="EP223" s="36"/>
      <c r="EQ223" s="36"/>
      <c r="ER223" s="36"/>
      <c r="ES223" s="36"/>
      <c r="ET223" s="36"/>
      <c r="EU223" s="36"/>
      <c r="EV223" s="36"/>
      <c r="EW223" s="36"/>
      <c r="EX223" s="36"/>
      <c r="EY223" s="36"/>
      <c r="EZ223" s="36"/>
      <c r="FA223" s="36"/>
      <c r="FB223" s="36"/>
      <c r="FC223" s="36"/>
      <c r="FD223" s="36"/>
      <c r="FE223" s="36"/>
      <c r="FF223" s="36"/>
      <c r="FG223" s="36"/>
      <c r="FH223" s="36"/>
      <c r="FI223" s="36"/>
      <c r="FJ223" s="36"/>
      <c r="FK223" s="36"/>
      <c r="FL223" s="36"/>
      <c r="FM223" s="36"/>
      <c r="FN223" s="36"/>
      <c r="FO223" s="36"/>
      <c r="FP223" s="36"/>
      <c r="FQ223" s="36"/>
      <c r="FR223" s="36"/>
      <c r="FS223" s="36"/>
      <c r="FT223" s="36"/>
      <c r="FU223" s="36"/>
      <c r="FV223" s="36"/>
      <c r="FW223" s="36"/>
      <c r="FX223" s="36"/>
      <c r="FY223" s="36"/>
      <c r="FZ223" s="36"/>
      <c r="GA223" s="36"/>
      <c r="GB223" s="36"/>
      <c r="GC223" s="36"/>
      <c r="GD223" s="36"/>
      <c r="GE223" s="36"/>
      <c r="GF223" s="36"/>
      <c r="GG223" s="36"/>
      <c r="GH223" s="36"/>
      <c r="GI223" s="36"/>
      <c r="GJ223" s="36"/>
      <c r="GK223" s="36"/>
      <c r="GL223" s="36"/>
      <c r="GM223" s="36"/>
      <c r="GN223" s="36"/>
      <c r="GO223" s="36"/>
      <c r="GP223" s="36"/>
      <c r="GQ223" s="36"/>
      <c r="GR223" s="36"/>
      <c r="GS223" s="36"/>
      <c r="GT223" s="36"/>
      <c r="GU223" s="36"/>
      <c r="GV223" s="36"/>
      <c r="GW223" s="36"/>
      <c r="GX223" s="36"/>
      <c r="GY223" s="36"/>
      <c r="GZ223" s="36"/>
      <c r="HA223" s="36"/>
      <c r="HB223" s="36"/>
      <c r="HC223" s="36"/>
      <c r="HD223" s="36"/>
      <c r="HE223" s="36"/>
      <c r="HF223" s="36"/>
      <c r="HG223" s="36"/>
      <c r="HH223" s="36"/>
      <c r="HI223" s="36"/>
      <c r="HJ223" s="36"/>
      <c r="HK223" s="36"/>
      <c r="HL223" s="36"/>
      <c r="HM223" s="36"/>
      <c r="HN223" s="36"/>
      <c r="HO223" s="36"/>
      <c r="HP223" s="36"/>
      <c r="HQ223" s="36"/>
      <c r="HR223" s="36"/>
      <c r="HS223" s="36"/>
      <c r="HT223" s="36"/>
      <c r="HU223" s="36"/>
      <c r="HV223" s="36"/>
      <c r="HW223" s="36"/>
      <c r="HX223" s="36"/>
      <c r="HY223" s="36"/>
      <c r="HZ223" s="36"/>
      <c r="IA223" s="36"/>
      <c r="IB223" s="36"/>
      <c r="IC223" s="36"/>
      <c r="ID223" s="36"/>
      <c r="IE223" s="36"/>
      <c r="IF223" s="36"/>
      <c r="IG223" s="36"/>
      <c r="IH223" s="36"/>
      <c r="II223" s="36"/>
      <c r="IJ223" s="36"/>
      <c r="IK223" s="36"/>
      <c r="IL223" s="36"/>
      <c r="IM223" s="36"/>
      <c r="IN223" s="36"/>
      <c r="IO223" s="36"/>
      <c r="IP223" s="36"/>
      <c r="IQ223" s="36"/>
      <c r="IR223" s="36"/>
      <c r="IS223" s="36"/>
      <c r="IT223" s="36"/>
      <c r="IU223" s="36"/>
      <c r="IV223" s="36"/>
      <c r="IW223" s="36"/>
      <c r="IX223" s="36"/>
      <c r="IY223" s="36"/>
      <c r="IZ223" s="36"/>
      <c r="JA223" s="36"/>
      <c r="JB223" s="36"/>
      <c r="JC223" s="36"/>
      <c r="JD223" s="36"/>
      <c r="JE223" s="36"/>
      <c r="JF223" s="36"/>
      <c r="JG223" s="36"/>
      <c r="JH223" s="36"/>
      <c r="JI223" s="36"/>
      <c r="JJ223" s="36"/>
      <c r="JK223" s="36"/>
      <c r="JL223" s="36"/>
      <c r="JM223" s="36"/>
      <c r="JN223" s="36"/>
      <c r="JO223" s="36"/>
      <c r="JP223" s="36"/>
      <c r="JQ223" s="36"/>
      <c r="JR223" s="36"/>
      <c r="JS223" s="36"/>
      <c r="JT223" s="36"/>
      <c r="JU223" s="36"/>
      <c r="JV223" s="36"/>
      <c r="JW223" s="36"/>
      <c r="JX223" s="36"/>
      <c r="JY223" s="36"/>
      <c r="JZ223" s="36"/>
      <c r="KA223" s="36"/>
      <c r="KB223" s="36"/>
      <c r="KC223" s="36"/>
      <c r="KD223" s="36"/>
      <c r="KE223" s="36"/>
      <c r="KF223" s="36"/>
      <c r="KG223" s="36"/>
      <c r="KH223" s="36"/>
      <c r="KI223" s="36"/>
      <c r="KJ223" s="36"/>
      <c r="KK223" s="36"/>
      <c r="KL223" s="36"/>
      <c r="KM223" s="36"/>
      <c r="KN223" s="36"/>
      <c r="KO223" s="36"/>
      <c r="KP223" s="36"/>
      <c r="KQ223" s="36"/>
      <c r="KR223" s="36"/>
      <c r="KS223" s="36"/>
      <c r="KT223" s="36"/>
      <c r="KU223" s="36"/>
      <c r="KV223" s="36"/>
      <c r="KW223" s="36"/>
      <c r="KX223" s="36"/>
      <c r="KY223" s="36"/>
      <c r="KZ223" s="36"/>
      <c r="LA223" s="36"/>
      <c r="LB223" s="36"/>
      <c r="LC223" s="36"/>
      <c r="LD223" s="36"/>
      <c r="LE223" s="36"/>
      <c r="LF223" s="36"/>
      <c r="LG223" s="36"/>
      <c r="LH223" s="36"/>
      <c r="LI223" s="36"/>
      <c r="LJ223" s="36"/>
      <c r="LK223" s="36"/>
      <c r="LL223" s="36"/>
      <c r="LM223" s="36"/>
      <c r="LN223" s="36"/>
      <c r="LO223" s="36"/>
      <c r="LP223" s="36"/>
      <c r="LQ223" s="36"/>
      <c r="LR223" s="36"/>
      <c r="LS223" s="36"/>
      <c r="LT223" s="36"/>
      <c r="LU223" s="36"/>
      <c r="LV223" s="36"/>
      <c r="LW223" s="36"/>
      <c r="LX223" s="36"/>
      <c r="LY223" s="36"/>
      <c r="LZ223" s="36"/>
      <c r="MA223" s="36"/>
      <c r="MB223" s="36"/>
      <c r="MC223" s="36"/>
      <c r="MD223" s="36"/>
      <c r="ME223" s="36"/>
      <c r="MF223" s="36"/>
      <c r="MG223" s="36"/>
      <c r="MH223" s="36"/>
      <c r="MI223" s="36"/>
      <c r="MJ223" s="36"/>
      <c r="MK223" s="36"/>
      <c r="ML223" s="36"/>
      <c r="MM223" s="36"/>
      <c r="MN223" s="36"/>
      <c r="MO223" s="36"/>
      <c r="MP223" s="36"/>
      <c r="MQ223" s="36"/>
      <c r="MR223" s="36"/>
      <c r="MS223" s="36"/>
      <c r="MT223" s="36"/>
      <c r="MU223" s="36"/>
      <c r="MV223" s="36"/>
      <c r="MW223" s="36"/>
      <c r="MX223" s="36"/>
      <c r="MY223" s="36"/>
      <c r="MZ223" s="36"/>
      <c r="NA223" s="36"/>
      <c r="NB223" s="36"/>
      <c r="NC223" s="36"/>
      <c r="ND223" s="36"/>
      <c r="NE223" s="36"/>
      <c r="NF223" s="36"/>
      <c r="NG223" s="36"/>
      <c r="NH223" s="36"/>
      <c r="NI223" s="36"/>
      <c r="NJ223" s="36"/>
      <c r="NK223" s="36"/>
      <c r="NL223" s="36"/>
      <c r="NM223" s="36"/>
      <c r="NN223" s="36"/>
      <c r="NO223" s="36"/>
      <c r="NP223" s="36"/>
      <c r="NQ223" s="36"/>
      <c r="NR223" s="36"/>
      <c r="NS223" s="36"/>
      <c r="NT223" s="36"/>
      <c r="NU223" s="36"/>
      <c r="NV223" s="36"/>
      <c r="NW223" s="36"/>
      <c r="NX223" s="36"/>
      <c r="NY223" s="36"/>
      <c r="NZ223" s="36"/>
      <c r="OA223" s="36"/>
      <c r="OB223" s="36"/>
      <c r="OC223" s="36"/>
      <c r="OD223" s="36"/>
      <c r="OE223" s="36"/>
      <c r="OF223" s="36"/>
      <c r="OG223" s="36"/>
      <c r="OH223" s="36"/>
      <c r="OI223" s="36"/>
      <c r="OJ223" s="36"/>
      <c r="OK223" s="36"/>
      <c r="OL223" s="36"/>
      <c r="OM223" s="36"/>
      <c r="ON223" s="36"/>
      <c r="OO223" s="36"/>
      <c r="OP223" s="36"/>
      <c r="OQ223" s="36"/>
      <c r="OR223" s="36"/>
      <c r="OS223" s="36"/>
      <c r="OT223" s="36"/>
      <c r="OU223" s="36"/>
      <c r="OV223" s="36"/>
      <c r="OW223" s="36"/>
      <c r="OX223" s="36"/>
      <c r="OY223" s="36"/>
      <c r="OZ223" s="36"/>
      <c r="PA223" s="36"/>
      <c r="PB223" s="36"/>
      <c r="PC223" s="36"/>
      <c r="PD223" s="36"/>
      <c r="PE223" s="36"/>
      <c r="PF223" s="36"/>
      <c r="PG223" s="36"/>
      <c r="PH223" s="36"/>
      <c r="PI223" s="36"/>
      <c r="PJ223" s="36"/>
      <c r="PK223" s="36"/>
      <c r="PL223" s="36"/>
      <c r="PM223" s="36"/>
      <c r="PN223" s="36"/>
      <c r="PO223" s="36"/>
      <c r="PP223" s="36"/>
      <c r="PQ223" s="36"/>
      <c r="PR223" s="36"/>
      <c r="PS223" s="36"/>
      <c r="PT223" s="36"/>
      <c r="PU223" s="36"/>
      <c r="PV223" s="36"/>
      <c r="PW223" s="36"/>
      <c r="PX223" s="36"/>
      <c r="PY223" s="36"/>
      <c r="PZ223" s="36"/>
      <c r="QA223" s="36"/>
      <c r="QB223" s="36"/>
      <c r="QC223" s="36"/>
      <c r="QD223" s="36"/>
      <c r="QE223" s="36"/>
      <c r="QF223" s="36"/>
      <c r="QG223" s="36"/>
      <c r="QH223" s="36"/>
      <c r="QI223" s="36"/>
      <c r="QJ223" s="36"/>
      <c r="QK223" s="36"/>
      <c r="QL223" s="36"/>
      <c r="QM223" s="36"/>
      <c r="QN223" s="36"/>
      <c r="QO223" s="36"/>
      <c r="QP223" s="36"/>
      <c r="QQ223" s="36"/>
      <c r="QR223" s="36"/>
      <c r="QS223" s="36"/>
      <c r="QT223" s="36"/>
      <c r="QU223" s="36"/>
      <c r="QV223" s="36"/>
      <c r="QW223" s="36"/>
      <c r="QX223" s="36"/>
      <c r="QY223" s="36"/>
      <c r="QZ223" s="36"/>
      <c r="RA223" s="36"/>
      <c r="RB223" s="36"/>
      <c r="RC223" s="36"/>
      <c r="RD223" s="36"/>
      <c r="RE223" s="36"/>
      <c r="RF223" s="36"/>
      <c r="RG223" s="36"/>
      <c r="RH223" s="36"/>
      <c r="RI223" s="36"/>
      <c r="RJ223" s="36"/>
      <c r="RK223" s="36"/>
      <c r="RL223" s="36"/>
      <c r="RM223" s="36"/>
      <c r="RN223" s="36"/>
      <c r="RO223" s="36"/>
      <c r="RP223" s="36"/>
      <c r="RQ223" s="36"/>
      <c r="RR223" s="36"/>
      <c r="RS223" s="36"/>
      <c r="RT223" s="36"/>
      <c r="RU223" s="36"/>
      <c r="RV223" s="36"/>
      <c r="RW223" s="36"/>
      <c r="RX223" s="36"/>
      <c r="RY223" s="36"/>
      <c r="RZ223" s="36"/>
      <c r="SA223" s="36"/>
      <c r="SB223" s="36"/>
      <c r="SC223" s="36"/>
      <c r="SD223" s="36"/>
      <c r="SE223" s="36"/>
      <c r="SF223" s="36"/>
      <c r="SG223" s="36"/>
      <c r="SH223" s="36"/>
      <c r="SI223" s="36"/>
      <c r="SJ223" s="36"/>
      <c r="SK223" s="36"/>
      <c r="SL223" s="36"/>
      <c r="SM223" s="36"/>
      <c r="SN223" s="36"/>
      <c r="SO223" s="36"/>
      <c r="SP223" s="36"/>
      <c r="SQ223" s="36"/>
      <c r="SR223" s="36"/>
      <c r="SS223" s="36"/>
      <c r="ST223" s="36"/>
      <c r="SU223" s="36"/>
      <c r="SV223" s="36"/>
      <c r="SW223" s="36"/>
      <c r="SX223" s="36"/>
      <c r="SY223" s="36"/>
      <c r="SZ223" s="36"/>
      <c r="TA223" s="36"/>
      <c r="TB223" s="36"/>
      <c r="TC223" s="36"/>
      <c r="TD223" s="36"/>
      <c r="TE223" s="36"/>
      <c r="TF223" s="36"/>
      <c r="TG223" s="36"/>
      <c r="TH223" s="36"/>
      <c r="TI223" s="36"/>
      <c r="TJ223" s="36"/>
      <c r="TK223" s="36"/>
      <c r="TL223" s="36"/>
      <c r="TM223" s="36"/>
      <c r="TN223" s="36"/>
      <c r="TO223" s="36"/>
      <c r="TP223" s="36"/>
      <c r="TQ223" s="36"/>
      <c r="TR223" s="36"/>
      <c r="TS223" s="36"/>
      <c r="TT223" s="36"/>
      <c r="TU223" s="36"/>
      <c r="TV223" s="36"/>
      <c r="TW223" s="36"/>
      <c r="TX223" s="36"/>
      <c r="TY223" s="36"/>
      <c r="TZ223" s="36"/>
      <c r="UA223" s="36"/>
      <c r="UB223" s="36"/>
      <c r="UC223" s="36"/>
      <c r="UD223" s="36"/>
      <c r="UE223" s="36"/>
      <c r="UF223" s="36"/>
      <c r="UG223" s="36"/>
      <c r="UH223" s="36"/>
      <c r="UI223" s="36"/>
      <c r="UJ223" s="36"/>
      <c r="UK223" s="36"/>
      <c r="UL223" s="36"/>
      <c r="UM223" s="36"/>
      <c r="UN223" s="36"/>
      <c r="UO223" s="36"/>
      <c r="UP223" s="36"/>
      <c r="UQ223" s="36"/>
      <c r="UR223" s="36"/>
      <c r="US223" s="36"/>
      <c r="UT223" s="36"/>
      <c r="UU223" s="36"/>
      <c r="UV223" s="36"/>
      <c r="UW223" s="36"/>
      <c r="UX223" s="36"/>
      <c r="UY223" s="36"/>
      <c r="UZ223" s="36"/>
      <c r="VA223" s="36"/>
      <c r="VB223" s="36"/>
      <c r="VC223" s="36"/>
      <c r="VD223" s="36"/>
      <c r="VE223" s="36"/>
      <c r="VF223" s="36"/>
      <c r="VG223" s="36"/>
      <c r="VH223" s="36"/>
      <c r="VI223" s="36"/>
      <c r="VJ223" s="36"/>
      <c r="VK223" s="36"/>
      <c r="VL223" s="36"/>
      <c r="VM223" s="36"/>
      <c r="VN223" s="36"/>
      <c r="VO223" s="36"/>
      <c r="VP223" s="36"/>
      <c r="VQ223" s="36"/>
      <c r="VR223" s="36"/>
      <c r="VS223" s="36"/>
      <c r="VT223" s="36"/>
      <c r="VU223" s="36"/>
      <c r="VV223" s="36"/>
      <c r="VW223" s="36"/>
      <c r="VX223" s="36"/>
      <c r="VY223" s="36"/>
      <c r="VZ223" s="36"/>
      <c r="WA223" s="36"/>
      <c r="WB223" s="36"/>
      <c r="WC223" s="36"/>
      <c r="WD223" s="36"/>
      <c r="WE223" s="36"/>
      <c r="WF223" s="36"/>
      <c r="WG223" s="36"/>
      <c r="WH223" s="36"/>
      <c r="WI223" s="36"/>
      <c r="WJ223" s="36"/>
      <c r="WK223" s="36"/>
      <c r="WL223" s="36"/>
      <c r="WM223" s="36"/>
      <c r="WN223" s="36"/>
      <c r="WO223" s="36"/>
      <c r="WP223" s="36"/>
      <c r="WQ223" s="36"/>
      <c r="WR223" s="36"/>
      <c r="WS223" s="36"/>
      <c r="WT223" s="36"/>
      <c r="WU223" s="36"/>
      <c r="WV223" s="36"/>
      <c r="WW223" s="36"/>
      <c r="WX223" s="36"/>
      <c r="WY223" s="36"/>
      <c r="WZ223" s="36"/>
      <c r="XA223" s="36"/>
      <c r="XB223" s="36"/>
      <c r="XC223" s="36"/>
      <c r="XD223" s="36"/>
      <c r="XE223" s="36"/>
      <c r="XF223" s="36"/>
      <c r="XG223" s="36"/>
      <c r="XH223" s="36"/>
      <c r="XI223" s="36"/>
      <c r="XJ223" s="36"/>
      <c r="XK223" s="36"/>
      <c r="XL223" s="36"/>
      <c r="XM223" s="36"/>
      <c r="XN223" s="36"/>
      <c r="XO223" s="36"/>
      <c r="XP223" s="36"/>
      <c r="XQ223" s="36"/>
      <c r="XR223" s="36"/>
      <c r="XS223" s="36"/>
      <c r="XT223" s="36"/>
      <c r="XU223" s="36"/>
      <c r="XV223" s="36"/>
      <c r="XW223" s="36"/>
      <c r="XX223" s="36"/>
      <c r="XY223" s="36"/>
      <c r="XZ223" s="36"/>
      <c r="YA223" s="36"/>
      <c r="YB223" s="36"/>
      <c r="YC223" s="36"/>
      <c r="YD223" s="36"/>
      <c r="YE223" s="36"/>
      <c r="YF223" s="36"/>
      <c r="YG223" s="36"/>
      <c r="YH223" s="36"/>
      <c r="YI223" s="36"/>
      <c r="YJ223" s="36"/>
      <c r="YK223" s="36"/>
      <c r="YL223" s="36"/>
      <c r="YM223" s="36"/>
      <c r="YN223" s="36"/>
      <c r="YO223" s="36"/>
      <c r="YP223" s="36"/>
      <c r="YQ223" s="36"/>
      <c r="YR223" s="36"/>
      <c r="YS223" s="36"/>
      <c r="YT223" s="36"/>
      <c r="YU223" s="36"/>
      <c r="YV223" s="36"/>
      <c r="YW223" s="36"/>
      <c r="YX223" s="36"/>
      <c r="YY223" s="36"/>
      <c r="YZ223" s="36"/>
      <c r="ZA223" s="36"/>
      <c r="ZB223" s="36"/>
      <c r="ZC223" s="36"/>
      <c r="ZD223" s="36"/>
      <c r="ZE223" s="36"/>
      <c r="ZF223" s="36"/>
      <c r="ZG223" s="36"/>
      <c r="ZH223" s="36"/>
      <c r="ZI223" s="36"/>
      <c r="ZJ223" s="36"/>
      <c r="ZK223" s="36"/>
      <c r="ZL223" s="36"/>
      <c r="ZM223" s="36"/>
      <c r="ZN223" s="36"/>
      <c r="ZO223" s="36"/>
      <c r="ZP223" s="36"/>
      <c r="ZQ223" s="36"/>
      <c r="ZR223" s="36"/>
      <c r="ZS223" s="36"/>
      <c r="ZT223" s="36"/>
      <c r="ZU223" s="36"/>
      <c r="ZV223" s="36"/>
      <c r="ZW223" s="36"/>
      <c r="ZX223" s="36"/>
      <c r="ZY223" s="36"/>
      <c r="ZZ223" s="36"/>
      <c r="AAA223" s="36"/>
      <c r="AAB223" s="36"/>
      <c r="AAC223" s="36"/>
      <c r="AAD223" s="36"/>
      <c r="AAE223" s="36"/>
      <c r="AAF223" s="36"/>
      <c r="AAG223" s="36"/>
      <c r="AAH223" s="36"/>
      <c r="AAI223" s="36"/>
      <c r="AAJ223" s="36"/>
      <c r="AAK223" s="36"/>
      <c r="AAL223" s="36"/>
      <c r="AAM223" s="36"/>
      <c r="AAN223" s="36"/>
      <c r="AAO223" s="36"/>
      <c r="AAP223" s="36"/>
      <c r="AAQ223" s="36"/>
      <c r="AAR223" s="36"/>
      <c r="AAS223" s="36"/>
      <c r="AAT223" s="36"/>
      <c r="AAU223" s="36"/>
      <c r="AAV223" s="36"/>
      <c r="AAW223" s="36"/>
      <c r="AAX223" s="36"/>
      <c r="AAY223" s="36"/>
      <c r="AAZ223" s="36"/>
      <c r="ABA223" s="36"/>
      <c r="ABB223" s="36"/>
      <c r="ABC223" s="36"/>
      <c r="ABD223" s="36"/>
      <c r="ABE223" s="36"/>
      <c r="ABF223" s="36"/>
      <c r="ABG223" s="36"/>
      <c r="ABH223" s="36"/>
      <c r="ABI223" s="36"/>
      <c r="ABJ223" s="36"/>
      <c r="ABK223" s="36"/>
      <c r="ABL223" s="36"/>
      <c r="ABM223" s="36"/>
      <c r="ABN223" s="36"/>
      <c r="ABO223" s="36"/>
      <c r="ABP223" s="36"/>
      <c r="ABQ223" s="36"/>
      <c r="ABR223" s="36"/>
      <c r="ABS223" s="36"/>
      <c r="ABT223" s="36"/>
      <c r="ABU223" s="36"/>
      <c r="ABV223" s="36"/>
      <c r="ABW223" s="36"/>
      <c r="ABX223" s="36"/>
      <c r="ABY223" s="36"/>
      <c r="ABZ223" s="36"/>
      <c r="ACA223" s="36"/>
      <c r="ACB223" s="36"/>
      <c r="ACC223" s="36"/>
      <c r="ACD223" s="36"/>
      <c r="ACE223" s="36"/>
      <c r="ACF223" s="36"/>
      <c r="ACG223" s="36"/>
      <c r="ACH223" s="36"/>
      <c r="ACI223" s="36"/>
      <c r="ACJ223" s="36"/>
      <c r="ACK223" s="36"/>
      <c r="ACL223" s="36"/>
      <c r="ACM223" s="36"/>
      <c r="ACN223" s="36"/>
      <c r="ACO223" s="36"/>
      <c r="ACP223" s="36"/>
      <c r="ACQ223" s="36"/>
      <c r="ACR223" s="36"/>
      <c r="ACS223" s="36"/>
      <c r="ACT223" s="36"/>
      <c r="ACU223" s="36"/>
      <c r="ACV223" s="36"/>
      <c r="ACW223" s="36"/>
      <c r="ACX223" s="36"/>
      <c r="ACY223" s="36"/>
      <c r="ACZ223" s="36"/>
      <c r="ADA223" s="36"/>
      <c r="ADB223" s="36"/>
      <c r="ADC223" s="36"/>
      <c r="ADD223" s="36"/>
      <c r="ADE223" s="36"/>
      <c r="ADF223" s="36"/>
      <c r="ADG223" s="36"/>
      <c r="ADH223" s="36"/>
      <c r="ADI223" s="36"/>
      <c r="ADJ223" s="36"/>
      <c r="ADK223" s="36"/>
      <c r="ADL223" s="36"/>
      <c r="ADM223" s="36"/>
      <c r="ADN223" s="36"/>
      <c r="ADO223" s="36"/>
      <c r="ADP223" s="36"/>
      <c r="ADQ223" s="36"/>
      <c r="ADR223" s="36"/>
      <c r="ADS223" s="36"/>
      <c r="ADT223" s="36"/>
      <c r="ADU223" s="36"/>
      <c r="ADV223" s="36"/>
      <c r="ADW223" s="36"/>
      <c r="ADX223" s="36"/>
      <c r="ADY223" s="36"/>
      <c r="ADZ223" s="36"/>
      <c r="AEA223" s="36"/>
      <c r="AEB223" s="36"/>
      <c r="AEC223" s="36"/>
      <c r="AED223" s="36"/>
      <c r="AEE223" s="36"/>
      <c r="AEF223" s="36"/>
      <c r="AEG223" s="36"/>
      <c r="AEH223" s="36"/>
      <c r="AEI223" s="36"/>
      <c r="AEJ223" s="36"/>
      <c r="AEK223" s="36"/>
      <c r="AEL223" s="36"/>
      <c r="AEM223" s="36"/>
      <c r="AEN223" s="36"/>
      <c r="AEO223" s="36"/>
      <c r="AEP223" s="36"/>
      <c r="AEQ223" s="36"/>
      <c r="AER223" s="36"/>
      <c r="AES223" s="36"/>
      <c r="AET223" s="36"/>
      <c r="AEU223" s="36"/>
      <c r="AEV223" s="36"/>
      <c r="AEW223" s="36"/>
      <c r="AEX223" s="36"/>
      <c r="AEY223" s="36"/>
      <c r="AEZ223" s="36"/>
      <c r="AFA223" s="36"/>
      <c r="AFB223" s="36"/>
      <c r="AFC223" s="36"/>
      <c r="AFD223" s="36"/>
      <c r="AFE223" s="36"/>
      <c r="AFF223" s="36"/>
      <c r="AFG223" s="36"/>
      <c r="AFH223" s="36"/>
      <c r="AFI223" s="36"/>
      <c r="AFJ223" s="36"/>
      <c r="AFK223" s="36"/>
      <c r="AFL223" s="36"/>
      <c r="AFM223" s="36"/>
      <c r="AFN223" s="36"/>
      <c r="AFO223" s="36"/>
      <c r="AFP223" s="36"/>
      <c r="AFQ223" s="36"/>
      <c r="AFR223" s="36"/>
      <c r="AFS223" s="36"/>
      <c r="AFT223" s="36"/>
      <c r="AFU223" s="36"/>
      <c r="AFV223" s="36"/>
      <c r="AFW223" s="36"/>
      <c r="AFX223" s="36"/>
      <c r="AFY223" s="36"/>
      <c r="AFZ223" s="36"/>
      <c r="AGA223" s="36"/>
      <c r="AGB223" s="36"/>
      <c r="AGC223" s="36"/>
      <c r="AGD223" s="36"/>
      <c r="AGE223" s="36"/>
      <c r="AGF223" s="36"/>
      <c r="AGG223" s="36"/>
      <c r="AGH223" s="36"/>
      <c r="AGI223" s="36"/>
      <c r="AGJ223" s="36"/>
      <c r="AGK223" s="36"/>
      <c r="AGL223" s="36"/>
      <c r="AGM223" s="36"/>
      <c r="AGN223" s="36"/>
      <c r="AGO223" s="36"/>
      <c r="AGP223" s="36"/>
      <c r="AGQ223" s="36"/>
      <c r="AGR223" s="36"/>
      <c r="AGS223" s="36"/>
      <c r="AGT223" s="36"/>
      <c r="AGU223" s="36"/>
      <c r="AGV223" s="36"/>
      <c r="AGW223" s="36"/>
      <c r="AGX223" s="36"/>
      <c r="AGY223" s="36"/>
      <c r="AGZ223" s="36"/>
      <c r="AHA223" s="36"/>
      <c r="AHB223" s="36"/>
      <c r="AHC223" s="36"/>
      <c r="AHD223" s="36"/>
      <c r="AHE223" s="36"/>
      <c r="AHF223" s="36"/>
      <c r="AHG223" s="36"/>
      <c r="AHH223" s="36"/>
      <c r="AHI223" s="36"/>
      <c r="AHJ223" s="36"/>
      <c r="AHK223" s="36"/>
      <c r="AHL223" s="36"/>
      <c r="AHM223" s="36"/>
      <c r="AHN223" s="36"/>
      <c r="AHO223" s="36"/>
      <c r="AHP223" s="36"/>
      <c r="AHQ223" s="36"/>
      <c r="AHR223" s="36"/>
      <c r="AHS223" s="36"/>
      <c r="AHT223" s="36"/>
      <c r="AHU223" s="36"/>
      <c r="AHV223" s="36"/>
      <c r="AHW223" s="36"/>
      <c r="AHX223" s="36"/>
      <c r="AHY223" s="36"/>
      <c r="AHZ223" s="36"/>
      <c r="AIA223" s="36"/>
      <c r="AIB223" s="36"/>
      <c r="AIC223" s="36"/>
      <c r="AID223" s="36"/>
      <c r="AIE223" s="36"/>
      <c r="AIF223" s="36"/>
      <c r="AIG223" s="36"/>
      <c r="AIH223" s="36"/>
      <c r="AII223" s="36"/>
      <c r="AIJ223" s="36"/>
      <c r="AIK223" s="36"/>
      <c r="AIL223" s="36"/>
      <c r="AIM223" s="36"/>
      <c r="AIN223" s="36"/>
      <c r="AIO223" s="36"/>
      <c r="AIP223" s="36"/>
      <c r="AIQ223" s="36"/>
      <c r="AIR223" s="36"/>
      <c r="AIS223" s="36"/>
      <c r="AIT223" s="36"/>
      <c r="AIU223" s="36"/>
      <c r="AIV223" s="36"/>
      <c r="AIW223" s="36"/>
      <c r="AIX223" s="36"/>
      <c r="AIY223" s="36"/>
      <c r="AIZ223" s="36"/>
      <c r="AJA223" s="36"/>
      <c r="AJB223" s="36"/>
      <c r="AJC223" s="36"/>
      <c r="AJD223" s="36"/>
      <c r="AJE223" s="36"/>
      <c r="AJF223" s="36"/>
      <c r="AJG223" s="36"/>
      <c r="AJH223" s="36"/>
      <c r="AJI223" s="36"/>
      <c r="AJJ223" s="36"/>
      <c r="AJK223" s="36"/>
      <c r="AJL223" s="36"/>
      <c r="AJM223" s="36"/>
      <c r="AJN223" s="36"/>
      <c r="AJO223" s="36"/>
      <c r="AJP223" s="36"/>
      <c r="AJQ223" s="36"/>
      <c r="AJR223" s="36"/>
      <c r="AJS223" s="36"/>
      <c r="AJT223" s="36"/>
      <c r="AJU223" s="36"/>
      <c r="AJV223" s="36"/>
      <c r="AJW223" s="36"/>
      <c r="AJX223" s="36"/>
      <c r="AJY223" s="36"/>
      <c r="AJZ223" s="36"/>
      <c r="AKA223" s="36"/>
      <c r="AKB223" s="36"/>
      <c r="AKC223" s="36"/>
      <c r="AKD223" s="36"/>
      <c r="AKE223" s="36"/>
      <c r="AKF223" s="36"/>
      <c r="AKG223" s="36"/>
      <c r="AKH223" s="36"/>
      <c r="AKI223" s="36"/>
      <c r="AKJ223" s="36"/>
      <c r="AKK223" s="36"/>
      <c r="AKL223" s="36"/>
      <c r="AKM223" s="36"/>
      <c r="AKN223" s="36"/>
      <c r="AKO223" s="36"/>
      <c r="AKP223" s="36"/>
      <c r="AKQ223" s="36"/>
      <c r="AKR223" s="36"/>
      <c r="AKS223" s="36"/>
      <c r="AKT223" s="36"/>
      <c r="AKU223" s="36"/>
      <c r="AKV223" s="36"/>
      <c r="AKW223" s="36"/>
      <c r="AKX223" s="36"/>
      <c r="AKY223" s="36"/>
      <c r="AKZ223" s="36"/>
      <c r="ALA223" s="36"/>
      <c r="ALB223" s="36"/>
      <c r="ALC223" s="36"/>
      <c r="ALD223" s="36"/>
      <c r="ALE223" s="36"/>
      <c r="ALF223" s="36"/>
      <c r="ALG223" s="36"/>
      <c r="ALH223" s="36"/>
      <c r="ALI223" s="36"/>
      <c r="ALJ223" s="36"/>
      <c r="ALK223" s="36"/>
      <c r="ALL223" s="36"/>
      <c r="ALM223" s="36"/>
      <c r="ALN223" s="36"/>
      <c r="ALO223" s="36"/>
      <c r="ALP223" s="36"/>
      <c r="ALQ223" s="36"/>
      <c r="ALR223" s="36"/>
      <c r="ALS223" s="36"/>
      <c r="ALT223" s="36"/>
      <c r="ALU223" s="36"/>
      <c r="ALV223" s="36"/>
      <c r="ALW223" s="36"/>
      <c r="ALX223" s="36"/>
      <c r="ALY223" s="36"/>
      <c r="ALZ223" s="36"/>
      <c r="AMA223" s="36"/>
      <c r="AMB223" s="36"/>
      <c r="AMC223" s="36"/>
      <c r="AMD223" s="36"/>
      <c r="AME223" s="36"/>
      <c r="AMF223" s="36"/>
      <c r="AMG223" s="36"/>
      <c r="AMH223" s="36"/>
      <c r="AMI223" s="36"/>
      <c r="AMJ223" s="36"/>
      <c r="AMK223" s="36"/>
      <c r="AML223" s="36"/>
      <c r="AMM223" s="36"/>
      <c r="AMN223" s="36"/>
      <c r="AMO223" s="36"/>
      <c r="AMP223" s="36"/>
      <c r="AMQ223" s="36"/>
      <c r="AMR223" s="36"/>
      <c r="AMS223" s="36"/>
      <c r="AMT223" s="36"/>
      <c r="AMU223" s="36"/>
      <c r="AMV223" s="36"/>
      <c r="AMW223" s="36"/>
      <c r="AMX223" s="36"/>
      <c r="AMY223" s="36"/>
      <c r="AMZ223" s="36"/>
      <c r="ANA223" s="36"/>
      <c r="ANB223" s="36"/>
      <c r="ANC223" s="36"/>
      <c r="AND223" s="36"/>
      <c r="ANE223" s="36"/>
      <c r="ANF223" s="36"/>
      <c r="ANG223" s="36"/>
      <c r="ANH223" s="36"/>
      <c r="ANI223" s="36"/>
      <c r="ANJ223" s="36"/>
      <c r="ANK223" s="36"/>
      <c r="ANL223" s="36"/>
      <c r="ANM223" s="36"/>
      <c r="ANN223" s="36"/>
      <c r="ANO223" s="36"/>
      <c r="ANP223" s="36"/>
      <c r="ANQ223" s="36"/>
      <c r="ANR223" s="36"/>
      <c r="ANS223" s="36"/>
      <c r="ANT223" s="36"/>
      <c r="ANU223" s="36"/>
      <c r="ANV223" s="36"/>
      <c r="ANW223" s="36"/>
      <c r="ANX223" s="36"/>
      <c r="ANY223" s="36"/>
      <c r="ANZ223" s="36"/>
      <c r="AOA223" s="36"/>
      <c r="AOB223" s="36"/>
      <c r="AOC223" s="36"/>
      <c r="AOD223" s="36"/>
      <c r="AOE223" s="36"/>
      <c r="AOF223" s="36"/>
      <c r="AOG223" s="36"/>
      <c r="AOH223" s="36"/>
      <c r="AOI223" s="36"/>
      <c r="AOJ223" s="36"/>
      <c r="AOK223" s="36"/>
      <c r="AOL223" s="36"/>
      <c r="AOM223" s="36"/>
      <c r="AON223" s="36"/>
      <c r="AOO223" s="36"/>
      <c r="AOP223" s="36"/>
      <c r="AOQ223" s="36"/>
      <c r="AOR223" s="36"/>
      <c r="AOS223" s="36"/>
      <c r="AOT223" s="36"/>
      <c r="AOU223" s="36"/>
      <c r="AOV223" s="36"/>
      <c r="AOW223" s="36"/>
      <c r="AOX223" s="36"/>
      <c r="AOY223" s="36"/>
      <c r="AOZ223" s="36"/>
      <c r="APA223" s="36"/>
      <c r="APB223" s="36"/>
      <c r="APC223" s="36"/>
      <c r="APD223" s="36"/>
      <c r="APE223" s="36"/>
      <c r="APF223" s="36"/>
      <c r="APG223" s="36"/>
      <c r="APH223" s="36"/>
      <c r="API223" s="36"/>
      <c r="APJ223" s="36"/>
      <c r="APK223" s="36"/>
      <c r="APL223" s="36"/>
      <c r="APM223" s="36"/>
      <c r="APN223" s="36"/>
      <c r="APO223" s="36"/>
      <c r="APP223" s="36"/>
      <c r="APQ223" s="36"/>
      <c r="APR223" s="36"/>
      <c r="APS223" s="36"/>
      <c r="APT223" s="36"/>
      <c r="APU223" s="36"/>
      <c r="APV223" s="36"/>
      <c r="APW223" s="36"/>
      <c r="APX223" s="36"/>
      <c r="APY223" s="36"/>
      <c r="APZ223" s="36"/>
      <c r="AQA223" s="36"/>
      <c r="AQB223" s="36"/>
      <c r="AQC223" s="36"/>
      <c r="AQD223" s="36"/>
      <c r="AQE223" s="36"/>
      <c r="AQF223" s="36"/>
      <c r="AQG223" s="36"/>
      <c r="AQH223" s="36"/>
      <c r="AQI223" s="36"/>
      <c r="AQJ223" s="36"/>
      <c r="AQK223" s="36"/>
      <c r="AQL223" s="36"/>
      <c r="AQM223" s="36"/>
      <c r="AQN223" s="36"/>
      <c r="AQO223" s="36"/>
      <c r="AQP223" s="36"/>
      <c r="AQQ223" s="36"/>
      <c r="AQR223" s="36"/>
      <c r="AQS223" s="36"/>
      <c r="AQT223" s="36"/>
      <c r="AQU223" s="36"/>
      <c r="AQV223" s="36"/>
      <c r="AQW223" s="36"/>
      <c r="AQX223" s="36"/>
      <c r="AQY223" s="36"/>
      <c r="AQZ223" s="36"/>
      <c r="ARA223" s="36"/>
      <c r="ARB223" s="36"/>
      <c r="ARC223" s="36"/>
      <c r="ARD223" s="36"/>
      <c r="ARE223" s="36"/>
      <c r="ARF223" s="36"/>
      <c r="ARG223" s="36"/>
      <c r="ARH223" s="36"/>
      <c r="ARI223" s="36"/>
      <c r="ARJ223" s="36"/>
      <c r="ARK223" s="36"/>
      <c r="ARL223" s="36"/>
      <c r="ARM223" s="36"/>
      <c r="ARN223" s="36"/>
      <c r="ARO223" s="36"/>
      <c r="ARP223" s="36"/>
      <c r="ARQ223" s="36"/>
      <c r="ARR223" s="36"/>
      <c r="ARS223" s="36"/>
      <c r="ART223" s="36"/>
      <c r="ARU223" s="36"/>
      <c r="ARV223" s="36"/>
      <c r="ARW223" s="36"/>
      <c r="ARX223" s="36"/>
      <c r="ARY223" s="36"/>
      <c r="ARZ223" s="36"/>
      <c r="ASA223" s="36"/>
      <c r="ASB223" s="36"/>
      <c r="ASC223" s="36"/>
      <c r="ASD223" s="36"/>
      <c r="ASE223" s="36"/>
      <c r="ASF223" s="36"/>
      <c r="ASG223" s="36"/>
      <c r="ASH223" s="36"/>
      <c r="ASI223" s="36"/>
      <c r="ASJ223" s="36"/>
      <c r="ASK223" s="36"/>
      <c r="ASL223" s="36"/>
      <c r="ASM223" s="36"/>
      <c r="ASN223" s="36"/>
      <c r="ASO223" s="36"/>
      <c r="ASP223" s="36"/>
      <c r="ASQ223" s="36"/>
      <c r="ASR223" s="36"/>
      <c r="ASS223" s="36"/>
      <c r="AST223" s="36"/>
      <c r="ASU223" s="36"/>
      <c r="ASV223" s="36"/>
      <c r="ASW223" s="36"/>
      <c r="ASX223" s="36"/>
      <c r="ASY223" s="36"/>
      <c r="ASZ223" s="36"/>
      <c r="ATA223" s="36"/>
      <c r="ATB223" s="36"/>
      <c r="ATC223" s="36"/>
      <c r="ATD223" s="36"/>
      <c r="ATE223" s="36"/>
      <c r="ATF223" s="36"/>
      <c r="ATG223" s="36"/>
      <c r="ATH223" s="36"/>
      <c r="ATI223" s="36"/>
      <c r="ATJ223" s="36"/>
      <c r="ATK223" s="36"/>
      <c r="ATL223" s="36"/>
      <c r="ATM223" s="36"/>
      <c r="ATN223" s="36"/>
      <c r="ATO223" s="36"/>
      <c r="ATP223" s="36"/>
      <c r="ATQ223" s="36"/>
      <c r="ATR223" s="36"/>
      <c r="ATS223" s="36"/>
      <c r="ATT223" s="36"/>
      <c r="ATU223" s="36"/>
      <c r="ATV223" s="36"/>
      <c r="ATW223" s="36"/>
      <c r="ATX223" s="36"/>
      <c r="ATY223" s="36"/>
      <c r="ATZ223" s="36"/>
      <c r="AUA223" s="36"/>
      <c r="AUB223" s="36"/>
      <c r="AUC223" s="36"/>
      <c r="AUD223" s="36"/>
      <c r="AUE223" s="36"/>
      <c r="AUF223" s="36"/>
      <c r="AUG223" s="36"/>
      <c r="AUH223" s="36"/>
      <c r="AUI223" s="36"/>
      <c r="AUJ223" s="36"/>
      <c r="AUK223" s="36"/>
      <c r="AUL223" s="36"/>
      <c r="AUM223" s="36"/>
      <c r="AUN223" s="36"/>
      <c r="AUO223" s="36"/>
      <c r="AUP223" s="36"/>
      <c r="AUQ223" s="36"/>
      <c r="AUR223" s="36"/>
      <c r="AUS223" s="36"/>
      <c r="AUT223" s="36"/>
      <c r="AUU223" s="36"/>
      <c r="AUV223" s="36"/>
      <c r="AUW223" s="36"/>
      <c r="AUX223" s="36"/>
      <c r="AUY223" s="36"/>
      <c r="AUZ223" s="36"/>
      <c r="AVA223" s="36"/>
      <c r="AVB223" s="36"/>
      <c r="AVC223" s="36"/>
      <c r="AVD223" s="36"/>
      <c r="AVE223" s="36"/>
      <c r="AVF223" s="36"/>
      <c r="AVG223" s="36"/>
      <c r="AVH223" s="36"/>
      <c r="AVI223" s="36"/>
      <c r="AVJ223" s="36"/>
      <c r="AVK223" s="36"/>
      <c r="AVL223" s="36"/>
      <c r="AVM223" s="36"/>
      <c r="AVN223" s="36"/>
      <c r="AVO223" s="36"/>
      <c r="AVP223" s="36"/>
      <c r="AVQ223" s="36"/>
      <c r="AVR223" s="36"/>
      <c r="AVS223" s="36"/>
      <c r="AVT223" s="36"/>
      <c r="AVU223" s="36"/>
      <c r="AVV223" s="36"/>
      <c r="AVW223" s="36"/>
      <c r="AVX223" s="36"/>
      <c r="AVY223" s="36"/>
      <c r="AVZ223" s="36"/>
      <c r="AWA223" s="36"/>
      <c r="AWB223" s="36"/>
      <c r="AWC223" s="36"/>
      <c r="AWD223" s="36"/>
      <c r="AWE223" s="36"/>
      <c r="AWF223" s="36"/>
      <c r="AWG223" s="36"/>
      <c r="AWH223" s="36"/>
      <c r="AWI223" s="36"/>
      <c r="AWJ223" s="36"/>
      <c r="AWK223" s="36"/>
      <c r="AWL223" s="36"/>
      <c r="AWM223" s="36"/>
      <c r="AWN223" s="36"/>
      <c r="AWO223" s="36"/>
      <c r="AWP223" s="36"/>
      <c r="AWQ223" s="36"/>
      <c r="AWR223" s="36"/>
      <c r="AWS223" s="36"/>
      <c r="AWT223" s="36"/>
      <c r="AWU223" s="36"/>
      <c r="AWV223" s="36"/>
      <c r="AWW223" s="36"/>
      <c r="AWX223" s="36"/>
      <c r="AWY223" s="36"/>
      <c r="AWZ223" s="36"/>
      <c r="AXA223" s="36"/>
      <c r="AXB223" s="36"/>
      <c r="AXC223" s="36"/>
      <c r="AXD223" s="36"/>
      <c r="AXE223" s="36"/>
      <c r="AXF223" s="36"/>
      <c r="AXG223" s="36"/>
      <c r="AXH223" s="36"/>
      <c r="AXI223" s="36"/>
      <c r="AXJ223" s="36"/>
      <c r="AXK223" s="36"/>
      <c r="AXL223" s="36"/>
      <c r="AXM223" s="36"/>
      <c r="AXN223" s="36"/>
      <c r="AXO223" s="36"/>
      <c r="AXP223" s="36"/>
      <c r="AXQ223" s="36"/>
      <c r="AXR223" s="36"/>
      <c r="AXS223" s="36"/>
      <c r="AXT223" s="36"/>
      <c r="AXU223" s="36"/>
      <c r="AXV223" s="36"/>
      <c r="AXW223" s="36"/>
      <c r="AXX223" s="36"/>
      <c r="AXY223" s="36"/>
      <c r="AXZ223" s="36"/>
      <c r="AYA223" s="36"/>
      <c r="AYB223" s="36"/>
      <c r="AYC223" s="36"/>
      <c r="AYD223" s="36"/>
      <c r="AYE223" s="36"/>
      <c r="AYF223" s="36"/>
      <c r="AYG223" s="36"/>
      <c r="AYH223" s="36"/>
      <c r="AYI223" s="36"/>
      <c r="AYJ223" s="36"/>
      <c r="AYK223" s="36"/>
      <c r="AYL223" s="36"/>
      <c r="AYM223" s="36"/>
      <c r="AYN223" s="36"/>
      <c r="AYO223" s="36"/>
      <c r="AYP223" s="36"/>
      <c r="AYQ223" s="36"/>
      <c r="AYR223" s="36"/>
      <c r="AYS223" s="36"/>
      <c r="AYT223" s="36"/>
      <c r="AYU223" s="36"/>
      <c r="AYV223" s="36"/>
      <c r="AYW223" s="36"/>
      <c r="AYX223" s="36"/>
      <c r="AYY223" s="36"/>
      <c r="AYZ223" s="36"/>
      <c r="AZA223" s="36"/>
      <c r="AZB223" s="36"/>
      <c r="AZC223" s="36"/>
      <c r="AZD223" s="36"/>
      <c r="AZE223" s="36"/>
      <c r="AZF223" s="36"/>
      <c r="AZG223" s="36"/>
      <c r="AZH223" s="36"/>
      <c r="AZI223" s="36"/>
      <c r="AZJ223" s="36"/>
      <c r="AZK223" s="36"/>
      <c r="AZL223" s="36"/>
      <c r="AZM223" s="36"/>
      <c r="AZN223" s="36"/>
      <c r="AZO223" s="36"/>
      <c r="AZP223" s="36"/>
      <c r="AZQ223" s="36"/>
      <c r="AZR223" s="36"/>
      <c r="AZS223" s="36"/>
      <c r="AZT223" s="36"/>
      <c r="AZU223" s="36"/>
      <c r="AZV223" s="36"/>
      <c r="AZW223" s="36"/>
      <c r="AZX223" s="36"/>
      <c r="AZY223" s="36"/>
      <c r="AZZ223" s="36"/>
      <c r="BAA223" s="36"/>
      <c r="BAB223" s="36"/>
      <c r="BAC223" s="36"/>
      <c r="BAD223" s="36"/>
      <c r="BAE223" s="36"/>
      <c r="BAF223" s="36"/>
      <c r="BAG223" s="36"/>
      <c r="BAH223" s="36"/>
      <c r="BAI223" s="36"/>
      <c r="BAJ223" s="36"/>
      <c r="BAK223" s="36"/>
      <c r="BAL223" s="36"/>
      <c r="BAM223" s="36"/>
      <c r="BAN223" s="36"/>
      <c r="BAO223" s="36"/>
      <c r="BAP223" s="36"/>
      <c r="BAQ223" s="36"/>
      <c r="BAR223" s="36"/>
      <c r="BAS223" s="36"/>
      <c r="BAT223" s="36"/>
      <c r="BAU223" s="36"/>
      <c r="BAV223" s="36"/>
      <c r="BAW223" s="36"/>
      <c r="BAX223" s="36"/>
      <c r="BAY223" s="36"/>
      <c r="BAZ223" s="36"/>
      <c r="BBA223" s="36"/>
      <c r="BBB223" s="36"/>
      <c r="BBC223" s="36"/>
      <c r="BBD223" s="36"/>
      <c r="BBE223" s="36"/>
      <c r="BBF223" s="36"/>
      <c r="BBG223" s="36"/>
      <c r="BBH223" s="36"/>
      <c r="BBI223" s="36"/>
      <c r="BBJ223" s="36"/>
      <c r="BBK223" s="36"/>
      <c r="BBL223" s="36"/>
      <c r="BBM223" s="36"/>
      <c r="BBN223" s="36"/>
      <c r="BBO223" s="36"/>
      <c r="BBP223" s="36"/>
      <c r="BBQ223" s="36"/>
      <c r="BBR223" s="36"/>
      <c r="BBS223" s="36"/>
      <c r="BBT223" s="36"/>
      <c r="BBU223" s="36"/>
      <c r="BBV223" s="36"/>
      <c r="BBW223" s="36"/>
      <c r="BBX223" s="36"/>
      <c r="BBY223" s="36"/>
      <c r="BBZ223" s="36"/>
      <c r="BCA223" s="36"/>
      <c r="BCB223" s="36"/>
      <c r="BCC223" s="36"/>
      <c r="BCD223" s="36"/>
      <c r="BCE223" s="36"/>
      <c r="BCF223" s="36"/>
      <c r="BCG223" s="36"/>
      <c r="BCH223" s="36"/>
      <c r="BCI223" s="36"/>
      <c r="BCJ223" s="36"/>
      <c r="BCK223" s="36"/>
      <c r="BCL223" s="36"/>
      <c r="BCM223" s="36"/>
      <c r="BCN223" s="36"/>
      <c r="BCO223" s="36"/>
      <c r="BCP223" s="36"/>
      <c r="BCQ223" s="36"/>
      <c r="BCR223" s="36"/>
      <c r="BCS223" s="36"/>
      <c r="BCT223" s="36"/>
      <c r="BCU223" s="36"/>
      <c r="BCV223" s="36"/>
      <c r="BCW223" s="36"/>
      <c r="BCX223" s="36"/>
      <c r="BCY223" s="36"/>
      <c r="BCZ223" s="36"/>
      <c r="BDA223" s="36"/>
      <c r="BDB223" s="36"/>
      <c r="BDC223" s="36"/>
      <c r="BDD223" s="36"/>
      <c r="BDE223" s="36"/>
      <c r="BDF223" s="36"/>
      <c r="BDG223" s="36"/>
      <c r="BDH223" s="36"/>
      <c r="BDI223" s="36"/>
      <c r="BDJ223" s="36"/>
      <c r="BDK223" s="36"/>
      <c r="BDL223" s="36"/>
      <c r="BDM223" s="36"/>
      <c r="BDN223" s="36"/>
      <c r="BDO223" s="36"/>
      <c r="BDP223" s="36"/>
      <c r="BDQ223" s="36"/>
      <c r="BDR223" s="36"/>
      <c r="BDS223" s="36"/>
      <c r="BDT223" s="36"/>
      <c r="BDU223" s="36"/>
      <c r="BDV223" s="36"/>
      <c r="BDW223" s="36"/>
      <c r="BDX223" s="36"/>
      <c r="BDY223" s="36"/>
      <c r="BDZ223" s="36"/>
      <c r="BEA223" s="36"/>
      <c r="BEB223" s="36"/>
      <c r="BEC223" s="36"/>
      <c r="BED223" s="36"/>
      <c r="BEE223" s="36"/>
      <c r="BEF223" s="36"/>
      <c r="BEG223" s="36"/>
      <c r="BEH223" s="36"/>
      <c r="BEI223" s="36"/>
      <c r="BEJ223" s="36"/>
      <c r="BEK223" s="36"/>
      <c r="BEL223" s="36"/>
      <c r="BEM223" s="36"/>
      <c r="BEN223" s="36"/>
      <c r="BEO223" s="36"/>
      <c r="BEP223" s="36"/>
      <c r="BEQ223" s="36"/>
      <c r="BER223" s="36"/>
      <c r="BES223" s="36"/>
      <c r="BET223" s="36"/>
      <c r="BEU223" s="36"/>
      <c r="BEV223" s="36"/>
      <c r="BEW223" s="36"/>
      <c r="BEX223" s="36"/>
      <c r="BEY223" s="36"/>
      <c r="BEZ223" s="36"/>
      <c r="BFA223" s="36"/>
      <c r="BFB223" s="36"/>
      <c r="BFC223" s="36"/>
      <c r="BFD223" s="36"/>
      <c r="BFE223" s="36"/>
      <c r="BFF223" s="36"/>
      <c r="BFG223" s="36"/>
      <c r="BFH223" s="36"/>
      <c r="BFI223" s="36"/>
      <c r="BFJ223" s="36"/>
      <c r="BFK223" s="36"/>
      <c r="BFL223" s="36"/>
      <c r="BFM223" s="36"/>
      <c r="BFN223" s="36"/>
      <c r="BFO223" s="36"/>
      <c r="BFP223" s="36"/>
      <c r="BFQ223" s="36"/>
      <c r="BFR223" s="36"/>
      <c r="BFS223" s="36"/>
      <c r="BFT223" s="36"/>
      <c r="BFU223" s="36"/>
      <c r="BFV223" s="36"/>
      <c r="BFW223" s="36"/>
      <c r="BFX223" s="36"/>
      <c r="BFY223" s="36"/>
      <c r="BFZ223" s="36"/>
      <c r="BGA223" s="36"/>
      <c r="BGB223" s="36"/>
      <c r="BGC223" s="36"/>
      <c r="BGD223" s="36"/>
      <c r="BGE223" s="36"/>
      <c r="BGF223" s="36"/>
      <c r="BGG223" s="36"/>
      <c r="BGH223" s="36"/>
      <c r="BGI223" s="36"/>
      <c r="BGJ223" s="36"/>
      <c r="BGK223" s="36"/>
      <c r="BGL223" s="36"/>
      <c r="BGM223" s="36"/>
      <c r="BGN223" s="36"/>
      <c r="BGO223" s="36"/>
      <c r="BGP223" s="36"/>
      <c r="BGQ223" s="36"/>
      <c r="BGR223" s="36"/>
      <c r="BGS223" s="36"/>
      <c r="BGT223" s="36"/>
      <c r="BGU223" s="36"/>
      <c r="BGV223" s="36"/>
      <c r="BGW223" s="36"/>
      <c r="BGX223" s="36"/>
      <c r="BGY223" s="36"/>
      <c r="BGZ223" s="36"/>
      <c r="BHA223" s="36"/>
      <c r="BHB223" s="36"/>
      <c r="BHC223" s="36"/>
      <c r="BHD223" s="36"/>
      <c r="BHE223" s="36"/>
      <c r="BHF223" s="36"/>
      <c r="BHG223" s="36"/>
      <c r="BHH223" s="36"/>
      <c r="BHI223" s="36"/>
      <c r="BHJ223" s="36"/>
      <c r="BHK223" s="36"/>
      <c r="BHL223" s="36"/>
      <c r="BHM223" s="36"/>
      <c r="BHN223" s="36"/>
      <c r="BHO223" s="36"/>
      <c r="BHP223" s="36"/>
      <c r="BHQ223" s="36"/>
      <c r="BHR223" s="36"/>
      <c r="BHS223" s="36"/>
      <c r="BHT223" s="36"/>
      <c r="BHU223" s="36"/>
      <c r="BHV223" s="36"/>
      <c r="BHW223" s="36"/>
      <c r="BHX223" s="36"/>
      <c r="BHY223" s="36"/>
      <c r="BHZ223" s="36"/>
      <c r="BIA223" s="36"/>
      <c r="BIB223" s="36"/>
      <c r="BIC223" s="36"/>
      <c r="BID223" s="36"/>
      <c r="BIE223" s="36"/>
      <c r="BIF223" s="36"/>
      <c r="BIG223" s="36"/>
      <c r="BIH223" s="36"/>
      <c r="BII223" s="36"/>
      <c r="BIJ223" s="36"/>
      <c r="BIK223" s="36"/>
      <c r="BIL223" s="36"/>
      <c r="BIM223" s="36"/>
      <c r="BIN223" s="36"/>
      <c r="BIO223" s="36"/>
      <c r="BIP223" s="36"/>
      <c r="BIQ223" s="36"/>
      <c r="BIR223" s="36"/>
      <c r="BIS223" s="36"/>
      <c r="BIT223" s="36"/>
      <c r="BIU223" s="36"/>
      <c r="BIV223" s="36"/>
      <c r="BIW223" s="36"/>
      <c r="BIX223" s="36"/>
      <c r="BIY223" s="36"/>
      <c r="BIZ223" s="36"/>
      <c r="BJA223" s="36"/>
      <c r="BJB223" s="36"/>
      <c r="BJC223" s="36"/>
      <c r="BJD223" s="36"/>
      <c r="BJE223" s="36"/>
      <c r="BJF223" s="36"/>
      <c r="BJG223" s="36"/>
      <c r="BJH223" s="36"/>
      <c r="BJI223" s="36"/>
      <c r="BJJ223" s="36"/>
      <c r="BJK223" s="36"/>
      <c r="BJL223" s="36"/>
      <c r="BJM223" s="36"/>
      <c r="BJN223" s="36"/>
      <c r="BJO223" s="36"/>
      <c r="BJP223" s="36"/>
      <c r="BJQ223" s="36"/>
      <c r="BJR223" s="36"/>
      <c r="BJS223" s="36"/>
      <c r="BJT223" s="36"/>
      <c r="BJU223" s="36"/>
      <c r="BJV223" s="36"/>
      <c r="BJW223" s="36"/>
      <c r="BJX223" s="36"/>
      <c r="BJY223" s="36"/>
      <c r="BJZ223" s="36"/>
      <c r="BKA223" s="36"/>
      <c r="BKB223" s="36"/>
      <c r="BKC223" s="36"/>
      <c r="BKD223" s="36"/>
      <c r="BKE223" s="36"/>
      <c r="BKF223" s="36"/>
      <c r="BKG223" s="36"/>
      <c r="BKH223" s="36"/>
      <c r="BKI223" s="36"/>
      <c r="BKJ223" s="36"/>
      <c r="BKK223" s="36"/>
      <c r="BKL223" s="36"/>
      <c r="BKM223" s="36"/>
      <c r="BKN223" s="36"/>
      <c r="BKO223" s="36"/>
      <c r="BKP223" s="36"/>
      <c r="BKQ223" s="36"/>
      <c r="BKR223" s="36"/>
      <c r="BKS223" s="36"/>
      <c r="BKT223" s="36"/>
      <c r="BKU223" s="36"/>
      <c r="BKV223" s="36"/>
      <c r="BKW223" s="36"/>
      <c r="BKX223" s="36"/>
      <c r="BKY223" s="36"/>
      <c r="BKZ223" s="36"/>
      <c r="BLA223" s="36"/>
      <c r="BLB223" s="36"/>
      <c r="BLC223" s="36"/>
      <c r="BLD223" s="36"/>
      <c r="BLE223" s="36"/>
      <c r="BLF223" s="36"/>
      <c r="BLG223" s="36"/>
      <c r="BLH223" s="36"/>
      <c r="BLI223" s="36"/>
      <c r="BLJ223" s="36"/>
      <c r="BLK223" s="36"/>
      <c r="BLL223" s="36"/>
      <c r="BLM223" s="36"/>
      <c r="BLN223" s="36"/>
      <c r="BLO223" s="36"/>
      <c r="BLP223" s="36"/>
      <c r="BLQ223" s="36"/>
      <c r="BLR223" s="36"/>
      <c r="BLS223" s="36"/>
      <c r="BLT223" s="36"/>
      <c r="BLU223" s="36"/>
      <c r="BLV223" s="36"/>
      <c r="BLW223" s="36"/>
      <c r="BLX223" s="36"/>
      <c r="BLY223" s="36"/>
      <c r="BLZ223" s="36"/>
      <c r="BMA223" s="36"/>
      <c r="BMB223" s="36"/>
      <c r="BMC223" s="36"/>
      <c r="BMD223" s="36"/>
      <c r="BME223" s="36"/>
      <c r="BMF223" s="36"/>
      <c r="BMG223" s="36"/>
      <c r="BMH223" s="36"/>
      <c r="BMI223" s="36"/>
      <c r="BMJ223" s="36"/>
      <c r="BMK223" s="36"/>
      <c r="BML223" s="36"/>
      <c r="BMM223" s="36"/>
      <c r="BMN223" s="36"/>
      <c r="BMO223" s="36"/>
      <c r="BMP223" s="36"/>
      <c r="BMQ223" s="36"/>
      <c r="BMR223" s="36"/>
      <c r="BMS223" s="36"/>
      <c r="BMT223" s="36"/>
      <c r="BMU223" s="36"/>
      <c r="BMV223" s="36"/>
      <c r="BMW223" s="36"/>
      <c r="BMX223" s="36"/>
      <c r="BMY223" s="36"/>
      <c r="BMZ223" s="36"/>
      <c r="BNA223" s="36"/>
      <c r="BNB223" s="36"/>
      <c r="BNC223" s="36"/>
      <c r="BND223" s="36"/>
      <c r="BNE223" s="36"/>
      <c r="BNF223" s="36"/>
      <c r="BNG223" s="36"/>
      <c r="BNH223" s="36"/>
      <c r="BNI223" s="36"/>
      <c r="BNJ223" s="36"/>
      <c r="BNK223" s="36"/>
      <c r="BNL223" s="36"/>
      <c r="BNM223" s="36"/>
      <c r="BNN223" s="36"/>
      <c r="BNO223" s="36"/>
      <c r="BNP223" s="36"/>
      <c r="BNQ223" s="36"/>
      <c r="BNR223" s="36"/>
      <c r="BNS223" s="36"/>
      <c r="BNT223" s="36"/>
      <c r="BNU223" s="36"/>
      <c r="BNV223" s="36"/>
      <c r="BNW223" s="36"/>
      <c r="BNX223" s="36"/>
      <c r="BNY223" s="36"/>
      <c r="BNZ223" s="36"/>
      <c r="BOA223" s="36"/>
      <c r="BOB223" s="36"/>
      <c r="BOC223" s="36"/>
      <c r="BOD223" s="36"/>
      <c r="BOE223" s="36"/>
      <c r="BOF223" s="36"/>
      <c r="BOG223" s="36"/>
      <c r="BOH223" s="36"/>
      <c r="BOI223" s="36"/>
      <c r="BOJ223" s="36"/>
      <c r="BOK223" s="36"/>
      <c r="BOL223" s="36"/>
      <c r="BOM223" s="36"/>
      <c r="BON223" s="36"/>
      <c r="BOO223" s="36"/>
      <c r="BOP223" s="36"/>
      <c r="BOQ223" s="36"/>
      <c r="BOR223" s="36"/>
      <c r="BOS223" s="36"/>
      <c r="BOT223" s="36"/>
      <c r="BOU223" s="36"/>
      <c r="BOV223" s="36"/>
      <c r="BOW223" s="36"/>
      <c r="BOX223" s="36"/>
      <c r="BOY223" s="36"/>
      <c r="BOZ223" s="36"/>
      <c r="BPA223" s="36"/>
      <c r="BPB223" s="36"/>
      <c r="BPC223" s="36"/>
      <c r="BPD223" s="36"/>
      <c r="BPE223" s="36"/>
      <c r="BPF223" s="36"/>
      <c r="BPG223" s="36"/>
      <c r="BPH223" s="36"/>
      <c r="BPI223" s="36"/>
      <c r="BPJ223" s="36"/>
      <c r="BPK223" s="36"/>
      <c r="BPL223" s="36"/>
      <c r="BPM223" s="36"/>
      <c r="BPN223" s="36"/>
      <c r="BPO223" s="36"/>
      <c r="BPP223" s="36"/>
      <c r="BPQ223" s="36"/>
      <c r="BPR223" s="36"/>
      <c r="BPS223" s="36"/>
      <c r="BPT223" s="36"/>
      <c r="BPU223" s="36"/>
      <c r="BPV223" s="36"/>
      <c r="BPW223" s="36"/>
      <c r="BPX223" s="36"/>
      <c r="BPY223" s="36"/>
      <c r="BPZ223" s="36"/>
      <c r="BQA223" s="36"/>
      <c r="BQB223" s="36"/>
      <c r="BQC223" s="36"/>
      <c r="BQD223" s="36"/>
      <c r="BQE223" s="36"/>
      <c r="BQF223" s="36"/>
      <c r="BQG223" s="36"/>
      <c r="BQH223" s="36"/>
      <c r="BQI223" s="36"/>
      <c r="BQJ223" s="36"/>
      <c r="BQK223" s="36"/>
      <c r="BQL223" s="36"/>
      <c r="BQM223" s="36"/>
      <c r="BQN223" s="36"/>
      <c r="BQO223" s="36"/>
      <c r="BQP223" s="36"/>
      <c r="BQQ223" s="36"/>
      <c r="BQR223" s="36"/>
      <c r="BQS223" s="36"/>
      <c r="BQT223" s="36"/>
      <c r="BQU223" s="36"/>
      <c r="BQV223" s="36"/>
      <c r="BQW223" s="36"/>
      <c r="BQX223" s="36"/>
      <c r="BQY223" s="36"/>
      <c r="BQZ223" s="36"/>
      <c r="BRA223" s="36"/>
      <c r="BRB223" s="36"/>
      <c r="BRC223" s="36"/>
      <c r="BRD223" s="36"/>
      <c r="BRE223" s="36"/>
      <c r="BRF223" s="36"/>
      <c r="BRG223" s="36"/>
      <c r="BRH223" s="36"/>
      <c r="BRI223" s="36"/>
      <c r="BRJ223" s="36"/>
      <c r="BRK223" s="36"/>
      <c r="BRL223" s="36"/>
      <c r="BRM223" s="36"/>
      <c r="BRN223" s="36"/>
      <c r="BRO223" s="36"/>
      <c r="BRP223" s="36"/>
      <c r="BRQ223" s="36"/>
      <c r="BRR223" s="36"/>
      <c r="BRS223" s="36"/>
      <c r="BRT223" s="36"/>
      <c r="BRU223" s="36"/>
      <c r="BRV223" s="36"/>
      <c r="BRW223" s="36"/>
      <c r="BRX223" s="36"/>
      <c r="BRY223" s="36"/>
      <c r="BRZ223" s="36"/>
      <c r="BSA223" s="36"/>
      <c r="BSB223" s="36"/>
      <c r="BSC223" s="36"/>
      <c r="BSD223" s="36"/>
      <c r="BSE223" s="36"/>
      <c r="BSF223" s="36"/>
      <c r="BSG223" s="36"/>
      <c r="BSH223" s="36"/>
      <c r="BSI223" s="36"/>
      <c r="BSJ223" s="36"/>
      <c r="BSK223" s="36"/>
      <c r="BSL223" s="36"/>
      <c r="BSM223" s="36"/>
      <c r="BSN223" s="36"/>
      <c r="BSO223" s="36"/>
      <c r="BSP223" s="36"/>
      <c r="BSQ223" s="36"/>
      <c r="BSR223" s="36"/>
      <c r="BSS223" s="36"/>
      <c r="BST223" s="36"/>
      <c r="BSU223" s="36"/>
      <c r="BSV223" s="36"/>
      <c r="BSW223" s="36"/>
      <c r="BSX223" s="36"/>
      <c r="BSY223" s="36"/>
      <c r="BSZ223" s="36"/>
      <c r="BTA223" s="36"/>
      <c r="BTB223" s="36"/>
      <c r="BTC223" s="36"/>
      <c r="BTD223" s="36"/>
      <c r="BTE223" s="36"/>
      <c r="BTF223" s="36"/>
      <c r="BTG223" s="36"/>
      <c r="BTH223" s="36"/>
      <c r="BTI223" s="36"/>
      <c r="BTJ223" s="36"/>
      <c r="BTK223" s="36"/>
      <c r="BTL223" s="36"/>
      <c r="BTM223" s="36"/>
      <c r="BTN223" s="36"/>
      <c r="BTO223" s="36"/>
      <c r="BTP223" s="36"/>
      <c r="BTQ223" s="36"/>
      <c r="BTR223" s="36"/>
      <c r="BTS223" s="36"/>
      <c r="BTT223" s="36"/>
      <c r="BTU223" s="36"/>
      <c r="BTV223" s="36"/>
      <c r="BTW223" s="36"/>
      <c r="BTX223" s="36"/>
      <c r="BTY223" s="36"/>
      <c r="BTZ223" s="36"/>
      <c r="BUA223" s="36"/>
      <c r="BUB223" s="36"/>
      <c r="BUC223" s="36"/>
      <c r="BUD223" s="36"/>
      <c r="BUE223" s="36"/>
      <c r="BUF223" s="36"/>
      <c r="BUG223" s="36"/>
      <c r="BUH223" s="36"/>
      <c r="BUI223" s="36"/>
      <c r="BUJ223" s="36"/>
      <c r="BUK223" s="36"/>
      <c r="BUL223" s="36"/>
      <c r="BUM223" s="36"/>
      <c r="BUN223" s="36"/>
      <c r="BUO223" s="36"/>
      <c r="BUP223" s="36"/>
      <c r="BUQ223" s="36"/>
      <c r="BUR223" s="36"/>
      <c r="BUS223" s="36"/>
      <c r="BUT223" s="36"/>
      <c r="BUU223" s="36"/>
      <c r="BUV223" s="36"/>
      <c r="BUW223" s="36"/>
      <c r="BUX223" s="36"/>
      <c r="BUY223" s="36"/>
      <c r="BUZ223" s="36"/>
      <c r="BVA223" s="36"/>
      <c r="BVB223" s="36"/>
      <c r="BVC223" s="36"/>
      <c r="BVD223" s="36"/>
      <c r="BVE223" s="36"/>
      <c r="BVF223" s="36"/>
      <c r="BVG223" s="36"/>
      <c r="BVH223" s="36"/>
      <c r="BVI223" s="36"/>
      <c r="BVJ223" s="36"/>
      <c r="BVK223" s="36"/>
      <c r="BVL223" s="36"/>
      <c r="BVM223" s="36"/>
      <c r="BVN223" s="36"/>
      <c r="BVO223" s="36"/>
      <c r="BVP223" s="36"/>
      <c r="BVQ223" s="36"/>
      <c r="BVR223" s="36"/>
      <c r="BVS223" s="36"/>
      <c r="BVT223" s="36"/>
      <c r="BVU223" s="36"/>
      <c r="BVV223" s="36"/>
      <c r="BVW223" s="36"/>
      <c r="BVX223" s="36"/>
      <c r="BVY223" s="36"/>
      <c r="BVZ223" s="36"/>
      <c r="BWA223" s="36"/>
      <c r="BWB223" s="36"/>
      <c r="BWC223" s="36"/>
      <c r="BWD223" s="36"/>
      <c r="BWE223" s="36"/>
      <c r="BWF223" s="36"/>
      <c r="BWG223" s="36"/>
      <c r="BWH223" s="36"/>
      <c r="BWI223" s="36"/>
      <c r="BWJ223" s="36"/>
      <c r="BWK223" s="36"/>
      <c r="BWL223" s="36"/>
      <c r="BWM223" s="36"/>
      <c r="BWN223" s="36"/>
      <c r="BWO223" s="36"/>
      <c r="BWP223" s="36"/>
      <c r="BWQ223" s="36"/>
      <c r="BWR223" s="36"/>
      <c r="BWS223" s="36"/>
      <c r="BWT223" s="36"/>
      <c r="BWU223" s="36"/>
      <c r="BWV223" s="36"/>
      <c r="BWW223" s="36"/>
      <c r="BWX223" s="36"/>
      <c r="BWY223" s="36"/>
      <c r="BWZ223" s="36"/>
      <c r="BXA223" s="36"/>
      <c r="BXB223" s="36"/>
      <c r="BXC223" s="36"/>
      <c r="BXD223" s="36"/>
      <c r="BXE223" s="36"/>
      <c r="BXF223" s="36"/>
      <c r="BXG223" s="36"/>
      <c r="BXH223" s="36"/>
      <c r="BXI223" s="36"/>
      <c r="BXJ223" s="36"/>
      <c r="BXK223" s="36"/>
      <c r="BXL223" s="36"/>
      <c r="BXM223" s="36"/>
      <c r="BXN223" s="36"/>
      <c r="BXO223" s="36"/>
      <c r="BXP223" s="36"/>
      <c r="BXQ223" s="36"/>
      <c r="BXR223" s="36"/>
      <c r="BXS223" s="36"/>
      <c r="BXT223" s="36"/>
      <c r="BXU223" s="36"/>
      <c r="BXV223" s="36"/>
      <c r="BXW223" s="36"/>
      <c r="BXX223" s="36"/>
      <c r="BXY223" s="36"/>
      <c r="BXZ223" s="36"/>
      <c r="BYA223" s="36"/>
      <c r="BYB223" s="36"/>
      <c r="BYC223" s="36"/>
      <c r="BYD223" s="36"/>
      <c r="BYE223" s="36"/>
      <c r="BYF223" s="36"/>
      <c r="BYG223" s="36"/>
      <c r="BYH223" s="36"/>
      <c r="BYI223" s="36"/>
      <c r="BYJ223" s="36"/>
      <c r="BYK223" s="36"/>
      <c r="BYL223" s="36"/>
      <c r="BYM223" s="36"/>
      <c r="BYN223" s="36"/>
      <c r="BYO223" s="36"/>
      <c r="BYP223" s="36"/>
      <c r="BYQ223" s="36"/>
      <c r="BYR223" s="36"/>
      <c r="BYS223" s="36"/>
      <c r="BYT223" s="36"/>
      <c r="BYU223" s="36"/>
      <c r="BYV223" s="36"/>
      <c r="BYW223" s="36"/>
      <c r="BYX223" s="36"/>
      <c r="BYY223" s="36"/>
      <c r="BYZ223" s="36"/>
      <c r="BZA223" s="36"/>
      <c r="BZB223" s="36"/>
      <c r="BZC223" s="36"/>
      <c r="BZD223" s="36"/>
      <c r="BZE223" s="36"/>
      <c r="BZF223" s="36"/>
      <c r="BZG223" s="36"/>
      <c r="BZH223" s="36"/>
      <c r="BZI223" s="36"/>
      <c r="BZJ223" s="36"/>
      <c r="BZK223" s="36"/>
      <c r="BZL223" s="36"/>
      <c r="BZM223" s="36"/>
      <c r="BZN223" s="36"/>
      <c r="BZO223" s="36"/>
      <c r="BZP223" s="36"/>
      <c r="BZQ223" s="36"/>
      <c r="BZR223" s="36"/>
      <c r="BZS223" s="36"/>
      <c r="BZT223" s="36"/>
      <c r="BZU223" s="36"/>
      <c r="BZV223" s="36"/>
      <c r="BZW223" s="36"/>
      <c r="BZX223" s="36"/>
      <c r="BZY223" s="36"/>
      <c r="BZZ223" s="36"/>
      <c r="CAA223" s="36"/>
      <c r="CAB223" s="36"/>
      <c r="CAC223" s="36"/>
      <c r="CAD223" s="36"/>
      <c r="CAE223" s="36"/>
      <c r="CAF223" s="36"/>
      <c r="CAG223" s="36"/>
      <c r="CAH223" s="36"/>
      <c r="CAI223" s="36"/>
      <c r="CAJ223" s="36"/>
      <c r="CAK223" s="36"/>
      <c r="CAL223" s="36"/>
      <c r="CAM223" s="36"/>
      <c r="CAN223" s="36"/>
      <c r="CAO223" s="36"/>
      <c r="CAP223" s="36"/>
      <c r="CAQ223" s="36"/>
      <c r="CAR223" s="36"/>
      <c r="CAS223" s="36"/>
      <c r="CAT223" s="36"/>
      <c r="CAU223" s="36"/>
      <c r="CAV223" s="36"/>
      <c r="CAW223" s="36"/>
      <c r="CAX223" s="36"/>
      <c r="CAY223" s="36"/>
      <c r="CAZ223" s="36"/>
      <c r="CBA223" s="36"/>
      <c r="CBB223" s="36"/>
      <c r="CBC223" s="36"/>
      <c r="CBD223" s="36"/>
      <c r="CBE223" s="36"/>
      <c r="CBF223" s="36"/>
      <c r="CBG223" s="36"/>
      <c r="CBH223" s="36"/>
      <c r="CBI223" s="36"/>
      <c r="CBJ223" s="36"/>
      <c r="CBK223" s="36"/>
      <c r="CBL223" s="36"/>
      <c r="CBM223" s="36"/>
      <c r="CBN223" s="36"/>
      <c r="CBO223" s="36"/>
      <c r="CBP223" s="36"/>
      <c r="CBQ223" s="36"/>
      <c r="CBR223" s="36"/>
      <c r="CBS223" s="36"/>
      <c r="CBT223" s="36"/>
      <c r="CBU223" s="36"/>
      <c r="CBV223" s="36"/>
      <c r="CBW223" s="36"/>
      <c r="CBX223" s="36"/>
      <c r="CBY223" s="36"/>
      <c r="CBZ223" s="36"/>
      <c r="CCA223" s="36"/>
      <c r="CCB223" s="36"/>
      <c r="CCC223" s="36"/>
      <c r="CCD223" s="36"/>
      <c r="CCE223" s="36"/>
      <c r="CCF223" s="36"/>
      <c r="CCG223" s="36"/>
      <c r="CCH223" s="36"/>
      <c r="CCI223" s="36"/>
      <c r="CCJ223" s="36"/>
      <c r="CCK223" s="36"/>
      <c r="CCL223" s="36"/>
      <c r="CCM223" s="36"/>
      <c r="CCN223" s="36"/>
      <c r="CCO223" s="36"/>
      <c r="CCP223" s="36"/>
      <c r="CCQ223" s="36"/>
      <c r="CCR223" s="36"/>
      <c r="CCS223" s="36"/>
      <c r="CCT223" s="36"/>
      <c r="CCU223" s="36"/>
      <c r="CCV223" s="36"/>
      <c r="CCW223" s="36"/>
      <c r="CCX223" s="36"/>
      <c r="CCY223" s="36"/>
      <c r="CCZ223" s="36"/>
      <c r="CDA223" s="36"/>
      <c r="CDB223" s="36"/>
      <c r="CDC223" s="36"/>
      <c r="CDD223" s="36"/>
      <c r="CDE223" s="36"/>
      <c r="CDF223" s="36"/>
      <c r="CDG223" s="36"/>
      <c r="CDH223" s="36"/>
      <c r="CDI223" s="36"/>
      <c r="CDJ223" s="36"/>
      <c r="CDK223" s="36"/>
      <c r="CDL223" s="36"/>
      <c r="CDM223" s="36"/>
      <c r="CDN223" s="36"/>
      <c r="CDO223" s="36"/>
      <c r="CDP223" s="36"/>
      <c r="CDQ223" s="36"/>
      <c r="CDR223" s="36"/>
      <c r="CDS223" s="36"/>
      <c r="CDT223" s="36"/>
      <c r="CDU223" s="36"/>
      <c r="CDV223" s="36"/>
      <c r="CDW223" s="36"/>
      <c r="CDX223" s="36"/>
      <c r="CDY223" s="36"/>
      <c r="CDZ223" s="36"/>
      <c r="CEA223" s="36"/>
      <c r="CEB223" s="36"/>
      <c r="CEC223" s="36"/>
      <c r="CED223" s="36"/>
      <c r="CEE223" s="36"/>
      <c r="CEF223" s="36"/>
      <c r="CEG223" s="36"/>
      <c r="CEH223" s="36"/>
      <c r="CEI223" s="36"/>
      <c r="CEJ223" s="36"/>
      <c r="CEK223" s="36"/>
      <c r="CEL223" s="36"/>
      <c r="CEM223" s="36"/>
      <c r="CEN223" s="36"/>
      <c r="CEO223" s="36"/>
      <c r="CEP223" s="36"/>
      <c r="CEQ223" s="36"/>
      <c r="CER223" s="36"/>
      <c r="CES223" s="36"/>
      <c r="CET223" s="36"/>
      <c r="CEU223" s="36"/>
      <c r="CEV223" s="36"/>
      <c r="CEW223" s="36"/>
      <c r="CEX223" s="36"/>
      <c r="CEY223" s="36"/>
      <c r="CEZ223" s="36"/>
      <c r="CFA223" s="36"/>
      <c r="CFB223" s="36"/>
      <c r="CFC223" s="36"/>
      <c r="CFD223" s="36"/>
      <c r="CFE223" s="36"/>
      <c r="CFF223" s="36"/>
      <c r="CFG223" s="36"/>
      <c r="CFH223" s="36"/>
      <c r="CFI223" s="36"/>
      <c r="CFJ223" s="36"/>
      <c r="CFK223" s="36"/>
      <c r="CFL223" s="36"/>
      <c r="CFM223" s="36"/>
      <c r="CFN223" s="36"/>
      <c r="CFO223" s="36"/>
      <c r="CFP223" s="36"/>
      <c r="CFQ223" s="36"/>
      <c r="CFR223" s="36"/>
      <c r="CFS223" s="36"/>
      <c r="CFT223" s="36"/>
      <c r="CFU223" s="36"/>
      <c r="CFV223" s="36"/>
      <c r="CFW223" s="36"/>
      <c r="CFX223" s="36"/>
      <c r="CFY223" s="36"/>
      <c r="CFZ223" s="36"/>
      <c r="CGA223" s="36"/>
      <c r="CGB223" s="36"/>
      <c r="CGC223" s="36"/>
      <c r="CGD223" s="36"/>
      <c r="CGE223" s="36"/>
      <c r="CGF223" s="36"/>
      <c r="CGG223" s="36"/>
      <c r="CGH223" s="36"/>
      <c r="CGI223" s="36"/>
      <c r="CGJ223" s="36"/>
      <c r="CGK223" s="36"/>
      <c r="CGL223" s="36"/>
      <c r="CGM223" s="36"/>
      <c r="CGN223" s="36"/>
      <c r="CGO223" s="36"/>
      <c r="CGP223" s="36"/>
      <c r="CGQ223" s="36"/>
      <c r="CGR223" s="36"/>
      <c r="CGS223" s="36"/>
      <c r="CGT223" s="36"/>
      <c r="CGU223" s="36"/>
      <c r="CGV223" s="36"/>
      <c r="CGW223" s="36"/>
      <c r="CGX223" s="36"/>
      <c r="CGY223" s="36"/>
      <c r="CGZ223" s="36"/>
      <c r="CHA223" s="36"/>
      <c r="CHB223" s="36"/>
      <c r="CHC223" s="36"/>
      <c r="CHD223" s="36"/>
      <c r="CHE223" s="36"/>
      <c r="CHF223" s="36"/>
      <c r="CHG223" s="36"/>
      <c r="CHH223" s="36"/>
      <c r="CHI223" s="36"/>
      <c r="CHJ223" s="36"/>
      <c r="CHK223" s="36"/>
      <c r="CHL223" s="36"/>
      <c r="CHM223" s="36"/>
      <c r="CHN223" s="36"/>
      <c r="CHO223" s="36"/>
      <c r="CHP223" s="36"/>
      <c r="CHQ223" s="36"/>
      <c r="CHR223" s="36"/>
      <c r="CHS223" s="36"/>
      <c r="CHT223" s="36"/>
      <c r="CHU223" s="36"/>
      <c r="CHV223" s="36"/>
      <c r="CHW223" s="36"/>
      <c r="CHX223" s="36"/>
      <c r="CHY223" s="36"/>
      <c r="CHZ223" s="36"/>
      <c r="CIA223" s="36"/>
      <c r="CIB223" s="36"/>
      <c r="CIC223" s="36"/>
      <c r="CID223" s="36"/>
      <c r="CIE223" s="36"/>
      <c r="CIF223" s="36"/>
      <c r="CIG223" s="36"/>
      <c r="CIH223" s="36"/>
      <c r="CII223" s="36"/>
      <c r="CIJ223" s="36"/>
      <c r="CIK223" s="36"/>
      <c r="CIL223" s="36"/>
      <c r="CIM223" s="36"/>
      <c r="CIN223" s="36"/>
      <c r="CIO223" s="36"/>
      <c r="CIP223" s="36"/>
      <c r="CIQ223" s="36"/>
      <c r="CIR223" s="36"/>
      <c r="CIS223" s="36"/>
      <c r="CIT223" s="36"/>
      <c r="CIU223" s="36"/>
      <c r="CIV223" s="36"/>
      <c r="CIW223" s="36"/>
      <c r="CIX223" s="36"/>
      <c r="CIY223" s="36"/>
      <c r="CIZ223" s="36"/>
      <c r="CJA223" s="36"/>
      <c r="CJB223" s="36"/>
      <c r="CJC223" s="36"/>
      <c r="CJD223" s="36"/>
      <c r="CJE223" s="36"/>
      <c r="CJF223" s="36"/>
      <c r="CJG223" s="36"/>
      <c r="CJH223" s="36"/>
      <c r="CJI223" s="36"/>
      <c r="CJJ223" s="36"/>
      <c r="CJK223" s="36"/>
      <c r="CJL223" s="36"/>
      <c r="CJM223" s="36"/>
      <c r="CJN223" s="36"/>
      <c r="CJO223" s="36"/>
      <c r="CJP223" s="36"/>
      <c r="CJQ223" s="36"/>
      <c r="CJR223" s="36"/>
      <c r="CJS223" s="36"/>
      <c r="CJT223" s="36"/>
      <c r="CJU223" s="36"/>
      <c r="CJV223" s="36"/>
      <c r="CJW223" s="36"/>
      <c r="CJX223" s="36"/>
      <c r="CJY223" s="36"/>
      <c r="CJZ223" s="36"/>
      <c r="CKA223" s="36"/>
      <c r="CKB223" s="36"/>
      <c r="CKC223" s="36"/>
      <c r="CKD223" s="36"/>
      <c r="CKE223" s="36"/>
      <c r="CKF223" s="36"/>
      <c r="CKG223" s="36"/>
      <c r="CKH223" s="36"/>
      <c r="CKI223" s="36"/>
      <c r="CKJ223" s="36"/>
      <c r="CKK223" s="36"/>
      <c r="CKL223" s="36"/>
      <c r="CKM223" s="36"/>
      <c r="CKN223" s="36"/>
      <c r="CKO223" s="36"/>
      <c r="CKP223" s="36"/>
      <c r="CKQ223" s="36"/>
      <c r="CKR223" s="36"/>
      <c r="CKS223" s="36"/>
      <c r="CKT223" s="36"/>
      <c r="CKU223" s="36"/>
      <c r="CKV223" s="36"/>
      <c r="CKW223" s="36"/>
      <c r="CKX223" s="36"/>
      <c r="CKY223" s="36"/>
      <c r="CKZ223" s="36"/>
      <c r="CLA223" s="36"/>
      <c r="CLB223" s="36"/>
      <c r="CLC223" s="36"/>
      <c r="CLD223" s="36"/>
      <c r="CLE223" s="36"/>
      <c r="CLF223" s="36"/>
      <c r="CLG223" s="36"/>
      <c r="CLH223" s="36"/>
      <c r="CLI223" s="36"/>
      <c r="CLJ223" s="36"/>
      <c r="CLK223" s="36"/>
      <c r="CLL223" s="36"/>
      <c r="CLM223" s="36"/>
      <c r="CLN223" s="36"/>
      <c r="CLO223" s="36"/>
      <c r="CLP223" s="36"/>
      <c r="CLQ223" s="36"/>
      <c r="CLR223" s="36"/>
      <c r="CLS223" s="36"/>
      <c r="CLT223" s="36"/>
      <c r="CLU223" s="36"/>
      <c r="CLV223" s="36"/>
      <c r="CLW223" s="36"/>
      <c r="CLX223" s="36"/>
      <c r="CLY223" s="36"/>
      <c r="CLZ223" s="36"/>
      <c r="CMA223" s="36"/>
      <c r="CMB223" s="36"/>
      <c r="CMC223" s="36"/>
      <c r="CMD223" s="36"/>
      <c r="CME223" s="36"/>
      <c r="CMF223" s="36"/>
      <c r="CMG223" s="36"/>
      <c r="CMH223" s="36"/>
      <c r="CMI223" s="36"/>
      <c r="CMJ223" s="36"/>
      <c r="CMK223" s="36"/>
      <c r="CML223" s="36"/>
      <c r="CMM223" s="36"/>
      <c r="CMN223" s="36"/>
      <c r="CMO223" s="36"/>
      <c r="CMP223" s="36"/>
      <c r="CMQ223" s="36"/>
      <c r="CMR223" s="36"/>
      <c r="CMS223" s="36"/>
      <c r="CMT223" s="36"/>
      <c r="CMU223" s="36"/>
      <c r="CMV223" s="36"/>
      <c r="CMW223" s="36"/>
      <c r="CMX223" s="36"/>
      <c r="CMY223" s="36"/>
      <c r="CMZ223" s="36"/>
      <c r="CNA223" s="36"/>
      <c r="CNB223" s="36"/>
      <c r="CNC223" s="36"/>
      <c r="CND223" s="36"/>
      <c r="CNE223" s="36"/>
      <c r="CNF223" s="36"/>
      <c r="CNG223" s="36"/>
      <c r="CNH223" s="36"/>
      <c r="CNI223" s="36"/>
      <c r="CNJ223" s="36"/>
      <c r="CNK223" s="36"/>
      <c r="CNL223" s="36"/>
      <c r="CNM223" s="36"/>
      <c r="CNN223" s="36"/>
      <c r="CNO223" s="36"/>
      <c r="CNP223" s="36"/>
      <c r="CNQ223" s="36"/>
      <c r="CNR223" s="36"/>
      <c r="CNS223" s="36"/>
      <c r="CNT223" s="36"/>
      <c r="CNU223" s="36"/>
      <c r="CNV223" s="36"/>
      <c r="CNW223" s="36"/>
      <c r="CNX223" s="36"/>
      <c r="CNY223" s="36"/>
      <c r="CNZ223" s="36"/>
      <c r="COA223" s="36"/>
      <c r="COB223" s="36"/>
      <c r="COC223" s="36"/>
      <c r="COD223" s="36"/>
      <c r="COE223" s="36"/>
      <c r="COF223" s="36"/>
      <c r="COG223" s="36"/>
      <c r="COH223" s="36"/>
      <c r="COI223" s="36"/>
      <c r="COJ223" s="36"/>
      <c r="COK223" s="36"/>
      <c r="COL223" s="36"/>
      <c r="COM223" s="36"/>
      <c r="CON223" s="36"/>
      <c r="COO223" s="36"/>
      <c r="COP223" s="36"/>
      <c r="COQ223" s="36"/>
      <c r="COR223" s="36"/>
      <c r="COS223" s="36"/>
      <c r="COT223" s="36"/>
      <c r="COU223" s="36"/>
      <c r="COV223" s="36"/>
      <c r="COW223" s="36"/>
      <c r="COX223" s="36"/>
      <c r="COY223" s="36"/>
      <c r="COZ223" s="36"/>
      <c r="CPA223" s="36"/>
      <c r="CPB223" s="36"/>
      <c r="CPC223" s="36"/>
      <c r="CPD223" s="36"/>
      <c r="CPE223" s="36"/>
      <c r="CPF223" s="36"/>
      <c r="CPG223" s="36"/>
      <c r="CPH223" s="36"/>
      <c r="CPI223" s="36"/>
      <c r="CPJ223" s="36"/>
      <c r="CPK223" s="36"/>
      <c r="CPL223" s="36"/>
      <c r="CPM223" s="36"/>
      <c r="CPN223" s="36"/>
      <c r="CPO223" s="36"/>
      <c r="CPP223" s="36"/>
      <c r="CPQ223" s="36"/>
      <c r="CPR223" s="36"/>
      <c r="CPS223" s="36"/>
      <c r="CPT223" s="36"/>
      <c r="CPU223" s="36"/>
      <c r="CPV223" s="36"/>
      <c r="CPW223" s="36"/>
      <c r="CPX223" s="36"/>
      <c r="CPY223" s="36"/>
      <c r="CPZ223" s="36"/>
      <c r="CQA223" s="36"/>
      <c r="CQB223" s="36"/>
      <c r="CQC223" s="36"/>
      <c r="CQD223" s="36"/>
      <c r="CQE223" s="36"/>
      <c r="CQF223" s="36"/>
      <c r="CQG223" s="36"/>
      <c r="CQH223" s="36"/>
      <c r="CQI223" s="36"/>
      <c r="CQJ223" s="36"/>
      <c r="CQK223" s="36"/>
      <c r="CQL223" s="36"/>
      <c r="CQM223" s="36"/>
      <c r="CQN223" s="36"/>
      <c r="CQO223" s="36"/>
      <c r="CQP223" s="36"/>
      <c r="CQQ223" s="36"/>
      <c r="CQR223" s="36"/>
      <c r="CQS223" s="36"/>
      <c r="CQT223" s="36"/>
      <c r="CQU223" s="36"/>
      <c r="CQV223" s="36"/>
      <c r="CQW223" s="36"/>
      <c r="CQX223" s="36"/>
      <c r="CQY223" s="36"/>
      <c r="CQZ223" s="36"/>
      <c r="CRA223" s="36"/>
      <c r="CRB223" s="36"/>
      <c r="CRC223" s="36"/>
      <c r="CRD223" s="36"/>
      <c r="CRE223" s="36"/>
      <c r="CRF223" s="36"/>
      <c r="CRG223" s="36"/>
      <c r="CRH223" s="36"/>
      <c r="CRI223" s="36"/>
      <c r="CRJ223" s="36"/>
      <c r="CRK223" s="36"/>
      <c r="CRL223" s="36"/>
      <c r="CRM223" s="36"/>
      <c r="CRN223" s="36"/>
      <c r="CRO223" s="36"/>
      <c r="CRP223" s="36"/>
      <c r="CRQ223" s="36"/>
      <c r="CRR223" s="36"/>
      <c r="CRS223" s="36"/>
      <c r="CRT223" s="36"/>
      <c r="CRU223" s="36"/>
      <c r="CRV223" s="36"/>
      <c r="CRW223" s="36"/>
      <c r="CRX223" s="36"/>
      <c r="CRY223" s="36"/>
      <c r="CRZ223" s="36"/>
      <c r="CSA223" s="36"/>
      <c r="CSB223" s="36"/>
      <c r="CSC223" s="36"/>
      <c r="CSD223" s="36"/>
      <c r="CSE223" s="36"/>
      <c r="CSF223" s="36"/>
      <c r="CSG223" s="36"/>
      <c r="CSH223" s="36"/>
      <c r="CSI223" s="36"/>
      <c r="CSJ223" s="36"/>
      <c r="CSK223" s="36"/>
      <c r="CSL223" s="36"/>
      <c r="CSM223" s="36"/>
      <c r="CSN223" s="36"/>
      <c r="CSO223" s="36"/>
      <c r="CSP223" s="36"/>
      <c r="CSQ223" s="36"/>
      <c r="CSR223" s="36"/>
      <c r="CSS223" s="36"/>
      <c r="CST223" s="36"/>
      <c r="CSU223" s="36"/>
      <c r="CSV223" s="36"/>
      <c r="CSW223" s="36"/>
      <c r="CSX223" s="36"/>
      <c r="CSY223" s="36"/>
      <c r="CSZ223" s="36"/>
      <c r="CTA223" s="36"/>
      <c r="CTB223" s="36"/>
      <c r="CTC223" s="36"/>
      <c r="CTD223" s="36"/>
      <c r="CTE223" s="36"/>
      <c r="CTF223" s="36"/>
      <c r="CTG223" s="36"/>
      <c r="CTH223" s="36"/>
      <c r="CTI223" s="36"/>
      <c r="CTJ223" s="36"/>
      <c r="CTK223" s="36"/>
      <c r="CTL223" s="36"/>
      <c r="CTM223" s="36"/>
      <c r="CTN223" s="36"/>
      <c r="CTO223" s="36"/>
      <c r="CTP223" s="36"/>
      <c r="CTQ223" s="36"/>
      <c r="CTR223" s="36"/>
      <c r="CTS223" s="36"/>
      <c r="CTT223" s="36"/>
      <c r="CTU223" s="36"/>
      <c r="CTV223" s="36"/>
      <c r="CTW223" s="36"/>
      <c r="CTX223" s="36"/>
      <c r="CTY223" s="36"/>
      <c r="CTZ223" s="36"/>
      <c r="CUA223" s="36"/>
      <c r="CUB223" s="36"/>
      <c r="CUC223" s="36"/>
      <c r="CUD223" s="36"/>
      <c r="CUE223" s="36"/>
      <c r="CUF223" s="36"/>
      <c r="CUG223" s="36"/>
      <c r="CUH223" s="36"/>
      <c r="CUI223" s="36"/>
      <c r="CUJ223" s="36"/>
      <c r="CUK223" s="36"/>
      <c r="CUL223" s="36"/>
      <c r="CUM223" s="36"/>
      <c r="CUN223" s="36"/>
      <c r="CUO223" s="36"/>
      <c r="CUP223" s="36"/>
      <c r="CUQ223" s="36"/>
      <c r="CUR223" s="36"/>
      <c r="CUS223" s="36"/>
      <c r="CUT223" s="36"/>
      <c r="CUU223" s="36"/>
      <c r="CUV223" s="36"/>
      <c r="CUW223" s="36"/>
      <c r="CUX223" s="36"/>
      <c r="CUY223" s="36"/>
      <c r="CUZ223" s="36"/>
      <c r="CVA223" s="36"/>
      <c r="CVB223" s="36"/>
      <c r="CVC223" s="36"/>
      <c r="CVD223" s="36"/>
      <c r="CVE223" s="36"/>
      <c r="CVF223" s="36"/>
      <c r="CVG223" s="36"/>
      <c r="CVH223" s="36"/>
      <c r="CVI223" s="36"/>
      <c r="CVJ223" s="36"/>
      <c r="CVK223" s="36"/>
      <c r="CVL223" s="36"/>
      <c r="CVM223" s="36"/>
      <c r="CVN223" s="36"/>
      <c r="CVO223" s="36"/>
      <c r="CVP223" s="36"/>
      <c r="CVQ223" s="36"/>
      <c r="CVR223" s="36"/>
      <c r="CVS223" s="36"/>
      <c r="CVT223" s="36"/>
      <c r="CVU223" s="36"/>
      <c r="CVV223" s="36"/>
      <c r="CVW223" s="36"/>
      <c r="CVX223" s="36"/>
      <c r="CVY223" s="36"/>
      <c r="CVZ223" s="36"/>
      <c r="CWA223" s="36"/>
      <c r="CWB223" s="36"/>
      <c r="CWC223" s="36"/>
      <c r="CWD223" s="36"/>
      <c r="CWE223" s="36"/>
      <c r="CWF223" s="36"/>
      <c r="CWG223" s="36"/>
      <c r="CWH223" s="36"/>
      <c r="CWI223" s="36"/>
      <c r="CWJ223" s="36"/>
      <c r="CWK223" s="36"/>
      <c r="CWL223" s="36"/>
      <c r="CWM223" s="36"/>
      <c r="CWN223" s="36"/>
      <c r="CWO223" s="36"/>
      <c r="CWP223" s="36"/>
      <c r="CWQ223" s="36"/>
      <c r="CWR223" s="36"/>
      <c r="CWS223" s="36"/>
      <c r="CWT223" s="36"/>
      <c r="CWU223" s="36"/>
      <c r="CWV223" s="36"/>
      <c r="CWW223" s="36"/>
      <c r="CWX223" s="36"/>
      <c r="CWY223" s="36"/>
      <c r="CWZ223" s="36"/>
      <c r="CXA223" s="36"/>
      <c r="CXB223" s="36"/>
      <c r="CXC223" s="36"/>
      <c r="CXD223" s="36"/>
      <c r="CXE223" s="36"/>
      <c r="CXF223" s="36"/>
      <c r="CXG223" s="36"/>
      <c r="CXH223" s="36"/>
      <c r="CXI223" s="36"/>
      <c r="CXJ223" s="36"/>
      <c r="CXK223" s="36"/>
      <c r="CXL223" s="36"/>
      <c r="CXM223" s="36"/>
      <c r="CXN223" s="36"/>
      <c r="CXO223" s="36"/>
      <c r="CXP223" s="36"/>
      <c r="CXQ223" s="36"/>
      <c r="CXR223" s="36"/>
      <c r="CXS223" s="36"/>
      <c r="CXT223" s="36"/>
      <c r="CXU223" s="36"/>
      <c r="CXV223" s="36"/>
      <c r="CXW223" s="36"/>
      <c r="CXX223" s="36"/>
      <c r="CXY223" s="36"/>
      <c r="CXZ223" s="36"/>
      <c r="CYA223" s="36"/>
      <c r="CYB223" s="36"/>
      <c r="CYC223" s="36"/>
      <c r="CYD223" s="36"/>
      <c r="CYE223" s="36"/>
      <c r="CYF223" s="36"/>
      <c r="CYG223" s="36"/>
      <c r="CYH223" s="36"/>
      <c r="CYI223" s="36"/>
      <c r="CYJ223" s="36"/>
      <c r="CYK223" s="36"/>
      <c r="CYL223" s="36"/>
      <c r="CYM223" s="36"/>
      <c r="CYN223" s="36"/>
      <c r="CYO223" s="36"/>
      <c r="CYP223" s="36"/>
      <c r="CYQ223" s="36"/>
      <c r="CYR223" s="36"/>
      <c r="CYS223" s="36"/>
      <c r="CYT223" s="36"/>
      <c r="CYU223" s="36"/>
      <c r="CYV223" s="36"/>
      <c r="CYW223" s="36"/>
      <c r="CYX223" s="36"/>
      <c r="CYY223" s="36"/>
      <c r="CYZ223" s="36"/>
      <c r="CZA223" s="36"/>
      <c r="CZB223" s="36"/>
      <c r="CZC223" s="36"/>
      <c r="CZD223" s="36"/>
      <c r="CZE223" s="36"/>
      <c r="CZF223" s="36"/>
      <c r="CZG223" s="36"/>
      <c r="CZH223" s="36"/>
      <c r="CZI223" s="36"/>
      <c r="CZJ223" s="36"/>
      <c r="CZK223" s="36"/>
      <c r="CZL223" s="36"/>
      <c r="CZM223" s="36"/>
      <c r="CZN223" s="36"/>
      <c r="CZO223" s="36"/>
      <c r="CZP223" s="36"/>
      <c r="CZQ223" s="36"/>
      <c r="CZR223" s="36"/>
      <c r="CZS223" s="36"/>
      <c r="CZT223" s="36"/>
      <c r="CZU223" s="36"/>
      <c r="CZV223" s="36"/>
      <c r="CZW223" s="36"/>
      <c r="CZX223" s="36"/>
      <c r="CZY223" s="36"/>
      <c r="CZZ223" s="36"/>
      <c r="DAA223" s="36"/>
      <c r="DAB223" s="36"/>
      <c r="DAC223" s="36"/>
      <c r="DAD223" s="36"/>
      <c r="DAE223" s="36"/>
      <c r="DAF223" s="36"/>
      <c r="DAG223" s="36"/>
      <c r="DAH223" s="36"/>
      <c r="DAI223" s="36"/>
      <c r="DAJ223" s="36"/>
      <c r="DAK223" s="36"/>
      <c r="DAL223" s="36"/>
      <c r="DAM223" s="36"/>
      <c r="DAN223" s="36"/>
      <c r="DAO223" s="36"/>
      <c r="DAP223" s="36"/>
      <c r="DAQ223" s="36"/>
      <c r="DAR223" s="36"/>
      <c r="DAS223" s="36"/>
      <c r="DAT223" s="36"/>
      <c r="DAU223" s="36"/>
      <c r="DAV223" s="36"/>
      <c r="DAW223" s="36"/>
      <c r="DAX223" s="36"/>
      <c r="DAY223" s="36"/>
      <c r="DAZ223" s="36"/>
      <c r="DBA223" s="36"/>
      <c r="DBB223" s="36"/>
      <c r="DBC223" s="36"/>
      <c r="DBD223" s="36"/>
      <c r="DBE223" s="36"/>
      <c r="DBF223" s="36"/>
      <c r="DBG223" s="36"/>
      <c r="DBH223" s="36"/>
      <c r="DBI223" s="36"/>
      <c r="DBJ223" s="36"/>
      <c r="DBK223" s="36"/>
      <c r="DBL223" s="36"/>
      <c r="DBM223" s="36"/>
      <c r="DBN223" s="36"/>
      <c r="DBO223" s="36"/>
      <c r="DBP223" s="36"/>
      <c r="DBQ223" s="36"/>
      <c r="DBR223" s="36"/>
      <c r="DBS223" s="36"/>
      <c r="DBT223" s="36"/>
      <c r="DBU223" s="36"/>
      <c r="DBV223" s="36"/>
      <c r="DBW223" s="36"/>
      <c r="DBX223" s="36"/>
      <c r="DBY223" s="36"/>
      <c r="DBZ223" s="36"/>
      <c r="DCA223" s="36"/>
      <c r="DCB223" s="36"/>
      <c r="DCC223" s="36"/>
      <c r="DCD223" s="36"/>
      <c r="DCE223" s="36"/>
      <c r="DCF223" s="36"/>
      <c r="DCG223" s="36"/>
      <c r="DCH223" s="36"/>
      <c r="DCI223" s="36"/>
      <c r="DCJ223" s="36"/>
      <c r="DCK223" s="36"/>
      <c r="DCL223" s="36"/>
      <c r="DCM223" s="36"/>
      <c r="DCN223" s="36"/>
      <c r="DCO223" s="36"/>
      <c r="DCP223" s="36"/>
      <c r="DCQ223" s="36"/>
      <c r="DCR223" s="36"/>
      <c r="DCS223" s="36"/>
      <c r="DCT223" s="36"/>
      <c r="DCU223" s="36"/>
      <c r="DCV223" s="36"/>
      <c r="DCW223" s="36"/>
      <c r="DCX223" s="36"/>
      <c r="DCY223" s="36"/>
      <c r="DCZ223" s="36"/>
      <c r="DDA223" s="36"/>
      <c r="DDB223" s="36"/>
      <c r="DDC223" s="36"/>
      <c r="DDD223" s="36"/>
      <c r="DDE223" s="36"/>
      <c r="DDF223" s="36"/>
      <c r="DDG223" s="36"/>
      <c r="DDH223" s="36"/>
      <c r="DDI223" s="36"/>
      <c r="DDJ223" s="36"/>
      <c r="DDK223" s="36"/>
      <c r="DDL223" s="36"/>
      <c r="DDM223" s="36"/>
      <c r="DDN223" s="36"/>
      <c r="DDO223" s="36"/>
      <c r="DDP223" s="36"/>
      <c r="DDQ223" s="36"/>
      <c r="DDR223" s="36"/>
      <c r="DDS223" s="36"/>
      <c r="DDT223" s="36"/>
      <c r="DDU223" s="36"/>
      <c r="DDV223" s="36"/>
      <c r="DDW223" s="36"/>
      <c r="DDX223" s="36"/>
      <c r="DDY223" s="36"/>
      <c r="DDZ223" s="36"/>
      <c r="DEA223" s="36"/>
      <c r="DEB223" s="36"/>
      <c r="DEC223" s="36"/>
      <c r="DED223" s="36"/>
      <c r="DEE223" s="36"/>
      <c r="DEF223" s="36"/>
      <c r="DEG223" s="36"/>
      <c r="DEH223" s="36"/>
      <c r="DEI223" s="36"/>
      <c r="DEJ223" s="36"/>
      <c r="DEK223" s="36"/>
      <c r="DEL223" s="36"/>
      <c r="DEM223" s="36"/>
      <c r="DEN223" s="36"/>
      <c r="DEO223" s="36"/>
      <c r="DEP223" s="36"/>
      <c r="DEQ223" s="36"/>
      <c r="DER223" s="36"/>
      <c r="DES223" s="36"/>
      <c r="DET223" s="36"/>
      <c r="DEU223" s="36"/>
      <c r="DEV223" s="36"/>
      <c r="DEW223" s="36"/>
      <c r="DEX223" s="36"/>
      <c r="DEY223" s="36"/>
      <c r="DEZ223" s="36"/>
      <c r="DFA223" s="36"/>
      <c r="DFB223" s="36"/>
      <c r="DFC223" s="36"/>
      <c r="DFD223" s="36"/>
      <c r="DFE223" s="36"/>
      <c r="DFF223" s="36"/>
      <c r="DFG223" s="36"/>
      <c r="DFH223" s="36"/>
      <c r="DFI223" s="36"/>
      <c r="DFJ223" s="36"/>
      <c r="DFK223" s="36"/>
      <c r="DFL223" s="36"/>
      <c r="DFM223" s="36"/>
      <c r="DFN223" s="36"/>
      <c r="DFO223" s="36"/>
      <c r="DFP223" s="36"/>
      <c r="DFQ223" s="36"/>
      <c r="DFR223" s="36"/>
      <c r="DFS223" s="36"/>
      <c r="DFT223" s="36"/>
      <c r="DFU223" s="36"/>
      <c r="DFV223" s="36"/>
      <c r="DFW223" s="36"/>
      <c r="DFX223" s="36"/>
      <c r="DFY223" s="36"/>
      <c r="DFZ223" s="36"/>
      <c r="DGA223" s="36"/>
      <c r="DGB223" s="36"/>
      <c r="DGC223" s="36"/>
      <c r="DGD223" s="36"/>
      <c r="DGE223" s="36"/>
      <c r="DGF223" s="36"/>
      <c r="DGG223" s="36"/>
      <c r="DGH223" s="36"/>
      <c r="DGI223" s="36"/>
      <c r="DGJ223" s="36"/>
      <c r="DGK223" s="36"/>
      <c r="DGL223" s="36"/>
      <c r="DGM223" s="36"/>
      <c r="DGN223" s="36"/>
      <c r="DGO223" s="36"/>
      <c r="DGP223" s="36"/>
      <c r="DGQ223" s="36"/>
      <c r="DGR223" s="36"/>
      <c r="DGS223" s="36"/>
      <c r="DGT223" s="36"/>
      <c r="DGU223" s="36"/>
      <c r="DGV223" s="36"/>
      <c r="DGW223" s="36"/>
      <c r="DGX223" s="36"/>
      <c r="DGY223" s="36"/>
      <c r="DGZ223" s="36"/>
      <c r="DHA223" s="36"/>
      <c r="DHB223" s="36"/>
      <c r="DHC223" s="36"/>
      <c r="DHD223" s="36"/>
      <c r="DHE223" s="36"/>
      <c r="DHF223" s="36"/>
      <c r="DHG223" s="36"/>
      <c r="DHH223" s="36"/>
      <c r="DHI223" s="36"/>
      <c r="DHJ223" s="36"/>
      <c r="DHK223" s="36"/>
      <c r="DHL223" s="36"/>
      <c r="DHM223" s="36"/>
      <c r="DHN223" s="36"/>
      <c r="DHO223" s="36"/>
      <c r="DHP223" s="36"/>
      <c r="DHQ223" s="36"/>
      <c r="DHR223" s="36"/>
      <c r="DHS223" s="36"/>
      <c r="DHT223" s="36"/>
      <c r="DHU223" s="36"/>
      <c r="DHV223" s="36"/>
      <c r="DHW223" s="36"/>
      <c r="DHX223" s="36"/>
      <c r="DHY223" s="36"/>
      <c r="DHZ223" s="36"/>
      <c r="DIA223" s="36"/>
      <c r="DIB223" s="36"/>
      <c r="DIC223" s="36"/>
      <c r="DID223" s="36"/>
      <c r="DIE223" s="36"/>
      <c r="DIF223" s="36"/>
      <c r="DIG223" s="36"/>
      <c r="DIH223" s="36"/>
      <c r="DII223" s="36"/>
      <c r="DIJ223" s="36"/>
      <c r="DIK223" s="36"/>
      <c r="DIL223" s="36"/>
      <c r="DIM223" s="36"/>
      <c r="DIN223" s="36"/>
      <c r="DIO223" s="36"/>
      <c r="DIP223" s="36"/>
      <c r="DIQ223" s="36"/>
      <c r="DIR223" s="36"/>
      <c r="DIS223" s="36"/>
      <c r="DIT223" s="36"/>
      <c r="DIU223" s="36"/>
      <c r="DIV223" s="36"/>
      <c r="DIW223" s="36"/>
      <c r="DIX223" s="36"/>
      <c r="DIY223" s="36"/>
      <c r="DIZ223" s="36"/>
      <c r="DJA223" s="36"/>
      <c r="DJB223" s="36"/>
      <c r="DJC223" s="36"/>
      <c r="DJD223" s="36"/>
      <c r="DJE223" s="36"/>
      <c r="DJF223" s="36"/>
      <c r="DJG223" s="36"/>
      <c r="DJH223" s="36"/>
      <c r="DJI223" s="36"/>
      <c r="DJJ223" s="36"/>
      <c r="DJK223" s="36"/>
      <c r="DJL223" s="36"/>
      <c r="DJM223" s="36"/>
      <c r="DJN223" s="36"/>
      <c r="DJO223" s="36"/>
      <c r="DJP223" s="36"/>
      <c r="DJQ223" s="36"/>
      <c r="DJR223" s="36"/>
      <c r="DJS223" s="36"/>
      <c r="DJT223" s="36"/>
      <c r="DJU223" s="36"/>
      <c r="DJV223" s="36"/>
      <c r="DJW223" s="36"/>
      <c r="DJX223" s="36"/>
      <c r="DJY223" s="36"/>
      <c r="DJZ223" s="36"/>
      <c r="DKA223" s="36"/>
      <c r="DKB223" s="36"/>
      <c r="DKC223" s="36"/>
      <c r="DKD223" s="36"/>
      <c r="DKE223" s="36"/>
      <c r="DKF223" s="36"/>
      <c r="DKG223" s="36"/>
      <c r="DKH223" s="36"/>
      <c r="DKI223" s="36"/>
      <c r="DKJ223" s="36"/>
      <c r="DKK223" s="36"/>
      <c r="DKL223" s="36"/>
      <c r="DKM223" s="36"/>
      <c r="DKN223" s="36"/>
      <c r="DKO223" s="36"/>
      <c r="DKP223" s="36"/>
      <c r="DKQ223" s="36"/>
      <c r="DKR223" s="36"/>
      <c r="DKS223" s="36"/>
      <c r="DKT223" s="36"/>
      <c r="DKU223" s="36"/>
      <c r="DKV223" s="36"/>
      <c r="DKW223" s="36"/>
      <c r="DKX223" s="36"/>
      <c r="DKY223" s="36"/>
      <c r="DKZ223" s="36"/>
      <c r="DLA223" s="36"/>
      <c r="DLB223" s="36"/>
      <c r="DLC223" s="36"/>
      <c r="DLD223" s="36"/>
      <c r="DLE223" s="36"/>
      <c r="DLF223" s="36"/>
      <c r="DLG223" s="36"/>
      <c r="DLH223" s="36"/>
      <c r="DLI223" s="36"/>
      <c r="DLJ223" s="36"/>
      <c r="DLK223" s="36"/>
      <c r="DLL223" s="36"/>
      <c r="DLM223" s="36"/>
      <c r="DLN223" s="36"/>
      <c r="DLO223" s="36"/>
      <c r="DLP223" s="36"/>
      <c r="DLQ223" s="36"/>
      <c r="DLR223" s="36"/>
      <c r="DLS223" s="36"/>
      <c r="DLT223" s="36"/>
      <c r="DLU223" s="36"/>
      <c r="DLV223" s="36"/>
      <c r="DLW223" s="36"/>
      <c r="DLX223" s="36"/>
      <c r="DLY223" s="36"/>
      <c r="DLZ223" s="36"/>
      <c r="DMA223" s="36"/>
      <c r="DMB223" s="36"/>
      <c r="DMC223" s="36"/>
      <c r="DMD223" s="36"/>
      <c r="DME223" s="36"/>
      <c r="DMF223" s="36"/>
      <c r="DMG223" s="36"/>
      <c r="DMH223" s="36"/>
      <c r="DMI223" s="36"/>
      <c r="DMJ223" s="36"/>
      <c r="DMK223" s="36"/>
      <c r="DML223" s="36"/>
      <c r="DMM223" s="36"/>
      <c r="DMN223" s="36"/>
      <c r="DMO223" s="36"/>
      <c r="DMP223" s="36"/>
      <c r="DMQ223" s="36"/>
      <c r="DMR223" s="36"/>
      <c r="DMS223" s="36"/>
      <c r="DMT223" s="36"/>
      <c r="DMU223" s="36"/>
      <c r="DMV223" s="36"/>
      <c r="DMW223" s="36"/>
      <c r="DMX223" s="36"/>
      <c r="DMY223" s="36"/>
      <c r="DMZ223" s="36"/>
      <c r="DNA223" s="36"/>
      <c r="DNB223" s="36"/>
      <c r="DNC223" s="36"/>
      <c r="DND223" s="36"/>
      <c r="DNE223" s="36"/>
      <c r="DNF223" s="36"/>
      <c r="DNG223" s="36"/>
      <c r="DNH223" s="36"/>
      <c r="DNI223" s="36"/>
      <c r="DNJ223" s="36"/>
      <c r="DNK223" s="36"/>
      <c r="DNL223" s="36"/>
      <c r="DNM223" s="36"/>
      <c r="DNN223" s="36"/>
      <c r="DNO223" s="36"/>
      <c r="DNP223" s="36"/>
      <c r="DNQ223" s="36"/>
      <c r="DNR223" s="36"/>
      <c r="DNS223" s="36"/>
      <c r="DNT223" s="36"/>
      <c r="DNU223" s="36"/>
      <c r="DNV223" s="36"/>
      <c r="DNW223" s="36"/>
      <c r="DNX223" s="36"/>
      <c r="DNY223" s="36"/>
      <c r="DNZ223" s="36"/>
      <c r="DOA223" s="36"/>
      <c r="DOB223" s="36"/>
      <c r="DOC223" s="36"/>
      <c r="DOD223" s="36"/>
      <c r="DOE223" s="36"/>
      <c r="DOF223" s="36"/>
      <c r="DOG223" s="36"/>
      <c r="DOH223" s="36"/>
      <c r="DOI223" s="36"/>
      <c r="DOJ223" s="36"/>
      <c r="DOK223" s="36"/>
      <c r="DOL223" s="36"/>
      <c r="DOM223" s="36"/>
      <c r="DON223" s="36"/>
      <c r="DOO223" s="36"/>
      <c r="DOP223" s="36"/>
      <c r="DOQ223" s="36"/>
      <c r="DOR223" s="36"/>
      <c r="DOS223" s="36"/>
      <c r="DOT223" s="36"/>
      <c r="DOU223" s="36"/>
      <c r="DOV223" s="36"/>
      <c r="DOW223" s="36"/>
      <c r="DOX223" s="36"/>
      <c r="DOY223" s="36"/>
      <c r="DOZ223" s="36"/>
      <c r="DPA223" s="36"/>
      <c r="DPB223" s="36"/>
      <c r="DPC223" s="36"/>
      <c r="DPD223" s="36"/>
      <c r="DPE223" s="36"/>
      <c r="DPF223" s="36"/>
      <c r="DPG223" s="36"/>
      <c r="DPH223" s="36"/>
      <c r="DPI223" s="36"/>
      <c r="DPJ223" s="36"/>
      <c r="DPK223" s="36"/>
      <c r="DPL223" s="36"/>
      <c r="DPM223" s="36"/>
      <c r="DPN223" s="36"/>
      <c r="DPO223" s="36"/>
      <c r="DPP223" s="36"/>
      <c r="DPQ223" s="36"/>
      <c r="DPR223" s="36"/>
      <c r="DPS223" s="36"/>
      <c r="DPT223" s="36"/>
      <c r="DPU223" s="36"/>
      <c r="DPV223" s="36"/>
      <c r="DPW223" s="36"/>
      <c r="DPX223" s="36"/>
      <c r="DPY223" s="36"/>
      <c r="DPZ223" s="36"/>
      <c r="DQA223" s="36"/>
      <c r="DQB223" s="36"/>
      <c r="DQC223" s="36"/>
      <c r="DQD223" s="36"/>
      <c r="DQE223" s="36"/>
      <c r="DQF223" s="36"/>
      <c r="DQG223" s="36"/>
      <c r="DQH223" s="36"/>
      <c r="DQI223" s="36"/>
      <c r="DQJ223" s="36"/>
      <c r="DQK223" s="36"/>
      <c r="DQL223" s="36"/>
      <c r="DQM223" s="36"/>
      <c r="DQN223" s="36"/>
      <c r="DQO223" s="36"/>
      <c r="DQP223" s="36"/>
      <c r="DQQ223" s="36"/>
      <c r="DQR223" s="36"/>
      <c r="DQS223" s="36"/>
      <c r="DQT223" s="36"/>
      <c r="DQU223" s="36"/>
      <c r="DQV223" s="36"/>
      <c r="DQW223" s="36"/>
      <c r="DQX223" s="36"/>
      <c r="DQY223" s="36"/>
      <c r="DQZ223" s="36"/>
      <c r="DRA223" s="36"/>
      <c r="DRB223" s="36"/>
      <c r="DRC223" s="36"/>
      <c r="DRD223" s="36"/>
      <c r="DRE223" s="36"/>
      <c r="DRF223" s="36"/>
      <c r="DRG223" s="36"/>
      <c r="DRH223" s="36"/>
      <c r="DRI223" s="36"/>
      <c r="DRJ223" s="36"/>
      <c r="DRK223" s="36"/>
      <c r="DRL223" s="36"/>
      <c r="DRM223" s="36"/>
      <c r="DRN223" s="36"/>
      <c r="DRO223" s="36"/>
      <c r="DRP223" s="36"/>
      <c r="DRQ223" s="36"/>
      <c r="DRR223" s="36"/>
      <c r="DRS223" s="36"/>
      <c r="DRT223" s="36"/>
      <c r="DRU223" s="36"/>
      <c r="DRV223" s="36"/>
      <c r="DRW223" s="36"/>
      <c r="DRX223" s="36"/>
      <c r="DRY223" s="36"/>
      <c r="DRZ223" s="36"/>
      <c r="DSA223" s="36"/>
      <c r="DSB223" s="36"/>
      <c r="DSC223" s="36"/>
      <c r="DSD223" s="36"/>
      <c r="DSE223" s="36"/>
      <c r="DSF223" s="36"/>
      <c r="DSG223" s="36"/>
      <c r="DSH223" s="36"/>
      <c r="DSI223" s="36"/>
      <c r="DSJ223" s="36"/>
      <c r="DSK223" s="36"/>
      <c r="DSL223" s="36"/>
      <c r="DSM223" s="36"/>
      <c r="DSN223" s="36"/>
      <c r="DSO223" s="36"/>
      <c r="DSP223" s="36"/>
      <c r="DSQ223" s="36"/>
      <c r="DSR223" s="36"/>
      <c r="DSS223" s="36"/>
      <c r="DST223" s="36"/>
      <c r="DSU223" s="36"/>
      <c r="DSV223" s="36"/>
      <c r="DSW223" s="36"/>
      <c r="DSX223" s="36"/>
      <c r="DSY223" s="36"/>
      <c r="DSZ223" s="36"/>
      <c r="DTA223" s="36"/>
      <c r="DTB223" s="36"/>
      <c r="DTC223" s="36"/>
      <c r="DTD223" s="36"/>
      <c r="DTE223" s="36"/>
      <c r="DTF223" s="36"/>
      <c r="DTG223" s="36"/>
      <c r="DTH223" s="36"/>
      <c r="DTI223" s="36"/>
      <c r="DTJ223" s="36"/>
      <c r="DTK223" s="36"/>
      <c r="DTL223" s="36"/>
      <c r="DTM223" s="36"/>
      <c r="DTN223" s="36"/>
      <c r="DTO223" s="36"/>
      <c r="DTP223" s="36"/>
      <c r="DTQ223" s="36"/>
      <c r="DTR223" s="36"/>
      <c r="DTS223" s="36"/>
      <c r="DTT223" s="36"/>
      <c r="DTU223" s="36"/>
      <c r="DTV223" s="36"/>
      <c r="DTW223" s="36"/>
      <c r="DTX223" s="36"/>
      <c r="DTY223" s="36"/>
      <c r="DTZ223" s="36"/>
      <c r="DUA223" s="36"/>
      <c r="DUB223" s="36"/>
      <c r="DUC223" s="36"/>
      <c r="DUD223" s="36"/>
      <c r="DUE223" s="36"/>
      <c r="DUF223" s="36"/>
      <c r="DUG223" s="36"/>
      <c r="DUH223" s="36"/>
      <c r="DUI223" s="36"/>
      <c r="DUJ223" s="36"/>
      <c r="DUK223" s="36"/>
      <c r="DUL223" s="36"/>
      <c r="DUM223" s="36"/>
      <c r="DUN223" s="36"/>
      <c r="DUO223" s="36"/>
      <c r="DUP223" s="36"/>
      <c r="DUQ223" s="36"/>
      <c r="DUR223" s="36"/>
      <c r="DUS223" s="36"/>
      <c r="DUT223" s="36"/>
      <c r="DUU223" s="36"/>
      <c r="DUV223" s="36"/>
      <c r="DUW223" s="36"/>
      <c r="DUX223" s="36"/>
      <c r="DUY223" s="36"/>
      <c r="DUZ223" s="36"/>
      <c r="DVA223" s="36"/>
      <c r="DVB223" s="36"/>
      <c r="DVC223" s="36"/>
      <c r="DVD223" s="36"/>
      <c r="DVE223" s="36"/>
      <c r="DVF223" s="36"/>
      <c r="DVG223" s="36"/>
      <c r="DVH223" s="36"/>
      <c r="DVI223" s="36"/>
      <c r="DVJ223" s="36"/>
      <c r="DVK223" s="36"/>
      <c r="DVL223" s="36"/>
      <c r="DVM223" s="36"/>
      <c r="DVN223" s="36"/>
      <c r="DVO223" s="36"/>
      <c r="DVP223" s="36"/>
      <c r="DVQ223" s="36"/>
      <c r="DVR223" s="36"/>
      <c r="DVS223" s="36"/>
      <c r="DVT223" s="36"/>
      <c r="DVU223" s="36"/>
      <c r="DVV223" s="36"/>
      <c r="DVW223" s="36"/>
      <c r="DVX223" s="36"/>
      <c r="DVY223" s="36"/>
      <c r="DVZ223" s="36"/>
      <c r="DWA223" s="36"/>
      <c r="DWB223" s="36"/>
      <c r="DWC223" s="36"/>
      <c r="DWD223" s="36"/>
      <c r="DWE223" s="36"/>
      <c r="DWF223" s="36"/>
      <c r="DWG223" s="36"/>
      <c r="DWH223" s="36"/>
      <c r="DWI223" s="36"/>
      <c r="DWJ223" s="36"/>
      <c r="DWK223" s="36"/>
      <c r="DWL223" s="36"/>
      <c r="DWM223" s="36"/>
      <c r="DWN223" s="36"/>
      <c r="DWO223" s="36"/>
      <c r="DWP223" s="36"/>
      <c r="DWQ223" s="36"/>
      <c r="DWR223" s="36"/>
      <c r="DWS223" s="36"/>
      <c r="DWT223" s="36"/>
      <c r="DWU223" s="36"/>
      <c r="DWV223" s="36"/>
      <c r="DWW223" s="36"/>
      <c r="DWX223" s="36"/>
      <c r="DWY223" s="36"/>
      <c r="DWZ223" s="36"/>
      <c r="DXA223" s="36"/>
      <c r="DXB223" s="36"/>
      <c r="DXC223" s="36"/>
      <c r="DXD223" s="36"/>
      <c r="DXE223" s="36"/>
      <c r="DXF223" s="36"/>
      <c r="DXG223" s="36"/>
      <c r="DXH223" s="36"/>
      <c r="DXI223" s="36"/>
      <c r="DXJ223" s="36"/>
      <c r="DXK223" s="36"/>
      <c r="DXL223" s="36"/>
      <c r="DXM223" s="36"/>
      <c r="DXN223" s="36"/>
      <c r="DXO223" s="36"/>
      <c r="DXP223" s="36"/>
      <c r="DXQ223" s="36"/>
      <c r="DXR223" s="36"/>
      <c r="DXS223" s="36"/>
      <c r="DXT223" s="36"/>
      <c r="DXU223" s="36"/>
      <c r="DXV223" s="36"/>
      <c r="DXW223" s="36"/>
      <c r="DXX223" s="36"/>
      <c r="DXY223" s="36"/>
      <c r="DXZ223" s="36"/>
      <c r="DYA223" s="36"/>
      <c r="DYB223" s="36"/>
      <c r="DYC223" s="36"/>
      <c r="DYD223" s="36"/>
      <c r="DYE223" s="36"/>
      <c r="DYF223" s="36"/>
      <c r="DYG223" s="36"/>
      <c r="DYH223" s="36"/>
      <c r="DYI223" s="36"/>
      <c r="DYJ223" s="36"/>
      <c r="DYK223" s="36"/>
      <c r="DYL223" s="36"/>
      <c r="DYM223" s="36"/>
      <c r="DYN223" s="36"/>
      <c r="DYO223" s="36"/>
      <c r="DYP223" s="36"/>
      <c r="DYQ223" s="36"/>
      <c r="DYR223" s="36"/>
      <c r="DYS223" s="36"/>
      <c r="DYT223" s="36"/>
      <c r="DYU223" s="36"/>
      <c r="DYV223" s="36"/>
      <c r="DYW223" s="36"/>
      <c r="DYX223" s="36"/>
      <c r="DYY223" s="36"/>
      <c r="DYZ223" s="36"/>
      <c r="DZA223" s="36"/>
      <c r="DZB223" s="36"/>
      <c r="DZC223" s="36"/>
      <c r="DZD223" s="36"/>
      <c r="DZE223" s="36"/>
      <c r="DZF223" s="36"/>
      <c r="DZG223" s="36"/>
      <c r="DZH223" s="36"/>
      <c r="DZI223" s="36"/>
      <c r="DZJ223" s="36"/>
      <c r="DZK223" s="36"/>
      <c r="DZL223" s="36"/>
      <c r="DZM223" s="36"/>
      <c r="DZN223" s="36"/>
      <c r="DZO223" s="36"/>
      <c r="DZP223" s="36"/>
      <c r="DZQ223" s="36"/>
      <c r="DZR223" s="36"/>
      <c r="DZS223" s="36"/>
      <c r="DZT223" s="36"/>
      <c r="DZU223" s="36"/>
      <c r="DZV223" s="36"/>
      <c r="DZW223" s="36"/>
      <c r="DZX223" s="36"/>
      <c r="DZY223" s="36"/>
      <c r="DZZ223" s="36"/>
      <c r="EAA223" s="36"/>
      <c r="EAB223" s="36"/>
      <c r="EAC223" s="36"/>
      <c r="EAD223" s="36"/>
      <c r="EAE223" s="36"/>
      <c r="EAF223" s="36"/>
      <c r="EAG223" s="36"/>
      <c r="EAH223" s="36"/>
      <c r="EAI223" s="36"/>
      <c r="EAJ223" s="36"/>
      <c r="EAK223" s="36"/>
      <c r="EAL223" s="36"/>
      <c r="EAM223" s="36"/>
      <c r="EAN223" s="36"/>
      <c r="EAO223" s="36"/>
      <c r="EAP223" s="36"/>
      <c r="EAQ223" s="36"/>
      <c r="EAR223" s="36"/>
      <c r="EAS223" s="36"/>
      <c r="EAT223" s="36"/>
      <c r="EAU223" s="36"/>
      <c r="EAV223" s="36"/>
      <c r="EAW223" s="36"/>
      <c r="EAX223" s="36"/>
      <c r="EAY223" s="36"/>
      <c r="EAZ223" s="36"/>
      <c r="EBA223" s="36"/>
      <c r="EBB223" s="36"/>
      <c r="EBC223" s="36"/>
      <c r="EBD223" s="36"/>
      <c r="EBE223" s="36"/>
      <c r="EBF223" s="36"/>
      <c r="EBG223" s="36"/>
      <c r="EBH223" s="36"/>
      <c r="EBI223" s="36"/>
      <c r="EBJ223" s="36"/>
      <c r="EBK223" s="36"/>
      <c r="EBL223" s="36"/>
      <c r="EBM223" s="36"/>
      <c r="EBN223" s="36"/>
      <c r="EBO223" s="36"/>
      <c r="EBP223" s="36"/>
      <c r="EBQ223" s="36"/>
      <c r="EBR223" s="36"/>
      <c r="EBS223" s="36"/>
      <c r="EBT223" s="36"/>
      <c r="EBU223" s="36"/>
      <c r="EBV223" s="36"/>
      <c r="EBW223" s="36"/>
      <c r="EBX223" s="36"/>
      <c r="EBY223" s="36"/>
      <c r="EBZ223" s="36"/>
      <c r="ECA223" s="36"/>
      <c r="ECB223" s="36"/>
      <c r="ECC223" s="36"/>
      <c r="ECD223" s="36"/>
      <c r="ECE223" s="36"/>
      <c r="ECF223" s="36"/>
      <c r="ECG223" s="36"/>
      <c r="ECH223" s="36"/>
      <c r="ECI223" s="36"/>
      <c r="ECJ223" s="36"/>
      <c r="ECK223" s="36"/>
      <c r="ECL223" s="36"/>
      <c r="ECM223" s="36"/>
      <c r="ECN223" s="36"/>
      <c r="ECO223" s="36"/>
      <c r="ECP223" s="36"/>
      <c r="ECQ223" s="36"/>
      <c r="ECR223" s="36"/>
      <c r="ECS223" s="36"/>
      <c r="ECT223" s="36"/>
      <c r="ECU223" s="36"/>
      <c r="ECV223" s="36"/>
      <c r="ECW223" s="36"/>
      <c r="ECX223" s="36"/>
      <c r="ECY223" s="36"/>
      <c r="ECZ223" s="36"/>
      <c r="EDA223" s="36"/>
      <c r="EDB223" s="36"/>
      <c r="EDC223" s="36"/>
      <c r="EDD223" s="36"/>
      <c r="EDE223" s="36"/>
      <c r="EDF223" s="36"/>
      <c r="EDG223" s="36"/>
      <c r="EDH223" s="36"/>
      <c r="EDI223" s="36"/>
      <c r="EDJ223" s="36"/>
      <c r="EDK223" s="36"/>
      <c r="EDL223" s="36"/>
      <c r="EDM223" s="36"/>
      <c r="EDN223" s="36"/>
      <c r="EDO223" s="36"/>
      <c r="EDP223" s="36"/>
      <c r="EDQ223" s="36"/>
      <c r="EDR223" s="36"/>
      <c r="EDS223" s="36"/>
      <c r="EDT223" s="36"/>
      <c r="EDU223" s="36"/>
      <c r="EDV223" s="36"/>
      <c r="EDW223" s="36"/>
      <c r="EDX223" s="36"/>
      <c r="EDY223" s="36"/>
      <c r="EDZ223" s="36"/>
      <c r="EEA223" s="36"/>
      <c r="EEB223" s="36"/>
      <c r="EEC223" s="36"/>
      <c r="EED223" s="36"/>
      <c r="EEE223" s="36"/>
      <c r="EEF223" s="36"/>
      <c r="EEG223" s="36"/>
      <c r="EEH223" s="36"/>
      <c r="EEI223" s="36"/>
      <c r="EEJ223" s="36"/>
      <c r="EEK223" s="36"/>
      <c r="EEL223" s="36"/>
      <c r="EEM223" s="36"/>
      <c r="EEN223" s="36"/>
      <c r="EEO223" s="36"/>
      <c r="EEP223" s="36"/>
      <c r="EEQ223" s="36"/>
      <c r="EER223" s="36"/>
      <c r="EES223" s="36"/>
      <c r="EET223" s="36"/>
      <c r="EEU223" s="36"/>
      <c r="EEV223" s="36"/>
      <c r="EEW223" s="36"/>
      <c r="EEX223" s="36"/>
      <c r="EEY223" s="36"/>
      <c r="EEZ223" s="36"/>
      <c r="EFA223" s="36"/>
      <c r="EFB223" s="36"/>
      <c r="EFC223" s="36"/>
      <c r="EFD223" s="36"/>
      <c r="EFE223" s="36"/>
      <c r="EFF223" s="36"/>
      <c r="EFG223" s="36"/>
      <c r="EFH223" s="36"/>
      <c r="EFI223" s="36"/>
      <c r="EFJ223" s="36"/>
      <c r="EFK223" s="36"/>
      <c r="EFL223" s="36"/>
      <c r="EFM223" s="36"/>
      <c r="EFN223" s="36"/>
      <c r="EFO223" s="36"/>
      <c r="EFP223" s="36"/>
      <c r="EFQ223" s="36"/>
      <c r="EFR223" s="36"/>
      <c r="EFS223" s="36"/>
      <c r="EFT223" s="36"/>
      <c r="EFU223" s="36"/>
      <c r="EFV223" s="36"/>
      <c r="EFW223" s="36"/>
      <c r="EFX223" s="36"/>
      <c r="EFY223" s="36"/>
      <c r="EFZ223" s="36"/>
      <c r="EGA223" s="36"/>
      <c r="EGB223" s="36"/>
      <c r="EGC223" s="36"/>
      <c r="EGD223" s="36"/>
      <c r="EGE223" s="36"/>
      <c r="EGF223" s="36"/>
      <c r="EGG223" s="36"/>
      <c r="EGH223" s="36"/>
      <c r="EGI223" s="36"/>
      <c r="EGJ223" s="36"/>
      <c r="EGK223" s="36"/>
      <c r="EGL223" s="36"/>
      <c r="EGM223" s="36"/>
      <c r="EGN223" s="36"/>
      <c r="EGO223" s="36"/>
      <c r="EGP223" s="36"/>
      <c r="EGQ223" s="36"/>
      <c r="EGR223" s="36"/>
      <c r="EGS223" s="36"/>
      <c r="EGT223" s="36"/>
      <c r="EGU223" s="36"/>
      <c r="EGV223" s="36"/>
      <c r="EGW223" s="36"/>
      <c r="EGX223" s="36"/>
      <c r="EGY223" s="36"/>
      <c r="EGZ223" s="36"/>
      <c r="EHA223" s="36"/>
      <c r="EHB223" s="36"/>
      <c r="EHC223" s="36"/>
      <c r="EHD223" s="36"/>
      <c r="EHE223" s="36"/>
      <c r="EHF223" s="36"/>
      <c r="EHG223" s="36"/>
      <c r="EHH223" s="36"/>
      <c r="EHI223" s="36"/>
      <c r="EHJ223" s="36"/>
      <c r="EHK223" s="36"/>
      <c r="EHL223" s="36"/>
      <c r="EHM223" s="36"/>
      <c r="EHN223" s="36"/>
      <c r="EHO223" s="36"/>
      <c r="EHP223" s="36"/>
      <c r="EHQ223" s="36"/>
      <c r="EHR223" s="36"/>
      <c r="EHS223" s="36"/>
      <c r="EHT223" s="36"/>
      <c r="EHU223" s="36"/>
      <c r="EHV223" s="36"/>
      <c r="EHW223" s="36"/>
      <c r="EHX223" s="36"/>
      <c r="EHY223" s="36"/>
      <c r="EHZ223" s="36"/>
      <c r="EIA223" s="36"/>
      <c r="EIB223" s="36"/>
      <c r="EIC223" s="36"/>
      <c r="EID223" s="36"/>
      <c r="EIE223" s="36"/>
      <c r="EIF223" s="36"/>
      <c r="EIG223" s="36"/>
      <c r="EIH223" s="36"/>
      <c r="EII223" s="36"/>
      <c r="EIJ223" s="36"/>
      <c r="EIK223" s="36"/>
      <c r="EIL223" s="36"/>
      <c r="EIM223" s="36"/>
      <c r="EIN223" s="36"/>
      <c r="EIO223" s="36"/>
      <c r="EIP223" s="36"/>
      <c r="EIQ223" s="36"/>
      <c r="EIR223" s="36"/>
      <c r="EIS223" s="36"/>
      <c r="EIT223" s="36"/>
      <c r="EIU223" s="36"/>
      <c r="EIV223" s="36"/>
      <c r="EIW223" s="36"/>
      <c r="EIX223" s="36"/>
      <c r="EIY223" s="36"/>
      <c r="EIZ223" s="36"/>
      <c r="EJA223" s="36"/>
      <c r="EJB223" s="36"/>
      <c r="EJC223" s="36"/>
      <c r="EJD223" s="36"/>
      <c r="EJE223" s="36"/>
      <c r="EJF223" s="36"/>
      <c r="EJG223" s="36"/>
      <c r="EJH223" s="36"/>
      <c r="EJI223" s="36"/>
      <c r="EJJ223" s="36"/>
      <c r="EJK223" s="36"/>
      <c r="EJL223" s="36"/>
      <c r="EJM223" s="36"/>
      <c r="EJN223" s="36"/>
      <c r="EJO223" s="36"/>
      <c r="EJP223" s="36"/>
      <c r="EJQ223" s="36"/>
      <c r="EJR223" s="36"/>
      <c r="EJS223" s="36"/>
      <c r="EJT223" s="36"/>
      <c r="EJU223" s="36"/>
      <c r="EJV223" s="36"/>
      <c r="EJW223" s="36"/>
      <c r="EJX223" s="36"/>
      <c r="EJY223" s="36"/>
      <c r="EJZ223" s="36"/>
      <c r="EKA223" s="36"/>
      <c r="EKB223" s="36"/>
      <c r="EKC223" s="36"/>
      <c r="EKD223" s="36"/>
      <c r="EKE223" s="36"/>
      <c r="EKF223" s="36"/>
      <c r="EKG223" s="36"/>
      <c r="EKH223" s="36"/>
      <c r="EKI223" s="36"/>
      <c r="EKJ223" s="36"/>
      <c r="EKK223" s="36"/>
      <c r="EKL223" s="36"/>
      <c r="EKM223" s="36"/>
      <c r="EKN223" s="36"/>
      <c r="EKO223" s="36"/>
      <c r="EKP223" s="36"/>
      <c r="EKQ223" s="36"/>
      <c r="EKR223" s="36"/>
      <c r="EKS223" s="36"/>
      <c r="EKT223" s="36"/>
      <c r="EKU223" s="36"/>
      <c r="EKV223" s="36"/>
      <c r="EKW223" s="36"/>
      <c r="EKX223" s="36"/>
      <c r="EKY223" s="36"/>
      <c r="EKZ223" s="36"/>
      <c r="ELA223" s="36"/>
      <c r="ELB223" s="36"/>
      <c r="ELC223" s="36"/>
      <c r="ELD223" s="36"/>
      <c r="ELE223" s="36"/>
      <c r="ELF223" s="36"/>
      <c r="ELG223" s="36"/>
      <c r="ELH223" s="36"/>
      <c r="ELI223" s="36"/>
      <c r="ELJ223" s="36"/>
      <c r="ELK223" s="36"/>
      <c r="ELL223" s="36"/>
      <c r="ELM223" s="36"/>
      <c r="ELN223" s="36"/>
      <c r="ELO223" s="36"/>
      <c r="ELP223" s="36"/>
      <c r="ELQ223" s="36"/>
      <c r="ELR223" s="36"/>
      <c r="ELS223" s="36"/>
      <c r="ELT223" s="36"/>
      <c r="ELU223" s="36"/>
      <c r="ELV223" s="36"/>
      <c r="ELW223" s="36"/>
      <c r="ELX223" s="36"/>
      <c r="ELY223" s="36"/>
      <c r="ELZ223" s="36"/>
      <c r="EMA223" s="36"/>
      <c r="EMB223" s="36"/>
      <c r="EMC223" s="36"/>
      <c r="EMD223" s="36"/>
      <c r="EME223" s="36"/>
      <c r="EMF223" s="36"/>
      <c r="EMG223" s="36"/>
      <c r="EMH223" s="36"/>
      <c r="EMI223" s="36"/>
      <c r="EMJ223" s="36"/>
      <c r="EMK223" s="36"/>
      <c r="EML223" s="36"/>
      <c r="EMM223" s="36"/>
      <c r="EMN223" s="36"/>
      <c r="EMO223" s="36"/>
      <c r="EMP223" s="36"/>
      <c r="EMQ223" s="36"/>
      <c r="EMR223" s="36"/>
      <c r="EMS223" s="36"/>
      <c r="EMT223" s="36"/>
      <c r="EMU223" s="36"/>
      <c r="EMV223" s="36"/>
      <c r="EMW223" s="36"/>
      <c r="EMX223" s="36"/>
      <c r="EMY223" s="36"/>
      <c r="EMZ223" s="36"/>
      <c r="ENA223" s="36"/>
      <c r="ENB223" s="36"/>
      <c r="ENC223" s="36"/>
      <c r="END223" s="36"/>
      <c r="ENE223" s="36"/>
      <c r="ENF223" s="36"/>
      <c r="ENG223" s="36"/>
      <c r="ENH223" s="36"/>
      <c r="ENI223" s="36"/>
      <c r="ENJ223" s="36"/>
      <c r="ENK223" s="36"/>
      <c r="ENL223" s="36"/>
      <c r="ENM223" s="36"/>
      <c r="ENN223" s="36"/>
      <c r="ENO223" s="36"/>
      <c r="ENP223" s="36"/>
      <c r="ENQ223" s="36"/>
      <c r="ENR223" s="36"/>
      <c r="ENS223" s="36"/>
      <c r="ENT223" s="36"/>
      <c r="ENU223" s="36"/>
      <c r="ENV223" s="36"/>
      <c r="ENW223" s="36"/>
      <c r="ENX223" s="36"/>
      <c r="ENY223" s="36"/>
      <c r="ENZ223" s="36"/>
      <c r="EOA223" s="36"/>
      <c r="EOB223" s="36"/>
      <c r="EOC223" s="36"/>
      <c r="EOD223" s="36"/>
      <c r="EOE223" s="36"/>
      <c r="EOF223" s="36"/>
      <c r="EOG223" s="36"/>
      <c r="EOH223" s="36"/>
      <c r="EOI223" s="36"/>
      <c r="EOJ223" s="36"/>
      <c r="EOK223" s="36"/>
      <c r="EOL223" s="36"/>
      <c r="EOM223" s="36"/>
      <c r="EON223" s="36"/>
      <c r="EOO223" s="36"/>
      <c r="EOP223" s="36"/>
      <c r="EOQ223" s="36"/>
      <c r="EOR223" s="36"/>
      <c r="EOS223" s="36"/>
      <c r="EOT223" s="36"/>
      <c r="EOU223" s="36"/>
      <c r="EOV223" s="36"/>
      <c r="EOW223" s="36"/>
      <c r="EOX223" s="36"/>
      <c r="EOY223" s="36"/>
      <c r="EOZ223" s="36"/>
      <c r="EPA223" s="36"/>
      <c r="EPB223" s="36"/>
      <c r="EPC223" s="36"/>
      <c r="EPD223" s="36"/>
      <c r="EPE223" s="36"/>
      <c r="EPF223" s="36"/>
      <c r="EPG223" s="36"/>
      <c r="EPH223" s="36"/>
      <c r="EPI223" s="36"/>
      <c r="EPJ223" s="36"/>
      <c r="EPK223" s="36"/>
      <c r="EPL223" s="36"/>
      <c r="EPM223" s="36"/>
      <c r="EPN223" s="36"/>
      <c r="EPO223" s="36"/>
      <c r="EPP223" s="36"/>
      <c r="EPQ223" s="36"/>
      <c r="EPR223" s="36"/>
      <c r="EPS223" s="36"/>
      <c r="EPT223" s="36"/>
      <c r="EPU223" s="36"/>
      <c r="EPV223" s="36"/>
      <c r="EPW223" s="36"/>
      <c r="EPX223" s="36"/>
      <c r="EPY223" s="36"/>
      <c r="EPZ223" s="36"/>
      <c r="EQA223" s="36"/>
      <c r="EQB223" s="36"/>
      <c r="EQC223" s="36"/>
      <c r="EQD223" s="36"/>
      <c r="EQE223" s="36"/>
      <c r="EQF223" s="36"/>
      <c r="EQG223" s="36"/>
      <c r="EQH223" s="36"/>
      <c r="EQI223" s="36"/>
      <c r="EQJ223" s="36"/>
      <c r="EQK223" s="36"/>
      <c r="EQL223" s="36"/>
      <c r="EQM223" s="36"/>
      <c r="EQN223" s="36"/>
      <c r="EQO223" s="36"/>
      <c r="EQP223" s="36"/>
      <c r="EQQ223" s="36"/>
      <c r="EQR223" s="36"/>
      <c r="EQS223" s="36"/>
      <c r="EQT223" s="36"/>
      <c r="EQU223" s="36"/>
      <c r="EQV223" s="36"/>
      <c r="EQW223" s="36"/>
      <c r="EQX223" s="36"/>
      <c r="EQY223" s="36"/>
      <c r="EQZ223" s="36"/>
      <c r="ERA223" s="36"/>
      <c r="ERB223" s="36"/>
      <c r="ERC223" s="36"/>
      <c r="ERD223" s="36"/>
      <c r="ERE223" s="36"/>
      <c r="ERF223" s="36"/>
      <c r="ERG223" s="36"/>
      <c r="ERH223" s="36"/>
      <c r="ERI223" s="36"/>
      <c r="ERJ223" s="36"/>
      <c r="ERK223" s="36"/>
      <c r="ERL223" s="36"/>
      <c r="ERM223" s="36"/>
      <c r="ERN223" s="36"/>
      <c r="ERO223" s="36"/>
      <c r="ERP223" s="36"/>
      <c r="ERQ223" s="36"/>
      <c r="ERR223" s="36"/>
      <c r="ERS223" s="36"/>
      <c r="ERT223" s="36"/>
      <c r="ERU223" s="36"/>
      <c r="ERV223" s="36"/>
      <c r="ERW223" s="36"/>
      <c r="ERX223" s="36"/>
      <c r="ERY223" s="36"/>
      <c r="ERZ223" s="36"/>
      <c r="ESA223" s="36"/>
      <c r="ESB223" s="36"/>
      <c r="ESC223" s="36"/>
      <c r="ESD223" s="36"/>
      <c r="ESE223" s="36"/>
      <c r="ESF223" s="36"/>
      <c r="ESG223" s="36"/>
      <c r="ESH223" s="36"/>
      <c r="ESI223" s="36"/>
      <c r="ESJ223" s="36"/>
      <c r="ESK223" s="36"/>
      <c r="ESL223" s="36"/>
      <c r="ESM223" s="36"/>
      <c r="ESN223" s="36"/>
      <c r="ESO223" s="36"/>
      <c r="ESP223" s="36"/>
      <c r="ESQ223" s="36"/>
      <c r="ESR223" s="36"/>
      <c r="ESS223" s="36"/>
      <c r="EST223" s="36"/>
      <c r="ESU223" s="36"/>
      <c r="ESV223" s="36"/>
      <c r="ESW223" s="36"/>
      <c r="ESX223" s="36"/>
      <c r="ESY223" s="36"/>
      <c r="ESZ223" s="36"/>
      <c r="ETA223" s="36"/>
      <c r="ETB223" s="36"/>
      <c r="ETC223" s="36"/>
      <c r="ETD223" s="36"/>
      <c r="ETE223" s="36"/>
      <c r="ETF223" s="36"/>
      <c r="ETG223" s="36"/>
      <c r="ETH223" s="36"/>
      <c r="ETI223" s="36"/>
      <c r="ETJ223" s="36"/>
      <c r="ETK223" s="36"/>
      <c r="ETL223" s="36"/>
      <c r="ETM223" s="36"/>
      <c r="ETN223" s="36"/>
      <c r="ETO223" s="36"/>
      <c r="ETP223" s="36"/>
      <c r="ETQ223" s="36"/>
      <c r="ETR223" s="36"/>
      <c r="ETS223" s="36"/>
      <c r="ETT223" s="36"/>
      <c r="ETU223" s="36"/>
      <c r="ETV223" s="36"/>
      <c r="ETW223" s="36"/>
      <c r="ETX223" s="36"/>
      <c r="ETY223" s="36"/>
      <c r="ETZ223" s="36"/>
      <c r="EUA223" s="36"/>
      <c r="EUB223" s="36"/>
      <c r="EUC223" s="36"/>
      <c r="EUD223" s="36"/>
      <c r="EUE223" s="36"/>
      <c r="EUF223" s="36"/>
      <c r="EUG223" s="36"/>
      <c r="EUH223" s="36"/>
      <c r="EUI223" s="36"/>
      <c r="EUJ223" s="36"/>
      <c r="EUK223" s="36"/>
      <c r="EUL223" s="36"/>
      <c r="EUM223" s="36"/>
      <c r="EUN223" s="36"/>
      <c r="EUO223" s="36"/>
      <c r="EUP223" s="36"/>
      <c r="EUQ223" s="36"/>
      <c r="EUR223" s="36"/>
      <c r="EUS223" s="36"/>
      <c r="EUT223" s="36"/>
      <c r="EUU223" s="36"/>
      <c r="EUV223" s="36"/>
      <c r="EUW223" s="36"/>
      <c r="EUX223" s="36"/>
      <c r="EUY223" s="36"/>
      <c r="EUZ223" s="36"/>
      <c r="EVA223" s="36"/>
      <c r="EVB223" s="36"/>
      <c r="EVC223" s="36"/>
      <c r="EVD223" s="36"/>
      <c r="EVE223" s="36"/>
      <c r="EVF223" s="36"/>
      <c r="EVG223" s="36"/>
      <c r="EVH223" s="36"/>
      <c r="EVI223" s="36"/>
      <c r="EVJ223" s="36"/>
      <c r="EVK223" s="36"/>
      <c r="EVL223" s="36"/>
      <c r="EVM223" s="36"/>
      <c r="EVN223" s="36"/>
      <c r="EVO223" s="36"/>
      <c r="EVP223" s="36"/>
      <c r="EVQ223" s="36"/>
      <c r="EVR223" s="36"/>
      <c r="EVS223" s="36"/>
      <c r="EVT223" s="36"/>
      <c r="EVU223" s="36"/>
      <c r="EVV223" s="36"/>
      <c r="EVW223" s="36"/>
      <c r="EVX223" s="36"/>
      <c r="EVY223" s="36"/>
      <c r="EVZ223" s="36"/>
      <c r="EWA223" s="36"/>
      <c r="EWB223" s="36"/>
      <c r="EWC223" s="36"/>
      <c r="EWD223" s="36"/>
      <c r="EWE223" s="36"/>
      <c r="EWF223" s="36"/>
      <c r="EWG223" s="36"/>
      <c r="EWH223" s="36"/>
      <c r="EWI223" s="36"/>
      <c r="EWJ223" s="36"/>
      <c r="EWK223" s="36"/>
      <c r="EWL223" s="36"/>
      <c r="EWM223" s="36"/>
      <c r="EWN223" s="36"/>
      <c r="EWO223" s="36"/>
      <c r="EWP223" s="36"/>
      <c r="EWQ223" s="36"/>
      <c r="EWR223" s="36"/>
      <c r="EWS223" s="36"/>
      <c r="EWT223" s="36"/>
      <c r="EWU223" s="36"/>
      <c r="EWV223" s="36"/>
      <c r="EWW223" s="36"/>
      <c r="EWX223" s="36"/>
      <c r="EWY223" s="36"/>
      <c r="EWZ223" s="36"/>
      <c r="EXA223" s="36"/>
      <c r="EXB223" s="36"/>
      <c r="EXC223" s="36"/>
      <c r="EXD223" s="36"/>
      <c r="EXE223" s="36"/>
      <c r="EXF223" s="36"/>
      <c r="EXG223" s="36"/>
      <c r="EXH223" s="36"/>
      <c r="EXI223" s="36"/>
      <c r="EXJ223" s="36"/>
      <c r="EXK223" s="36"/>
      <c r="EXL223" s="36"/>
      <c r="EXM223" s="36"/>
      <c r="EXN223" s="36"/>
      <c r="EXO223" s="36"/>
      <c r="EXP223" s="36"/>
      <c r="EXQ223" s="36"/>
      <c r="EXR223" s="36"/>
      <c r="EXS223" s="36"/>
      <c r="EXT223" s="36"/>
      <c r="EXU223" s="36"/>
      <c r="EXV223" s="36"/>
      <c r="EXW223" s="36"/>
      <c r="EXX223" s="36"/>
      <c r="EXY223" s="36"/>
      <c r="EXZ223" s="36"/>
      <c r="EYA223" s="36"/>
      <c r="EYB223" s="36"/>
      <c r="EYC223" s="36"/>
      <c r="EYD223" s="36"/>
      <c r="EYE223" s="36"/>
      <c r="EYF223" s="36"/>
      <c r="EYG223" s="36"/>
      <c r="EYH223" s="36"/>
      <c r="EYI223" s="36"/>
      <c r="EYJ223" s="36"/>
      <c r="EYK223" s="36"/>
      <c r="EYL223" s="36"/>
      <c r="EYM223" s="36"/>
      <c r="EYN223" s="36"/>
      <c r="EYO223" s="36"/>
      <c r="EYP223" s="36"/>
      <c r="EYQ223" s="36"/>
      <c r="EYR223" s="36"/>
      <c r="EYS223" s="36"/>
      <c r="EYT223" s="36"/>
      <c r="EYU223" s="36"/>
      <c r="EYV223" s="36"/>
      <c r="EYW223" s="36"/>
      <c r="EYX223" s="36"/>
      <c r="EYY223" s="36"/>
      <c r="EYZ223" s="36"/>
      <c r="EZA223" s="36"/>
      <c r="EZB223" s="36"/>
      <c r="EZC223" s="36"/>
      <c r="EZD223" s="36"/>
      <c r="EZE223" s="36"/>
      <c r="EZF223" s="36"/>
      <c r="EZG223" s="36"/>
      <c r="EZH223" s="36"/>
      <c r="EZI223" s="36"/>
      <c r="EZJ223" s="36"/>
      <c r="EZK223" s="36"/>
      <c r="EZL223" s="36"/>
      <c r="EZM223" s="36"/>
      <c r="EZN223" s="36"/>
      <c r="EZO223" s="36"/>
      <c r="EZP223" s="36"/>
      <c r="EZQ223" s="36"/>
      <c r="EZR223" s="36"/>
      <c r="EZS223" s="36"/>
      <c r="EZT223" s="36"/>
      <c r="EZU223" s="36"/>
      <c r="EZV223" s="36"/>
      <c r="EZW223" s="36"/>
      <c r="EZX223" s="36"/>
      <c r="EZY223" s="36"/>
      <c r="EZZ223" s="36"/>
      <c r="FAA223" s="36"/>
      <c r="FAB223" s="36"/>
      <c r="FAC223" s="36"/>
      <c r="FAD223" s="36"/>
      <c r="FAE223" s="36"/>
      <c r="FAF223" s="36"/>
      <c r="FAG223" s="36"/>
      <c r="FAH223" s="36"/>
      <c r="FAI223" s="36"/>
      <c r="FAJ223" s="36"/>
      <c r="FAK223" s="36"/>
      <c r="FAL223" s="36"/>
      <c r="FAM223" s="36"/>
      <c r="FAN223" s="36"/>
      <c r="FAO223" s="36"/>
      <c r="FAP223" s="36"/>
      <c r="FAQ223" s="36"/>
      <c r="FAR223" s="36"/>
      <c r="FAS223" s="36"/>
      <c r="FAT223" s="36"/>
      <c r="FAU223" s="36"/>
      <c r="FAV223" s="36"/>
      <c r="FAW223" s="36"/>
      <c r="FAX223" s="36"/>
      <c r="FAY223" s="36"/>
      <c r="FAZ223" s="36"/>
      <c r="FBA223" s="36"/>
      <c r="FBB223" s="36"/>
      <c r="FBC223" s="36"/>
      <c r="FBD223" s="36"/>
      <c r="FBE223" s="36"/>
      <c r="FBF223" s="36"/>
      <c r="FBG223" s="36"/>
      <c r="FBH223" s="36"/>
      <c r="FBI223" s="36"/>
      <c r="FBJ223" s="36"/>
      <c r="FBK223" s="36"/>
      <c r="FBL223" s="36"/>
      <c r="FBM223" s="36"/>
      <c r="FBN223" s="36"/>
      <c r="FBO223" s="36"/>
      <c r="FBP223" s="36"/>
      <c r="FBQ223" s="36"/>
      <c r="FBR223" s="36"/>
      <c r="FBS223" s="36"/>
      <c r="FBT223" s="36"/>
      <c r="FBU223" s="36"/>
      <c r="FBV223" s="36"/>
      <c r="FBW223" s="36"/>
      <c r="FBX223" s="36"/>
      <c r="FBY223" s="36"/>
      <c r="FBZ223" s="36"/>
      <c r="FCA223" s="36"/>
      <c r="FCB223" s="36"/>
      <c r="FCC223" s="36"/>
      <c r="FCD223" s="36"/>
      <c r="FCE223" s="36"/>
      <c r="FCF223" s="36"/>
      <c r="FCG223" s="36"/>
      <c r="FCH223" s="36"/>
      <c r="FCI223" s="36"/>
      <c r="FCJ223" s="36"/>
      <c r="FCK223" s="36"/>
      <c r="FCL223" s="36"/>
      <c r="FCM223" s="36"/>
      <c r="FCN223" s="36"/>
      <c r="FCO223" s="36"/>
      <c r="FCP223" s="36"/>
      <c r="FCQ223" s="36"/>
      <c r="FCR223" s="36"/>
      <c r="FCS223" s="36"/>
      <c r="FCT223" s="36"/>
      <c r="FCU223" s="36"/>
      <c r="FCV223" s="36"/>
      <c r="FCW223" s="36"/>
      <c r="FCX223" s="36"/>
      <c r="FCY223" s="36"/>
      <c r="FCZ223" s="36"/>
      <c r="FDA223" s="36"/>
      <c r="FDB223" s="36"/>
      <c r="FDC223" s="36"/>
      <c r="FDD223" s="36"/>
      <c r="FDE223" s="36"/>
      <c r="FDF223" s="36"/>
      <c r="FDG223" s="36"/>
      <c r="FDH223" s="36"/>
      <c r="FDI223" s="36"/>
      <c r="FDJ223" s="36"/>
      <c r="FDK223" s="36"/>
      <c r="FDL223" s="36"/>
      <c r="FDM223" s="36"/>
      <c r="FDN223" s="36"/>
      <c r="FDO223" s="36"/>
      <c r="FDP223" s="36"/>
      <c r="FDQ223" s="36"/>
      <c r="FDR223" s="36"/>
      <c r="FDS223" s="36"/>
      <c r="FDT223" s="36"/>
      <c r="FDU223" s="36"/>
      <c r="FDV223" s="36"/>
      <c r="FDW223" s="36"/>
      <c r="FDX223" s="36"/>
      <c r="FDY223" s="36"/>
      <c r="FDZ223" s="36"/>
      <c r="FEA223" s="36"/>
      <c r="FEB223" s="36"/>
      <c r="FEC223" s="36"/>
      <c r="FED223" s="36"/>
      <c r="FEE223" s="36"/>
      <c r="FEF223" s="36"/>
      <c r="FEG223" s="36"/>
      <c r="FEH223" s="36"/>
      <c r="FEI223" s="36"/>
      <c r="FEJ223" s="36"/>
      <c r="FEK223" s="36"/>
      <c r="FEL223" s="36"/>
      <c r="FEM223" s="36"/>
      <c r="FEN223" s="36"/>
      <c r="FEO223" s="36"/>
      <c r="FEP223" s="36"/>
      <c r="FEQ223" s="36"/>
      <c r="FER223" s="36"/>
      <c r="FES223" s="36"/>
      <c r="FET223" s="36"/>
      <c r="FEU223" s="36"/>
      <c r="FEV223" s="36"/>
      <c r="FEW223" s="36"/>
      <c r="FEX223" s="36"/>
      <c r="FEY223" s="36"/>
      <c r="FEZ223" s="36"/>
      <c r="FFA223" s="36"/>
      <c r="FFB223" s="36"/>
      <c r="FFC223" s="36"/>
      <c r="FFD223" s="36"/>
      <c r="FFE223" s="36"/>
      <c r="FFF223" s="36"/>
      <c r="FFG223" s="36"/>
      <c r="FFH223" s="36"/>
      <c r="FFI223" s="36"/>
      <c r="FFJ223" s="36"/>
      <c r="FFK223" s="36"/>
      <c r="FFL223" s="36"/>
      <c r="FFM223" s="36"/>
      <c r="FFN223" s="36"/>
      <c r="FFO223" s="36"/>
      <c r="FFP223" s="36"/>
      <c r="FFQ223" s="36"/>
      <c r="FFR223" s="36"/>
      <c r="FFS223" s="36"/>
      <c r="FFT223" s="36"/>
      <c r="FFU223" s="36"/>
      <c r="FFV223" s="36"/>
      <c r="FFW223" s="36"/>
      <c r="FFX223" s="36"/>
      <c r="FFY223" s="36"/>
      <c r="FFZ223" s="36"/>
      <c r="FGA223" s="36"/>
      <c r="FGB223" s="36"/>
      <c r="FGC223" s="36"/>
      <c r="FGD223" s="36"/>
      <c r="FGE223" s="36"/>
      <c r="FGF223" s="36"/>
      <c r="FGG223" s="36"/>
      <c r="FGH223" s="36"/>
      <c r="FGI223" s="36"/>
      <c r="FGJ223" s="36"/>
      <c r="FGK223" s="36"/>
      <c r="FGL223" s="36"/>
      <c r="FGM223" s="36"/>
      <c r="FGN223" s="36"/>
      <c r="FGO223" s="36"/>
      <c r="FGP223" s="36"/>
      <c r="FGQ223" s="36"/>
      <c r="FGR223" s="36"/>
      <c r="FGS223" s="36"/>
      <c r="FGT223" s="36"/>
      <c r="FGU223" s="36"/>
      <c r="FGV223" s="36"/>
      <c r="FGW223" s="36"/>
      <c r="FGX223" s="36"/>
      <c r="FGY223" s="36"/>
      <c r="FGZ223" s="36"/>
      <c r="FHA223" s="36"/>
      <c r="FHB223" s="36"/>
      <c r="FHC223" s="36"/>
      <c r="FHD223" s="36"/>
      <c r="FHE223" s="36"/>
      <c r="FHF223" s="36"/>
      <c r="FHG223" s="36"/>
      <c r="FHH223" s="36"/>
      <c r="FHI223" s="36"/>
      <c r="FHJ223" s="36"/>
      <c r="FHK223" s="36"/>
      <c r="FHL223" s="36"/>
      <c r="FHM223" s="36"/>
      <c r="FHN223" s="36"/>
      <c r="FHO223" s="36"/>
      <c r="FHP223" s="36"/>
      <c r="FHQ223" s="36"/>
      <c r="FHR223" s="36"/>
      <c r="FHS223" s="36"/>
      <c r="FHT223" s="36"/>
      <c r="FHU223" s="36"/>
      <c r="FHV223" s="36"/>
      <c r="FHW223" s="36"/>
      <c r="FHX223" s="36"/>
      <c r="FHY223" s="36"/>
      <c r="FHZ223" s="36"/>
      <c r="FIA223" s="36"/>
      <c r="FIB223" s="36"/>
      <c r="FIC223" s="36"/>
      <c r="FID223" s="36"/>
      <c r="FIE223" s="36"/>
      <c r="FIF223" s="36"/>
      <c r="FIG223" s="36"/>
      <c r="FIH223" s="36"/>
      <c r="FII223" s="36"/>
      <c r="FIJ223" s="36"/>
      <c r="FIK223" s="36"/>
      <c r="FIL223" s="36"/>
      <c r="FIM223" s="36"/>
      <c r="FIN223" s="36"/>
      <c r="FIO223" s="36"/>
      <c r="FIP223" s="36"/>
      <c r="FIQ223" s="36"/>
      <c r="FIR223" s="36"/>
      <c r="FIS223" s="36"/>
      <c r="FIT223" s="36"/>
      <c r="FIU223" s="36"/>
      <c r="FIV223" s="36"/>
      <c r="FIW223" s="36"/>
      <c r="FIX223" s="36"/>
      <c r="FIY223" s="36"/>
      <c r="FIZ223" s="36"/>
      <c r="FJA223" s="36"/>
      <c r="FJB223" s="36"/>
      <c r="FJC223" s="36"/>
      <c r="FJD223" s="36"/>
      <c r="FJE223" s="36"/>
      <c r="FJF223" s="36"/>
      <c r="FJG223" s="36"/>
      <c r="FJH223" s="36"/>
      <c r="FJI223" s="36"/>
      <c r="FJJ223" s="36"/>
      <c r="FJK223" s="36"/>
      <c r="FJL223" s="36"/>
      <c r="FJM223" s="36"/>
      <c r="FJN223" s="36"/>
      <c r="FJO223" s="36"/>
      <c r="FJP223" s="36"/>
      <c r="FJQ223" s="36"/>
      <c r="FJR223" s="36"/>
      <c r="FJS223" s="36"/>
      <c r="FJT223" s="36"/>
      <c r="FJU223" s="36"/>
      <c r="FJV223" s="36"/>
      <c r="FJW223" s="36"/>
      <c r="FJX223" s="36"/>
      <c r="FJY223" s="36"/>
      <c r="FJZ223" s="36"/>
      <c r="FKA223" s="36"/>
      <c r="FKB223" s="36"/>
      <c r="FKC223" s="36"/>
      <c r="FKD223" s="36"/>
      <c r="FKE223" s="36"/>
      <c r="FKF223" s="36"/>
      <c r="FKG223" s="36"/>
      <c r="FKH223" s="36"/>
      <c r="FKI223" s="36"/>
      <c r="FKJ223" s="36"/>
      <c r="FKK223" s="36"/>
      <c r="FKL223" s="36"/>
      <c r="FKM223" s="36"/>
      <c r="FKN223" s="36"/>
      <c r="FKO223" s="36"/>
      <c r="FKP223" s="36"/>
      <c r="FKQ223" s="36"/>
      <c r="FKR223" s="36"/>
      <c r="FKS223" s="36"/>
      <c r="FKT223" s="36"/>
      <c r="FKU223" s="36"/>
      <c r="FKV223" s="36"/>
      <c r="FKW223" s="36"/>
      <c r="FKX223" s="36"/>
      <c r="FKY223" s="36"/>
      <c r="FKZ223" s="36"/>
      <c r="FLA223" s="36"/>
      <c r="FLB223" s="36"/>
      <c r="FLC223" s="36"/>
      <c r="FLD223" s="36"/>
      <c r="FLE223" s="36"/>
      <c r="FLF223" s="36"/>
      <c r="FLG223" s="36"/>
      <c r="FLH223" s="36"/>
      <c r="FLI223" s="36"/>
      <c r="FLJ223" s="36"/>
      <c r="FLK223" s="36"/>
      <c r="FLL223" s="36"/>
      <c r="FLM223" s="36"/>
      <c r="FLN223" s="36"/>
      <c r="FLO223" s="36"/>
      <c r="FLP223" s="36"/>
      <c r="FLQ223" s="36"/>
      <c r="FLR223" s="36"/>
      <c r="FLS223" s="36"/>
      <c r="FLT223" s="36"/>
      <c r="FLU223" s="36"/>
      <c r="FLV223" s="36"/>
      <c r="FLW223" s="36"/>
      <c r="FLX223" s="36"/>
      <c r="FLY223" s="36"/>
      <c r="FLZ223" s="36"/>
      <c r="FMA223" s="36"/>
      <c r="FMB223" s="36"/>
      <c r="FMC223" s="36"/>
      <c r="FMD223" s="36"/>
      <c r="FME223" s="36"/>
      <c r="FMF223" s="36"/>
      <c r="FMG223" s="36"/>
      <c r="FMH223" s="36"/>
      <c r="FMI223" s="36"/>
      <c r="FMJ223" s="36"/>
      <c r="FMK223" s="36"/>
      <c r="FML223" s="36"/>
      <c r="FMM223" s="36"/>
      <c r="FMN223" s="36"/>
      <c r="FMO223" s="36"/>
      <c r="FMP223" s="36"/>
      <c r="FMQ223" s="36"/>
      <c r="FMR223" s="36"/>
      <c r="FMS223" s="36"/>
      <c r="FMT223" s="36"/>
      <c r="FMU223" s="36"/>
      <c r="FMV223" s="36"/>
      <c r="FMW223" s="36"/>
      <c r="FMX223" s="36"/>
      <c r="FMY223" s="36"/>
      <c r="FMZ223" s="36"/>
      <c r="FNA223" s="36"/>
      <c r="FNB223" s="36"/>
      <c r="FNC223" s="36"/>
      <c r="FND223" s="36"/>
      <c r="FNE223" s="36"/>
      <c r="FNF223" s="36"/>
      <c r="FNG223" s="36"/>
      <c r="FNH223" s="36"/>
      <c r="FNI223" s="36"/>
      <c r="FNJ223" s="36"/>
      <c r="FNK223" s="36"/>
      <c r="FNL223" s="36"/>
      <c r="FNM223" s="36"/>
      <c r="FNN223" s="36"/>
      <c r="FNO223" s="36"/>
      <c r="FNP223" s="36"/>
      <c r="FNQ223" s="36"/>
      <c r="FNR223" s="36"/>
      <c r="FNS223" s="36"/>
      <c r="FNT223" s="36"/>
      <c r="FNU223" s="36"/>
      <c r="FNV223" s="36"/>
      <c r="FNW223" s="36"/>
      <c r="FNX223" s="36"/>
      <c r="FNY223" s="36"/>
      <c r="FNZ223" s="36"/>
      <c r="FOA223" s="36"/>
      <c r="FOB223" s="36"/>
      <c r="FOC223" s="36"/>
      <c r="FOD223" s="36"/>
      <c r="FOE223" s="36"/>
      <c r="FOF223" s="36"/>
      <c r="FOG223" s="36"/>
      <c r="FOH223" s="36"/>
      <c r="FOI223" s="36"/>
      <c r="FOJ223" s="36"/>
      <c r="FOK223" s="36"/>
      <c r="FOL223" s="36"/>
      <c r="FOM223" s="36"/>
      <c r="FON223" s="36"/>
      <c r="FOO223" s="36"/>
      <c r="FOP223" s="36"/>
      <c r="FOQ223" s="36"/>
      <c r="FOR223" s="36"/>
      <c r="FOS223" s="36"/>
      <c r="FOT223" s="36"/>
      <c r="FOU223" s="36"/>
      <c r="FOV223" s="36"/>
      <c r="FOW223" s="36"/>
      <c r="FOX223" s="36"/>
      <c r="FOY223" s="36"/>
      <c r="FOZ223" s="36"/>
      <c r="FPA223" s="36"/>
      <c r="FPB223" s="36"/>
      <c r="FPC223" s="36"/>
      <c r="FPD223" s="36"/>
      <c r="FPE223" s="36"/>
      <c r="FPF223" s="36"/>
      <c r="FPG223" s="36"/>
      <c r="FPH223" s="36"/>
      <c r="FPI223" s="36"/>
      <c r="FPJ223" s="36"/>
      <c r="FPK223" s="36"/>
      <c r="FPL223" s="36"/>
      <c r="FPM223" s="36"/>
      <c r="FPN223" s="36"/>
      <c r="FPO223" s="36"/>
      <c r="FPP223" s="36"/>
      <c r="FPQ223" s="36"/>
      <c r="FPR223" s="36"/>
      <c r="FPS223" s="36"/>
      <c r="FPT223" s="36"/>
      <c r="FPU223" s="36"/>
      <c r="FPV223" s="36"/>
      <c r="FPW223" s="36"/>
      <c r="FPX223" s="36"/>
      <c r="FPY223" s="36"/>
      <c r="FPZ223" s="36"/>
      <c r="FQA223" s="36"/>
      <c r="FQB223" s="36"/>
      <c r="FQC223" s="36"/>
      <c r="FQD223" s="36"/>
      <c r="FQE223" s="36"/>
      <c r="FQF223" s="36"/>
      <c r="FQG223" s="36"/>
      <c r="FQH223" s="36"/>
      <c r="FQI223" s="36"/>
      <c r="FQJ223" s="36"/>
      <c r="FQK223" s="36"/>
      <c r="FQL223" s="36"/>
      <c r="FQM223" s="36"/>
      <c r="FQN223" s="36"/>
      <c r="FQO223" s="36"/>
      <c r="FQP223" s="36"/>
      <c r="FQQ223" s="36"/>
      <c r="FQR223" s="36"/>
      <c r="FQS223" s="36"/>
      <c r="FQT223" s="36"/>
      <c r="FQU223" s="36"/>
      <c r="FQV223" s="36"/>
      <c r="FQW223" s="36"/>
      <c r="FQX223" s="36"/>
      <c r="FQY223" s="36"/>
      <c r="FQZ223" s="36"/>
      <c r="FRA223" s="36"/>
      <c r="FRB223" s="36"/>
      <c r="FRC223" s="36"/>
      <c r="FRD223" s="36"/>
      <c r="FRE223" s="36"/>
      <c r="FRF223" s="36"/>
      <c r="FRG223" s="36"/>
      <c r="FRH223" s="36"/>
      <c r="FRI223" s="36"/>
      <c r="FRJ223" s="36"/>
      <c r="FRK223" s="36"/>
      <c r="FRL223" s="36"/>
      <c r="FRM223" s="36"/>
      <c r="FRN223" s="36"/>
      <c r="FRO223" s="36"/>
      <c r="FRP223" s="36"/>
      <c r="FRQ223" s="36"/>
      <c r="FRR223" s="36"/>
      <c r="FRS223" s="36"/>
      <c r="FRT223" s="36"/>
      <c r="FRU223" s="36"/>
      <c r="FRV223" s="36"/>
      <c r="FRW223" s="36"/>
      <c r="FRX223" s="36"/>
      <c r="FRY223" s="36"/>
      <c r="FRZ223" s="36"/>
      <c r="FSA223" s="36"/>
      <c r="FSB223" s="36"/>
      <c r="FSC223" s="36"/>
      <c r="FSD223" s="36"/>
      <c r="FSE223" s="36"/>
      <c r="FSF223" s="36"/>
      <c r="FSG223" s="36"/>
      <c r="FSH223" s="36"/>
      <c r="FSI223" s="36"/>
      <c r="FSJ223" s="36"/>
      <c r="FSK223" s="36"/>
      <c r="FSL223" s="36"/>
      <c r="FSM223" s="36"/>
      <c r="FSN223" s="36"/>
      <c r="FSO223" s="36"/>
      <c r="FSP223" s="36"/>
      <c r="FSQ223" s="36"/>
      <c r="FSR223" s="36"/>
      <c r="FSS223" s="36"/>
      <c r="FST223" s="36"/>
      <c r="FSU223" s="36"/>
      <c r="FSV223" s="36"/>
      <c r="FSW223" s="36"/>
      <c r="FSX223" s="36"/>
      <c r="FSY223" s="36"/>
      <c r="FSZ223" s="36"/>
      <c r="FTA223" s="36"/>
      <c r="FTB223" s="36"/>
      <c r="FTC223" s="36"/>
      <c r="FTD223" s="36"/>
      <c r="FTE223" s="36"/>
      <c r="FTF223" s="36"/>
      <c r="FTG223" s="36"/>
      <c r="FTH223" s="36"/>
      <c r="FTI223" s="36"/>
      <c r="FTJ223" s="36"/>
      <c r="FTK223" s="36"/>
      <c r="FTL223" s="36"/>
      <c r="FTM223" s="36"/>
      <c r="FTN223" s="36"/>
      <c r="FTO223" s="36"/>
      <c r="FTP223" s="36"/>
      <c r="FTQ223" s="36"/>
      <c r="FTR223" s="36"/>
      <c r="FTS223" s="36"/>
      <c r="FTT223" s="36"/>
      <c r="FTU223" s="36"/>
      <c r="FTV223" s="36"/>
      <c r="FTW223" s="36"/>
      <c r="FTX223" s="36"/>
      <c r="FTY223" s="36"/>
      <c r="FTZ223" s="36"/>
      <c r="FUA223" s="36"/>
      <c r="FUB223" s="36"/>
      <c r="FUC223" s="36"/>
      <c r="FUD223" s="36"/>
      <c r="FUE223" s="36"/>
      <c r="FUF223" s="36"/>
      <c r="FUG223" s="36"/>
      <c r="FUH223" s="36"/>
      <c r="FUI223" s="36"/>
      <c r="FUJ223" s="36"/>
      <c r="FUK223" s="36"/>
      <c r="FUL223" s="36"/>
      <c r="FUM223" s="36"/>
      <c r="FUN223" s="36"/>
      <c r="FUO223" s="36"/>
      <c r="FUP223" s="36"/>
      <c r="FUQ223" s="36"/>
      <c r="FUR223" s="36"/>
      <c r="FUS223" s="36"/>
      <c r="FUT223" s="36"/>
      <c r="FUU223" s="36"/>
      <c r="FUV223" s="36"/>
      <c r="FUW223" s="36"/>
      <c r="FUX223" s="36"/>
      <c r="FUY223" s="36"/>
      <c r="FUZ223" s="36"/>
      <c r="FVA223" s="36"/>
      <c r="FVB223" s="36"/>
      <c r="FVC223" s="36"/>
      <c r="FVD223" s="36"/>
      <c r="FVE223" s="36"/>
      <c r="FVF223" s="36"/>
      <c r="FVG223" s="36"/>
      <c r="FVH223" s="36"/>
      <c r="FVI223" s="36"/>
      <c r="FVJ223" s="36"/>
      <c r="FVK223" s="36"/>
      <c r="FVL223" s="36"/>
      <c r="FVM223" s="36"/>
      <c r="FVN223" s="36"/>
      <c r="FVO223" s="36"/>
      <c r="FVP223" s="36"/>
      <c r="FVQ223" s="36"/>
      <c r="FVR223" s="36"/>
      <c r="FVS223" s="36"/>
      <c r="FVT223" s="36"/>
      <c r="FVU223" s="36"/>
      <c r="FVV223" s="36"/>
      <c r="FVW223" s="36"/>
      <c r="FVX223" s="36"/>
      <c r="FVY223" s="36"/>
      <c r="FVZ223" s="36"/>
      <c r="FWA223" s="36"/>
      <c r="FWB223" s="36"/>
      <c r="FWC223" s="36"/>
      <c r="FWD223" s="36"/>
      <c r="FWE223" s="36"/>
      <c r="FWF223" s="36"/>
      <c r="FWG223" s="36"/>
      <c r="FWH223" s="36"/>
      <c r="FWI223" s="36"/>
      <c r="FWJ223" s="36"/>
      <c r="FWK223" s="36"/>
      <c r="FWL223" s="36"/>
      <c r="FWM223" s="36"/>
      <c r="FWN223" s="36"/>
      <c r="FWO223" s="36"/>
      <c r="FWP223" s="36"/>
      <c r="FWQ223" s="36"/>
      <c r="FWR223" s="36"/>
      <c r="FWS223" s="36"/>
      <c r="FWT223" s="36"/>
      <c r="FWU223" s="36"/>
      <c r="FWV223" s="36"/>
      <c r="FWW223" s="36"/>
      <c r="FWX223" s="36"/>
      <c r="FWY223" s="36"/>
      <c r="FWZ223" s="36"/>
      <c r="FXA223" s="36"/>
      <c r="FXB223" s="36"/>
      <c r="FXC223" s="36"/>
      <c r="FXD223" s="36"/>
      <c r="FXE223" s="36"/>
      <c r="FXF223" s="36"/>
      <c r="FXG223" s="36"/>
      <c r="FXH223" s="36"/>
      <c r="FXI223" s="36"/>
      <c r="FXJ223" s="36"/>
      <c r="FXK223" s="36"/>
      <c r="FXL223" s="36"/>
      <c r="FXM223" s="36"/>
      <c r="FXN223" s="36"/>
      <c r="FXO223" s="36"/>
      <c r="FXP223" s="36"/>
      <c r="FXQ223" s="36"/>
      <c r="FXR223" s="36"/>
      <c r="FXS223" s="36"/>
      <c r="FXT223" s="36"/>
      <c r="FXU223" s="36"/>
      <c r="FXV223" s="36"/>
      <c r="FXW223" s="36"/>
      <c r="FXX223" s="36"/>
      <c r="FXY223" s="36"/>
      <c r="FXZ223" s="36"/>
      <c r="FYA223" s="36"/>
      <c r="FYB223" s="36"/>
      <c r="FYC223" s="36"/>
      <c r="FYD223" s="36"/>
      <c r="FYE223" s="36"/>
      <c r="FYF223" s="36"/>
      <c r="FYG223" s="36"/>
      <c r="FYH223" s="36"/>
      <c r="FYI223" s="36"/>
      <c r="FYJ223" s="36"/>
      <c r="FYK223" s="36"/>
      <c r="FYL223" s="36"/>
      <c r="FYM223" s="36"/>
      <c r="FYN223" s="36"/>
      <c r="FYO223" s="36"/>
      <c r="FYP223" s="36"/>
      <c r="FYQ223" s="36"/>
      <c r="FYR223" s="36"/>
      <c r="FYS223" s="36"/>
      <c r="FYT223" s="36"/>
      <c r="FYU223" s="36"/>
      <c r="FYV223" s="36"/>
      <c r="FYW223" s="36"/>
      <c r="FYX223" s="36"/>
      <c r="FYY223" s="36"/>
      <c r="FYZ223" s="36"/>
      <c r="FZA223" s="36"/>
      <c r="FZB223" s="36"/>
      <c r="FZC223" s="36"/>
      <c r="FZD223" s="36"/>
      <c r="FZE223" s="36"/>
      <c r="FZF223" s="36"/>
      <c r="FZG223" s="36"/>
      <c r="FZH223" s="36"/>
      <c r="FZI223" s="36"/>
      <c r="FZJ223" s="36"/>
      <c r="FZK223" s="36"/>
      <c r="FZL223" s="36"/>
      <c r="FZM223" s="36"/>
      <c r="FZN223" s="36"/>
      <c r="FZO223" s="36"/>
      <c r="FZP223" s="36"/>
      <c r="FZQ223" s="36"/>
      <c r="FZR223" s="36"/>
      <c r="FZS223" s="36"/>
      <c r="FZT223" s="36"/>
      <c r="FZU223" s="36"/>
      <c r="FZV223" s="36"/>
      <c r="FZW223" s="36"/>
      <c r="FZX223" s="36"/>
      <c r="FZY223" s="36"/>
      <c r="FZZ223" s="36"/>
      <c r="GAA223" s="36"/>
      <c r="GAB223" s="36"/>
      <c r="GAC223" s="36"/>
      <c r="GAD223" s="36"/>
      <c r="GAE223" s="36"/>
      <c r="GAF223" s="36"/>
      <c r="GAG223" s="36"/>
      <c r="GAH223" s="36"/>
      <c r="GAI223" s="36"/>
      <c r="GAJ223" s="36"/>
      <c r="GAK223" s="36"/>
      <c r="GAL223" s="36"/>
      <c r="GAM223" s="36"/>
      <c r="GAN223" s="36"/>
      <c r="GAO223" s="36"/>
      <c r="GAP223" s="36"/>
      <c r="GAQ223" s="36"/>
      <c r="GAR223" s="36"/>
      <c r="GAS223" s="36"/>
      <c r="GAT223" s="36"/>
      <c r="GAU223" s="36"/>
      <c r="GAV223" s="36"/>
      <c r="GAW223" s="36"/>
      <c r="GAX223" s="36"/>
      <c r="GAY223" s="36"/>
      <c r="GAZ223" s="36"/>
      <c r="GBA223" s="36"/>
      <c r="GBB223" s="36"/>
      <c r="GBC223" s="36"/>
      <c r="GBD223" s="36"/>
      <c r="GBE223" s="36"/>
      <c r="GBF223" s="36"/>
      <c r="GBG223" s="36"/>
      <c r="GBH223" s="36"/>
      <c r="GBI223" s="36"/>
      <c r="GBJ223" s="36"/>
      <c r="GBK223" s="36"/>
      <c r="GBL223" s="36"/>
      <c r="GBM223" s="36"/>
      <c r="GBN223" s="36"/>
      <c r="GBO223" s="36"/>
      <c r="GBP223" s="36"/>
      <c r="GBQ223" s="36"/>
      <c r="GBR223" s="36"/>
      <c r="GBS223" s="36"/>
      <c r="GBT223" s="36"/>
      <c r="GBU223" s="36"/>
      <c r="GBV223" s="36"/>
      <c r="GBW223" s="36"/>
      <c r="GBX223" s="36"/>
      <c r="GBY223" s="36"/>
      <c r="GBZ223" s="36"/>
      <c r="GCA223" s="36"/>
      <c r="GCB223" s="36"/>
      <c r="GCC223" s="36"/>
      <c r="GCD223" s="36"/>
      <c r="GCE223" s="36"/>
      <c r="GCF223" s="36"/>
      <c r="GCG223" s="36"/>
      <c r="GCH223" s="36"/>
      <c r="GCI223" s="36"/>
      <c r="GCJ223" s="36"/>
      <c r="GCK223" s="36"/>
      <c r="GCL223" s="36"/>
      <c r="GCM223" s="36"/>
      <c r="GCN223" s="36"/>
      <c r="GCO223" s="36"/>
      <c r="GCP223" s="36"/>
      <c r="GCQ223" s="36"/>
      <c r="GCR223" s="36"/>
      <c r="GCS223" s="36"/>
      <c r="GCT223" s="36"/>
      <c r="GCU223" s="36"/>
      <c r="GCV223" s="36"/>
      <c r="GCW223" s="36"/>
      <c r="GCX223" s="36"/>
      <c r="GCY223" s="36"/>
      <c r="GCZ223" s="36"/>
      <c r="GDA223" s="36"/>
      <c r="GDB223" s="36"/>
      <c r="GDC223" s="36"/>
      <c r="GDD223" s="36"/>
      <c r="GDE223" s="36"/>
      <c r="GDF223" s="36"/>
      <c r="GDG223" s="36"/>
      <c r="GDH223" s="36"/>
      <c r="GDI223" s="36"/>
      <c r="GDJ223" s="36"/>
      <c r="GDK223" s="36"/>
      <c r="GDL223" s="36"/>
      <c r="GDM223" s="36"/>
      <c r="GDN223" s="36"/>
      <c r="GDO223" s="36"/>
      <c r="GDP223" s="36"/>
      <c r="GDQ223" s="36"/>
      <c r="GDR223" s="36"/>
      <c r="GDS223" s="36"/>
      <c r="GDT223" s="36"/>
      <c r="GDU223" s="36"/>
      <c r="GDV223" s="36"/>
      <c r="GDW223" s="36"/>
      <c r="GDX223" s="36"/>
      <c r="GDY223" s="36"/>
      <c r="GDZ223" s="36"/>
      <c r="GEA223" s="36"/>
      <c r="GEB223" s="36"/>
      <c r="GEC223" s="36"/>
      <c r="GED223" s="36"/>
      <c r="GEE223" s="36"/>
      <c r="GEF223" s="36"/>
      <c r="GEG223" s="36"/>
      <c r="GEH223" s="36"/>
      <c r="GEI223" s="36"/>
      <c r="GEJ223" s="36"/>
      <c r="GEK223" s="36"/>
      <c r="GEL223" s="36"/>
      <c r="GEM223" s="36"/>
      <c r="GEN223" s="36"/>
      <c r="GEO223" s="36"/>
      <c r="GEP223" s="36"/>
      <c r="GEQ223" s="36"/>
      <c r="GER223" s="36"/>
      <c r="GES223" s="36"/>
      <c r="GET223" s="36"/>
      <c r="GEU223" s="36"/>
      <c r="GEV223" s="36"/>
      <c r="GEW223" s="36"/>
      <c r="GEX223" s="36"/>
      <c r="GEY223" s="36"/>
      <c r="GEZ223" s="36"/>
      <c r="GFA223" s="36"/>
      <c r="GFB223" s="36"/>
      <c r="GFC223" s="36"/>
      <c r="GFD223" s="36"/>
      <c r="GFE223" s="36"/>
      <c r="GFF223" s="36"/>
      <c r="GFG223" s="36"/>
      <c r="GFH223" s="36"/>
      <c r="GFI223" s="36"/>
      <c r="GFJ223" s="36"/>
      <c r="GFK223" s="36"/>
      <c r="GFL223" s="36"/>
      <c r="GFM223" s="36"/>
      <c r="GFN223" s="36"/>
      <c r="GFO223" s="36"/>
      <c r="GFP223" s="36"/>
      <c r="GFQ223" s="36"/>
      <c r="GFR223" s="36"/>
      <c r="GFS223" s="36"/>
      <c r="GFT223" s="36"/>
      <c r="GFU223" s="36"/>
      <c r="GFV223" s="36"/>
      <c r="GFW223" s="36"/>
      <c r="GFX223" s="36"/>
      <c r="GFY223" s="36"/>
      <c r="GFZ223" s="36"/>
      <c r="GGA223" s="36"/>
      <c r="GGB223" s="36"/>
      <c r="GGC223" s="36"/>
      <c r="GGD223" s="36"/>
      <c r="GGE223" s="36"/>
      <c r="GGF223" s="36"/>
      <c r="GGG223" s="36"/>
      <c r="GGH223" s="36"/>
      <c r="GGI223" s="36"/>
      <c r="GGJ223" s="36"/>
      <c r="GGK223" s="36"/>
      <c r="GGL223" s="36"/>
      <c r="GGM223" s="36"/>
      <c r="GGN223" s="36"/>
      <c r="GGO223" s="36"/>
      <c r="GGP223" s="36"/>
      <c r="GGQ223" s="36"/>
      <c r="GGR223" s="36"/>
      <c r="GGS223" s="36"/>
      <c r="GGT223" s="36"/>
      <c r="GGU223" s="36"/>
      <c r="GGV223" s="36"/>
      <c r="GGW223" s="36"/>
      <c r="GGX223" s="36"/>
      <c r="GGY223" s="36"/>
      <c r="GGZ223" s="36"/>
      <c r="GHA223" s="36"/>
      <c r="GHB223" s="36"/>
      <c r="GHC223" s="36"/>
      <c r="GHD223" s="36"/>
      <c r="GHE223" s="36"/>
      <c r="GHF223" s="36"/>
      <c r="GHG223" s="36"/>
      <c r="GHH223" s="36"/>
      <c r="GHI223" s="36"/>
      <c r="GHJ223" s="36"/>
      <c r="GHK223" s="36"/>
      <c r="GHL223" s="36"/>
      <c r="GHM223" s="36"/>
      <c r="GHN223" s="36"/>
      <c r="GHO223" s="36"/>
      <c r="GHP223" s="36"/>
      <c r="GHQ223" s="36"/>
      <c r="GHR223" s="36"/>
      <c r="GHS223" s="36"/>
      <c r="GHT223" s="36"/>
      <c r="GHU223" s="36"/>
      <c r="GHV223" s="36"/>
      <c r="GHW223" s="36"/>
      <c r="GHX223" s="36"/>
      <c r="GHY223" s="36"/>
      <c r="GHZ223" s="36"/>
      <c r="GIA223" s="36"/>
      <c r="GIB223" s="36"/>
      <c r="GIC223" s="36"/>
      <c r="GID223" s="36"/>
      <c r="GIE223" s="36"/>
      <c r="GIF223" s="36"/>
      <c r="GIG223" s="36"/>
      <c r="GIH223" s="36"/>
      <c r="GII223" s="36"/>
      <c r="GIJ223" s="36"/>
      <c r="GIK223" s="36"/>
      <c r="GIL223" s="36"/>
      <c r="GIM223" s="36"/>
      <c r="GIN223" s="36"/>
      <c r="GIO223" s="36"/>
      <c r="GIP223" s="36"/>
      <c r="GIQ223" s="36"/>
      <c r="GIR223" s="36"/>
      <c r="GIS223" s="36"/>
      <c r="GIT223" s="36"/>
      <c r="GIU223" s="36"/>
      <c r="GIV223" s="36"/>
      <c r="GIW223" s="36"/>
      <c r="GIX223" s="36"/>
      <c r="GIY223" s="36"/>
      <c r="GIZ223" s="36"/>
      <c r="GJA223" s="36"/>
      <c r="GJB223" s="36"/>
      <c r="GJC223" s="36"/>
      <c r="GJD223" s="36"/>
      <c r="GJE223" s="36"/>
      <c r="GJF223" s="36"/>
      <c r="GJG223" s="36"/>
      <c r="GJH223" s="36"/>
      <c r="GJI223" s="36"/>
      <c r="GJJ223" s="36"/>
      <c r="GJK223" s="36"/>
      <c r="GJL223" s="36"/>
      <c r="GJM223" s="36"/>
      <c r="GJN223" s="36"/>
      <c r="GJO223" s="36"/>
      <c r="GJP223" s="36"/>
      <c r="GJQ223" s="36"/>
      <c r="GJR223" s="36"/>
      <c r="GJS223" s="36"/>
      <c r="GJT223" s="36"/>
      <c r="GJU223" s="36"/>
      <c r="GJV223" s="36"/>
      <c r="GJW223" s="36"/>
      <c r="GJX223" s="36"/>
      <c r="GJY223" s="36"/>
      <c r="GJZ223" s="36"/>
      <c r="GKA223" s="36"/>
      <c r="GKB223" s="36"/>
      <c r="GKC223" s="36"/>
      <c r="GKD223" s="36"/>
      <c r="GKE223" s="36"/>
      <c r="GKF223" s="36"/>
      <c r="GKG223" s="36"/>
      <c r="GKH223" s="36"/>
      <c r="GKI223" s="36"/>
      <c r="GKJ223" s="36"/>
      <c r="GKK223" s="36"/>
      <c r="GKL223" s="36"/>
      <c r="GKM223" s="36"/>
      <c r="GKN223" s="36"/>
      <c r="GKO223" s="36"/>
      <c r="GKP223" s="36"/>
      <c r="GKQ223" s="36"/>
      <c r="GKR223" s="36"/>
      <c r="GKS223" s="36"/>
      <c r="GKT223" s="36"/>
      <c r="GKU223" s="36"/>
      <c r="GKV223" s="36"/>
      <c r="GKW223" s="36"/>
      <c r="GKX223" s="36"/>
      <c r="GKY223" s="36"/>
      <c r="GKZ223" s="36"/>
      <c r="GLA223" s="36"/>
      <c r="GLB223" s="36"/>
      <c r="GLC223" s="36"/>
      <c r="GLD223" s="36"/>
      <c r="GLE223" s="36"/>
      <c r="GLF223" s="36"/>
      <c r="GLG223" s="36"/>
      <c r="GLH223" s="36"/>
      <c r="GLI223" s="36"/>
      <c r="GLJ223" s="36"/>
      <c r="GLK223" s="36"/>
      <c r="GLL223" s="36"/>
      <c r="GLM223" s="36"/>
      <c r="GLN223" s="36"/>
      <c r="GLO223" s="36"/>
      <c r="GLP223" s="36"/>
      <c r="GLQ223" s="36"/>
      <c r="GLR223" s="36"/>
      <c r="GLS223" s="36"/>
      <c r="GLT223" s="36"/>
      <c r="GLU223" s="36"/>
      <c r="GLV223" s="36"/>
      <c r="GLW223" s="36"/>
      <c r="GLX223" s="36"/>
      <c r="GLY223" s="36"/>
      <c r="GLZ223" s="36"/>
      <c r="GMA223" s="36"/>
      <c r="GMB223" s="36"/>
      <c r="GMC223" s="36"/>
      <c r="GMD223" s="36"/>
      <c r="GME223" s="36"/>
      <c r="GMF223" s="36"/>
      <c r="GMG223" s="36"/>
      <c r="GMH223" s="36"/>
      <c r="GMI223" s="36"/>
      <c r="GMJ223" s="36"/>
      <c r="GMK223" s="36"/>
      <c r="GML223" s="36"/>
      <c r="GMM223" s="36"/>
      <c r="GMN223" s="36"/>
      <c r="GMO223" s="36"/>
      <c r="GMP223" s="36"/>
      <c r="GMQ223" s="36"/>
      <c r="GMR223" s="36"/>
      <c r="GMS223" s="36"/>
      <c r="GMT223" s="36"/>
      <c r="GMU223" s="36"/>
      <c r="GMV223" s="36"/>
      <c r="GMW223" s="36"/>
      <c r="GMX223" s="36"/>
      <c r="GMY223" s="36"/>
      <c r="GMZ223" s="36"/>
      <c r="GNA223" s="36"/>
      <c r="GNB223" s="36"/>
      <c r="GNC223" s="36"/>
      <c r="GND223" s="36"/>
      <c r="GNE223" s="36"/>
      <c r="GNF223" s="36"/>
      <c r="GNG223" s="36"/>
      <c r="GNH223" s="36"/>
      <c r="GNI223" s="36"/>
      <c r="GNJ223" s="36"/>
      <c r="GNK223" s="36"/>
      <c r="GNL223" s="36"/>
      <c r="GNM223" s="36"/>
      <c r="GNN223" s="36"/>
      <c r="GNO223" s="36"/>
      <c r="GNP223" s="36"/>
      <c r="GNQ223" s="36"/>
      <c r="GNR223" s="36"/>
      <c r="GNS223" s="36"/>
      <c r="GNT223" s="36"/>
      <c r="GNU223" s="36"/>
      <c r="GNV223" s="36"/>
      <c r="GNW223" s="36"/>
      <c r="GNX223" s="36"/>
      <c r="GNY223" s="36"/>
      <c r="GNZ223" s="36"/>
      <c r="GOA223" s="36"/>
      <c r="GOB223" s="36"/>
      <c r="GOC223" s="36"/>
      <c r="GOD223" s="36"/>
      <c r="GOE223" s="36"/>
      <c r="GOF223" s="36"/>
      <c r="GOG223" s="36"/>
      <c r="GOH223" s="36"/>
      <c r="GOI223" s="36"/>
      <c r="GOJ223" s="36"/>
      <c r="GOK223" s="36"/>
      <c r="GOL223" s="36"/>
      <c r="GOM223" s="36"/>
      <c r="GON223" s="36"/>
      <c r="GOO223" s="36"/>
      <c r="GOP223" s="36"/>
      <c r="GOQ223" s="36"/>
      <c r="GOR223" s="36"/>
      <c r="GOS223" s="36"/>
      <c r="GOT223" s="36"/>
      <c r="GOU223" s="36"/>
      <c r="GOV223" s="36"/>
      <c r="GOW223" s="36"/>
      <c r="GOX223" s="36"/>
      <c r="GOY223" s="36"/>
      <c r="GOZ223" s="36"/>
      <c r="GPA223" s="36"/>
      <c r="GPB223" s="36"/>
      <c r="GPC223" s="36"/>
      <c r="GPD223" s="36"/>
      <c r="GPE223" s="36"/>
      <c r="GPF223" s="36"/>
      <c r="GPG223" s="36"/>
      <c r="GPH223" s="36"/>
      <c r="GPI223" s="36"/>
      <c r="GPJ223" s="36"/>
      <c r="GPK223" s="36"/>
      <c r="GPL223" s="36"/>
      <c r="GPM223" s="36"/>
      <c r="GPN223" s="36"/>
      <c r="GPO223" s="36"/>
      <c r="GPP223" s="36"/>
      <c r="GPQ223" s="36"/>
      <c r="GPR223" s="36"/>
      <c r="GPS223" s="36"/>
      <c r="GPT223" s="36"/>
      <c r="GPU223" s="36"/>
      <c r="GPV223" s="36"/>
      <c r="GPW223" s="36"/>
      <c r="GPX223" s="36"/>
      <c r="GPY223" s="36"/>
      <c r="GPZ223" s="36"/>
      <c r="GQA223" s="36"/>
      <c r="GQB223" s="36"/>
      <c r="GQC223" s="36"/>
      <c r="GQD223" s="36"/>
      <c r="GQE223" s="36"/>
      <c r="GQF223" s="36"/>
      <c r="GQG223" s="36"/>
      <c r="GQH223" s="36"/>
      <c r="GQI223" s="36"/>
      <c r="GQJ223" s="36"/>
      <c r="GQK223" s="36"/>
      <c r="GQL223" s="36"/>
      <c r="GQM223" s="36"/>
      <c r="GQN223" s="36"/>
      <c r="GQO223" s="36"/>
      <c r="GQP223" s="36"/>
      <c r="GQQ223" s="36"/>
      <c r="GQR223" s="36"/>
      <c r="GQS223" s="36"/>
      <c r="GQT223" s="36"/>
      <c r="GQU223" s="36"/>
      <c r="GQV223" s="36"/>
      <c r="GQW223" s="36"/>
      <c r="GQX223" s="36"/>
      <c r="GQY223" s="36"/>
      <c r="GQZ223" s="36"/>
      <c r="GRA223" s="36"/>
      <c r="GRB223" s="36"/>
      <c r="GRC223" s="36"/>
      <c r="GRD223" s="36"/>
      <c r="GRE223" s="36"/>
      <c r="GRF223" s="36"/>
      <c r="GRG223" s="36"/>
      <c r="GRH223" s="36"/>
      <c r="GRI223" s="36"/>
      <c r="GRJ223" s="36"/>
      <c r="GRK223" s="36"/>
      <c r="GRL223" s="36"/>
      <c r="GRM223" s="36"/>
      <c r="GRN223" s="36"/>
      <c r="GRO223" s="36"/>
      <c r="GRP223" s="36"/>
      <c r="GRQ223" s="36"/>
      <c r="GRR223" s="36"/>
      <c r="GRS223" s="36"/>
      <c r="GRT223" s="36"/>
      <c r="GRU223" s="36"/>
      <c r="GRV223" s="36"/>
      <c r="GRW223" s="36"/>
      <c r="GRX223" s="36"/>
      <c r="GRY223" s="36"/>
      <c r="GRZ223" s="36"/>
      <c r="GSA223" s="36"/>
      <c r="GSB223" s="36"/>
      <c r="GSC223" s="36"/>
      <c r="GSD223" s="36"/>
      <c r="GSE223" s="36"/>
      <c r="GSF223" s="36"/>
      <c r="GSG223" s="36"/>
      <c r="GSH223" s="36"/>
      <c r="GSI223" s="36"/>
      <c r="GSJ223" s="36"/>
      <c r="GSK223" s="36"/>
      <c r="GSL223" s="36"/>
      <c r="GSM223" s="36"/>
      <c r="GSN223" s="36"/>
      <c r="GSO223" s="36"/>
      <c r="GSP223" s="36"/>
      <c r="GSQ223" s="36"/>
      <c r="GSR223" s="36"/>
      <c r="GSS223" s="36"/>
      <c r="GST223" s="36"/>
      <c r="GSU223" s="36"/>
      <c r="GSV223" s="36"/>
      <c r="GSW223" s="36"/>
      <c r="GSX223" s="36"/>
      <c r="GSY223" s="36"/>
      <c r="GSZ223" s="36"/>
      <c r="GTA223" s="36"/>
      <c r="GTB223" s="36"/>
      <c r="GTC223" s="36"/>
      <c r="GTD223" s="36"/>
      <c r="GTE223" s="36"/>
      <c r="GTF223" s="36"/>
      <c r="GTG223" s="36"/>
      <c r="GTH223" s="36"/>
      <c r="GTI223" s="36"/>
      <c r="GTJ223" s="36"/>
      <c r="GTK223" s="36"/>
      <c r="GTL223" s="36"/>
      <c r="GTM223" s="36"/>
      <c r="GTN223" s="36"/>
      <c r="GTO223" s="36"/>
      <c r="GTP223" s="36"/>
      <c r="GTQ223" s="36"/>
      <c r="GTR223" s="36"/>
      <c r="GTS223" s="36"/>
      <c r="GTT223" s="36"/>
      <c r="GTU223" s="36"/>
      <c r="GTV223" s="36"/>
      <c r="GTW223" s="36"/>
      <c r="GTX223" s="36"/>
      <c r="GTY223" s="36"/>
      <c r="GTZ223" s="36"/>
      <c r="GUA223" s="36"/>
      <c r="GUB223" s="36"/>
      <c r="GUC223" s="36"/>
      <c r="GUD223" s="36"/>
      <c r="GUE223" s="36"/>
      <c r="GUF223" s="36"/>
      <c r="GUG223" s="36"/>
      <c r="GUH223" s="36"/>
      <c r="GUI223" s="36"/>
      <c r="GUJ223" s="36"/>
      <c r="GUK223" s="36"/>
      <c r="GUL223" s="36"/>
      <c r="GUM223" s="36"/>
      <c r="GUN223" s="36"/>
      <c r="GUO223" s="36"/>
      <c r="GUP223" s="36"/>
      <c r="GUQ223" s="36"/>
      <c r="GUR223" s="36"/>
      <c r="GUS223" s="36"/>
      <c r="GUT223" s="36"/>
      <c r="GUU223" s="36"/>
      <c r="GUV223" s="36"/>
      <c r="GUW223" s="36"/>
      <c r="GUX223" s="36"/>
      <c r="GUY223" s="36"/>
      <c r="GUZ223" s="36"/>
      <c r="GVA223" s="36"/>
      <c r="GVB223" s="36"/>
      <c r="GVC223" s="36"/>
      <c r="GVD223" s="36"/>
      <c r="GVE223" s="36"/>
      <c r="GVF223" s="36"/>
      <c r="GVG223" s="36"/>
      <c r="GVH223" s="36"/>
      <c r="GVI223" s="36"/>
      <c r="GVJ223" s="36"/>
      <c r="GVK223" s="36"/>
      <c r="GVL223" s="36"/>
      <c r="GVM223" s="36"/>
      <c r="GVN223" s="36"/>
      <c r="GVO223" s="36"/>
      <c r="GVP223" s="36"/>
      <c r="GVQ223" s="36"/>
      <c r="GVR223" s="36"/>
      <c r="GVS223" s="36"/>
      <c r="GVT223" s="36"/>
      <c r="GVU223" s="36"/>
      <c r="GVV223" s="36"/>
      <c r="GVW223" s="36"/>
      <c r="GVX223" s="36"/>
      <c r="GVY223" s="36"/>
      <c r="GVZ223" s="36"/>
      <c r="GWA223" s="36"/>
      <c r="GWB223" s="36"/>
      <c r="GWC223" s="36"/>
      <c r="GWD223" s="36"/>
      <c r="GWE223" s="36"/>
      <c r="GWF223" s="36"/>
      <c r="GWG223" s="36"/>
      <c r="GWH223" s="36"/>
      <c r="GWI223" s="36"/>
      <c r="GWJ223" s="36"/>
      <c r="GWK223" s="36"/>
      <c r="GWL223" s="36"/>
      <c r="GWM223" s="36"/>
      <c r="GWN223" s="36"/>
      <c r="GWO223" s="36"/>
      <c r="GWP223" s="36"/>
      <c r="GWQ223" s="36"/>
      <c r="GWR223" s="36"/>
      <c r="GWS223" s="36"/>
      <c r="GWT223" s="36"/>
      <c r="GWU223" s="36"/>
      <c r="GWV223" s="36"/>
      <c r="GWW223" s="36"/>
      <c r="GWX223" s="36"/>
      <c r="GWY223" s="36"/>
      <c r="GWZ223" s="36"/>
      <c r="GXA223" s="36"/>
      <c r="GXB223" s="36"/>
      <c r="GXC223" s="36"/>
      <c r="GXD223" s="36"/>
      <c r="GXE223" s="36"/>
      <c r="GXF223" s="36"/>
      <c r="GXG223" s="36"/>
      <c r="GXH223" s="36"/>
      <c r="GXI223" s="36"/>
      <c r="GXJ223" s="36"/>
      <c r="GXK223" s="36"/>
      <c r="GXL223" s="36"/>
      <c r="GXM223" s="36"/>
      <c r="GXN223" s="36"/>
      <c r="GXO223" s="36"/>
      <c r="GXP223" s="36"/>
      <c r="GXQ223" s="36"/>
      <c r="GXR223" s="36"/>
      <c r="GXS223" s="36"/>
      <c r="GXT223" s="36"/>
      <c r="GXU223" s="36"/>
      <c r="GXV223" s="36"/>
      <c r="GXW223" s="36"/>
      <c r="GXX223" s="36"/>
      <c r="GXY223" s="36"/>
      <c r="GXZ223" s="36"/>
      <c r="GYA223" s="36"/>
      <c r="GYB223" s="36"/>
      <c r="GYC223" s="36"/>
      <c r="GYD223" s="36"/>
      <c r="GYE223" s="36"/>
      <c r="GYF223" s="36"/>
      <c r="GYG223" s="36"/>
      <c r="GYH223" s="36"/>
      <c r="GYI223" s="36"/>
      <c r="GYJ223" s="36"/>
      <c r="GYK223" s="36"/>
      <c r="GYL223" s="36"/>
      <c r="GYM223" s="36"/>
      <c r="GYN223" s="36"/>
      <c r="GYO223" s="36"/>
      <c r="GYP223" s="36"/>
      <c r="GYQ223" s="36"/>
      <c r="GYR223" s="36"/>
      <c r="GYS223" s="36"/>
      <c r="GYT223" s="36"/>
      <c r="GYU223" s="36"/>
      <c r="GYV223" s="36"/>
      <c r="GYW223" s="36"/>
      <c r="GYX223" s="36"/>
      <c r="GYY223" s="36"/>
      <c r="GYZ223" s="36"/>
      <c r="GZA223" s="36"/>
      <c r="GZB223" s="36"/>
      <c r="GZC223" s="36"/>
      <c r="GZD223" s="36"/>
      <c r="GZE223" s="36"/>
      <c r="GZF223" s="36"/>
      <c r="GZG223" s="36"/>
      <c r="GZH223" s="36"/>
      <c r="GZI223" s="36"/>
      <c r="GZJ223" s="36"/>
      <c r="GZK223" s="36"/>
      <c r="GZL223" s="36"/>
      <c r="GZM223" s="36"/>
      <c r="GZN223" s="36"/>
      <c r="GZO223" s="36"/>
      <c r="GZP223" s="36"/>
      <c r="GZQ223" s="36"/>
      <c r="GZR223" s="36"/>
      <c r="GZS223" s="36"/>
      <c r="GZT223" s="36"/>
      <c r="GZU223" s="36"/>
      <c r="GZV223" s="36"/>
      <c r="GZW223" s="36"/>
      <c r="GZX223" s="36"/>
      <c r="GZY223" s="36"/>
      <c r="GZZ223" s="36"/>
      <c r="HAA223" s="36"/>
      <c r="HAB223" s="36"/>
      <c r="HAC223" s="36"/>
      <c r="HAD223" s="36"/>
      <c r="HAE223" s="36"/>
      <c r="HAF223" s="36"/>
      <c r="HAG223" s="36"/>
      <c r="HAH223" s="36"/>
      <c r="HAI223" s="36"/>
      <c r="HAJ223" s="36"/>
      <c r="HAK223" s="36"/>
      <c r="HAL223" s="36"/>
      <c r="HAM223" s="36"/>
      <c r="HAN223" s="36"/>
      <c r="HAO223" s="36"/>
      <c r="HAP223" s="36"/>
      <c r="HAQ223" s="36"/>
      <c r="HAR223" s="36"/>
      <c r="HAS223" s="36"/>
      <c r="HAT223" s="36"/>
      <c r="HAU223" s="36"/>
      <c r="HAV223" s="36"/>
      <c r="HAW223" s="36"/>
      <c r="HAX223" s="36"/>
      <c r="HAY223" s="36"/>
      <c r="HAZ223" s="36"/>
      <c r="HBA223" s="36"/>
      <c r="HBB223" s="36"/>
      <c r="HBC223" s="36"/>
      <c r="HBD223" s="36"/>
      <c r="HBE223" s="36"/>
      <c r="HBF223" s="36"/>
      <c r="HBG223" s="36"/>
      <c r="HBH223" s="36"/>
      <c r="HBI223" s="36"/>
      <c r="HBJ223" s="36"/>
      <c r="HBK223" s="36"/>
      <c r="HBL223" s="36"/>
      <c r="HBM223" s="36"/>
      <c r="HBN223" s="36"/>
      <c r="HBO223" s="36"/>
      <c r="HBP223" s="36"/>
      <c r="HBQ223" s="36"/>
      <c r="HBR223" s="36"/>
      <c r="HBS223" s="36"/>
      <c r="HBT223" s="36"/>
      <c r="HBU223" s="36"/>
      <c r="HBV223" s="36"/>
      <c r="HBW223" s="36"/>
      <c r="HBX223" s="36"/>
      <c r="HBY223" s="36"/>
      <c r="HBZ223" s="36"/>
      <c r="HCA223" s="36"/>
      <c r="HCB223" s="36"/>
      <c r="HCC223" s="36"/>
      <c r="HCD223" s="36"/>
      <c r="HCE223" s="36"/>
      <c r="HCF223" s="36"/>
      <c r="HCG223" s="36"/>
      <c r="HCH223" s="36"/>
      <c r="HCI223" s="36"/>
      <c r="HCJ223" s="36"/>
      <c r="HCK223" s="36"/>
      <c r="HCL223" s="36"/>
      <c r="HCM223" s="36"/>
      <c r="HCN223" s="36"/>
      <c r="HCO223" s="36"/>
      <c r="HCP223" s="36"/>
      <c r="HCQ223" s="36"/>
      <c r="HCR223" s="36"/>
      <c r="HCS223" s="36"/>
      <c r="HCT223" s="36"/>
      <c r="HCU223" s="36"/>
      <c r="HCV223" s="36"/>
      <c r="HCW223" s="36"/>
      <c r="HCX223" s="36"/>
      <c r="HCY223" s="36"/>
      <c r="HCZ223" s="36"/>
      <c r="HDA223" s="36"/>
      <c r="HDB223" s="36"/>
      <c r="HDC223" s="36"/>
      <c r="HDD223" s="36"/>
      <c r="HDE223" s="36"/>
      <c r="HDF223" s="36"/>
      <c r="HDG223" s="36"/>
      <c r="HDH223" s="36"/>
      <c r="HDI223" s="36"/>
      <c r="HDJ223" s="36"/>
      <c r="HDK223" s="36"/>
      <c r="HDL223" s="36"/>
      <c r="HDM223" s="36"/>
      <c r="HDN223" s="36"/>
      <c r="HDO223" s="36"/>
      <c r="HDP223" s="36"/>
      <c r="HDQ223" s="36"/>
      <c r="HDR223" s="36"/>
      <c r="HDS223" s="36"/>
      <c r="HDT223" s="36"/>
      <c r="HDU223" s="36"/>
      <c r="HDV223" s="36"/>
      <c r="HDW223" s="36"/>
      <c r="HDX223" s="36"/>
      <c r="HDY223" s="36"/>
      <c r="HDZ223" s="36"/>
      <c r="HEA223" s="36"/>
      <c r="HEB223" s="36"/>
      <c r="HEC223" s="36"/>
      <c r="HED223" s="36"/>
      <c r="HEE223" s="36"/>
      <c r="HEF223" s="36"/>
      <c r="HEG223" s="36"/>
      <c r="HEH223" s="36"/>
      <c r="HEI223" s="36"/>
      <c r="HEJ223" s="36"/>
      <c r="HEK223" s="36"/>
      <c r="HEL223" s="36"/>
      <c r="HEM223" s="36"/>
      <c r="HEN223" s="36"/>
      <c r="HEO223" s="36"/>
      <c r="HEP223" s="36"/>
      <c r="HEQ223" s="36"/>
      <c r="HER223" s="36"/>
      <c r="HES223" s="36"/>
      <c r="HET223" s="36"/>
      <c r="HEU223" s="36"/>
      <c r="HEV223" s="36"/>
      <c r="HEW223" s="36"/>
      <c r="HEX223" s="36"/>
      <c r="HEY223" s="36"/>
      <c r="HEZ223" s="36"/>
      <c r="HFA223" s="36"/>
      <c r="HFB223" s="36"/>
      <c r="HFC223" s="36"/>
      <c r="HFD223" s="36"/>
      <c r="HFE223" s="36"/>
      <c r="HFF223" s="36"/>
      <c r="HFG223" s="36"/>
      <c r="HFH223" s="36"/>
      <c r="HFI223" s="36"/>
      <c r="HFJ223" s="36"/>
      <c r="HFK223" s="36"/>
      <c r="HFL223" s="36"/>
      <c r="HFM223" s="36"/>
      <c r="HFN223" s="36"/>
      <c r="HFO223" s="36"/>
      <c r="HFP223" s="36"/>
      <c r="HFQ223" s="36"/>
      <c r="HFR223" s="36"/>
      <c r="HFS223" s="36"/>
      <c r="HFT223" s="36"/>
      <c r="HFU223" s="36"/>
      <c r="HFV223" s="36"/>
      <c r="HFW223" s="36"/>
      <c r="HFX223" s="36"/>
      <c r="HFY223" s="36"/>
      <c r="HFZ223" s="36"/>
      <c r="HGA223" s="36"/>
      <c r="HGB223" s="36"/>
      <c r="HGC223" s="36"/>
      <c r="HGD223" s="36"/>
      <c r="HGE223" s="36"/>
      <c r="HGF223" s="36"/>
      <c r="HGG223" s="36"/>
      <c r="HGH223" s="36"/>
      <c r="HGI223" s="36"/>
      <c r="HGJ223" s="36"/>
      <c r="HGK223" s="36"/>
      <c r="HGL223" s="36"/>
      <c r="HGM223" s="36"/>
      <c r="HGN223" s="36"/>
      <c r="HGO223" s="36"/>
      <c r="HGP223" s="36"/>
      <c r="HGQ223" s="36"/>
      <c r="HGR223" s="36"/>
      <c r="HGS223" s="36"/>
      <c r="HGT223" s="36"/>
      <c r="HGU223" s="36"/>
      <c r="HGV223" s="36"/>
      <c r="HGW223" s="36"/>
      <c r="HGX223" s="36"/>
      <c r="HGY223" s="36"/>
      <c r="HGZ223" s="36"/>
      <c r="HHA223" s="36"/>
      <c r="HHB223" s="36"/>
      <c r="HHC223" s="36"/>
      <c r="HHD223" s="36"/>
      <c r="HHE223" s="36"/>
      <c r="HHF223" s="36"/>
      <c r="HHG223" s="36"/>
      <c r="HHH223" s="36"/>
      <c r="HHI223" s="36"/>
      <c r="HHJ223" s="36"/>
      <c r="HHK223" s="36"/>
      <c r="HHL223" s="36"/>
      <c r="HHM223" s="36"/>
      <c r="HHN223" s="36"/>
      <c r="HHO223" s="36"/>
      <c r="HHP223" s="36"/>
      <c r="HHQ223" s="36"/>
      <c r="HHR223" s="36"/>
      <c r="HHS223" s="36"/>
      <c r="HHT223" s="36"/>
      <c r="HHU223" s="36"/>
      <c r="HHV223" s="36"/>
      <c r="HHW223" s="36"/>
      <c r="HHX223" s="36"/>
      <c r="HHY223" s="36"/>
      <c r="HHZ223" s="36"/>
      <c r="HIA223" s="36"/>
      <c r="HIB223" s="36"/>
      <c r="HIC223" s="36"/>
      <c r="HID223" s="36"/>
      <c r="HIE223" s="36"/>
      <c r="HIF223" s="36"/>
      <c r="HIG223" s="36"/>
      <c r="HIH223" s="36"/>
      <c r="HII223" s="36"/>
      <c r="HIJ223" s="36"/>
      <c r="HIK223" s="36"/>
      <c r="HIL223" s="36"/>
      <c r="HIM223" s="36"/>
      <c r="HIN223" s="36"/>
      <c r="HIO223" s="36"/>
      <c r="HIP223" s="36"/>
      <c r="HIQ223" s="36"/>
      <c r="HIR223" s="36"/>
      <c r="HIS223" s="36"/>
      <c r="HIT223" s="36"/>
      <c r="HIU223" s="36"/>
      <c r="HIV223" s="36"/>
      <c r="HIW223" s="36"/>
      <c r="HIX223" s="36"/>
      <c r="HIY223" s="36"/>
      <c r="HIZ223" s="36"/>
      <c r="HJA223" s="36"/>
      <c r="HJB223" s="36"/>
      <c r="HJC223" s="36"/>
      <c r="HJD223" s="36"/>
      <c r="HJE223" s="36"/>
      <c r="HJF223" s="36"/>
      <c r="HJG223" s="36"/>
      <c r="HJH223" s="36"/>
      <c r="HJI223" s="36"/>
      <c r="HJJ223" s="36"/>
      <c r="HJK223" s="36"/>
      <c r="HJL223" s="36"/>
      <c r="HJM223" s="36"/>
      <c r="HJN223" s="36"/>
      <c r="HJO223" s="36"/>
      <c r="HJP223" s="36"/>
      <c r="HJQ223" s="36"/>
      <c r="HJR223" s="36"/>
      <c r="HJS223" s="36"/>
      <c r="HJT223" s="36"/>
      <c r="HJU223" s="36"/>
      <c r="HJV223" s="36"/>
      <c r="HJW223" s="36"/>
      <c r="HJX223" s="36"/>
      <c r="HJY223" s="36"/>
      <c r="HJZ223" s="36"/>
      <c r="HKA223" s="36"/>
      <c r="HKB223" s="36"/>
      <c r="HKC223" s="36"/>
      <c r="HKD223" s="36"/>
      <c r="HKE223" s="36"/>
      <c r="HKF223" s="36"/>
      <c r="HKG223" s="36"/>
      <c r="HKH223" s="36"/>
      <c r="HKI223" s="36"/>
      <c r="HKJ223" s="36"/>
      <c r="HKK223" s="36"/>
      <c r="HKL223" s="36"/>
      <c r="HKM223" s="36"/>
      <c r="HKN223" s="36"/>
      <c r="HKO223" s="36"/>
      <c r="HKP223" s="36"/>
      <c r="HKQ223" s="36"/>
      <c r="HKR223" s="36"/>
      <c r="HKS223" s="36"/>
      <c r="HKT223" s="36"/>
      <c r="HKU223" s="36"/>
      <c r="HKV223" s="36"/>
      <c r="HKW223" s="36"/>
      <c r="HKX223" s="36"/>
      <c r="HKY223" s="36"/>
      <c r="HKZ223" s="36"/>
      <c r="HLA223" s="36"/>
      <c r="HLB223" s="36"/>
      <c r="HLC223" s="36"/>
      <c r="HLD223" s="36"/>
      <c r="HLE223" s="36"/>
      <c r="HLF223" s="36"/>
      <c r="HLG223" s="36"/>
      <c r="HLH223" s="36"/>
      <c r="HLI223" s="36"/>
      <c r="HLJ223" s="36"/>
      <c r="HLK223" s="36"/>
      <c r="HLL223" s="36"/>
      <c r="HLM223" s="36"/>
      <c r="HLN223" s="36"/>
      <c r="HLO223" s="36"/>
      <c r="HLP223" s="36"/>
      <c r="HLQ223" s="36"/>
      <c r="HLR223" s="36"/>
      <c r="HLS223" s="36"/>
      <c r="HLT223" s="36"/>
      <c r="HLU223" s="36"/>
      <c r="HLV223" s="36"/>
      <c r="HLW223" s="36"/>
      <c r="HLX223" s="36"/>
      <c r="HLY223" s="36"/>
      <c r="HLZ223" s="36"/>
      <c r="HMA223" s="36"/>
      <c r="HMB223" s="36"/>
      <c r="HMC223" s="36"/>
      <c r="HMD223" s="36"/>
      <c r="HME223" s="36"/>
      <c r="HMF223" s="36"/>
      <c r="HMG223" s="36"/>
      <c r="HMH223" s="36"/>
      <c r="HMI223" s="36"/>
      <c r="HMJ223" s="36"/>
      <c r="HMK223" s="36"/>
      <c r="HML223" s="36"/>
      <c r="HMM223" s="36"/>
      <c r="HMN223" s="36"/>
      <c r="HMO223" s="36"/>
      <c r="HMP223" s="36"/>
      <c r="HMQ223" s="36"/>
      <c r="HMR223" s="36"/>
      <c r="HMS223" s="36"/>
      <c r="HMT223" s="36"/>
      <c r="HMU223" s="36"/>
      <c r="HMV223" s="36"/>
      <c r="HMW223" s="36"/>
      <c r="HMX223" s="36"/>
      <c r="HMY223" s="36"/>
      <c r="HMZ223" s="36"/>
      <c r="HNA223" s="36"/>
      <c r="HNB223" s="36"/>
      <c r="HNC223" s="36"/>
      <c r="HND223" s="36"/>
      <c r="HNE223" s="36"/>
      <c r="HNF223" s="36"/>
      <c r="HNG223" s="36"/>
      <c r="HNH223" s="36"/>
      <c r="HNI223" s="36"/>
      <c r="HNJ223" s="36"/>
      <c r="HNK223" s="36"/>
      <c r="HNL223" s="36"/>
      <c r="HNM223" s="36"/>
      <c r="HNN223" s="36"/>
      <c r="HNO223" s="36"/>
      <c r="HNP223" s="36"/>
      <c r="HNQ223" s="36"/>
      <c r="HNR223" s="36"/>
      <c r="HNS223" s="36"/>
      <c r="HNT223" s="36"/>
      <c r="HNU223" s="36"/>
      <c r="HNV223" s="36"/>
      <c r="HNW223" s="36"/>
      <c r="HNX223" s="36"/>
      <c r="HNY223" s="36"/>
      <c r="HNZ223" s="36"/>
      <c r="HOA223" s="36"/>
      <c r="HOB223" s="36"/>
      <c r="HOC223" s="36"/>
      <c r="HOD223" s="36"/>
      <c r="HOE223" s="36"/>
      <c r="HOF223" s="36"/>
      <c r="HOG223" s="36"/>
      <c r="HOH223" s="36"/>
      <c r="HOI223" s="36"/>
      <c r="HOJ223" s="36"/>
      <c r="HOK223" s="36"/>
      <c r="HOL223" s="36"/>
      <c r="HOM223" s="36"/>
      <c r="HON223" s="36"/>
      <c r="HOO223" s="36"/>
      <c r="HOP223" s="36"/>
      <c r="HOQ223" s="36"/>
      <c r="HOR223" s="36"/>
      <c r="HOS223" s="36"/>
      <c r="HOT223" s="36"/>
      <c r="HOU223" s="36"/>
      <c r="HOV223" s="36"/>
      <c r="HOW223" s="36"/>
      <c r="HOX223" s="36"/>
      <c r="HOY223" s="36"/>
      <c r="HOZ223" s="36"/>
      <c r="HPA223" s="36"/>
      <c r="HPB223" s="36"/>
      <c r="HPC223" s="36"/>
      <c r="HPD223" s="36"/>
      <c r="HPE223" s="36"/>
      <c r="HPF223" s="36"/>
      <c r="HPG223" s="36"/>
      <c r="HPH223" s="36"/>
      <c r="HPI223" s="36"/>
      <c r="HPJ223" s="36"/>
      <c r="HPK223" s="36"/>
      <c r="HPL223" s="36"/>
      <c r="HPM223" s="36"/>
      <c r="HPN223" s="36"/>
      <c r="HPO223" s="36"/>
      <c r="HPP223" s="36"/>
      <c r="HPQ223" s="36"/>
      <c r="HPR223" s="36"/>
      <c r="HPS223" s="36"/>
      <c r="HPT223" s="36"/>
      <c r="HPU223" s="36"/>
      <c r="HPV223" s="36"/>
      <c r="HPW223" s="36"/>
      <c r="HPX223" s="36"/>
      <c r="HPY223" s="36"/>
      <c r="HPZ223" s="36"/>
      <c r="HQA223" s="36"/>
      <c r="HQB223" s="36"/>
      <c r="HQC223" s="36"/>
      <c r="HQD223" s="36"/>
      <c r="HQE223" s="36"/>
      <c r="HQF223" s="36"/>
      <c r="HQG223" s="36"/>
      <c r="HQH223" s="36"/>
      <c r="HQI223" s="36"/>
      <c r="HQJ223" s="36"/>
      <c r="HQK223" s="36"/>
      <c r="HQL223" s="36"/>
      <c r="HQM223" s="36"/>
      <c r="HQN223" s="36"/>
      <c r="HQO223" s="36"/>
      <c r="HQP223" s="36"/>
      <c r="HQQ223" s="36"/>
      <c r="HQR223" s="36"/>
      <c r="HQS223" s="36"/>
      <c r="HQT223" s="36"/>
      <c r="HQU223" s="36"/>
      <c r="HQV223" s="36"/>
      <c r="HQW223" s="36"/>
      <c r="HQX223" s="36"/>
      <c r="HQY223" s="36"/>
      <c r="HQZ223" s="36"/>
      <c r="HRA223" s="36"/>
      <c r="HRB223" s="36"/>
      <c r="HRC223" s="36"/>
      <c r="HRD223" s="36"/>
      <c r="HRE223" s="36"/>
      <c r="HRF223" s="36"/>
      <c r="HRG223" s="36"/>
      <c r="HRH223" s="36"/>
      <c r="HRI223" s="36"/>
      <c r="HRJ223" s="36"/>
      <c r="HRK223" s="36"/>
      <c r="HRL223" s="36"/>
      <c r="HRM223" s="36"/>
      <c r="HRN223" s="36"/>
      <c r="HRO223" s="36"/>
      <c r="HRP223" s="36"/>
      <c r="HRQ223" s="36"/>
      <c r="HRR223" s="36"/>
      <c r="HRS223" s="36"/>
      <c r="HRT223" s="36"/>
      <c r="HRU223" s="36"/>
      <c r="HRV223" s="36"/>
      <c r="HRW223" s="36"/>
      <c r="HRX223" s="36"/>
      <c r="HRY223" s="36"/>
      <c r="HRZ223" s="36"/>
      <c r="HSA223" s="36"/>
      <c r="HSB223" s="36"/>
      <c r="HSC223" s="36"/>
      <c r="HSD223" s="36"/>
      <c r="HSE223" s="36"/>
      <c r="HSF223" s="36"/>
      <c r="HSG223" s="36"/>
      <c r="HSH223" s="36"/>
      <c r="HSI223" s="36"/>
      <c r="HSJ223" s="36"/>
      <c r="HSK223" s="36"/>
      <c r="HSL223" s="36"/>
      <c r="HSM223" s="36"/>
      <c r="HSN223" s="36"/>
      <c r="HSO223" s="36"/>
      <c r="HSP223" s="36"/>
      <c r="HSQ223" s="36"/>
      <c r="HSR223" s="36"/>
      <c r="HSS223" s="36"/>
      <c r="HST223" s="36"/>
      <c r="HSU223" s="36"/>
      <c r="HSV223" s="36"/>
      <c r="HSW223" s="36"/>
      <c r="HSX223" s="36"/>
      <c r="HSY223" s="36"/>
      <c r="HSZ223" s="36"/>
      <c r="HTA223" s="36"/>
      <c r="HTB223" s="36"/>
      <c r="HTC223" s="36"/>
      <c r="HTD223" s="36"/>
      <c r="HTE223" s="36"/>
      <c r="HTF223" s="36"/>
      <c r="HTG223" s="36"/>
      <c r="HTH223" s="36"/>
      <c r="HTI223" s="36"/>
      <c r="HTJ223" s="36"/>
      <c r="HTK223" s="36"/>
      <c r="HTL223" s="36"/>
      <c r="HTM223" s="36"/>
      <c r="HTN223" s="36"/>
      <c r="HTO223" s="36"/>
      <c r="HTP223" s="36"/>
      <c r="HTQ223" s="36"/>
      <c r="HTR223" s="36"/>
      <c r="HTS223" s="36"/>
      <c r="HTT223" s="36"/>
      <c r="HTU223" s="36"/>
      <c r="HTV223" s="36"/>
      <c r="HTW223" s="36"/>
      <c r="HTX223" s="36"/>
      <c r="HTY223" s="36"/>
      <c r="HTZ223" s="36"/>
      <c r="HUA223" s="36"/>
      <c r="HUB223" s="36"/>
      <c r="HUC223" s="36"/>
      <c r="HUD223" s="36"/>
      <c r="HUE223" s="36"/>
      <c r="HUF223" s="36"/>
      <c r="HUG223" s="36"/>
      <c r="HUH223" s="36"/>
      <c r="HUI223" s="36"/>
      <c r="HUJ223" s="36"/>
      <c r="HUK223" s="36"/>
      <c r="HUL223" s="36"/>
      <c r="HUM223" s="36"/>
      <c r="HUN223" s="36"/>
      <c r="HUO223" s="36"/>
      <c r="HUP223" s="36"/>
      <c r="HUQ223" s="36"/>
      <c r="HUR223" s="36"/>
      <c r="HUS223" s="36"/>
      <c r="HUT223" s="36"/>
      <c r="HUU223" s="36"/>
      <c r="HUV223" s="36"/>
      <c r="HUW223" s="36"/>
      <c r="HUX223" s="36"/>
      <c r="HUY223" s="36"/>
      <c r="HUZ223" s="36"/>
      <c r="HVA223" s="36"/>
      <c r="HVB223" s="36"/>
      <c r="HVC223" s="36"/>
      <c r="HVD223" s="36"/>
      <c r="HVE223" s="36"/>
      <c r="HVF223" s="36"/>
      <c r="HVG223" s="36"/>
      <c r="HVH223" s="36"/>
      <c r="HVI223" s="36"/>
      <c r="HVJ223" s="36"/>
      <c r="HVK223" s="36"/>
      <c r="HVL223" s="36"/>
      <c r="HVM223" s="36"/>
      <c r="HVN223" s="36"/>
      <c r="HVO223" s="36"/>
      <c r="HVP223" s="36"/>
      <c r="HVQ223" s="36"/>
      <c r="HVR223" s="36"/>
      <c r="HVS223" s="36"/>
      <c r="HVT223" s="36"/>
      <c r="HVU223" s="36"/>
      <c r="HVV223" s="36"/>
      <c r="HVW223" s="36"/>
      <c r="HVX223" s="36"/>
      <c r="HVY223" s="36"/>
      <c r="HVZ223" s="36"/>
      <c r="HWA223" s="36"/>
      <c r="HWB223" s="36"/>
      <c r="HWC223" s="36"/>
      <c r="HWD223" s="36"/>
      <c r="HWE223" s="36"/>
      <c r="HWF223" s="36"/>
      <c r="HWG223" s="36"/>
      <c r="HWH223" s="36"/>
      <c r="HWI223" s="36"/>
      <c r="HWJ223" s="36"/>
      <c r="HWK223" s="36"/>
      <c r="HWL223" s="36"/>
      <c r="HWM223" s="36"/>
      <c r="HWN223" s="36"/>
      <c r="HWO223" s="36"/>
      <c r="HWP223" s="36"/>
      <c r="HWQ223" s="36"/>
      <c r="HWR223" s="36"/>
      <c r="HWS223" s="36"/>
      <c r="HWT223" s="36"/>
      <c r="HWU223" s="36"/>
      <c r="HWV223" s="36"/>
      <c r="HWW223" s="36"/>
      <c r="HWX223" s="36"/>
      <c r="HWY223" s="36"/>
      <c r="HWZ223" s="36"/>
      <c r="HXA223" s="36"/>
      <c r="HXB223" s="36"/>
      <c r="HXC223" s="36"/>
      <c r="HXD223" s="36"/>
      <c r="HXE223" s="36"/>
      <c r="HXF223" s="36"/>
      <c r="HXG223" s="36"/>
      <c r="HXH223" s="36"/>
      <c r="HXI223" s="36"/>
      <c r="HXJ223" s="36"/>
      <c r="HXK223" s="36"/>
      <c r="HXL223" s="36"/>
      <c r="HXM223" s="36"/>
      <c r="HXN223" s="36"/>
      <c r="HXO223" s="36"/>
      <c r="HXP223" s="36"/>
      <c r="HXQ223" s="36"/>
      <c r="HXR223" s="36"/>
      <c r="HXS223" s="36"/>
      <c r="HXT223" s="36"/>
      <c r="HXU223" s="36"/>
      <c r="HXV223" s="36"/>
      <c r="HXW223" s="36"/>
      <c r="HXX223" s="36"/>
      <c r="HXY223" s="36"/>
      <c r="HXZ223" s="36"/>
      <c r="HYA223" s="36"/>
      <c r="HYB223" s="36"/>
      <c r="HYC223" s="36"/>
      <c r="HYD223" s="36"/>
      <c r="HYE223" s="36"/>
      <c r="HYF223" s="36"/>
      <c r="HYG223" s="36"/>
      <c r="HYH223" s="36"/>
      <c r="HYI223" s="36"/>
      <c r="HYJ223" s="36"/>
      <c r="HYK223" s="36"/>
      <c r="HYL223" s="36"/>
      <c r="HYM223" s="36"/>
      <c r="HYN223" s="36"/>
      <c r="HYO223" s="36"/>
      <c r="HYP223" s="36"/>
      <c r="HYQ223" s="36"/>
      <c r="HYR223" s="36"/>
      <c r="HYS223" s="36"/>
      <c r="HYT223" s="36"/>
      <c r="HYU223" s="36"/>
      <c r="HYV223" s="36"/>
      <c r="HYW223" s="36"/>
      <c r="HYX223" s="36"/>
      <c r="HYY223" s="36"/>
      <c r="HYZ223" s="36"/>
      <c r="HZA223" s="36"/>
      <c r="HZB223" s="36"/>
      <c r="HZC223" s="36"/>
      <c r="HZD223" s="36"/>
      <c r="HZE223" s="36"/>
      <c r="HZF223" s="36"/>
      <c r="HZG223" s="36"/>
      <c r="HZH223" s="36"/>
      <c r="HZI223" s="36"/>
      <c r="HZJ223" s="36"/>
      <c r="HZK223" s="36"/>
      <c r="HZL223" s="36"/>
      <c r="HZM223" s="36"/>
      <c r="HZN223" s="36"/>
      <c r="HZO223" s="36"/>
      <c r="HZP223" s="36"/>
      <c r="HZQ223" s="36"/>
      <c r="HZR223" s="36"/>
      <c r="HZS223" s="36"/>
      <c r="HZT223" s="36"/>
      <c r="HZU223" s="36"/>
      <c r="HZV223" s="36"/>
      <c r="HZW223" s="36"/>
      <c r="HZX223" s="36"/>
      <c r="HZY223" s="36"/>
      <c r="HZZ223" s="36"/>
      <c r="IAA223" s="36"/>
      <c r="IAB223" s="36"/>
      <c r="IAC223" s="36"/>
      <c r="IAD223" s="36"/>
      <c r="IAE223" s="36"/>
      <c r="IAF223" s="36"/>
      <c r="IAG223" s="36"/>
      <c r="IAH223" s="36"/>
      <c r="IAI223" s="36"/>
      <c r="IAJ223" s="36"/>
      <c r="IAK223" s="36"/>
      <c r="IAL223" s="36"/>
      <c r="IAM223" s="36"/>
      <c r="IAN223" s="36"/>
      <c r="IAO223" s="36"/>
      <c r="IAP223" s="36"/>
      <c r="IAQ223" s="36"/>
      <c r="IAR223" s="36"/>
      <c r="IAS223" s="36"/>
      <c r="IAT223" s="36"/>
      <c r="IAU223" s="36"/>
      <c r="IAV223" s="36"/>
      <c r="IAW223" s="36"/>
      <c r="IAX223" s="36"/>
      <c r="IAY223" s="36"/>
      <c r="IAZ223" s="36"/>
      <c r="IBA223" s="36"/>
      <c r="IBB223" s="36"/>
      <c r="IBC223" s="36"/>
      <c r="IBD223" s="36"/>
      <c r="IBE223" s="36"/>
      <c r="IBF223" s="36"/>
      <c r="IBG223" s="36"/>
      <c r="IBH223" s="36"/>
      <c r="IBI223" s="36"/>
      <c r="IBJ223" s="36"/>
      <c r="IBK223" s="36"/>
      <c r="IBL223" s="36"/>
      <c r="IBM223" s="36"/>
      <c r="IBN223" s="36"/>
      <c r="IBO223" s="36"/>
      <c r="IBP223" s="36"/>
      <c r="IBQ223" s="36"/>
      <c r="IBR223" s="36"/>
      <c r="IBS223" s="36"/>
      <c r="IBT223" s="36"/>
      <c r="IBU223" s="36"/>
      <c r="IBV223" s="36"/>
      <c r="IBW223" s="36"/>
      <c r="IBX223" s="36"/>
      <c r="IBY223" s="36"/>
      <c r="IBZ223" s="36"/>
      <c r="ICA223" s="36"/>
      <c r="ICB223" s="36"/>
      <c r="ICC223" s="36"/>
      <c r="ICD223" s="36"/>
      <c r="ICE223" s="36"/>
      <c r="ICF223" s="36"/>
      <c r="ICG223" s="36"/>
      <c r="ICH223" s="36"/>
      <c r="ICI223" s="36"/>
      <c r="ICJ223" s="36"/>
      <c r="ICK223" s="36"/>
      <c r="ICL223" s="36"/>
      <c r="ICM223" s="36"/>
      <c r="ICN223" s="36"/>
      <c r="ICO223" s="36"/>
      <c r="ICP223" s="36"/>
      <c r="ICQ223" s="36"/>
      <c r="ICR223" s="36"/>
      <c r="ICS223" s="36"/>
      <c r="ICT223" s="36"/>
      <c r="ICU223" s="36"/>
      <c r="ICV223" s="36"/>
      <c r="ICW223" s="36"/>
      <c r="ICX223" s="36"/>
      <c r="ICY223" s="36"/>
      <c r="ICZ223" s="36"/>
      <c r="IDA223" s="36"/>
      <c r="IDB223" s="36"/>
      <c r="IDC223" s="36"/>
      <c r="IDD223" s="36"/>
      <c r="IDE223" s="36"/>
      <c r="IDF223" s="36"/>
      <c r="IDG223" s="36"/>
      <c r="IDH223" s="36"/>
      <c r="IDI223" s="36"/>
      <c r="IDJ223" s="36"/>
      <c r="IDK223" s="36"/>
      <c r="IDL223" s="36"/>
      <c r="IDM223" s="36"/>
      <c r="IDN223" s="36"/>
      <c r="IDO223" s="36"/>
      <c r="IDP223" s="36"/>
      <c r="IDQ223" s="36"/>
      <c r="IDR223" s="36"/>
      <c r="IDS223" s="36"/>
      <c r="IDT223" s="36"/>
      <c r="IDU223" s="36"/>
      <c r="IDV223" s="36"/>
      <c r="IDW223" s="36"/>
      <c r="IDX223" s="36"/>
      <c r="IDY223" s="36"/>
      <c r="IDZ223" s="36"/>
      <c r="IEA223" s="36"/>
      <c r="IEB223" s="36"/>
      <c r="IEC223" s="36"/>
      <c r="IED223" s="36"/>
      <c r="IEE223" s="36"/>
      <c r="IEF223" s="36"/>
      <c r="IEG223" s="36"/>
      <c r="IEH223" s="36"/>
      <c r="IEI223" s="36"/>
      <c r="IEJ223" s="36"/>
      <c r="IEK223" s="36"/>
      <c r="IEL223" s="36"/>
      <c r="IEM223" s="36"/>
      <c r="IEN223" s="36"/>
      <c r="IEO223" s="36"/>
      <c r="IEP223" s="36"/>
      <c r="IEQ223" s="36"/>
      <c r="IER223" s="36"/>
      <c r="IES223" s="36"/>
      <c r="IET223" s="36"/>
      <c r="IEU223" s="36"/>
      <c r="IEV223" s="36"/>
      <c r="IEW223" s="36"/>
      <c r="IEX223" s="36"/>
      <c r="IEY223" s="36"/>
      <c r="IEZ223" s="36"/>
      <c r="IFA223" s="36"/>
      <c r="IFB223" s="36"/>
      <c r="IFC223" s="36"/>
      <c r="IFD223" s="36"/>
      <c r="IFE223" s="36"/>
      <c r="IFF223" s="36"/>
      <c r="IFG223" s="36"/>
      <c r="IFH223" s="36"/>
      <c r="IFI223" s="36"/>
      <c r="IFJ223" s="36"/>
      <c r="IFK223" s="36"/>
      <c r="IFL223" s="36"/>
      <c r="IFM223" s="36"/>
      <c r="IFN223" s="36"/>
      <c r="IFO223" s="36"/>
      <c r="IFP223" s="36"/>
      <c r="IFQ223" s="36"/>
      <c r="IFR223" s="36"/>
      <c r="IFS223" s="36"/>
      <c r="IFT223" s="36"/>
      <c r="IFU223" s="36"/>
      <c r="IFV223" s="36"/>
      <c r="IFW223" s="36"/>
      <c r="IFX223" s="36"/>
      <c r="IFY223" s="36"/>
      <c r="IFZ223" s="36"/>
      <c r="IGA223" s="36"/>
      <c r="IGB223" s="36"/>
      <c r="IGC223" s="36"/>
      <c r="IGD223" s="36"/>
      <c r="IGE223" s="36"/>
      <c r="IGF223" s="36"/>
      <c r="IGG223" s="36"/>
      <c r="IGH223" s="36"/>
      <c r="IGI223" s="36"/>
      <c r="IGJ223" s="36"/>
      <c r="IGK223" s="36"/>
      <c r="IGL223" s="36"/>
      <c r="IGM223" s="36"/>
      <c r="IGN223" s="36"/>
      <c r="IGO223" s="36"/>
      <c r="IGP223" s="36"/>
      <c r="IGQ223" s="36"/>
      <c r="IGR223" s="36"/>
      <c r="IGS223" s="36"/>
      <c r="IGT223" s="36"/>
      <c r="IGU223" s="36"/>
      <c r="IGV223" s="36"/>
      <c r="IGW223" s="36"/>
      <c r="IGX223" s="36"/>
      <c r="IGY223" s="36"/>
      <c r="IGZ223" s="36"/>
      <c r="IHA223" s="36"/>
      <c r="IHB223" s="36"/>
      <c r="IHC223" s="36"/>
      <c r="IHD223" s="36"/>
      <c r="IHE223" s="36"/>
      <c r="IHF223" s="36"/>
      <c r="IHG223" s="36"/>
      <c r="IHH223" s="36"/>
      <c r="IHI223" s="36"/>
      <c r="IHJ223" s="36"/>
      <c r="IHK223" s="36"/>
      <c r="IHL223" s="36"/>
      <c r="IHM223" s="36"/>
      <c r="IHN223" s="36"/>
      <c r="IHO223" s="36"/>
      <c r="IHP223" s="36"/>
      <c r="IHQ223" s="36"/>
      <c r="IHR223" s="36"/>
      <c r="IHS223" s="36"/>
      <c r="IHT223" s="36"/>
      <c r="IHU223" s="36"/>
      <c r="IHV223" s="36"/>
      <c r="IHW223" s="36"/>
      <c r="IHX223" s="36"/>
      <c r="IHY223" s="36"/>
      <c r="IHZ223" s="36"/>
      <c r="IIA223" s="36"/>
      <c r="IIB223" s="36"/>
      <c r="IIC223" s="36"/>
      <c r="IID223" s="36"/>
      <c r="IIE223" s="36"/>
      <c r="IIF223" s="36"/>
      <c r="IIG223" s="36"/>
      <c r="IIH223" s="36"/>
      <c r="III223" s="36"/>
      <c r="IIJ223" s="36"/>
      <c r="IIK223" s="36"/>
      <c r="IIL223" s="36"/>
      <c r="IIM223" s="36"/>
      <c r="IIN223" s="36"/>
      <c r="IIO223" s="36"/>
      <c r="IIP223" s="36"/>
      <c r="IIQ223" s="36"/>
      <c r="IIR223" s="36"/>
      <c r="IIS223" s="36"/>
      <c r="IIT223" s="36"/>
      <c r="IIU223" s="36"/>
      <c r="IIV223" s="36"/>
      <c r="IIW223" s="36"/>
      <c r="IIX223" s="36"/>
      <c r="IIY223" s="36"/>
      <c r="IIZ223" s="36"/>
      <c r="IJA223" s="36"/>
      <c r="IJB223" s="36"/>
      <c r="IJC223" s="36"/>
      <c r="IJD223" s="36"/>
      <c r="IJE223" s="36"/>
      <c r="IJF223" s="36"/>
      <c r="IJG223" s="36"/>
      <c r="IJH223" s="36"/>
      <c r="IJI223" s="36"/>
      <c r="IJJ223" s="36"/>
      <c r="IJK223" s="36"/>
      <c r="IJL223" s="36"/>
      <c r="IJM223" s="36"/>
      <c r="IJN223" s="36"/>
      <c r="IJO223" s="36"/>
      <c r="IJP223" s="36"/>
      <c r="IJQ223" s="36"/>
      <c r="IJR223" s="36"/>
      <c r="IJS223" s="36"/>
      <c r="IJT223" s="36"/>
      <c r="IJU223" s="36"/>
      <c r="IJV223" s="36"/>
      <c r="IJW223" s="36"/>
      <c r="IJX223" s="36"/>
      <c r="IJY223" s="36"/>
      <c r="IJZ223" s="36"/>
      <c r="IKA223" s="36"/>
      <c r="IKB223" s="36"/>
      <c r="IKC223" s="36"/>
      <c r="IKD223" s="36"/>
      <c r="IKE223" s="36"/>
      <c r="IKF223" s="36"/>
      <c r="IKG223" s="36"/>
      <c r="IKH223" s="36"/>
      <c r="IKI223" s="36"/>
      <c r="IKJ223" s="36"/>
      <c r="IKK223" s="36"/>
      <c r="IKL223" s="36"/>
      <c r="IKM223" s="36"/>
      <c r="IKN223" s="36"/>
      <c r="IKO223" s="36"/>
      <c r="IKP223" s="36"/>
      <c r="IKQ223" s="36"/>
      <c r="IKR223" s="36"/>
      <c r="IKS223" s="36"/>
      <c r="IKT223" s="36"/>
      <c r="IKU223" s="36"/>
      <c r="IKV223" s="36"/>
      <c r="IKW223" s="36"/>
      <c r="IKX223" s="36"/>
      <c r="IKY223" s="36"/>
      <c r="IKZ223" s="36"/>
      <c r="ILA223" s="36"/>
      <c r="ILB223" s="36"/>
      <c r="ILC223" s="36"/>
      <c r="ILD223" s="36"/>
      <c r="ILE223" s="36"/>
      <c r="ILF223" s="36"/>
      <c r="ILG223" s="36"/>
      <c r="ILH223" s="36"/>
      <c r="ILI223" s="36"/>
      <c r="ILJ223" s="36"/>
      <c r="ILK223" s="36"/>
      <c r="ILL223" s="36"/>
      <c r="ILM223" s="36"/>
      <c r="ILN223" s="36"/>
      <c r="ILO223" s="36"/>
      <c r="ILP223" s="36"/>
      <c r="ILQ223" s="36"/>
      <c r="ILR223" s="36"/>
      <c r="ILS223" s="36"/>
      <c r="ILT223" s="36"/>
      <c r="ILU223" s="36"/>
      <c r="ILV223" s="36"/>
      <c r="ILW223" s="36"/>
      <c r="ILX223" s="36"/>
      <c r="ILY223" s="36"/>
      <c r="ILZ223" s="36"/>
      <c r="IMA223" s="36"/>
      <c r="IMB223" s="36"/>
      <c r="IMC223" s="36"/>
      <c r="IMD223" s="36"/>
      <c r="IME223" s="36"/>
      <c r="IMF223" s="36"/>
      <c r="IMG223" s="36"/>
      <c r="IMH223" s="36"/>
      <c r="IMI223" s="36"/>
      <c r="IMJ223" s="36"/>
      <c r="IMK223" s="36"/>
      <c r="IML223" s="36"/>
      <c r="IMM223" s="36"/>
      <c r="IMN223" s="36"/>
      <c r="IMO223" s="36"/>
      <c r="IMP223" s="36"/>
      <c r="IMQ223" s="36"/>
      <c r="IMR223" s="36"/>
      <c r="IMS223" s="36"/>
      <c r="IMT223" s="36"/>
      <c r="IMU223" s="36"/>
      <c r="IMV223" s="36"/>
      <c r="IMW223" s="36"/>
      <c r="IMX223" s="36"/>
      <c r="IMY223" s="36"/>
      <c r="IMZ223" s="36"/>
      <c r="INA223" s="36"/>
      <c r="INB223" s="36"/>
      <c r="INC223" s="36"/>
      <c r="IND223" s="36"/>
      <c r="INE223" s="36"/>
      <c r="INF223" s="36"/>
      <c r="ING223" s="36"/>
      <c r="INH223" s="36"/>
      <c r="INI223" s="36"/>
      <c r="INJ223" s="36"/>
      <c r="INK223" s="36"/>
      <c r="INL223" s="36"/>
      <c r="INM223" s="36"/>
      <c r="INN223" s="36"/>
      <c r="INO223" s="36"/>
      <c r="INP223" s="36"/>
      <c r="INQ223" s="36"/>
      <c r="INR223" s="36"/>
      <c r="INS223" s="36"/>
      <c r="INT223" s="36"/>
      <c r="INU223" s="36"/>
      <c r="INV223" s="36"/>
      <c r="INW223" s="36"/>
      <c r="INX223" s="36"/>
      <c r="INY223" s="36"/>
      <c r="INZ223" s="36"/>
      <c r="IOA223" s="36"/>
      <c r="IOB223" s="36"/>
      <c r="IOC223" s="36"/>
      <c r="IOD223" s="36"/>
      <c r="IOE223" s="36"/>
      <c r="IOF223" s="36"/>
      <c r="IOG223" s="36"/>
      <c r="IOH223" s="36"/>
      <c r="IOI223" s="36"/>
      <c r="IOJ223" s="36"/>
      <c r="IOK223" s="36"/>
      <c r="IOL223" s="36"/>
      <c r="IOM223" s="36"/>
      <c r="ION223" s="36"/>
      <c r="IOO223" s="36"/>
      <c r="IOP223" s="36"/>
      <c r="IOQ223" s="36"/>
      <c r="IOR223" s="36"/>
      <c r="IOS223" s="36"/>
      <c r="IOT223" s="36"/>
      <c r="IOU223" s="36"/>
      <c r="IOV223" s="36"/>
      <c r="IOW223" s="36"/>
      <c r="IOX223" s="36"/>
      <c r="IOY223" s="36"/>
      <c r="IOZ223" s="36"/>
      <c r="IPA223" s="36"/>
      <c r="IPB223" s="36"/>
      <c r="IPC223" s="36"/>
      <c r="IPD223" s="36"/>
      <c r="IPE223" s="36"/>
      <c r="IPF223" s="36"/>
      <c r="IPG223" s="36"/>
      <c r="IPH223" s="36"/>
      <c r="IPI223" s="36"/>
      <c r="IPJ223" s="36"/>
      <c r="IPK223" s="36"/>
      <c r="IPL223" s="36"/>
      <c r="IPM223" s="36"/>
      <c r="IPN223" s="36"/>
      <c r="IPO223" s="36"/>
      <c r="IPP223" s="36"/>
      <c r="IPQ223" s="36"/>
      <c r="IPR223" s="36"/>
      <c r="IPS223" s="36"/>
      <c r="IPT223" s="36"/>
      <c r="IPU223" s="36"/>
      <c r="IPV223" s="36"/>
      <c r="IPW223" s="36"/>
      <c r="IPX223" s="36"/>
      <c r="IPY223" s="36"/>
      <c r="IPZ223" s="36"/>
      <c r="IQA223" s="36"/>
      <c r="IQB223" s="36"/>
      <c r="IQC223" s="36"/>
      <c r="IQD223" s="36"/>
      <c r="IQE223" s="36"/>
      <c r="IQF223" s="36"/>
      <c r="IQG223" s="36"/>
      <c r="IQH223" s="36"/>
      <c r="IQI223" s="36"/>
      <c r="IQJ223" s="36"/>
      <c r="IQK223" s="36"/>
      <c r="IQL223" s="36"/>
      <c r="IQM223" s="36"/>
      <c r="IQN223" s="36"/>
      <c r="IQO223" s="36"/>
      <c r="IQP223" s="36"/>
      <c r="IQQ223" s="36"/>
      <c r="IQR223" s="36"/>
      <c r="IQS223" s="36"/>
      <c r="IQT223" s="36"/>
      <c r="IQU223" s="36"/>
      <c r="IQV223" s="36"/>
      <c r="IQW223" s="36"/>
      <c r="IQX223" s="36"/>
      <c r="IQY223" s="36"/>
      <c r="IQZ223" s="36"/>
      <c r="IRA223" s="36"/>
      <c r="IRB223" s="36"/>
      <c r="IRC223" s="36"/>
      <c r="IRD223" s="36"/>
      <c r="IRE223" s="36"/>
      <c r="IRF223" s="36"/>
      <c r="IRG223" s="36"/>
      <c r="IRH223" s="36"/>
      <c r="IRI223" s="36"/>
      <c r="IRJ223" s="36"/>
      <c r="IRK223" s="36"/>
      <c r="IRL223" s="36"/>
      <c r="IRM223" s="36"/>
      <c r="IRN223" s="36"/>
      <c r="IRO223" s="36"/>
      <c r="IRP223" s="36"/>
      <c r="IRQ223" s="36"/>
      <c r="IRR223" s="36"/>
      <c r="IRS223" s="36"/>
      <c r="IRT223" s="36"/>
      <c r="IRU223" s="36"/>
      <c r="IRV223" s="36"/>
      <c r="IRW223" s="36"/>
      <c r="IRX223" s="36"/>
      <c r="IRY223" s="36"/>
      <c r="IRZ223" s="36"/>
      <c r="ISA223" s="36"/>
      <c r="ISB223" s="36"/>
      <c r="ISC223" s="36"/>
      <c r="ISD223" s="36"/>
      <c r="ISE223" s="36"/>
      <c r="ISF223" s="36"/>
      <c r="ISG223" s="36"/>
      <c r="ISH223" s="36"/>
      <c r="ISI223" s="36"/>
      <c r="ISJ223" s="36"/>
      <c r="ISK223" s="36"/>
      <c r="ISL223" s="36"/>
      <c r="ISM223" s="36"/>
      <c r="ISN223" s="36"/>
      <c r="ISO223" s="36"/>
      <c r="ISP223" s="36"/>
      <c r="ISQ223" s="36"/>
      <c r="ISR223" s="36"/>
      <c r="ISS223" s="36"/>
      <c r="IST223" s="36"/>
      <c r="ISU223" s="36"/>
      <c r="ISV223" s="36"/>
      <c r="ISW223" s="36"/>
      <c r="ISX223" s="36"/>
      <c r="ISY223" s="36"/>
      <c r="ISZ223" s="36"/>
      <c r="ITA223" s="36"/>
      <c r="ITB223" s="36"/>
      <c r="ITC223" s="36"/>
      <c r="ITD223" s="36"/>
      <c r="ITE223" s="36"/>
      <c r="ITF223" s="36"/>
      <c r="ITG223" s="36"/>
      <c r="ITH223" s="36"/>
      <c r="ITI223" s="36"/>
      <c r="ITJ223" s="36"/>
      <c r="ITK223" s="36"/>
      <c r="ITL223" s="36"/>
      <c r="ITM223" s="36"/>
      <c r="ITN223" s="36"/>
      <c r="ITO223" s="36"/>
      <c r="ITP223" s="36"/>
      <c r="ITQ223" s="36"/>
      <c r="ITR223" s="36"/>
      <c r="ITS223" s="36"/>
      <c r="ITT223" s="36"/>
      <c r="ITU223" s="36"/>
      <c r="ITV223" s="36"/>
      <c r="ITW223" s="36"/>
      <c r="ITX223" s="36"/>
      <c r="ITY223" s="36"/>
      <c r="ITZ223" s="36"/>
      <c r="IUA223" s="36"/>
      <c r="IUB223" s="36"/>
      <c r="IUC223" s="36"/>
      <c r="IUD223" s="36"/>
      <c r="IUE223" s="36"/>
      <c r="IUF223" s="36"/>
      <c r="IUG223" s="36"/>
      <c r="IUH223" s="36"/>
      <c r="IUI223" s="36"/>
      <c r="IUJ223" s="36"/>
      <c r="IUK223" s="36"/>
      <c r="IUL223" s="36"/>
      <c r="IUM223" s="36"/>
      <c r="IUN223" s="36"/>
      <c r="IUO223" s="36"/>
      <c r="IUP223" s="36"/>
      <c r="IUQ223" s="36"/>
      <c r="IUR223" s="36"/>
      <c r="IUS223" s="36"/>
      <c r="IUT223" s="36"/>
      <c r="IUU223" s="36"/>
      <c r="IUV223" s="36"/>
      <c r="IUW223" s="36"/>
      <c r="IUX223" s="36"/>
      <c r="IUY223" s="36"/>
      <c r="IUZ223" s="36"/>
      <c r="IVA223" s="36"/>
      <c r="IVB223" s="36"/>
      <c r="IVC223" s="36"/>
      <c r="IVD223" s="36"/>
      <c r="IVE223" s="36"/>
      <c r="IVF223" s="36"/>
      <c r="IVG223" s="36"/>
      <c r="IVH223" s="36"/>
      <c r="IVI223" s="36"/>
      <c r="IVJ223" s="36"/>
      <c r="IVK223" s="36"/>
      <c r="IVL223" s="36"/>
      <c r="IVM223" s="36"/>
      <c r="IVN223" s="36"/>
      <c r="IVO223" s="36"/>
      <c r="IVP223" s="36"/>
      <c r="IVQ223" s="36"/>
      <c r="IVR223" s="36"/>
      <c r="IVS223" s="36"/>
      <c r="IVT223" s="36"/>
      <c r="IVU223" s="36"/>
      <c r="IVV223" s="36"/>
      <c r="IVW223" s="36"/>
      <c r="IVX223" s="36"/>
      <c r="IVY223" s="36"/>
      <c r="IVZ223" s="36"/>
      <c r="IWA223" s="36"/>
      <c r="IWB223" s="36"/>
      <c r="IWC223" s="36"/>
      <c r="IWD223" s="36"/>
      <c r="IWE223" s="36"/>
      <c r="IWF223" s="36"/>
      <c r="IWG223" s="36"/>
      <c r="IWH223" s="36"/>
      <c r="IWI223" s="36"/>
      <c r="IWJ223" s="36"/>
      <c r="IWK223" s="36"/>
      <c r="IWL223" s="36"/>
      <c r="IWM223" s="36"/>
      <c r="IWN223" s="36"/>
      <c r="IWO223" s="36"/>
      <c r="IWP223" s="36"/>
      <c r="IWQ223" s="36"/>
      <c r="IWR223" s="36"/>
      <c r="IWS223" s="36"/>
      <c r="IWT223" s="36"/>
      <c r="IWU223" s="36"/>
      <c r="IWV223" s="36"/>
      <c r="IWW223" s="36"/>
      <c r="IWX223" s="36"/>
      <c r="IWY223" s="36"/>
      <c r="IWZ223" s="36"/>
      <c r="IXA223" s="36"/>
      <c r="IXB223" s="36"/>
      <c r="IXC223" s="36"/>
      <c r="IXD223" s="36"/>
      <c r="IXE223" s="36"/>
      <c r="IXF223" s="36"/>
      <c r="IXG223" s="36"/>
      <c r="IXH223" s="36"/>
      <c r="IXI223" s="36"/>
      <c r="IXJ223" s="36"/>
      <c r="IXK223" s="36"/>
      <c r="IXL223" s="36"/>
      <c r="IXM223" s="36"/>
      <c r="IXN223" s="36"/>
      <c r="IXO223" s="36"/>
      <c r="IXP223" s="36"/>
      <c r="IXQ223" s="36"/>
      <c r="IXR223" s="36"/>
      <c r="IXS223" s="36"/>
      <c r="IXT223" s="36"/>
      <c r="IXU223" s="36"/>
      <c r="IXV223" s="36"/>
      <c r="IXW223" s="36"/>
      <c r="IXX223" s="36"/>
      <c r="IXY223" s="36"/>
      <c r="IXZ223" s="36"/>
      <c r="IYA223" s="36"/>
      <c r="IYB223" s="36"/>
      <c r="IYC223" s="36"/>
      <c r="IYD223" s="36"/>
      <c r="IYE223" s="36"/>
      <c r="IYF223" s="36"/>
      <c r="IYG223" s="36"/>
      <c r="IYH223" s="36"/>
      <c r="IYI223" s="36"/>
      <c r="IYJ223" s="36"/>
      <c r="IYK223" s="36"/>
      <c r="IYL223" s="36"/>
      <c r="IYM223" s="36"/>
      <c r="IYN223" s="36"/>
      <c r="IYO223" s="36"/>
      <c r="IYP223" s="36"/>
      <c r="IYQ223" s="36"/>
      <c r="IYR223" s="36"/>
      <c r="IYS223" s="36"/>
      <c r="IYT223" s="36"/>
      <c r="IYU223" s="36"/>
      <c r="IYV223" s="36"/>
      <c r="IYW223" s="36"/>
      <c r="IYX223" s="36"/>
      <c r="IYY223" s="36"/>
      <c r="IYZ223" s="36"/>
      <c r="IZA223" s="36"/>
      <c r="IZB223" s="36"/>
      <c r="IZC223" s="36"/>
      <c r="IZD223" s="36"/>
      <c r="IZE223" s="36"/>
      <c r="IZF223" s="36"/>
      <c r="IZG223" s="36"/>
      <c r="IZH223" s="36"/>
      <c r="IZI223" s="36"/>
      <c r="IZJ223" s="36"/>
      <c r="IZK223" s="36"/>
      <c r="IZL223" s="36"/>
      <c r="IZM223" s="36"/>
      <c r="IZN223" s="36"/>
      <c r="IZO223" s="36"/>
      <c r="IZP223" s="36"/>
      <c r="IZQ223" s="36"/>
      <c r="IZR223" s="36"/>
      <c r="IZS223" s="36"/>
      <c r="IZT223" s="36"/>
      <c r="IZU223" s="36"/>
      <c r="IZV223" s="36"/>
      <c r="IZW223" s="36"/>
      <c r="IZX223" s="36"/>
      <c r="IZY223" s="36"/>
      <c r="IZZ223" s="36"/>
      <c r="JAA223" s="36"/>
      <c r="JAB223" s="36"/>
      <c r="JAC223" s="36"/>
      <c r="JAD223" s="36"/>
      <c r="JAE223" s="36"/>
      <c r="JAF223" s="36"/>
      <c r="JAG223" s="36"/>
      <c r="JAH223" s="36"/>
      <c r="JAI223" s="36"/>
      <c r="JAJ223" s="36"/>
      <c r="JAK223" s="36"/>
      <c r="JAL223" s="36"/>
      <c r="JAM223" s="36"/>
      <c r="JAN223" s="36"/>
      <c r="JAO223" s="36"/>
      <c r="JAP223" s="36"/>
      <c r="JAQ223" s="36"/>
      <c r="JAR223" s="36"/>
      <c r="JAS223" s="36"/>
      <c r="JAT223" s="36"/>
      <c r="JAU223" s="36"/>
      <c r="JAV223" s="36"/>
      <c r="JAW223" s="36"/>
      <c r="JAX223" s="36"/>
      <c r="JAY223" s="36"/>
      <c r="JAZ223" s="36"/>
      <c r="JBA223" s="36"/>
      <c r="JBB223" s="36"/>
      <c r="JBC223" s="36"/>
      <c r="JBD223" s="36"/>
      <c r="JBE223" s="36"/>
      <c r="JBF223" s="36"/>
      <c r="JBG223" s="36"/>
      <c r="JBH223" s="36"/>
      <c r="JBI223" s="36"/>
      <c r="JBJ223" s="36"/>
      <c r="JBK223" s="36"/>
      <c r="JBL223" s="36"/>
      <c r="JBM223" s="36"/>
      <c r="JBN223" s="36"/>
      <c r="JBO223" s="36"/>
      <c r="JBP223" s="36"/>
      <c r="JBQ223" s="36"/>
      <c r="JBR223" s="36"/>
      <c r="JBS223" s="36"/>
      <c r="JBT223" s="36"/>
      <c r="JBU223" s="36"/>
      <c r="JBV223" s="36"/>
      <c r="JBW223" s="36"/>
      <c r="JBX223" s="36"/>
      <c r="JBY223" s="36"/>
      <c r="JBZ223" s="36"/>
      <c r="JCA223" s="36"/>
      <c r="JCB223" s="36"/>
      <c r="JCC223" s="36"/>
      <c r="JCD223" s="36"/>
      <c r="JCE223" s="36"/>
      <c r="JCF223" s="36"/>
      <c r="JCG223" s="36"/>
      <c r="JCH223" s="36"/>
      <c r="JCI223" s="36"/>
      <c r="JCJ223" s="36"/>
      <c r="JCK223" s="36"/>
      <c r="JCL223" s="36"/>
      <c r="JCM223" s="36"/>
      <c r="JCN223" s="36"/>
      <c r="JCO223" s="36"/>
      <c r="JCP223" s="36"/>
      <c r="JCQ223" s="36"/>
      <c r="JCR223" s="36"/>
      <c r="JCS223" s="36"/>
      <c r="JCT223" s="36"/>
      <c r="JCU223" s="36"/>
      <c r="JCV223" s="36"/>
      <c r="JCW223" s="36"/>
      <c r="JCX223" s="36"/>
      <c r="JCY223" s="36"/>
      <c r="JCZ223" s="36"/>
      <c r="JDA223" s="36"/>
      <c r="JDB223" s="36"/>
      <c r="JDC223" s="36"/>
      <c r="JDD223" s="36"/>
      <c r="JDE223" s="36"/>
      <c r="JDF223" s="36"/>
      <c r="JDG223" s="36"/>
      <c r="JDH223" s="36"/>
      <c r="JDI223" s="36"/>
      <c r="JDJ223" s="36"/>
      <c r="JDK223" s="36"/>
      <c r="JDL223" s="36"/>
      <c r="JDM223" s="36"/>
      <c r="JDN223" s="36"/>
      <c r="JDO223" s="36"/>
      <c r="JDP223" s="36"/>
      <c r="JDQ223" s="36"/>
      <c r="JDR223" s="36"/>
      <c r="JDS223" s="36"/>
      <c r="JDT223" s="36"/>
      <c r="JDU223" s="36"/>
      <c r="JDV223" s="36"/>
      <c r="JDW223" s="36"/>
      <c r="JDX223" s="36"/>
      <c r="JDY223" s="36"/>
      <c r="JDZ223" s="36"/>
      <c r="JEA223" s="36"/>
      <c r="JEB223" s="36"/>
      <c r="JEC223" s="36"/>
      <c r="JED223" s="36"/>
      <c r="JEE223" s="36"/>
      <c r="JEF223" s="36"/>
      <c r="JEG223" s="36"/>
      <c r="JEH223" s="36"/>
      <c r="JEI223" s="36"/>
      <c r="JEJ223" s="36"/>
      <c r="JEK223" s="36"/>
      <c r="JEL223" s="36"/>
      <c r="JEM223" s="36"/>
      <c r="JEN223" s="36"/>
      <c r="JEO223" s="36"/>
      <c r="JEP223" s="36"/>
      <c r="JEQ223" s="36"/>
      <c r="JER223" s="36"/>
      <c r="JES223" s="36"/>
      <c r="JET223" s="36"/>
      <c r="JEU223" s="36"/>
      <c r="JEV223" s="36"/>
      <c r="JEW223" s="36"/>
      <c r="JEX223" s="36"/>
      <c r="JEY223" s="36"/>
      <c r="JEZ223" s="36"/>
      <c r="JFA223" s="36"/>
      <c r="JFB223" s="36"/>
      <c r="JFC223" s="36"/>
      <c r="JFD223" s="36"/>
      <c r="JFE223" s="36"/>
      <c r="JFF223" s="36"/>
      <c r="JFG223" s="36"/>
      <c r="JFH223" s="36"/>
      <c r="JFI223" s="36"/>
      <c r="JFJ223" s="36"/>
      <c r="JFK223" s="36"/>
      <c r="JFL223" s="36"/>
      <c r="JFM223" s="36"/>
      <c r="JFN223" s="36"/>
      <c r="JFO223" s="36"/>
      <c r="JFP223" s="36"/>
      <c r="JFQ223" s="36"/>
      <c r="JFR223" s="36"/>
      <c r="JFS223" s="36"/>
      <c r="JFT223" s="36"/>
      <c r="JFU223" s="36"/>
      <c r="JFV223" s="36"/>
      <c r="JFW223" s="36"/>
      <c r="JFX223" s="36"/>
      <c r="JFY223" s="36"/>
      <c r="JFZ223" s="36"/>
      <c r="JGA223" s="36"/>
      <c r="JGB223" s="36"/>
      <c r="JGC223" s="36"/>
      <c r="JGD223" s="36"/>
      <c r="JGE223" s="36"/>
      <c r="JGF223" s="36"/>
      <c r="JGG223" s="36"/>
      <c r="JGH223" s="36"/>
      <c r="JGI223" s="36"/>
      <c r="JGJ223" s="36"/>
      <c r="JGK223" s="36"/>
      <c r="JGL223" s="36"/>
      <c r="JGM223" s="36"/>
      <c r="JGN223" s="36"/>
      <c r="JGO223" s="36"/>
      <c r="JGP223" s="36"/>
      <c r="JGQ223" s="36"/>
      <c r="JGR223" s="36"/>
      <c r="JGS223" s="36"/>
      <c r="JGT223" s="36"/>
      <c r="JGU223" s="36"/>
      <c r="JGV223" s="36"/>
      <c r="JGW223" s="36"/>
      <c r="JGX223" s="36"/>
      <c r="JGY223" s="36"/>
      <c r="JGZ223" s="36"/>
      <c r="JHA223" s="36"/>
      <c r="JHB223" s="36"/>
      <c r="JHC223" s="36"/>
      <c r="JHD223" s="36"/>
      <c r="JHE223" s="36"/>
      <c r="JHF223" s="36"/>
      <c r="JHG223" s="36"/>
      <c r="JHH223" s="36"/>
      <c r="JHI223" s="36"/>
      <c r="JHJ223" s="36"/>
      <c r="JHK223" s="36"/>
      <c r="JHL223" s="36"/>
      <c r="JHM223" s="36"/>
      <c r="JHN223" s="36"/>
      <c r="JHO223" s="36"/>
      <c r="JHP223" s="36"/>
      <c r="JHQ223" s="36"/>
      <c r="JHR223" s="36"/>
      <c r="JHS223" s="36"/>
      <c r="JHT223" s="36"/>
      <c r="JHU223" s="36"/>
      <c r="JHV223" s="36"/>
      <c r="JHW223" s="36"/>
      <c r="JHX223" s="36"/>
      <c r="JHY223" s="36"/>
      <c r="JHZ223" s="36"/>
      <c r="JIA223" s="36"/>
      <c r="JIB223" s="36"/>
      <c r="JIC223" s="36"/>
      <c r="JID223" s="36"/>
      <c r="JIE223" s="36"/>
      <c r="JIF223" s="36"/>
      <c r="JIG223" s="36"/>
      <c r="JIH223" s="36"/>
      <c r="JII223" s="36"/>
      <c r="JIJ223" s="36"/>
      <c r="JIK223" s="36"/>
      <c r="JIL223" s="36"/>
      <c r="JIM223" s="36"/>
      <c r="JIN223" s="36"/>
      <c r="JIO223" s="36"/>
      <c r="JIP223" s="36"/>
      <c r="JIQ223" s="36"/>
      <c r="JIR223" s="36"/>
      <c r="JIS223" s="36"/>
      <c r="JIT223" s="36"/>
      <c r="JIU223" s="36"/>
      <c r="JIV223" s="36"/>
      <c r="JIW223" s="36"/>
      <c r="JIX223" s="36"/>
      <c r="JIY223" s="36"/>
      <c r="JIZ223" s="36"/>
      <c r="JJA223" s="36"/>
      <c r="JJB223" s="36"/>
      <c r="JJC223" s="36"/>
      <c r="JJD223" s="36"/>
      <c r="JJE223" s="36"/>
      <c r="JJF223" s="36"/>
      <c r="JJG223" s="36"/>
      <c r="JJH223" s="36"/>
      <c r="JJI223" s="36"/>
      <c r="JJJ223" s="36"/>
      <c r="JJK223" s="36"/>
      <c r="JJL223" s="36"/>
      <c r="JJM223" s="36"/>
      <c r="JJN223" s="36"/>
      <c r="JJO223" s="36"/>
      <c r="JJP223" s="36"/>
      <c r="JJQ223" s="36"/>
      <c r="JJR223" s="36"/>
      <c r="JJS223" s="36"/>
      <c r="JJT223" s="36"/>
      <c r="JJU223" s="36"/>
      <c r="JJV223" s="36"/>
      <c r="JJW223" s="36"/>
      <c r="JJX223" s="36"/>
      <c r="JJY223" s="36"/>
      <c r="JJZ223" s="36"/>
      <c r="JKA223" s="36"/>
      <c r="JKB223" s="36"/>
      <c r="JKC223" s="36"/>
      <c r="JKD223" s="36"/>
      <c r="JKE223" s="36"/>
      <c r="JKF223" s="36"/>
      <c r="JKG223" s="36"/>
      <c r="JKH223" s="36"/>
      <c r="JKI223" s="36"/>
      <c r="JKJ223" s="36"/>
      <c r="JKK223" s="36"/>
      <c r="JKL223" s="36"/>
      <c r="JKM223" s="36"/>
      <c r="JKN223" s="36"/>
      <c r="JKO223" s="36"/>
      <c r="JKP223" s="36"/>
      <c r="JKQ223" s="36"/>
      <c r="JKR223" s="36"/>
      <c r="JKS223" s="36"/>
      <c r="JKT223" s="36"/>
      <c r="JKU223" s="36"/>
      <c r="JKV223" s="36"/>
      <c r="JKW223" s="36"/>
      <c r="JKX223" s="36"/>
      <c r="JKY223" s="36"/>
      <c r="JKZ223" s="36"/>
      <c r="JLA223" s="36"/>
      <c r="JLB223" s="36"/>
      <c r="JLC223" s="36"/>
      <c r="JLD223" s="36"/>
      <c r="JLE223" s="36"/>
      <c r="JLF223" s="36"/>
      <c r="JLG223" s="36"/>
      <c r="JLH223" s="36"/>
      <c r="JLI223" s="36"/>
      <c r="JLJ223" s="36"/>
      <c r="JLK223" s="36"/>
      <c r="JLL223" s="36"/>
      <c r="JLM223" s="36"/>
      <c r="JLN223" s="36"/>
      <c r="JLO223" s="36"/>
      <c r="JLP223" s="36"/>
      <c r="JLQ223" s="36"/>
      <c r="JLR223" s="36"/>
      <c r="JLS223" s="36"/>
      <c r="JLT223" s="36"/>
      <c r="JLU223" s="36"/>
      <c r="JLV223" s="36"/>
      <c r="JLW223" s="36"/>
      <c r="JLX223" s="36"/>
      <c r="JLY223" s="36"/>
      <c r="JLZ223" s="36"/>
      <c r="JMA223" s="36"/>
      <c r="JMB223" s="36"/>
      <c r="JMC223" s="36"/>
      <c r="JMD223" s="36"/>
      <c r="JME223" s="36"/>
      <c r="JMF223" s="36"/>
      <c r="JMG223" s="36"/>
      <c r="JMH223" s="36"/>
      <c r="JMI223" s="36"/>
      <c r="JMJ223" s="36"/>
      <c r="JMK223" s="36"/>
      <c r="JML223" s="36"/>
      <c r="JMM223" s="36"/>
      <c r="JMN223" s="36"/>
      <c r="JMO223" s="36"/>
      <c r="JMP223" s="36"/>
      <c r="JMQ223" s="36"/>
      <c r="JMR223" s="36"/>
      <c r="JMS223" s="36"/>
      <c r="JMT223" s="36"/>
      <c r="JMU223" s="36"/>
      <c r="JMV223" s="36"/>
      <c r="JMW223" s="36"/>
      <c r="JMX223" s="36"/>
      <c r="JMY223" s="36"/>
      <c r="JMZ223" s="36"/>
      <c r="JNA223" s="36"/>
      <c r="JNB223" s="36"/>
      <c r="JNC223" s="36"/>
      <c r="JND223" s="36"/>
      <c r="JNE223" s="36"/>
      <c r="JNF223" s="36"/>
      <c r="JNG223" s="36"/>
      <c r="JNH223" s="36"/>
      <c r="JNI223" s="36"/>
      <c r="JNJ223" s="36"/>
      <c r="JNK223" s="36"/>
      <c r="JNL223" s="36"/>
      <c r="JNM223" s="36"/>
      <c r="JNN223" s="36"/>
      <c r="JNO223" s="36"/>
      <c r="JNP223" s="36"/>
      <c r="JNQ223" s="36"/>
      <c r="JNR223" s="36"/>
      <c r="JNS223" s="36"/>
      <c r="JNT223" s="36"/>
      <c r="JNU223" s="36"/>
      <c r="JNV223" s="36"/>
      <c r="JNW223" s="36"/>
      <c r="JNX223" s="36"/>
      <c r="JNY223" s="36"/>
      <c r="JNZ223" s="36"/>
      <c r="JOA223" s="36"/>
      <c r="JOB223" s="36"/>
      <c r="JOC223" s="36"/>
      <c r="JOD223" s="36"/>
      <c r="JOE223" s="36"/>
      <c r="JOF223" s="36"/>
      <c r="JOG223" s="36"/>
      <c r="JOH223" s="36"/>
      <c r="JOI223" s="36"/>
      <c r="JOJ223" s="36"/>
      <c r="JOK223" s="36"/>
      <c r="JOL223" s="36"/>
      <c r="JOM223" s="36"/>
      <c r="JON223" s="36"/>
      <c r="JOO223" s="36"/>
      <c r="JOP223" s="36"/>
      <c r="JOQ223" s="36"/>
      <c r="JOR223" s="36"/>
      <c r="JOS223" s="36"/>
      <c r="JOT223" s="36"/>
      <c r="JOU223" s="36"/>
      <c r="JOV223" s="36"/>
      <c r="JOW223" s="36"/>
      <c r="JOX223" s="36"/>
      <c r="JOY223" s="36"/>
      <c r="JOZ223" s="36"/>
      <c r="JPA223" s="36"/>
      <c r="JPB223" s="36"/>
      <c r="JPC223" s="36"/>
      <c r="JPD223" s="36"/>
      <c r="JPE223" s="36"/>
      <c r="JPF223" s="36"/>
      <c r="JPG223" s="36"/>
      <c r="JPH223" s="36"/>
      <c r="JPI223" s="36"/>
      <c r="JPJ223" s="36"/>
      <c r="JPK223" s="36"/>
      <c r="JPL223" s="36"/>
      <c r="JPM223" s="36"/>
      <c r="JPN223" s="36"/>
      <c r="JPO223" s="36"/>
      <c r="JPP223" s="36"/>
      <c r="JPQ223" s="36"/>
      <c r="JPR223" s="36"/>
      <c r="JPS223" s="36"/>
      <c r="JPT223" s="36"/>
      <c r="JPU223" s="36"/>
      <c r="JPV223" s="36"/>
      <c r="JPW223" s="36"/>
      <c r="JPX223" s="36"/>
      <c r="JPY223" s="36"/>
      <c r="JPZ223" s="36"/>
      <c r="JQA223" s="36"/>
      <c r="JQB223" s="36"/>
      <c r="JQC223" s="36"/>
      <c r="JQD223" s="36"/>
      <c r="JQE223" s="36"/>
      <c r="JQF223" s="36"/>
      <c r="JQG223" s="36"/>
      <c r="JQH223" s="36"/>
      <c r="JQI223" s="36"/>
      <c r="JQJ223" s="36"/>
      <c r="JQK223" s="36"/>
      <c r="JQL223" s="36"/>
      <c r="JQM223" s="36"/>
      <c r="JQN223" s="36"/>
      <c r="JQO223" s="36"/>
      <c r="JQP223" s="36"/>
      <c r="JQQ223" s="36"/>
      <c r="JQR223" s="36"/>
      <c r="JQS223" s="36"/>
      <c r="JQT223" s="36"/>
      <c r="JQU223" s="36"/>
      <c r="JQV223" s="36"/>
      <c r="JQW223" s="36"/>
      <c r="JQX223" s="36"/>
      <c r="JQY223" s="36"/>
      <c r="JQZ223" s="36"/>
      <c r="JRA223" s="36"/>
      <c r="JRB223" s="36"/>
      <c r="JRC223" s="36"/>
      <c r="JRD223" s="36"/>
      <c r="JRE223" s="36"/>
      <c r="JRF223" s="36"/>
      <c r="JRG223" s="36"/>
      <c r="JRH223" s="36"/>
      <c r="JRI223" s="36"/>
      <c r="JRJ223" s="36"/>
      <c r="JRK223" s="36"/>
      <c r="JRL223" s="36"/>
      <c r="JRM223" s="36"/>
      <c r="JRN223" s="36"/>
      <c r="JRO223" s="36"/>
      <c r="JRP223" s="36"/>
      <c r="JRQ223" s="36"/>
      <c r="JRR223" s="36"/>
      <c r="JRS223" s="36"/>
      <c r="JRT223" s="36"/>
      <c r="JRU223" s="36"/>
      <c r="JRV223" s="36"/>
      <c r="JRW223" s="36"/>
      <c r="JRX223" s="36"/>
      <c r="JRY223" s="36"/>
      <c r="JRZ223" s="36"/>
      <c r="JSA223" s="36"/>
      <c r="JSB223" s="36"/>
      <c r="JSC223" s="36"/>
      <c r="JSD223" s="36"/>
      <c r="JSE223" s="36"/>
      <c r="JSF223" s="36"/>
      <c r="JSG223" s="36"/>
      <c r="JSH223" s="36"/>
      <c r="JSI223" s="36"/>
      <c r="JSJ223" s="36"/>
      <c r="JSK223" s="36"/>
      <c r="JSL223" s="36"/>
      <c r="JSM223" s="36"/>
      <c r="JSN223" s="36"/>
      <c r="JSO223" s="36"/>
      <c r="JSP223" s="36"/>
      <c r="JSQ223" s="36"/>
      <c r="JSR223" s="36"/>
      <c r="JSS223" s="36"/>
      <c r="JST223" s="36"/>
      <c r="JSU223" s="36"/>
      <c r="JSV223" s="36"/>
      <c r="JSW223" s="36"/>
      <c r="JSX223" s="36"/>
      <c r="JSY223" s="36"/>
      <c r="JSZ223" s="36"/>
      <c r="JTA223" s="36"/>
      <c r="JTB223" s="36"/>
      <c r="JTC223" s="36"/>
      <c r="JTD223" s="36"/>
      <c r="JTE223" s="36"/>
      <c r="JTF223" s="36"/>
      <c r="JTG223" s="36"/>
      <c r="JTH223" s="36"/>
      <c r="JTI223" s="36"/>
      <c r="JTJ223" s="36"/>
      <c r="JTK223" s="36"/>
      <c r="JTL223" s="36"/>
      <c r="JTM223" s="36"/>
      <c r="JTN223" s="36"/>
      <c r="JTO223" s="36"/>
      <c r="JTP223" s="36"/>
      <c r="JTQ223" s="36"/>
      <c r="JTR223" s="36"/>
      <c r="JTS223" s="36"/>
      <c r="JTT223" s="36"/>
      <c r="JTU223" s="36"/>
      <c r="JTV223" s="36"/>
      <c r="JTW223" s="36"/>
      <c r="JTX223" s="36"/>
      <c r="JTY223" s="36"/>
      <c r="JTZ223" s="36"/>
      <c r="JUA223" s="36"/>
      <c r="JUB223" s="36"/>
      <c r="JUC223" s="36"/>
      <c r="JUD223" s="36"/>
      <c r="JUE223" s="36"/>
      <c r="JUF223" s="36"/>
      <c r="JUG223" s="36"/>
      <c r="JUH223" s="36"/>
      <c r="JUI223" s="36"/>
      <c r="JUJ223" s="36"/>
      <c r="JUK223" s="36"/>
      <c r="JUL223" s="36"/>
      <c r="JUM223" s="36"/>
      <c r="JUN223" s="36"/>
      <c r="JUO223" s="36"/>
      <c r="JUP223" s="36"/>
      <c r="JUQ223" s="36"/>
      <c r="JUR223" s="36"/>
      <c r="JUS223" s="36"/>
      <c r="JUT223" s="36"/>
      <c r="JUU223" s="36"/>
      <c r="JUV223" s="36"/>
      <c r="JUW223" s="36"/>
      <c r="JUX223" s="36"/>
      <c r="JUY223" s="36"/>
      <c r="JUZ223" s="36"/>
      <c r="JVA223" s="36"/>
      <c r="JVB223" s="36"/>
      <c r="JVC223" s="36"/>
      <c r="JVD223" s="36"/>
      <c r="JVE223" s="36"/>
      <c r="JVF223" s="36"/>
      <c r="JVG223" s="36"/>
      <c r="JVH223" s="36"/>
      <c r="JVI223" s="36"/>
      <c r="JVJ223" s="36"/>
      <c r="JVK223" s="36"/>
      <c r="JVL223" s="36"/>
      <c r="JVM223" s="36"/>
      <c r="JVN223" s="36"/>
      <c r="JVO223" s="36"/>
      <c r="JVP223" s="36"/>
      <c r="JVQ223" s="36"/>
      <c r="JVR223" s="36"/>
      <c r="JVS223" s="36"/>
      <c r="JVT223" s="36"/>
      <c r="JVU223" s="36"/>
      <c r="JVV223" s="36"/>
      <c r="JVW223" s="36"/>
      <c r="JVX223" s="36"/>
      <c r="JVY223" s="36"/>
      <c r="JVZ223" s="36"/>
      <c r="JWA223" s="36"/>
      <c r="JWB223" s="36"/>
      <c r="JWC223" s="36"/>
      <c r="JWD223" s="36"/>
      <c r="JWE223" s="36"/>
      <c r="JWF223" s="36"/>
      <c r="JWG223" s="36"/>
      <c r="JWH223" s="36"/>
      <c r="JWI223" s="36"/>
      <c r="JWJ223" s="36"/>
      <c r="JWK223" s="36"/>
      <c r="JWL223" s="36"/>
      <c r="JWM223" s="36"/>
      <c r="JWN223" s="36"/>
      <c r="JWO223" s="36"/>
      <c r="JWP223" s="36"/>
      <c r="JWQ223" s="36"/>
      <c r="JWR223" s="36"/>
      <c r="JWS223" s="36"/>
      <c r="JWT223" s="36"/>
      <c r="JWU223" s="36"/>
      <c r="JWV223" s="36"/>
      <c r="JWW223" s="36"/>
      <c r="JWX223" s="36"/>
      <c r="JWY223" s="36"/>
      <c r="JWZ223" s="36"/>
      <c r="JXA223" s="36"/>
      <c r="JXB223" s="36"/>
      <c r="JXC223" s="36"/>
      <c r="JXD223" s="36"/>
      <c r="JXE223" s="36"/>
      <c r="JXF223" s="36"/>
      <c r="JXG223" s="36"/>
      <c r="JXH223" s="36"/>
      <c r="JXI223" s="36"/>
      <c r="JXJ223" s="36"/>
      <c r="JXK223" s="36"/>
      <c r="JXL223" s="36"/>
      <c r="JXM223" s="36"/>
      <c r="JXN223" s="36"/>
      <c r="JXO223" s="36"/>
      <c r="JXP223" s="36"/>
      <c r="JXQ223" s="36"/>
      <c r="JXR223" s="36"/>
      <c r="JXS223" s="36"/>
      <c r="JXT223" s="36"/>
      <c r="JXU223" s="36"/>
      <c r="JXV223" s="36"/>
      <c r="JXW223" s="36"/>
      <c r="JXX223" s="36"/>
      <c r="JXY223" s="36"/>
      <c r="JXZ223" s="36"/>
      <c r="JYA223" s="36"/>
      <c r="JYB223" s="36"/>
      <c r="JYC223" s="36"/>
      <c r="JYD223" s="36"/>
      <c r="JYE223" s="36"/>
      <c r="JYF223" s="36"/>
      <c r="JYG223" s="36"/>
      <c r="JYH223" s="36"/>
      <c r="JYI223" s="36"/>
      <c r="JYJ223" s="36"/>
      <c r="JYK223" s="36"/>
      <c r="JYL223" s="36"/>
      <c r="JYM223" s="36"/>
      <c r="JYN223" s="36"/>
      <c r="JYO223" s="36"/>
      <c r="JYP223" s="36"/>
      <c r="JYQ223" s="36"/>
      <c r="JYR223" s="36"/>
      <c r="JYS223" s="36"/>
      <c r="JYT223" s="36"/>
      <c r="JYU223" s="36"/>
      <c r="JYV223" s="36"/>
      <c r="JYW223" s="36"/>
      <c r="JYX223" s="36"/>
      <c r="JYY223" s="36"/>
      <c r="JYZ223" s="36"/>
      <c r="JZA223" s="36"/>
      <c r="JZB223" s="36"/>
      <c r="JZC223" s="36"/>
      <c r="JZD223" s="36"/>
      <c r="JZE223" s="36"/>
      <c r="JZF223" s="36"/>
      <c r="JZG223" s="36"/>
      <c r="JZH223" s="36"/>
      <c r="JZI223" s="36"/>
      <c r="JZJ223" s="36"/>
      <c r="JZK223" s="36"/>
      <c r="JZL223" s="36"/>
      <c r="JZM223" s="36"/>
      <c r="JZN223" s="36"/>
      <c r="JZO223" s="36"/>
      <c r="JZP223" s="36"/>
      <c r="JZQ223" s="36"/>
      <c r="JZR223" s="36"/>
      <c r="JZS223" s="36"/>
      <c r="JZT223" s="36"/>
      <c r="JZU223" s="36"/>
      <c r="JZV223" s="36"/>
      <c r="JZW223" s="36"/>
      <c r="JZX223" s="36"/>
      <c r="JZY223" s="36"/>
      <c r="JZZ223" s="36"/>
      <c r="KAA223" s="36"/>
      <c r="KAB223" s="36"/>
      <c r="KAC223" s="36"/>
      <c r="KAD223" s="36"/>
      <c r="KAE223" s="36"/>
      <c r="KAF223" s="36"/>
      <c r="KAG223" s="36"/>
      <c r="KAH223" s="36"/>
      <c r="KAI223" s="36"/>
      <c r="KAJ223" s="36"/>
      <c r="KAK223" s="36"/>
      <c r="KAL223" s="36"/>
      <c r="KAM223" s="36"/>
      <c r="KAN223" s="36"/>
      <c r="KAO223" s="36"/>
      <c r="KAP223" s="36"/>
      <c r="KAQ223" s="36"/>
      <c r="KAR223" s="36"/>
      <c r="KAS223" s="36"/>
      <c r="KAT223" s="36"/>
      <c r="KAU223" s="36"/>
      <c r="KAV223" s="36"/>
      <c r="KAW223" s="36"/>
      <c r="KAX223" s="36"/>
      <c r="KAY223" s="36"/>
      <c r="KAZ223" s="36"/>
      <c r="KBA223" s="36"/>
      <c r="KBB223" s="36"/>
      <c r="KBC223" s="36"/>
      <c r="KBD223" s="36"/>
      <c r="KBE223" s="36"/>
      <c r="KBF223" s="36"/>
      <c r="KBG223" s="36"/>
      <c r="KBH223" s="36"/>
      <c r="KBI223" s="36"/>
      <c r="KBJ223" s="36"/>
      <c r="KBK223" s="36"/>
      <c r="KBL223" s="36"/>
      <c r="KBM223" s="36"/>
      <c r="KBN223" s="36"/>
      <c r="KBO223" s="36"/>
      <c r="KBP223" s="36"/>
      <c r="KBQ223" s="36"/>
      <c r="KBR223" s="36"/>
      <c r="KBS223" s="36"/>
      <c r="KBT223" s="36"/>
      <c r="KBU223" s="36"/>
      <c r="KBV223" s="36"/>
      <c r="KBW223" s="36"/>
      <c r="KBX223" s="36"/>
      <c r="KBY223" s="36"/>
      <c r="KBZ223" s="36"/>
      <c r="KCA223" s="36"/>
      <c r="KCB223" s="36"/>
      <c r="KCC223" s="36"/>
      <c r="KCD223" s="36"/>
      <c r="KCE223" s="36"/>
      <c r="KCF223" s="36"/>
      <c r="KCG223" s="36"/>
      <c r="KCH223" s="36"/>
      <c r="KCI223" s="36"/>
      <c r="KCJ223" s="36"/>
      <c r="KCK223" s="36"/>
      <c r="KCL223" s="36"/>
      <c r="KCM223" s="36"/>
      <c r="KCN223" s="36"/>
      <c r="KCO223" s="36"/>
      <c r="KCP223" s="36"/>
      <c r="KCQ223" s="36"/>
      <c r="KCR223" s="36"/>
      <c r="KCS223" s="36"/>
      <c r="KCT223" s="36"/>
      <c r="KCU223" s="36"/>
      <c r="KCV223" s="36"/>
      <c r="KCW223" s="36"/>
      <c r="KCX223" s="36"/>
      <c r="KCY223" s="36"/>
      <c r="KCZ223" s="36"/>
      <c r="KDA223" s="36"/>
      <c r="KDB223" s="36"/>
      <c r="KDC223" s="36"/>
      <c r="KDD223" s="36"/>
      <c r="KDE223" s="36"/>
      <c r="KDF223" s="36"/>
      <c r="KDG223" s="36"/>
      <c r="KDH223" s="36"/>
      <c r="KDI223" s="36"/>
      <c r="KDJ223" s="36"/>
      <c r="KDK223" s="36"/>
      <c r="KDL223" s="36"/>
      <c r="KDM223" s="36"/>
      <c r="KDN223" s="36"/>
      <c r="KDO223" s="36"/>
      <c r="KDP223" s="36"/>
      <c r="KDQ223" s="36"/>
      <c r="KDR223" s="36"/>
      <c r="KDS223" s="36"/>
      <c r="KDT223" s="36"/>
      <c r="KDU223" s="36"/>
      <c r="KDV223" s="36"/>
      <c r="KDW223" s="36"/>
      <c r="KDX223" s="36"/>
      <c r="KDY223" s="36"/>
      <c r="KDZ223" s="36"/>
      <c r="KEA223" s="36"/>
      <c r="KEB223" s="36"/>
      <c r="KEC223" s="36"/>
      <c r="KED223" s="36"/>
      <c r="KEE223" s="36"/>
      <c r="KEF223" s="36"/>
      <c r="KEG223" s="36"/>
      <c r="KEH223" s="36"/>
      <c r="KEI223" s="36"/>
      <c r="KEJ223" s="36"/>
      <c r="KEK223" s="36"/>
      <c r="KEL223" s="36"/>
      <c r="KEM223" s="36"/>
      <c r="KEN223" s="36"/>
      <c r="KEO223" s="36"/>
      <c r="KEP223" s="36"/>
      <c r="KEQ223" s="36"/>
      <c r="KER223" s="36"/>
      <c r="KES223" s="36"/>
      <c r="KET223" s="36"/>
      <c r="KEU223" s="36"/>
      <c r="KEV223" s="36"/>
      <c r="KEW223" s="36"/>
      <c r="KEX223" s="36"/>
      <c r="KEY223" s="36"/>
      <c r="KEZ223" s="36"/>
      <c r="KFA223" s="36"/>
      <c r="KFB223" s="36"/>
      <c r="KFC223" s="36"/>
      <c r="KFD223" s="36"/>
      <c r="KFE223" s="36"/>
      <c r="KFF223" s="36"/>
      <c r="KFG223" s="36"/>
      <c r="KFH223" s="36"/>
      <c r="KFI223" s="36"/>
      <c r="KFJ223" s="36"/>
      <c r="KFK223" s="36"/>
      <c r="KFL223" s="36"/>
      <c r="KFM223" s="36"/>
      <c r="KFN223" s="36"/>
      <c r="KFO223" s="36"/>
      <c r="KFP223" s="36"/>
      <c r="KFQ223" s="36"/>
      <c r="KFR223" s="36"/>
      <c r="KFS223" s="36"/>
      <c r="KFT223" s="36"/>
      <c r="KFU223" s="36"/>
      <c r="KFV223" s="36"/>
      <c r="KFW223" s="36"/>
      <c r="KFX223" s="36"/>
      <c r="KFY223" s="36"/>
      <c r="KFZ223" s="36"/>
      <c r="KGA223" s="36"/>
      <c r="KGB223" s="36"/>
      <c r="KGC223" s="36"/>
      <c r="KGD223" s="36"/>
      <c r="KGE223" s="36"/>
      <c r="KGF223" s="36"/>
      <c r="KGG223" s="36"/>
      <c r="KGH223" s="36"/>
      <c r="KGI223" s="36"/>
      <c r="KGJ223" s="36"/>
      <c r="KGK223" s="36"/>
      <c r="KGL223" s="36"/>
      <c r="KGM223" s="36"/>
      <c r="KGN223" s="36"/>
      <c r="KGO223" s="36"/>
      <c r="KGP223" s="36"/>
      <c r="KGQ223" s="36"/>
      <c r="KGR223" s="36"/>
      <c r="KGS223" s="36"/>
      <c r="KGT223" s="36"/>
      <c r="KGU223" s="36"/>
      <c r="KGV223" s="36"/>
      <c r="KGW223" s="36"/>
      <c r="KGX223" s="36"/>
      <c r="KGY223" s="36"/>
      <c r="KGZ223" s="36"/>
      <c r="KHA223" s="36"/>
      <c r="KHB223" s="36"/>
      <c r="KHC223" s="36"/>
      <c r="KHD223" s="36"/>
      <c r="KHE223" s="36"/>
      <c r="KHF223" s="36"/>
      <c r="KHG223" s="36"/>
      <c r="KHH223" s="36"/>
      <c r="KHI223" s="36"/>
      <c r="KHJ223" s="36"/>
      <c r="KHK223" s="36"/>
      <c r="KHL223" s="36"/>
      <c r="KHM223" s="36"/>
      <c r="KHN223" s="36"/>
      <c r="KHO223" s="36"/>
      <c r="KHP223" s="36"/>
      <c r="KHQ223" s="36"/>
      <c r="KHR223" s="36"/>
      <c r="KHS223" s="36"/>
      <c r="KHT223" s="36"/>
      <c r="KHU223" s="36"/>
      <c r="KHV223" s="36"/>
      <c r="KHW223" s="36"/>
      <c r="KHX223" s="36"/>
      <c r="KHY223" s="36"/>
      <c r="KHZ223" s="36"/>
      <c r="KIA223" s="36"/>
      <c r="KIB223" s="36"/>
      <c r="KIC223" s="36"/>
      <c r="KID223" s="36"/>
      <c r="KIE223" s="36"/>
      <c r="KIF223" s="36"/>
      <c r="KIG223" s="36"/>
      <c r="KIH223" s="36"/>
      <c r="KII223" s="36"/>
      <c r="KIJ223" s="36"/>
      <c r="KIK223" s="36"/>
      <c r="KIL223" s="36"/>
      <c r="KIM223" s="36"/>
      <c r="KIN223" s="36"/>
      <c r="KIO223" s="36"/>
      <c r="KIP223" s="36"/>
      <c r="KIQ223" s="36"/>
      <c r="KIR223" s="36"/>
      <c r="KIS223" s="36"/>
      <c r="KIT223" s="36"/>
      <c r="KIU223" s="36"/>
      <c r="KIV223" s="36"/>
      <c r="KIW223" s="36"/>
      <c r="KIX223" s="36"/>
      <c r="KIY223" s="36"/>
      <c r="KIZ223" s="36"/>
      <c r="KJA223" s="36"/>
      <c r="KJB223" s="36"/>
      <c r="KJC223" s="36"/>
      <c r="KJD223" s="36"/>
      <c r="KJE223" s="36"/>
      <c r="KJF223" s="36"/>
      <c r="KJG223" s="36"/>
      <c r="KJH223" s="36"/>
      <c r="KJI223" s="36"/>
      <c r="KJJ223" s="36"/>
      <c r="KJK223" s="36"/>
      <c r="KJL223" s="36"/>
      <c r="KJM223" s="36"/>
      <c r="KJN223" s="36"/>
      <c r="KJO223" s="36"/>
      <c r="KJP223" s="36"/>
      <c r="KJQ223" s="36"/>
      <c r="KJR223" s="36"/>
      <c r="KJS223" s="36"/>
      <c r="KJT223" s="36"/>
      <c r="KJU223" s="36"/>
      <c r="KJV223" s="36"/>
      <c r="KJW223" s="36"/>
      <c r="KJX223" s="36"/>
      <c r="KJY223" s="36"/>
      <c r="KJZ223" s="36"/>
      <c r="KKA223" s="36"/>
      <c r="KKB223" s="36"/>
      <c r="KKC223" s="36"/>
      <c r="KKD223" s="36"/>
      <c r="KKE223" s="36"/>
      <c r="KKF223" s="36"/>
      <c r="KKG223" s="36"/>
      <c r="KKH223" s="36"/>
      <c r="KKI223" s="36"/>
      <c r="KKJ223" s="36"/>
      <c r="KKK223" s="36"/>
      <c r="KKL223" s="36"/>
      <c r="KKM223" s="36"/>
      <c r="KKN223" s="36"/>
      <c r="KKO223" s="36"/>
      <c r="KKP223" s="36"/>
      <c r="KKQ223" s="36"/>
      <c r="KKR223" s="36"/>
      <c r="KKS223" s="36"/>
      <c r="KKT223" s="36"/>
      <c r="KKU223" s="36"/>
      <c r="KKV223" s="36"/>
      <c r="KKW223" s="36"/>
      <c r="KKX223" s="36"/>
      <c r="KKY223" s="36"/>
      <c r="KKZ223" s="36"/>
      <c r="KLA223" s="36"/>
      <c r="KLB223" s="36"/>
      <c r="KLC223" s="36"/>
      <c r="KLD223" s="36"/>
      <c r="KLE223" s="36"/>
      <c r="KLF223" s="36"/>
      <c r="KLG223" s="36"/>
      <c r="KLH223" s="36"/>
      <c r="KLI223" s="36"/>
      <c r="KLJ223" s="36"/>
      <c r="KLK223" s="36"/>
      <c r="KLL223" s="36"/>
      <c r="KLM223" s="36"/>
      <c r="KLN223" s="36"/>
      <c r="KLO223" s="36"/>
      <c r="KLP223" s="36"/>
      <c r="KLQ223" s="36"/>
      <c r="KLR223" s="36"/>
      <c r="KLS223" s="36"/>
      <c r="KLT223" s="36"/>
      <c r="KLU223" s="36"/>
      <c r="KLV223" s="36"/>
      <c r="KLW223" s="36"/>
      <c r="KLX223" s="36"/>
      <c r="KLY223" s="36"/>
      <c r="KLZ223" s="36"/>
      <c r="KMA223" s="36"/>
      <c r="KMB223" s="36"/>
      <c r="KMC223" s="36"/>
      <c r="KMD223" s="36"/>
      <c r="KME223" s="36"/>
      <c r="KMF223" s="36"/>
      <c r="KMG223" s="36"/>
      <c r="KMH223" s="36"/>
      <c r="KMI223" s="36"/>
      <c r="KMJ223" s="36"/>
      <c r="KMK223" s="36"/>
      <c r="KML223" s="36"/>
      <c r="KMM223" s="36"/>
      <c r="KMN223" s="36"/>
      <c r="KMO223" s="36"/>
      <c r="KMP223" s="36"/>
      <c r="KMQ223" s="36"/>
      <c r="KMR223" s="36"/>
      <c r="KMS223" s="36"/>
      <c r="KMT223" s="36"/>
      <c r="KMU223" s="36"/>
      <c r="KMV223" s="36"/>
      <c r="KMW223" s="36"/>
      <c r="KMX223" s="36"/>
      <c r="KMY223" s="36"/>
      <c r="KMZ223" s="36"/>
      <c r="KNA223" s="36"/>
      <c r="KNB223" s="36"/>
      <c r="KNC223" s="36"/>
      <c r="KND223" s="36"/>
      <c r="KNE223" s="36"/>
      <c r="KNF223" s="36"/>
      <c r="KNG223" s="36"/>
      <c r="KNH223" s="36"/>
      <c r="KNI223" s="36"/>
      <c r="KNJ223" s="36"/>
      <c r="KNK223" s="36"/>
      <c r="KNL223" s="36"/>
      <c r="KNM223" s="36"/>
      <c r="KNN223" s="36"/>
      <c r="KNO223" s="36"/>
      <c r="KNP223" s="36"/>
      <c r="KNQ223" s="36"/>
      <c r="KNR223" s="36"/>
      <c r="KNS223" s="36"/>
      <c r="KNT223" s="36"/>
      <c r="KNU223" s="36"/>
      <c r="KNV223" s="36"/>
      <c r="KNW223" s="36"/>
      <c r="KNX223" s="36"/>
      <c r="KNY223" s="36"/>
      <c r="KNZ223" s="36"/>
      <c r="KOA223" s="36"/>
      <c r="KOB223" s="36"/>
      <c r="KOC223" s="36"/>
      <c r="KOD223" s="36"/>
      <c r="KOE223" s="36"/>
      <c r="KOF223" s="36"/>
      <c r="KOG223" s="36"/>
      <c r="KOH223" s="36"/>
      <c r="KOI223" s="36"/>
      <c r="KOJ223" s="36"/>
      <c r="KOK223" s="36"/>
      <c r="KOL223" s="36"/>
      <c r="KOM223" s="36"/>
      <c r="KON223" s="36"/>
      <c r="KOO223" s="36"/>
      <c r="KOP223" s="36"/>
      <c r="KOQ223" s="36"/>
      <c r="KOR223" s="36"/>
      <c r="KOS223" s="36"/>
      <c r="KOT223" s="36"/>
      <c r="KOU223" s="36"/>
      <c r="KOV223" s="36"/>
      <c r="KOW223" s="36"/>
      <c r="KOX223" s="36"/>
      <c r="KOY223" s="36"/>
      <c r="KOZ223" s="36"/>
      <c r="KPA223" s="36"/>
      <c r="KPB223" s="36"/>
      <c r="KPC223" s="36"/>
      <c r="KPD223" s="36"/>
      <c r="KPE223" s="36"/>
      <c r="KPF223" s="36"/>
      <c r="KPG223" s="36"/>
      <c r="KPH223" s="36"/>
      <c r="KPI223" s="36"/>
      <c r="KPJ223" s="36"/>
      <c r="KPK223" s="36"/>
      <c r="KPL223" s="36"/>
      <c r="KPM223" s="36"/>
      <c r="KPN223" s="36"/>
      <c r="KPO223" s="36"/>
      <c r="KPP223" s="36"/>
      <c r="KPQ223" s="36"/>
      <c r="KPR223" s="36"/>
      <c r="KPS223" s="36"/>
      <c r="KPT223" s="36"/>
      <c r="KPU223" s="36"/>
      <c r="KPV223" s="36"/>
      <c r="KPW223" s="36"/>
      <c r="KPX223" s="36"/>
      <c r="KPY223" s="36"/>
      <c r="KPZ223" s="36"/>
      <c r="KQA223" s="36"/>
      <c r="KQB223" s="36"/>
      <c r="KQC223" s="36"/>
      <c r="KQD223" s="36"/>
      <c r="KQE223" s="36"/>
      <c r="KQF223" s="36"/>
      <c r="KQG223" s="36"/>
      <c r="KQH223" s="36"/>
      <c r="KQI223" s="36"/>
      <c r="KQJ223" s="36"/>
      <c r="KQK223" s="36"/>
      <c r="KQL223" s="36"/>
      <c r="KQM223" s="36"/>
      <c r="KQN223" s="36"/>
      <c r="KQO223" s="36"/>
      <c r="KQP223" s="36"/>
      <c r="KQQ223" s="36"/>
      <c r="KQR223" s="36"/>
      <c r="KQS223" s="36"/>
      <c r="KQT223" s="36"/>
      <c r="KQU223" s="36"/>
      <c r="KQV223" s="36"/>
      <c r="KQW223" s="36"/>
      <c r="KQX223" s="36"/>
      <c r="KQY223" s="36"/>
      <c r="KQZ223" s="36"/>
      <c r="KRA223" s="36"/>
      <c r="KRB223" s="36"/>
      <c r="KRC223" s="36"/>
      <c r="KRD223" s="36"/>
      <c r="KRE223" s="36"/>
      <c r="KRF223" s="36"/>
      <c r="KRG223" s="36"/>
      <c r="KRH223" s="36"/>
      <c r="KRI223" s="36"/>
      <c r="KRJ223" s="36"/>
      <c r="KRK223" s="36"/>
      <c r="KRL223" s="36"/>
      <c r="KRM223" s="36"/>
      <c r="KRN223" s="36"/>
      <c r="KRO223" s="36"/>
      <c r="KRP223" s="36"/>
      <c r="KRQ223" s="36"/>
      <c r="KRR223" s="36"/>
      <c r="KRS223" s="36"/>
      <c r="KRT223" s="36"/>
      <c r="KRU223" s="36"/>
      <c r="KRV223" s="36"/>
      <c r="KRW223" s="36"/>
      <c r="KRX223" s="36"/>
      <c r="KRY223" s="36"/>
      <c r="KRZ223" s="36"/>
      <c r="KSA223" s="36"/>
      <c r="KSB223" s="36"/>
      <c r="KSC223" s="36"/>
      <c r="KSD223" s="36"/>
      <c r="KSE223" s="36"/>
      <c r="KSF223" s="36"/>
      <c r="KSG223" s="36"/>
      <c r="KSH223" s="36"/>
      <c r="KSI223" s="36"/>
      <c r="KSJ223" s="36"/>
      <c r="KSK223" s="36"/>
      <c r="KSL223" s="36"/>
      <c r="KSM223" s="36"/>
      <c r="KSN223" s="36"/>
      <c r="KSO223" s="36"/>
      <c r="KSP223" s="36"/>
      <c r="KSQ223" s="36"/>
      <c r="KSR223" s="36"/>
      <c r="KSS223" s="36"/>
      <c r="KST223" s="36"/>
      <c r="KSU223" s="36"/>
      <c r="KSV223" s="36"/>
      <c r="KSW223" s="36"/>
      <c r="KSX223" s="36"/>
      <c r="KSY223" s="36"/>
      <c r="KSZ223" s="36"/>
      <c r="KTA223" s="36"/>
      <c r="KTB223" s="36"/>
      <c r="KTC223" s="36"/>
      <c r="KTD223" s="36"/>
      <c r="KTE223" s="36"/>
      <c r="KTF223" s="36"/>
      <c r="KTG223" s="36"/>
      <c r="KTH223" s="36"/>
      <c r="KTI223" s="36"/>
      <c r="KTJ223" s="36"/>
      <c r="KTK223" s="36"/>
      <c r="KTL223" s="36"/>
      <c r="KTM223" s="36"/>
      <c r="KTN223" s="36"/>
      <c r="KTO223" s="36"/>
      <c r="KTP223" s="36"/>
      <c r="KTQ223" s="36"/>
      <c r="KTR223" s="36"/>
      <c r="KTS223" s="36"/>
      <c r="KTT223" s="36"/>
      <c r="KTU223" s="36"/>
      <c r="KTV223" s="36"/>
      <c r="KTW223" s="36"/>
      <c r="KTX223" s="36"/>
      <c r="KTY223" s="36"/>
      <c r="KTZ223" s="36"/>
      <c r="KUA223" s="36"/>
      <c r="KUB223" s="36"/>
      <c r="KUC223" s="36"/>
      <c r="KUD223" s="36"/>
      <c r="KUE223" s="36"/>
      <c r="KUF223" s="36"/>
      <c r="KUG223" s="36"/>
      <c r="KUH223" s="36"/>
      <c r="KUI223" s="36"/>
      <c r="KUJ223" s="36"/>
      <c r="KUK223" s="36"/>
      <c r="KUL223" s="36"/>
      <c r="KUM223" s="36"/>
      <c r="KUN223" s="36"/>
      <c r="KUO223" s="36"/>
      <c r="KUP223" s="36"/>
      <c r="KUQ223" s="36"/>
      <c r="KUR223" s="36"/>
      <c r="KUS223" s="36"/>
      <c r="KUT223" s="36"/>
      <c r="KUU223" s="36"/>
      <c r="KUV223" s="36"/>
      <c r="KUW223" s="36"/>
      <c r="KUX223" s="36"/>
      <c r="KUY223" s="36"/>
      <c r="KUZ223" s="36"/>
      <c r="KVA223" s="36"/>
      <c r="KVB223" s="36"/>
      <c r="KVC223" s="36"/>
      <c r="KVD223" s="36"/>
      <c r="KVE223" s="36"/>
      <c r="KVF223" s="36"/>
      <c r="KVG223" s="36"/>
      <c r="KVH223" s="36"/>
      <c r="KVI223" s="36"/>
      <c r="KVJ223" s="36"/>
      <c r="KVK223" s="36"/>
      <c r="KVL223" s="36"/>
      <c r="KVM223" s="36"/>
      <c r="KVN223" s="36"/>
      <c r="KVO223" s="36"/>
      <c r="KVP223" s="36"/>
      <c r="KVQ223" s="36"/>
      <c r="KVR223" s="36"/>
      <c r="KVS223" s="36"/>
      <c r="KVT223" s="36"/>
      <c r="KVU223" s="36"/>
      <c r="KVV223" s="36"/>
      <c r="KVW223" s="36"/>
      <c r="KVX223" s="36"/>
      <c r="KVY223" s="36"/>
      <c r="KVZ223" s="36"/>
      <c r="KWA223" s="36"/>
      <c r="KWB223" s="36"/>
      <c r="KWC223" s="36"/>
      <c r="KWD223" s="36"/>
      <c r="KWE223" s="36"/>
      <c r="KWF223" s="36"/>
      <c r="KWG223" s="36"/>
      <c r="KWH223" s="36"/>
      <c r="KWI223" s="36"/>
      <c r="KWJ223" s="36"/>
      <c r="KWK223" s="36"/>
      <c r="KWL223" s="36"/>
      <c r="KWM223" s="36"/>
      <c r="KWN223" s="36"/>
      <c r="KWO223" s="36"/>
      <c r="KWP223" s="36"/>
      <c r="KWQ223" s="36"/>
      <c r="KWR223" s="36"/>
      <c r="KWS223" s="36"/>
      <c r="KWT223" s="36"/>
      <c r="KWU223" s="36"/>
      <c r="KWV223" s="36"/>
      <c r="KWW223" s="36"/>
      <c r="KWX223" s="36"/>
      <c r="KWY223" s="36"/>
      <c r="KWZ223" s="36"/>
      <c r="KXA223" s="36"/>
      <c r="KXB223" s="36"/>
      <c r="KXC223" s="36"/>
      <c r="KXD223" s="36"/>
      <c r="KXE223" s="36"/>
      <c r="KXF223" s="36"/>
      <c r="KXG223" s="36"/>
      <c r="KXH223" s="36"/>
      <c r="KXI223" s="36"/>
      <c r="KXJ223" s="36"/>
      <c r="KXK223" s="36"/>
      <c r="KXL223" s="36"/>
      <c r="KXM223" s="36"/>
      <c r="KXN223" s="36"/>
      <c r="KXO223" s="36"/>
      <c r="KXP223" s="36"/>
      <c r="KXQ223" s="36"/>
      <c r="KXR223" s="36"/>
      <c r="KXS223" s="36"/>
      <c r="KXT223" s="36"/>
      <c r="KXU223" s="36"/>
      <c r="KXV223" s="36"/>
      <c r="KXW223" s="36"/>
      <c r="KXX223" s="36"/>
      <c r="KXY223" s="36"/>
      <c r="KXZ223" s="36"/>
      <c r="KYA223" s="36"/>
      <c r="KYB223" s="36"/>
      <c r="KYC223" s="36"/>
      <c r="KYD223" s="36"/>
      <c r="KYE223" s="36"/>
      <c r="KYF223" s="36"/>
      <c r="KYG223" s="36"/>
      <c r="KYH223" s="36"/>
      <c r="KYI223" s="36"/>
      <c r="KYJ223" s="36"/>
      <c r="KYK223" s="36"/>
      <c r="KYL223" s="36"/>
      <c r="KYM223" s="36"/>
      <c r="KYN223" s="36"/>
      <c r="KYO223" s="36"/>
      <c r="KYP223" s="36"/>
      <c r="KYQ223" s="36"/>
      <c r="KYR223" s="36"/>
      <c r="KYS223" s="36"/>
      <c r="KYT223" s="36"/>
      <c r="KYU223" s="36"/>
      <c r="KYV223" s="36"/>
      <c r="KYW223" s="36"/>
      <c r="KYX223" s="36"/>
      <c r="KYY223" s="36"/>
      <c r="KYZ223" s="36"/>
      <c r="KZA223" s="36"/>
      <c r="KZB223" s="36"/>
      <c r="KZC223" s="36"/>
      <c r="KZD223" s="36"/>
      <c r="KZE223" s="36"/>
      <c r="KZF223" s="36"/>
      <c r="KZG223" s="36"/>
      <c r="KZH223" s="36"/>
      <c r="KZI223" s="36"/>
      <c r="KZJ223" s="36"/>
      <c r="KZK223" s="36"/>
      <c r="KZL223" s="36"/>
      <c r="KZM223" s="36"/>
      <c r="KZN223" s="36"/>
      <c r="KZO223" s="36"/>
      <c r="KZP223" s="36"/>
      <c r="KZQ223" s="36"/>
      <c r="KZR223" s="36"/>
      <c r="KZS223" s="36"/>
      <c r="KZT223" s="36"/>
      <c r="KZU223" s="36"/>
      <c r="KZV223" s="36"/>
      <c r="KZW223" s="36"/>
      <c r="KZX223" s="36"/>
      <c r="KZY223" s="36"/>
      <c r="KZZ223" s="36"/>
      <c r="LAA223" s="36"/>
      <c r="LAB223" s="36"/>
      <c r="LAC223" s="36"/>
      <c r="LAD223" s="36"/>
      <c r="LAE223" s="36"/>
      <c r="LAF223" s="36"/>
      <c r="LAG223" s="36"/>
      <c r="LAH223" s="36"/>
      <c r="LAI223" s="36"/>
      <c r="LAJ223" s="36"/>
      <c r="LAK223" s="36"/>
      <c r="LAL223" s="36"/>
      <c r="LAM223" s="36"/>
      <c r="LAN223" s="36"/>
      <c r="LAO223" s="36"/>
      <c r="LAP223" s="36"/>
      <c r="LAQ223" s="36"/>
      <c r="LAR223" s="36"/>
      <c r="LAS223" s="36"/>
      <c r="LAT223" s="36"/>
      <c r="LAU223" s="36"/>
      <c r="LAV223" s="36"/>
      <c r="LAW223" s="36"/>
      <c r="LAX223" s="36"/>
      <c r="LAY223" s="36"/>
      <c r="LAZ223" s="36"/>
      <c r="LBA223" s="36"/>
      <c r="LBB223" s="36"/>
      <c r="LBC223" s="36"/>
      <c r="LBD223" s="36"/>
      <c r="LBE223" s="36"/>
      <c r="LBF223" s="36"/>
      <c r="LBG223" s="36"/>
      <c r="LBH223" s="36"/>
      <c r="LBI223" s="36"/>
      <c r="LBJ223" s="36"/>
      <c r="LBK223" s="36"/>
      <c r="LBL223" s="36"/>
      <c r="LBM223" s="36"/>
      <c r="LBN223" s="36"/>
      <c r="LBO223" s="36"/>
      <c r="LBP223" s="36"/>
      <c r="LBQ223" s="36"/>
      <c r="LBR223" s="36"/>
      <c r="LBS223" s="36"/>
      <c r="LBT223" s="36"/>
      <c r="LBU223" s="36"/>
      <c r="LBV223" s="36"/>
      <c r="LBW223" s="36"/>
      <c r="LBX223" s="36"/>
      <c r="LBY223" s="36"/>
      <c r="LBZ223" s="36"/>
      <c r="LCA223" s="36"/>
      <c r="LCB223" s="36"/>
      <c r="LCC223" s="36"/>
      <c r="LCD223" s="36"/>
      <c r="LCE223" s="36"/>
      <c r="LCF223" s="36"/>
      <c r="LCG223" s="36"/>
      <c r="LCH223" s="36"/>
      <c r="LCI223" s="36"/>
      <c r="LCJ223" s="36"/>
      <c r="LCK223" s="36"/>
      <c r="LCL223" s="36"/>
      <c r="LCM223" s="36"/>
      <c r="LCN223" s="36"/>
      <c r="LCO223" s="36"/>
      <c r="LCP223" s="36"/>
      <c r="LCQ223" s="36"/>
      <c r="LCR223" s="36"/>
      <c r="LCS223" s="36"/>
      <c r="LCT223" s="36"/>
      <c r="LCU223" s="36"/>
      <c r="LCV223" s="36"/>
      <c r="LCW223" s="36"/>
      <c r="LCX223" s="36"/>
      <c r="LCY223" s="36"/>
      <c r="LCZ223" s="36"/>
      <c r="LDA223" s="36"/>
      <c r="LDB223" s="36"/>
      <c r="LDC223" s="36"/>
      <c r="LDD223" s="36"/>
      <c r="LDE223" s="36"/>
      <c r="LDF223" s="36"/>
      <c r="LDG223" s="36"/>
      <c r="LDH223" s="36"/>
      <c r="LDI223" s="36"/>
      <c r="LDJ223" s="36"/>
      <c r="LDK223" s="36"/>
      <c r="LDL223" s="36"/>
      <c r="LDM223" s="36"/>
      <c r="LDN223" s="36"/>
      <c r="LDO223" s="36"/>
      <c r="LDP223" s="36"/>
      <c r="LDQ223" s="36"/>
      <c r="LDR223" s="36"/>
      <c r="LDS223" s="36"/>
      <c r="LDT223" s="36"/>
      <c r="LDU223" s="36"/>
      <c r="LDV223" s="36"/>
      <c r="LDW223" s="36"/>
      <c r="LDX223" s="36"/>
      <c r="LDY223" s="36"/>
      <c r="LDZ223" s="36"/>
      <c r="LEA223" s="36"/>
      <c r="LEB223" s="36"/>
      <c r="LEC223" s="36"/>
      <c r="LED223" s="36"/>
      <c r="LEE223" s="36"/>
      <c r="LEF223" s="36"/>
      <c r="LEG223" s="36"/>
      <c r="LEH223" s="36"/>
      <c r="LEI223" s="36"/>
      <c r="LEJ223" s="36"/>
      <c r="LEK223" s="36"/>
      <c r="LEL223" s="36"/>
      <c r="LEM223" s="36"/>
      <c r="LEN223" s="36"/>
      <c r="LEO223" s="36"/>
      <c r="LEP223" s="36"/>
      <c r="LEQ223" s="36"/>
      <c r="LER223" s="36"/>
      <c r="LES223" s="36"/>
      <c r="LET223" s="36"/>
      <c r="LEU223" s="36"/>
      <c r="LEV223" s="36"/>
      <c r="LEW223" s="36"/>
      <c r="LEX223" s="36"/>
      <c r="LEY223" s="36"/>
      <c r="LEZ223" s="36"/>
      <c r="LFA223" s="36"/>
      <c r="LFB223" s="36"/>
      <c r="LFC223" s="36"/>
      <c r="LFD223" s="36"/>
      <c r="LFE223" s="36"/>
      <c r="LFF223" s="36"/>
      <c r="LFG223" s="36"/>
      <c r="LFH223" s="36"/>
      <c r="LFI223" s="36"/>
      <c r="LFJ223" s="36"/>
      <c r="LFK223" s="36"/>
      <c r="LFL223" s="36"/>
      <c r="LFM223" s="36"/>
      <c r="LFN223" s="36"/>
      <c r="LFO223" s="36"/>
      <c r="LFP223" s="36"/>
      <c r="LFQ223" s="36"/>
      <c r="LFR223" s="36"/>
      <c r="LFS223" s="36"/>
      <c r="LFT223" s="36"/>
      <c r="LFU223" s="36"/>
      <c r="LFV223" s="36"/>
      <c r="LFW223" s="36"/>
      <c r="LFX223" s="36"/>
      <c r="LFY223" s="36"/>
      <c r="LFZ223" s="36"/>
      <c r="LGA223" s="36"/>
      <c r="LGB223" s="36"/>
      <c r="LGC223" s="36"/>
      <c r="LGD223" s="36"/>
      <c r="LGE223" s="36"/>
      <c r="LGF223" s="36"/>
      <c r="LGG223" s="36"/>
      <c r="LGH223" s="36"/>
      <c r="LGI223" s="36"/>
      <c r="LGJ223" s="36"/>
      <c r="LGK223" s="36"/>
      <c r="LGL223" s="36"/>
      <c r="LGM223" s="36"/>
      <c r="LGN223" s="36"/>
      <c r="LGO223" s="36"/>
      <c r="LGP223" s="36"/>
      <c r="LGQ223" s="36"/>
      <c r="LGR223" s="36"/>
      <c r="LGS223" s="36"/>
      <c r="LGT223" s="36"/>
      <c r="LGU223" s="36"/>
      <c r="LGV223" s="36"/>
      <c r="LGW223" s="36"/>
      <c r="LGX223" s="36"/>
      <c r="LGY223" s="36"/>
      <c r="LGZ223" s="36"/>
      <c r="LHA223" s="36"/>
      <c r="LHB223" s="36"/>
      <c r="LHC223" s="36"/>
      <c r="LHD223" s="36"/>
      <c r="LHE223" s="36"/>
      <c r="LHF223" s="36"/>
      <c r="LHG223" s="36"/>
      <c r="LHH223" s="36"/>
      <c r="LHI223" s="36"/>
      <c r="LHJ223" s="36"/>
      <c r="LHK223" s="36"/>
      <c r="LHL223" s="36"/>
      <c r="LHM223" s="36"/>
      <c r="LHN223" s="36"/>
      <c r="LHO223" s="36"/>
      <c r="LHP223" s="36"/>
      <c r="LHQ223" s="36"/>
      <c r="LHR223" s="36"/>
      <c r="LHS223" s="36"/>
      <c r="LHT223" s="36"/>
      <c r="LHU223" s="36"/>
      <c r="LHV223" s="36"/>
      <c r="LHW223" s="36"/>
      <c r="LHX223" s="36"/>
      <c r="LHY223" s="36"/>
      <c r="LHZ223" s="36"/>
      <c r="LIA223" s="36"/>
      <c r="LIB223" s="36"/>
      <c r="LIC223" s="36"/>
      <c r="LID223" s="36"/>
      <c r="LIE223" s="36"/>
      <c r="LIF223" s="36"/>
      <c r="LIG223" s="36"/>
      <c r="LIH223" s="36"/>
      <c r="LII223" s="36"/>
      <c r="LIJ223" s="36"/>
      <c r="LIK223" s="36"/>
      <c r="LIL223" s="36"/>
      <c r="LIM223" s="36"/>
      <c r="LIN223" s="36"/>
      <c r="LIO223" s="36"/>
      <c r="LIP223" s="36"/>
      <c r="LIQ223" s="36"/>
      <c r="LIR223" s="36"/>
      <c r="LIS223" s="36"/>
      <c r="LIT223" s="36"/>
      <c r="LIU223" s="36"/>
      <c r="LIV223" s="36"/>
      <c r="LIW223" s="36"/>
      <c r="LIX223" s="36"/>
      <c r="LIY223" s="36"/>
      <c r="LIZ223" s="36"/>
      <c r="LJA223" s="36"/>
      <c r="LJB223" s="36"/>
      <c r="LJC223" s="36"/>
      <c r="LJD223" s="36"/>
      <c r="LJE223" s="36"/>
      <c r="LJF223" s="36"/>
      <c r="LJG223" s="36"/>
      <c r="LJH223" s="36"/>
      <c r="LJI223" s="36"/>
      <c r="LJJ223" s="36"/>
      <c r="LJK223" s="36"/>
      <c r="LJL223" s="36"/>
      <c r="LJM223" s="36"/>
      <c r="LJN223" s="36"/>
      <c r="LJO223" s="36"/>
      <c r="LJP223" s="36"/>
      <c r="LJQ223" s="36"/>
      <c r="LJR223" s="36"/>
      <c r="LJS223" s="36"/>
      <c r="LJT223" s="36"/>
      <c r="LJU223" s="36"/>
      <c r="LJV223" s="36"/>
      <c r="LJW223" s="36"/>
      <c r="LJX223" s="36"/>
      <c r="LJY223" s="36"/>
      <c r="LJZ223" s="36"/>
      <c r="LKA223" s="36"/>
      <c r="LKB223" s="36"/>
      <c r="LKC223" s="36"/>
      <c r="LKD223" s="36"/>
      <c r="LKE223" s="36"/>
      <c r="LKF223" s="36"/>
      <c r="LKG223" s="36"/>
      <c r="LKH223" s="36"/>
      <c r="LKI223" s="36"/>
      <c r="LKJ223" s="36"/>
      <c r="LKK223" s="36"/>
      <c r="LKL223" s="36"/>
      <c r="LKM223" s="36"/>
      <c r="LKN223" s="36"/>
      <c r="LKO223" s="36"/>
      <c r="LKP223" s="36"/>
      <c r="LKQ223" s="36"/>
      <c r="LKR223" s="36"/>
      <c r="LKS223" s="36"/>
      <c r="LKT223" s="36"/>
      <c r="LKU223" s="36"/>
      <c r="LKV223" s="36"/>
      <c r="LKW223" s="36"/>
      <c r="LKX223" s="36"/>
      <c r="LKY223" s="36"/>
      <c r="LKZ223" s="36"/>
      <c r="LLA223" s="36"/>
      <c r="LLB223" s="36"/>
      <c r="LLC223" s="36"/>
      <c r="LLD223" s="36"/>
      <c r="LLE223" s="36"/>
      <c r="LLF223" s="36"/>
      <c r="LLG223" s="36"/>
      <c r="LLH223" s="36"/>
      <c r="LLI223" s="36"/>
      <c r="LLJ223" s="36"/>
      <c r="LLK223" s="36"/>
      <c r="LLL223" s="36"/>
      <c r="LLM223" s="36"/>
      <c r="LLN223" s="36"/>
      <c r="LLO223" s="36"/>
      <c r="LLP223" s="36"/>
      <c r="LLQ223" s="36"/>
      <c r="LLR223" s="36"/>
      <c r="LLS223" s="36"/>
      <c r="LLT223" s="36"/>
      <c r="LLU223" s="36"/>
      <c r="LLV223" s="36"/>
      <c r="LLW223" s="36"/>
      <c r="LLX223" s="36"/>
      <c r="LLY223" s="36"/>
      <c r="LLZ223" s="36"/>
      <c r="LMA223" s="36"/>
      <c r="LMB223" s="36"/>
      <c r="LMC223" s="36"/>
      <c r="LMD223" s="36"/>
      <c r="LME223" s="36"/>
      <c r="LMF223" s="36"/>
      <c r="LMG223" s="36"/>
      <c r="LMH223" s="36"/>
      <c r="LMI223" s="36"/>
      <c r="LMJ223" s="36"/>
      <c r="LMK223" s="36"/>
      <c r="LML223" s="36"/>
      <c r="LMM223" s="36"/>
      <c r="LMN223" s="36"/>
      <c r="LMO223" s="36"/>
      <c r="LMP223" s="36"/>
      <c r="LMQ223" s="36"/>
      <c r="LMR223" s="36"/>
      <c r="LMS223" s="36"/>
      <c r="LMT223" s="36"/>
      <c r="LMU223" s="36"/>
      <c r="LMV223" s="36"/>
      <c r="LMW223" s="36"/>
      <c r="LMX223" s="36"/>
      <c r="LMY223" s="36"/>
      <c r="LMZ223" s="36"/>
      <c r="LNA223" s="36"/>
      <c r="LNB223" s="36"/>
      <c r="LNC223" s="36"/>
      <c r="LND223" s="36"/>
      <c r="LNE223" s="36"/>
      <c r="LNF223" s="36"/>
      <c r="LNG223" s="36"/>
      <c r="LNH223" s="36"/>
      <c r="LNI223" s="36"/>
      <c r="LNJ223" s="36"/>
      <c r="LNK223" s="36"/>
      <c r="LNL223" s="36"/>
      <c r="LNM223" s="36"/>
      <c r="LNN223" s="36"/>
      <c r="LNO223" s="36"/>
      <c r="LNP223" s="36"/>
      <c r="LNQ223" s="36"/>
      <c r="LNR223" s="36"/>
      <c r="LNS223" s="36"/>
      <c r="LNT223" s="36"/>
      <c r="LNU223" s="36"/>
      <c r="LNV223" s="36"/>
      <c r="LNW223" s="36"/>
      <c r="LNX223" s="36"/>
      <c r="LNY223" s="36"/>
      <c r="LNZ223" s="36"/>
      <c r="LOA223" s="36"/>
      <c r="LOB223" s="36"/>
      <c r="LOC223" s="36"/>
      <c r="LOD223" s="36"/>
      <c r="LOE223" s="36"/>
      <c r="LOF223" s="36"/>
      <c r="LOG223" s="36"/>
      <c r="LOH223" s="36"/>
      <c r="LOI223" s="36"/>
      <c r="LOJ223" s="36"/>
      <c r="LOK223" s="36"/>
      <c r="LOL223" s="36"/>
      <c r="LOM223" s="36"/>
      <c r="LON223" s="36"/>
      <c r="LOO223" s="36"/>
      <c r="LOP223" s="36"/>
      <c r="LOQ223" s="36"/>
      <c r="LOR223" s="36"/>
      <c r="LOS223" s="36"/>
      <c r="LOT223" s="36"/>
      <c r="LOU223" s="36"/>
      <c r="LOV223" s="36"/>
      <c r="LOW223" s="36"/>
      <c r="LOX223" s="36"/>
      <c r="LOY223" s="36"/>
      <c r="LOZ223" s="36"/>
      <c r="LPA223" s="36"/>
      <c r="LPB223" s="36"/>
      <c r="LPC223" s="36"/>
      <c r="LPD223" s="36"/>
      <c r="LPE223" s="36"/>
      <c r="LPF223" s="36"/>
      <c r="LPG223" s="36"/>
      <c r="LPH223" s="36"/>
      <c r="LPI223" s="36"/>
      <c r="LPJ223" s="36"/>
      <c r="LPK223" s="36"/>
      <c r="LPL223" s="36"/>
      <c r="LPM223" s="36"/>
      <c r="LPN223" s="36"/>
      <c r="LPO223" s="36"/>
      <c r="LPP223" s="36"/>
      <c r="LPQ223" s="36"/>
      <c r="LPR223" s="36"/>
      <c r="LPS223" s="36"/>
      <c r="LPT223" s="36"/>
      <c r="LPU223" s="36"/>
      <c r="LPV223" s="36"/>
      <c r="LPW223" s="36"/>
      <c r="LPX223" s="36"/>
      <c r="LPY223" s="36"/>
      <c r="LPZ223" s="36"/>
      <c r="LQA223" s="36"/>
      <c r="LQB223" s="36"/>
      <c r="LQC223" s="36"/>
      <c r="LQD223" s="36"/>
      <c r="LQE223" s="36"/>
      <c r="LQF223" s="36"/>
      <c r="LQG223" s="36"/>
      <c r="LQH223" s="36"/>
      <c r="LQI223" s="36"/>
      <c r="LQJ223" s="36"/>
      <c r="LQK223" s="36"/>
      <c r="LQL223" s="36"/>
      <c r="LQM223" s="36"/>
      <c r="LQN223" s="36"/>
      <c r="LQO223" s="36"/>
      <c r="LQP223" s="36"/>
      <c r="LQQ223" s="36"/>
      <c r="LQR223" s="36"/>
      <c r="LQS223" s="36"/>
      <c r="LQT223" s="36"/>
      <c r="LQU223" s="36"/>
      <c r="LQV223" s="36"/>
      <c r="LQW223" s="36"/>
      <c r="LQX223" s="36"/>
      <c r="LQY223" s="36"/>
      <c r="LQZ223" s="36"/>
      <c r="LRA223" s="36"/>
      <c r="LRB223" s="36"/>
      <c r="LRC223" s="36"/>
      <c r="LRD223" s="36"/>
      <c r="LRE223" s="36"/>
      <c r="LRF223" s="36"/>
      <c r="LRG223" s="36"/>
      <c r="LRH223" s="36"/>
      <c r="LRI223" s="36"/>
      <c r="LRJ223" s="36"/>
      <c r="LRK223" s="36"/>
      <c r="LRL223" s="36"/>
      <c r="LRM223" s="36"/>
      <c r="LRN223" s="36"/>
      <c r="LRO223" s="36"/>
      <c r="LRP223" s="36"/>
      <c r="LRQ223" s="36"/>
      <c r="LRR223" s="36"/>
      <c r="LRS223" s="36"/>
      <c r="LRT223" s="36"/>
      <c r="LRU223" s="36"/>
      <c r="LRV223" s="36"/>
      <c r="LRW223" s="36"/>
      <c r="LRX223" s="36"/>
      <c r="LRY223" s="36"/>
      <c r="LRZ223" s="36"/>
      <c r="LSA223" s="36"/>
      <c r="LSB223" s="36"/>
      <c r="LSC223" s="36"/>
      <c r="LSD223" s="36"/>
      <c r="LSE223" s="36"/>
      <c r="LSF223" s="36"/>
      <c r="LSG223" s="36"/>
      <c r="LSH223" s="36"/>
      <c r="LSI223" s="36"/>
      <c r="LSJ223" s="36"/>
      <c r="LSK223" s="36"/>
      <c r="LSL223" s="36"/>
      <c r="LSM223" s="36"/>
      <c r="LSN223" s="36"/>
      <c r="LSO223" s="36"/>
      <c r="LSP223" s="36"/>
      <c r="LSQ223" s="36"/>
      <c r="LSR223" s="36"/>
      <c r="LSS223" s="36"/>
      <c r="LST223" s="36"/>
      <c r="LSU223" s="36"/>
      <c r="LSV223" s="36"/>
      <c r="LSW223" s="36"/>
      <c r="LSX223" s="36"/>
      <c r="LSY223" s="36"/>
      <c r="LSZ223" s="36"/>
      <c r="LTA223" s="36"/>
      <c r="LTB223" s="36"/>
      <c r="LTC223" s="36"/>
      <c r="LTD223" s="36"/>
      <c r="LTE223" s="36"/>
      <c r="LTF223" s="36"/>
      <c r="LTG223" s="36"/>
      <c r="LTH223" s="36"/>
      <c r="LTI223" s="36"/>
      <c r="LTJ223" s="36"/>
      <c r="LTK223" s="36"/>
      <c r="LTL223" s="36"/>
      <c r="LTM223" s="36"/>
      <c r="LTN223" s="36"/>
      <c r="LTO223" s="36"/>
      <c r="LTP223" s="36"/>
      <c r="LTQ223" s="36"/>
      <c r="LTR223" s="36"/>
      <c r="LTS223" s="36"/>
      <c r="LTT223" s="36"/>
      <c r="LTU223" s="36"/>
      <c r="LTV223" s="36"/>
      <c r="LTW223" s="36"/>
      <c r="LTX223" s="36"/>
      <c r="LTY223" s="36"/>
      <c r="LTZ223" s="36"/>
      <c r="LUA223" s="36"/>
      <c r="LUB223" s="36"/>
      <c r="LUC223" s="36"/>
      <c r="LUD223" s="36"/>
      <c r="LUE223" s="36"/>
      <c r="LUF223" s="36"/>
      <c r="LUG223" s="36"/>
      <c r="LUH223" s="36"/>
      <c r="LUI223" s="36"/>
      <c r="LUJ223" s="36"/>
      <c r="LUK223" s="36"/>
      <c r="LUL223" s="36"/>
      <c r="LUM223" s="36"/>
      <c r="LUN223" s="36"/>
      <c r="LUO223" s="36"/>
      <c r="LUP223" s="36"/>
      <c r="LUQ223" s="36"/>
      <c r="LUR223" s="36"/>
      <c r="LUS223" s="36"/>
      <c r="LUT223" s="36"/>
      <c r="LUU223" s="36"/>
      <c r="LUV223" s="36"/>
      <c r="LUW223" s="36"/>
      <c r="LUX223" s="36"/>
      <c r="LUY223" s="36"/>
      <c r="LUZ223" s="36"/>
      <c r="LVA223" s="36"/>
      <c r="LVB223" s="36"/>
      <c r="LVC223" s="36"/>
      <c r="LVD223" s="36"/>
      <c r="LVE223" s="36"/>
      <c r="LVF223" s="36"/>
      <c r="LVG223" s="36"/>
      <c r="LVH223" s="36"/>
      <c r="LVI223" s="36"/>
      <c r="LVJ223" s="36"/>
      <c r="LVK223" s="36"/>
      <c r="LVL223" s="36"/>
      <c r="LVM223" s="36"/>
      <c r="LVN223" s="36"/>
      <c r="LVO223" s="36"/>
      <c r="LVP223" s="36"/>
      <c r="LVQ223" s="36"/>
      <c r="LVR223" s="36"/>
      <c r="LVS223" s="36"/>
      <c r="LVT223" s="36"/>
      <c r="LVU223" s="36"/>
      <c r="LVV223" s="36"/>
      <c r="LVW223" s="36"/>
      <c r="LVX223" s="36"/>
      <c r="LVY223" s="36"/>
      <c r="LVZ223" s="36"/>
      <c r="LWA223" s="36"/>
      <c r="LWB223" s="36"/>
      <c r="LWC223" s="36"/>
      <c r="LWD223" s="36"/>
      <c r="LWE223" s="36"/>
      <c r="LWF223" s="36"/>
      <c r="LWG223" s="36"/>
      <c r="LWH223" s="36"/>
      <c r="LWI223" s="36"/>
      <c r="LWJ223" s="36"/>
      <c r="LWK223" s="36"/>
      <c r="LWL223" s="36"/>
      <c r="LWM223" s="36"/>
      <c r="LWN223" s="36"/>
      <c r="LWO223" s="36"/>
      <c r="LWP223" s="36"/>
      <c r="LWQ223" s="36"/>
      <c r="LWR223" s="36"/>
      <c r="LWS223" s="36"/>
      <c r="LWT223" s="36"/>
      <c r="LWU223" s="36"/>
      <c r="LWV223" s="36"/>
      <c r="LWW223" s="36"/>
      <c r="LWX223" s="36"/>
      <c r="LWY223" s="36"/>
      <c r="LWZ223" s="36"/>
      <c r="LXA223" s="36"/>
      <c r="LXB223" s="36"/>
      <c r="LXC223" s="36"/>
      <c r="LXD223" s="36"/>
      <c r="LXE223" s="36"/>
      <c r="LXF223" s="36"/>
      <c r="LXG223" s="36"/>
      <c r="LXH223" s="36"/>
      <c r="LXI223" s="36"/>
      <c r="LXJ223" s="36"/>
      <c r="LXK223" s="36"/>
      <c r="LXL223" s="36"/>
      <c r="LXM223" s="36"/>
      <c r="LXN223" s="36"/>
      <c r="LXO223" s="36"/>
      <c r="LXP223" s="36"/>
      <c r="LXQ223" s="36"/>
      <c r="LXR223" s="36"/>
      <c r="LXS223" s="36"/>
      <c r="LXT223" s="36"/>
      <c r="LXU223" s="36"/>
      <c r="LXV223" s="36"/>
      <c r="LXW223" s="36"/>
      <c r="LXX223" s="36"/>
      <c r="LXY223" s="36"/>
      <c r="LXZ223" s="36"/>
      <c r="LYA223" s="36"/>
      <c r="LYB223" s="36"/>
      <c r="LYC223" s="36"/>
      <c r="LYD223" s="36"/>
      <c r="LYE223" s="36"/>
      <c r="LYF223" s="36"/>
      <c r="LYG223" s="36"/>
      <c r="LYH223" s="36"/>
      <c r="LYI223" s="36"/>
      <c r="LYJ223" s="36"/>
      <c r="LYK223" s="36"/>
      <c r="LYL223" s="36"/>
      <c r="LYM223" s="36"/>
      <c r="LYN223" s="36"/>
      <c r="LYO223" s="36"/>
      <c r="LYP223" s="36"/>
      <c r="LYQ223" s="36"/>
      <c r="LYR223" s="36"/>
      <c r="LYS223" s="36"/>
      <c r="LYT223" s="36"/>
      <c r="LYU223" s="36"/>
      <c r="LYV223" s="36"/>
      <c r="LYW223" s="36"/>
      <c r="LYX223" s="36"/>
      <c r="LYY223" s="36"/>
      <c r="LYZ223" s="36"/>
      <c r="LZA223" s="36"/>
      <c r="LZB223" s="36"/>
      <c r="LZC223" s="36"/>
      <c r="LZD223" s="36"/>
      <c r="LZE223" s="36"/>
      <c r="LZF223" s="36"/>
      <c r="LZG223" s="36"/>
      <c r="LZH223" s="36"/>
      <c r="LZI223" s="36"/>
      <c r="LZJ223" s="36"/>
      <c r="LZK223" s="36"/>
      <c r="LZL223" s="36"/>
      <c r="LZM223" s="36"/>
      <c r="LZN223" s="36"/>
      <c r="LZO223" s="36"/>
      <c r="LZP223" s="36"/>
      <c r="LZQ223" s="36"/>
      <c r="LZR223" s="36"/>
      <c r="LZS223" s="36"/>
      <c r="LZT223" s="36"/>
      <c r="LZU223" s="36"/>
      <c r="LZV223" s="36"/>
      <c r="LZW223" s="36"/>
      <c r="LZX223" s="36"/>
      <c r="LZY223" s="36"/>
      <c r="LZZ223" s="36"/>
      <c r="MAA223" s="36"/>
      <c r="MAB223" s="36"/>
      <c r="MAC223" s="36"/>
      <c r="MAD223" s="36"/>
      <c r="MAE223" s="36"/>
      <c r="MAF223" s="36"/>
      <c r="MAG223" s="36"/>
      <c r="MAH223" s="36"/>
      <c r="MAI223" s="36"/>
      <c r="MAJ223" s="36"/>
      <c r="MAK223" s="36"/>
      <c r="MAL223" s="36"/>
      <c r="MAM223" s="36"/>
      <c r="MAN223" s="36"/>
      <c r="MAO223" s="36"/>
      <c r="MAP223" s="36"/>
      <c r="MAQ223" s="36"/>
      <c r="MAR223" s="36"/>
      <c r="MAS223" s="36"/>
      <c r="MAT223" s="36"/>
      <c r="MAU223" s="36"/>
      <c r="MAV223" s="36"/>
      <c r="MAW223" s="36"/>
      <c r="MAX223" s="36"/>
      <c r="MAY223" s="36"/>
      <c r="MAZ223" s="36"/>
      <c r="MBA223" s="36"/>
      <c r="MBB223" s="36"/>
      <c r="MBC223" s="36"/>
      <c r="MBD223" s="36"/>
      <c r="MBE223" s="36"/>
      <c r="MBF223" s="36"/>
      <c r="MBG223" s="36"/>
      <c r="MBH223" s="36"/>
      <c r="MBI223" s="36"/>
      <c r="MBJ223" s="36"/>
      <c r="MBK223" s="36"/>
      <c r="MBL223" s="36"/>
      <c r="MBM223" s="36"/>
      <c r="MBN223" s="36"/>
      <c r="MBO223" s="36"/>
      <c r="MBP223" s="36"/>
      <c r="MBQ223" s="36"/>
      <c r="MBR223" s="36"/>
      <c r="MBS223" s="36"/>
      <c r="MBT223" s="36"/>
      <c r="MBU223" s="36"/>
      <c r="MBV223" s="36"/>
      <c r="MBW223" s="36"/>
      <c r="MBX223" s="36"/>
      <c r="MBY223" s="36"/>
      <c r="MBZ223" s="36"/>
      <c r="MCA223" s="36"/>
      <c r="MCB223" s="36"/>
      <c r="MCC223" s="36"/>
      <c r="MCD223" s="36"/>
      <c r="MCE223" s="36"/>
      <c r="MCF223" s="36"/>
      <c r="MCG223" s="36"/>
      <c r="MCH223" s="36"/>
      <c r="MCI223" s="36"/>
      <c r="MCJ223" s="36"/>
      <c r="MCK223" s="36"/>
      <c r="MCL223" s="36"/>
      <c r="MCM223" s="36"/>
      <c r="MCN223" s="36"/>
      <c r="MCO223" s="36"/>
      <c r="MCP223" s="36"/>
      <c r="MCQ223" s="36"/>
      <c r="MCR223" s="36"/>
      <c r="MCS223" s="36"/>
      <c r="MCT223" s="36"/>
      <c r="MCU223" s="36"/>
      <c r="MCV223" s="36"/>
      <c r="MCW223" s="36"/>
      <c r="MCX223" s="36"/>
      <c r="MCY223" s="36"/>
      <c r="MCZ223" s="36"/>
      <c r="MDA223" s="36"/>
      <c r="MDB223" s="36"/>
      <c r="MDC223" s="36"/>
      <c r="MDD223" s="36"/>
      <c r="MDE223" s="36"/>
      <c r="MDF223" s="36"/>
      <c r="MDG223" s="36"/>
      <c r="MDH223" s="36"/>
      <c r="MDI223" s="36"/>
      <c r="MDJ223" s="36"/>
      <c r="MDK223" s="36"/>
      <c r="MDL223" s="36"/>
      <c r="MDM223" s="36"/>
      <c r="MDN223" s="36"/>
      <c r="MDO223" s="36"/>
      <c r="MDP223" s="36"/>
      <c r="MDQ223" s="36"/>
      <c r="MDR223" s="36"/>
      <c r="MDS223" s="36"/>
      <c r="MDT223" s="36"/>
      <c r="MDU223" s="36"/>
      <c r="MDV223" s="36"/>
      <c r="MDW223" s="36"/>
      <c r="MDX223" s="36"/>
      <c r="MDY223" s="36"/>
      <c r="MDZ223" s="36"/>
      <c r="MEA223" s="36"/>
      <c r="MEB223" s="36"/>
      <c r="MEC223" s="36"/>
      <c r="MED223" s="36"/>
      <c r="MEE223" s="36"/>
      <c r="MEF223" s="36"/>
      <c r="MEG223" s="36"/>
      <c r="MEH223" s="36"/>
      <c r="MEI223" s="36"/>
      <c r="MEJ223" s="36"/>
      <c r="MEK223" s="36"/>
      <c r="MEL223" s="36"/>
      <c r="MEM223" s="36"/>
      <c r="MEN223" s="36"/>
      <c r="MEO223" s="36"/>
      <c r="MEP223" s="36"/>
      <c r="MEQ223" s="36"/>
      <c r="MER223" s="36"/>
      <c r="MES223" s="36"/>
      <c r="MET223" s="36"/>
      <c r="MEU223" s="36"/>
      <c r="MEV223" s="36"/>
      <c r="MEW223" s="36"/>
      <c r="MEX223" s="36"/>
      <c r="MEY223" s="36"/>
      <c r="MEZ223" s="36"/>
      <c r="MFA223" s="36"/>
      <c r="MFB223" s="36"/>
      <c r="MFC223" s="36"/>
      <c r="MFD223" s="36"/>
      <c r="MFE223" s="36"/>
      <c r="MFF223" s="36"/>
      <c r="MFG223" s="36"/>
      <c r="MFH223" s="36"/>
      <c r="MFI223" s="36"/>
      <c r="MFJ223" s="36"/>
      <c r="MFK223" s="36"/>
      <c r="MFL223" s="36"/>
      <c r="MFM223" s="36"/>
      <c r="MFN223" s="36"/>
      <c r="MFO223" s="36"/>
      <c r="MFP223" s="36"/>
      <c r="MFQ223" s="36"/>
      <c r="MFR223" s="36"/>
      <c r="MFS223" s="36"/>
      <c r="MFT223" s="36"/>
      <c r="MFU223" s="36"/>
      <c r="MFV223" s="36"/>
      <c r="MFW223" s="36"/>
      <c r="MFX223" s="36"/>
      <c r="MFY223" s="36"/>
      <c r="MFZ223" s="36"/>
      <c r="MGA223" s="36"/>
      <c r="MGB223" s="36"/>
      <c r="MGC223" s="36"/>
      <c r="MGD223" s="36"/>
      <c r="MGE223" s="36"/>
      <c r="MGF223" s="36"/>
      <c r="MGG223" s="36"/>
      <c r="MGH223" s="36"/>
      <c r="MGI223" s="36"/>
      <c r="MGJ223" s="36"/>
      <c r="MGK223" s="36"/>
      <c r="MGL223" s="36"/>
      <c r="MGM223" s="36"/>
      <c r="MGN223" s="36"/>
      <c r="MGO223" s="36"/>
      <c r="MGP223" s="36"/>
      <c r="MGQ223" s="36"/>
      <c r="MGR223" s="36"/>
      <c r="MGS223" s="36"/>
      <c r="MGT223" s="36"/>
      <c r="MGU223" s="36"/>
      <c r="MGV223" s="36"/>
      <c r="MGW223" s="36"/>
      <c r="MGX223" s="36"/>
      <c r="MGY223" s="36"/>
      <c r="MGZ223" s="36"/>
      <c r="MHA223" s="36"/>
      <c r="MHB223" s="36"/>
      <c r="MHC223" s="36"/>
      <c r="MHD223" s="36"/>
      <c r="MHE223" s="36"/>
      <c r="MHF223" s="36"/>
      <c r="MHG223" s="36"/>
      <c r="MHH223" s="36"/>
      <c r="MHI223" s="36"/>
      <c r="MHJ223" s="36"/>
      <c r="MHK223" s="36"/>
      <c r="MHL223" s="36"/>
      <c r="MHM223" s="36"/>
      <c r="MHN223" s="36"/>
      <c r="MHO223" s="36"/>
      <c r="MHP223" s="36"/>
      <c r="MHQ223" s="36"/>
      <c r="MHR223" s="36"/>
      <c r="MHS223" s="36"/>
      <c r="MHT223" s="36"/>
      <c r="MHU223" s="36"/>
      <c r="MHV223" s="36"/>
      <c r="MHW223" s="36"/>
      <c r="MHX223" s="36"/>
      <c r="MHY223" s="36"/>
      <c r="MHZ223" s="36"/>
      <c r="MIA223" s="36"/>
      <c r="MIB223" s="36"/>
      <c r="MIC223" s="36"/>
      <c r="MID223" s="36"/>
      <c r="MIE223" s="36"/>
      <c r="MIF223" s="36"/>
      <c r="MIG223" s="36"/>
      <c r="MIH223" s="36"/>
      <c r="MII223" s="36"/>
      <c r="MIJ223" s="36"/>
      <c r="MIK223" s="36"/>
      <c r="MIL223" s="36"/>
      <c r="MIM223" s="36"/>
      <c r="MIN223" s="36"/>
      <c r="MIO223" s="36"/>
      <c r="MIP223" s="36"/>
      <c r="MIQ223" s="36"/>
      <c r="MIR223" s="36"/>
      <c r="MIS223" s="36"/>
      <c r="MIT223" s="36"/>
      <c r="MIU223" s="36"/>
      <c r="MIV223" s="36"/>
      <c r="MIW223" s="36"/>
      <c r="MIX223" s="36"/>
      <c r="MIY223" s="36"/>
      <c r="MIZ223" s="36"/>
      <c r="MJA223" s="36"/>
      <c r="MJB223" s="36"/>
      <c r="MJC223" s="36"/>
      <c r="MJD223" s="36"/>
      <c r="MJE223" s="36"/>
      <c r="MJF223" s="36"/>
      <c r="MJG223" s="36"/>
      <c r="MJH223" s="36"/>
      <c r="MJI223" s="36"/>
      <c r="MJJ223" s="36"/>
      <c r="MJK223" s="36"/>
      <c r="MJL223" s="36"/>
      <c r="MJM223" s="36"/>
      <c r="MJN223" s="36"/>
      <c r="MJO223" s="36"/>
      <c r="MJP223" s="36"/>
      <c r="MJQ223" s="36"/>
      <c r="MJR223" s="36"/>
      <c r="MJS223" s="36"/>
      <c r="MJT223" s="36"/>
      <c r="MJU223" s="36"/>
      <c r="MJV223" s="36"/>
      <c r="MJW223" s="36"/>
      <c r="MJX223" s="36"/>
      <c r="MJY223" s="36"/>
      <c r="MJZ223" s="36"/>
      <c r="MKA223" s="36"/>
      <c r="MKB223" s="36"/>
      <c r="MKC223" s="36"/>
      <c r="MKD223" s="36"/>
      <c r="MKE223" s="36"/>
      <c r="MKF223" s="36"/>
      <c r="MKG223" s="36"/>
      <c r="MKH223" s="36"/>
      <c r="MKI223" s="36"/>
      <c r="MKJ223" s="36"/>
      <c r="MKK223" s="36"/>
      <c r="MKL223" s="36"/>
      <c r="MKM223" s="36"/>
      <c r="MKN223" s="36"/>
      <c r="MKO223" s="36"/>
      <c r="MKP223" s="36"/>
      <c r="MKQ223" s="36"/>
      <c r="MKR223" s="36"/>
      <c r="MKS223" s="36"/>
      <c r="MKT223" s="36"/>
      <c r="MKU223" s="36"/>
      <c r="MKV223" s="36"/>
      <c r="MKW223" s="36"/>
      <c r="MKX223" s="36"/>
      <c r="MKY223" s="36"/>
      <c r="MKZ223" s="36"/>
      <c r="MLA223" s="36"/>
      <c r="MLB223" s="36"/>
      <c r="MLC223" s="36"/>
      <c r="MLD223" s="36"/>
      <c r="MLE223" s="36"/>
      <c r="MLF223" s="36"/>
      <c r="MLG223" s="36"/>
      <c r="MLH223" s="36"/>
      <c r="MLI223" s="36"/>
      <c r="MLJ223" s="36"/>
      <c r="MLK223" s="36"/>
      <c r="MLL223" s="36"/>
      <c r="MLM223" s="36"/>
      <c r="MLN223" s="36"/>
      <c r="MLO223" s="36"/>
      <c r="MLP223" s="36"/>
      <c r="MLQ223" s="36"/>
      <c r="MLR223" s="36"/>
      <c r="MLS223" s="36"/>
      <c r="MLT223" s="36"/>
      <c r="MLU223" s="36"/>
      <c r="MLV223" s="36"/>
      <c r="MLW223" s="36"/>
      <c r="MLX223" s="36"/>
      <c r="MLY223" s="36"/>
      <c r="MLZ223" s="36"/>
      <c r="MMA223" s="36"/>
      <c r="MMB223" s="36"/>
      <c r="MMC223" s="36"/>
      <c r="MMD223" s="36"/>
      <c r="MME223" s="36"/>
      <c r="MMF223" s="36"/>
      <c r="MMG223" s="36"/>
      <c r="MMH223" s="36"/>
      <c r="MMI223" s="36"/>
      <c r="MMJ223" s="36"/>
      <c r="MMK223" s="36"/>
      <c r="MML223" s="36"/>
      <c r="MMM223" s="36"/>
      <c r="MMN223" s="36"/>
      <c r="MMO223" s="36"/>
      <c r="MMP223" s="36"/>
      <c r="MMQ223" s="36"/>
      <c r="MMR223" s="36"/>
      <c r="MMS223" s="36"/>
      <c r="MMT223" s="36"/>
      <c r="MMU223" s="36"/>
      <c r="MMV223" s="36"/>
      <c r="MMW223" s="36"/>
      <c r="MMX223" s="36"/>
      <c r="MMY223" s="36"/>
      <c r="MMZ223" s="36"/>
      <c r="MNA223" s="36"/>
      <c r="MNB223" s="36"/>
      <c r="MNC223" s="36"/>
      <c r="MND223" s="36"/>
      <c r="MNE223" s="36"/>
      <c r="MNF223" s="36"/>
      <c r="MNG223" s="36"/>
      <c r="MNH223" s="36"/>
      <c r="MNI223" s="36"/>
      <c r="MNJ223" s="36"/>
      <c r="MNK223" s="36"/>
      <c r="MNL223" s="36"/>
      <c r="MNM223" s="36"/>
      <c r="MNN223" s="36"/>
      <c r="MNO223" s="36"/>
      <c r="MNP223" s="36"/>
      <c r="MNQ223" s="36"/>
      <c r="MNR223" s="36"/>
      <c r="MNS223" s="36"/>
      <c r="MNT223" s="36"/>
      <c r="MNU223" s="36"/>
      <c r="MNV223" s="36"/>
      <c r="MNW223" s="36"/>
      <c r="MNX223" s="36"/>
      <c r="MNY223" s="36"/>
      <c r="MNZ223" s="36"/>
      <c r="MOA223" s="36"/>
      <c r="MOB223" s="36"/>
      <c r="MOC223" s="36"/>
      <c r="MOD223" s="36"/>
      <c r="MOE223" s="36"/>
      <c r="MOF223" s="36"/>
      <c r="MOG223" s="36"/>
      <c r="MOH223" s="36"/>
      <c r="MOI223" s="36"/>
      <c r="MOJ223" s="36"/>
      <c r="MOK223" s="36"/>
      <c r="MOL223" s="36"/>
      <c r="MOM223" s="36"/>
      <c r="MON223" s="36"/>
      <c r="MOO223" s="36"/>
      <c r="MOP223" s="36"/>
      <c r="MOQ223" s="36"/>
      <c r="MOR223" s="36"/>
      <c r="MOS223" s="36"/>
      <c r="MOT223" s="36"/>
      <c r="MOU223" s="36"/>
      <c r="MOV223" s="36"/>
      <c r="MOW223" s="36"/>
      <c r="MOX223" s="36"/>
      <c r="MOY223" s="36"/>
      <c r="MOZ223" s="36"/>
      <c r="MPA223" s="36"/>
      <c r="MPB223" s="36"/>
      <c r="MPC223" s="36"/>
      <c r="MPD223" s="36"/>
      <c r="MPE223" s="36"/>
      <c r="MPF223" s="36"/>
      <c r="MPG223" s="36"/>
      <c r="MPH223" s="36"/>
      <c r="MPI223" s="36"/>
      <c r="MPJ223" s="36"/>
      <c r="MPK223" s="36"/>
      <c r="MPL223" s="36"/>
      <c r="MPM223" s="36"/>
      <c r="MPN223" s="36"/>
      <c r="MPO223" s="36"/>
      <c r="MPP223" s="36"/>
      <c r="MPQ223" s="36"/>
      <c r="MPR223" s="36"/>
      <c r="MPS223" s="36"/>
      <c r="MPT223" s="36"/>
      <c r="MPU223" s="36"/>
      <c r="MPV223" s="36"/>
      <c r="MPW223" s="36"/>
      <c r="MPX223" s="36"/>
      <c r="MPY223" s="36"/>
      <c r="MPZ223" s="36"/>
      <c r="MQA223" s="36"/>
      <c r="MQB223" s="36"/>
      <c r="MQC223" s="36"/>
      <c r="MQD223" s="36"/>
      <c r="MQE223" s="36"/>
      <c r="MQF223" s="36"/>
      <c r="MQG223" s="36"/>
      <c r="MQH223" s="36"/>
      <c r="MQI223" s="36"/>
      <c r="MQJ223" s="36"/>
      <c r="MQK223" s="36"/>
      <c r="MQL223" s="36"/>
      <c r="MQM223" s="36"/>
      <c r="MQN223" s="36"/>
      <c r="MQO223" s="36"/>
      <c r="MQP223" s="36"/>
      <c r="MQQ223" s="36"/>
      <c r="MQR223" s="36"/>
      <c r="MQS223" s="36"/>
      <c r="MQT223" s="36"/>
      <c r="MQU223" s="36"/>
      <c r="MQV223" s="36"/>
      <c r="MQW223" s="36"/>
      <c r="MQX223" s="36"/>
      <c r="MQY223" s="36"/>
      <c r="MQZ223" s="36"/>
      <c r="MRA223" s="36"/>
      <c r="MRB223" s="36"/>
      <c r="MRC223" s="36"/>
      <c r="MRD223" s="36"/>
      <c r="MRE223" s="36"/>
      <c r="MRF223" s="36"/>
      <c r="MRG223" s="36"/>
      <c r="MRH223" s="36"/>
      <c r="MRI223" s="36"/>
      <c r="MRJ223" s="36"/>
      <c r="MRK223" s="36"/>
      <c r="MRL223" s="36"/>
      <c r="MRM223" s="36"/>
      <c r="MRN223" s="36"/>
      <c r="MRO223" s="36"/>
      <c r="MRP223" s="36"/>
      <c r="MRQ223" s="36"/>
      <c r="MRR223" s="36"/>
      <c r="MRS223" s="36"/>
      <c r="MRT223" s="36"/>
      <c r="MRU223" s="36"/>
      <c r="MRV223" s="36"/>
      <c r="MRW223" s="36"/>
      <c r="MRX223" s="36"/>
      <c r="MRY223" s="36"/>
      <c r="MRZ223" s="36"/>
      <c r="MSA223" s="36"/>
      <c r="MSB223" s="36"/>
      <c r="MSC223" s="36"/>
      <c r="MSD223" s="36"/>
      <c r="MSE223" s="36"/>
      <c r="MSF223" s="36"/>
      <c r="MSG223" s="36"/>
      <c r="MSH223" s="36"/>
      <c r="MSI223" s="36"/>
      <c r="MSJ223" s="36"/>
      <c r="MSK223" s="36"/>
      <c r="MSL223" s="36"/>
      <c r="MSM223" s="36"/>
      <c r="MSN223" s="36"/>
      <c r="MSO223" s="36"/>
      <c r="MSP223" s="36"/>
      <c r="MSQ223" s="36"/>
      <c r="MSR223" s="36"/>
      <c r="MSS223" s="36"/>
      <c r="MST223" s="36"/>
      <c r="MSU223" s="36"/>
      <c r="MSV223" s="36"/>
      <c r="MSW223" s="36"/>
      <c r="MSX223" s="36"/>
      <c r="MSY223" s="36"/>
      <c r="MSZ223" s="36"/>
      <c r="MTA223" s="36"/>
      <c r="MTB223" s="36"/>
      <c r="MTC223" s="36"/>
      <c r="MTD223" s="36"/>
      <c r="MTE223" s="36"/>
      <c r="MTF223" s="36"/>
      <c r="MTG223" s="36"/>
      <c r="MTH223" s="36"/>
      <c r="MTI223" s="36"/>
      <c r="MTJ223" s="36"/>
      <c r="MTK223" s="36"/>
      <c r="MTL223" s="36"/>
      <c r="MTM223" s="36"/>
      <c r="MTN223" s="36"/>
      <c r="MTO223" s="36"/>
      <c r="MTP223" s="36"/>
      <c r="MTQ223" s="36"/>
      <c r="MTR223" s="36"/>
      <c r="MTS223" s="36"/>
      <c r="MTT223" s="36"/>
      <c r="MTU223" s="36"/>
      <c r="MTV223" s="36"/>
      <c r="MTW223" s="36"/>
      <c r="MTX223" s="36"/>
      <c r="MTY223" s="36"/>
      <c r="MTZ223" s="36"/>
      <c r="MUA223" s="36"/>
      <c r="MUB223" s="36"/>
      <c r="MUC223" s="36"/>
      <c r="MUD223" s="36"/>
      <c r="MUE223" s="36"/>
      <c r="MUF223" s="36"/>
      <c r="MUG223" s="36"/>
      <c r="MUH223" s="36"/>
      <c r="MUI223" s="36"/>
      <c r="MUJ223" s="36"/>
      <c r="MUK223" s="36"/>
      <c r="MUL223" s="36"/>
      <c r="MUM223" s="36"/>
      <c r="MUN223" s="36"/>
      <c r="MUO223" s="36"/>
      <c r="MUP223" s="36"/>
      <c r="MUQ223" s="36"/>
      <c r="MUR223" s="36"/>
      <c r="MUS223" s="36"/>
      <c r="MUT223" s="36"/>
      <c r="MUU223" s="36"/>
      <c r="MUV223" s="36"/>
      <c r="MUW223" s="36"/>
      <c r="MUX223" s="36"/>
      <c r="MUY223" s="36"/>
      <c r="MUZ223" s="36"/>
      <c r="MVA223" s="36"/>
      <c r="MVB223" s="36"/>
      <c r="MVC223" s="36"/>
      <c r="MVD223" s="36"/>
      <c r="MVE223" s="36"/>
      <c r="MVF223" s="36"/>
      <c r="MVG223" s="36"/>
      <c r="MVH223" s="36"/>
      <c r="MVI223" s="36"/>
      <c r="MVJ223" s="36"/>
      <c r="MVK223" s="36"/>
      <c r="MVL223" s="36"/>
      <c r="MVM223" s="36"/>
      <c r="MVN223" s="36"/>
      <c r="MVO223" s="36"/>
      <c r="MVP223" s="36"/>
      <c r="MVQ223" s="36"/>
      <c r="MVR223" s="36"/>
      <c r="MVS223" s="36"/>
      <c r="MVT223" s="36"/>
      <c r="MVU223" s="36"/>
      <c r="MVV223" s="36"/>
      <c r="MVW223" s="36"/>
      <c r="MVX223" s="36"/>
      <c r="MVY223" s="36"/>
      <c r="MVZ223" s="36"/>
      <c r="MWA223" s="36"/>
      <c r="MWB223" s="36"/>
      <c r="MWC223" s="36"/>
      <c r="MWD223" s="36"/>
      <c r="MWE223" s="36"/>
      <c r="MWF223" s="36"/>
      <c r="MWG223" s="36"/>
      <c r="MWH223" s="36"/>
      <c r="MWI223" s="36"/>
      <c r="MWJ223" s="36"/>
      <c r="MWK223" s="36"/>
      <c r="MWL223" s="36"/>
      <c r="MWM223" s="36"/>
      <c r="MWN223" s="36"/>
      <c r="MWO223" s="36"/>
      <c r="MWP223" s="36"/>
      <c r="MWQ223" s="36"/>
      <c r="MWR223" s="36"/>
      <c r="MWS223" s="36"/>
      <c r="MWT223" s="36"/>
      <c r="MWU223" s="36"/>
      <c r="MWV223" s="36"/>
      <c r="MWW223" s="36"/>
      <c r="MWX223" s="36"/>
      <c r="MWY223" s="36"/>
      <c r="MWZ223" s="36"/>
      <c r="MXA223" s="36"/>
      <c r="MXB223" s="36"/>
      <c r="MXC223" s="36"/>
      <c r="MXD223" s="36"/>
      <c r="MXE223" s="36"/>
      <c r="MXF223" s="36"/>
      <c r="MXG223" s="36"/>
      <c r="MXH223" s="36"/>
      <c r="MXI223" s="36"/>
      <c r="MXJ223" s="36"/>
      <c r="MXK223" s="36"/>
      <c r="MXL223" s="36"/>
      <c r="MXM223" s="36"/>
      <c r="MXN223" s="36"/>
      <c r="MXO223" s="36"/>
      <c r="MXP223" s="36"/>
      <c r="MXQ223" s="36"/>
      <c r="MXR223" s="36"/>
      <c r="MXS223" s="36"/>
      <c r="MXT223" s="36"/>
      <c r="MXU223" s="36"/>
      <c r="MXV223" s="36"/>
      <c r="MXW223" s="36"/>
      <c r="MXX223" s="36"/>
      <c r="MXY223" s="36"/>
      <c r="MXZ223" s="36"/>
      <c r="MYA223" s="36"/>
      <c r="MYB223" s="36"/>
      <c r="MYC223" s="36"/>
      <c r="MYD223" s="36"/>
      <c r="MYE223" s="36"/>
      <c r="MYF223" s="36"/>
      <c r="MYG223" s="36"/>
      <c r="MYH223" s="36"/>
      <c r="MYI223" s="36"/>
      <c r="MYJ223" s="36"/>
      <c r="MYK223" s="36"/>
      <c r="MYL223" s="36"/>
      <c r="MYM223" s="36"/>
      <c r="MYN223" s="36"/>
      <c r="MYO223" s="36"/>
      <c r="MYP223" s="36"/>
      <c r="MYQ223" s="36"/>
      <c r="MYR223" s="36"/>
      <c r="MYS223" s="36"/>
      <c r="MYT223" s="36"/>
      <c r="MYU223" s="36"/>
      <c r="MYV223" s="36"/>
      <c r="MYW223" s="36"/>
      <c r="MYX223" s="36"/>
      <c r="MYY223" s="36"/>
      <c r="MYZ223" s="36"/>
      <c r="MZA223" s="36"/>
      <c r="MZB223" s="36"/>
      <c r="MZC223" s="36"/>
      <c r="MZD223" s="36"/>
      <c r="MZE223" s="36"/>
      <c r="MZF223" s="36"/>
      <c r="MZG223" s="36"/>
      <c r="MZH223" s="36"/>
      <c r="MZI223" s="36"/>
      <c r="MZJ223" s="36"/>
      <c r="MZK223" s="36"/>
      <c r="MZL223" s="36"/>
      <c r="MZM223" s="36"/>
      <c r="MZN223" s="36"/>
      <c r="MZO223" s="36"/>
      <c r="MZP223" s="36"/>
      <c r="MZQ223" s="36"/>
      <c r="MZR223" s="36"/>
      <c r="MZS223" s="36"/>
      <c r="MZT223" s="36"/>
      <c r="MZU223" s="36"/>
      <c r="MZV223" s="36"/>
      <c r="MZW223" s="36"/>
      <c r="MZX223" s="36"/>
      <c r="MZY223" s="36"/>
      <c r="MZZ223" s="36"/>
      <c r="NAA223" s="36"/>
      <c r="NAB223" s="36"/>
      <c r="NAC223" s="36"/>
      <c r="NAD223" s="36"/>
      <c r="NAE223" s="36"/>
      <c r="NAF223" s="36"/>
      <c r="NAG223" s="36"/>
      <c r="NAH223" s="36"/>
      <c r="NAI223" s="36"/>
      <c r="NAJ223" s="36"/>
      <c r="NAK223" s="36"/>
      <c r="NAL223" s="36"/>
      <c r="NAM223" s="36"/>
      <c r="NAN223" s="36"/>
      <c r="NAO223" s="36"/>
      <c r="NAP223" s="36"/>
      <c r="NAQ223" s="36"/>
      <c r="NAR223" s="36"/>
      <c r="NAS223" s="36"/>
      <c r="NAT223" s="36"/>
      <c r="NAU223" s="36"/>
      <c r="NAV223" s="36"/>
      <c r="NAW223" s="36"/>
      <c r="NAX223" s="36"/>
      <c r="NAY223" s="36"/>
      <c r="NAZ223" s="36"/>
      <c r="NBA223" s="36"/>
      <c r="NBB223" s="36"/>
      <c r="NBC223" s="36"/>
      <c r="NBD223" s="36"/>
      <c r="NBE223" s="36"/>
      <c r="NBF223" s="36"/>
      <c r="NBG223" s="36"/>
      <c r="NBH223" s="36"/>
      <c r="NBI223" s="36"/>
      <c r="NBJ223" s="36"/>
      <c r="NBK223" s="36"/>
      <c r="NBL223" s="36"/>
      <c r="NBM223" s="36"/>
      <c r="NBN223" s="36"/>
      <c r="NBO223" s="36"/>
      <c r="NBP223" s="36"/>
      <c r="NBQ223" s="36"/>
      <c r="NBR223" s="36"/>
      <c r="NBS223" s="36"/>
      <c r="NBT223" s="36"/>
      <c r="NBU223" s="36"/>
      <c r="NBV223" s="36"/>
      <c r="NBW223" s="36"/>
      <c r="NBX223" s="36"/>
      <c r="NBY223" s="36"/>
      <c r="NBZ223" s="36"/>
      <c r="NCA223" s="36"/>
      <c r="NCB223" s="36"/>
      <c r="NCC223" s="36"/>
      <c r="NCD223" s="36"/>
      <c r="NCE223" s="36"/>
      <c r="NCF223" s="36"/>
      <c r="NCG223" s="36"/>
      <c r="NCH223" s="36"/>
      <c r="NCI223" s="36"/>
      <c r="NCJ223" s="36"/>
      <c r="NCK223" s="36"/>
      <c r="NCL223" s="36"/>
      <c r="NCM223" s="36"/>
      <c r="NCN223" s="36"/>
      <c r="NCO223" s="36"/>
      <c r="NCP223" s="36"/>
      <c r="NCQ223" s="36"/>
      <c r="NCR223" s="36"/>
      <c r="NCS223" s="36"/>
      <c r="NCT223" s="36"/>
      <c r="NCU223" s="36"/>
      <c r="NCV223" s="36"/>
      <c r="NCW223" s="36"/>
      <c r="NCX223" s="36"/>
      <c r="NCY223" s="36"/>
      <c r="NCZ223" s="36"/>
      <c r="NDA223" s="36"/>
      <c r="NDB223" s="36"/>
      <c r="NDC223" s="36"/>
      <c r="NDD223" s="36"/>
      <c r="NDE223" s="36"/>
      <c r="NDF223" s="36"/>
      <c r="NDG223" s="36"/>
      <c r="NDH223" s="36"/>
      <c r="NDI223" s="36"/>
      <c r="NDJ223" s="36"/>
      <c r="NDK223" s="36"/>
      <c r="NDL223" s="36"/>
      <c r="NDM223" s="36"/>
      <c r="NDN223" s="36"/>
      <c r="NDO223" s="36"/>
      <c r="NDP223" s="36"/>
      <c r="NDQ223" s="36"/>
      <c r="NDR223" s="36"/>
      <c r="NDS223" s="36"/>
      <c r="NDT223" s="36"/>
      <c r="NDU223" s="36"/>
      <c r="NDV223" s="36"/>
      <c r="NDW223" s="36"/>
      <c r="NDX223" s="36"/>
      <c r="NDY223" s="36"/>
      <c r="NDZ223" s="36"/>
      <c r="NEA223" s="36"/>
      <c r="NEB223" s="36"/>
      <c r="NEC223" s="36"/>
      <c r="NED223" s="36"/>
      <c r="NEE223" s="36"/>
      <c r="NEF223" s="36"/>
      <c r="NEG223" s="36"/>
      <c r="NEH223" s="36"/>
      <c r="NEI223" s="36"/>
      <c r="NEJ223" s="36"/>
      <c r="NEK223" s="36"/>
      <c r="NEL223" s="36"/>
      <c r="NEM223" s="36"/>
      <c r="NEN223" s="36"/>
      <c r="NEO223" s="36"/>
      <c r="NEP223" s="36"/>
      <c r="NEQ223" s="36"/>
      <c r="NER223" s="36"/>
      <c r="NES223" s="36"/>
      <c r="NET223" s="36"/>
      <c r="NEU223" s="36"/>
      <c r="NEV223" s="36"/>
      <c r="NEW223" s="36"/>
      <c r="NEX223" s="36"/>
      <c r="NEY223" s="36"/>
      <c r="NEZ223" s="36"/>
      <c r="NFA223" s="36"/>
      <c r="NFB223" s="36"/>
      <c r="NFC223" s="36"/>
      <c r="NFD223" s="36"/>
      <c r="NFE223" s="36"/>
      <c r="NFF223" s="36"/>
      <c r="NFG223" s="36"/>
      <c r="NFH223" s="36"/>
      <c r="NFI223" s="36"/>
      <c r="NFJ223" s="36"/>
      <c r="NFK223" s="36"/>
      <c r="NFL223" s="36"/>
      <c r="NFM223" s="36"/>
      <c r="NFN223" s="36"/>
      <c r="NFO223" s="36"/>
      <c r="NFP223" s="36"/>
      <c r="NFQ223" s="36"/>
      <c r="NFR223" s="36"/>
      <c r="NFS223" s="36"/>
      <c r="NFT223" s="36"/>
      <c r="NFU223" s="36"/>
      <c r="NFV223" s="36"/>
      <c r="NFW223" s="36"/>
      <c r="NFX223" s="36"/>
      <c r="NFY223" s="36"/>
      <c r="NFZ223" s="36"/>
      <c r="NGA223" s="36"/>
      <c r="NGB223" s="36"/>
      <c r="NGC223" s="36"/>
      <c r="NGD223" s="36"/>
      <c r="NGE223" s="36"/>
      <c r="NGF223" s="36"/>
      <c r="NGG223" s="36"/>
      <c r="NGH223" s="36"/>
      <c r="NGI223" s="36"/>
      <c r="NGJ223" s="36"/>
      <c r="NGK223" s="36"/>
      <c r="NGL223" s="36"/>
      <c r="NGM223" s="36"/>
      <c r="NGN223" s="36"/>
      <c r="NGO223" s="36"/>
      <c r="NGP223" s="36"/>
      <c r="NGQ223" s="36"/>
      <c r="NGR223" s="36"/>
      <c r="NGS223" s="36"/>
      <c r="NGT223" s="36"/>
      <c r="NGU223" s="36"/>
      <c r="NGV223" s="36"/>
      <c r="NGW223" s="36"/>
      <c r="NGX223" s="36"/>
      <c r="NGY223" s="36"/>
      <c r="NGZ223" s="36"/>
      <c r="NHA223" s="36"/>
      <c r="NHB223" s="36"/>
      <c r="NHC223" s="36"/>
      <c r="NHD223" s="36"/>
      <c r="NHE223" s="36"/>
      <c r="NHF223" s="36"/>
      <c r="NHG223" s="36"/>
      <c r="NHH223" s="36"/>
      <c r="NHI223" s="36"/>
      <c r="NHJ223" s="36"/>
      <c r="NHK223" s="36"/>
      <c r="NHL223" s="36"/>
      <c r="NHM223" s="36"/>
      <c r="NHN223" s="36"/>
      <c r="NHO223" s="36"/>
      <c r="NHP223" s="36"/>
      <c r="NHQ223" s="36"/>
      <c r="NHR223" s="36"/>
      <c r="NHS223" s="36"/>
      <c r="NHT223" s="36"/>
      <c r="NHU223" s="36"/>
      <c r="NHV223" s="36"/>
      <c r="NHW223" s="36"/>
      <c r="NHX223" s="36"/>
      <c r="NHY223" s="36"/>
      <c r="NHZ223" s="36"/>
      <c r="NIA223" s="36"/>
      <c r="NIB223" s="36"/>
      <c r="NIC223" s="36"/>
      <c r="NID223" s="36"/>
      <c r="NIE223" s="36"/>
      <c r="NIF223" s="36"/>
      <c r="NIG223" s="36"/>
      <c r="NIH223" s="36"/>
      <c r="NII223" s="36"/>
      <c r="NIJ223" s="36"/>
      <c r="NIK223" s="36"/>
      <c r="NIL223" s="36"/>
      <c r="NIM223" s="36"/>
      <c r="NIN223" s="36"/>
      <c r="NIO223" s="36"/>
      <c r="NIP223" s="36"/>
      <c r="NIQ223" s="36"/>
      <c r="NIR223" s="36"/>
      <c r="NIS223" s="36"/>
      <c r="NIT223" s="36"/>
      <c r="NIU223" s="36"/>
      <c r="NIV223" s="36"/>
      <c r="NIW223" s="36"/>
      <c r="NIX223" s="36"/>
      <c r="NIY223" s="36"/>
      <c r="NIZ223" s="36"/>
      <c r="NJA223" s="36"/>
      <c r="NJB223" s="36"/>
      <c r="NJC223" s="36"/>
      <c r="NJD223" s="36"/>
      <c r="NJE223" s="36"/>
      <c r="NJF223" s="36"/>
      <c r="NJG223" s="36"/>
      <c r="NJH223" s="36"/>
      <c r="NJI223" s="36"/>
      <c r="NJJ223" s="36"/>
      <c r="NJK223" s="36"/>
      <c r="NJL223" s="36"/>
      <c r="NJM223" s="36"/>
      <c r="NJN223" s="36"/>
      <c r="NJO223" s="36"/>
      <c r="NJP223" s="36"/>
      <c r="NJQ223" s="36"/>
      <c r="NJR223" s="36"/>
      <c r="NJS223" s="36"/>
      <c r="NJT223" s="36"/>
      <c r="NJU223" s="36"/>
      <c r="NJV223" s="36"/>
      <c r="NJW223" s="36"/>
      <c r="NJX223" s="36"/>
      <c r="NJY223" s="36"/>
      <c r="NJZ223" s="36"/>
      <c r="NKA223" s="36"/>
      <c r="NKB223" s="36"/>
      <c r="NKC223" s="36"/>
      <c r="NKD223" s="36"/>
      <c r="NKE223" s="36"/>
      <c r="NKF223" s="36"/>
      <c r="NKG223" s="36"/>
      <c r="NKH223" s="36"/>
      <c r="NKI223" s="36"/>
      <c r="NKJ223" s="36"/>
      <c r="NKK223" s="36"/>
      <c r="NKL223" s="36"/>
      <c r="NKM223" s="36"/>
      <c r="NKN223" s="36"/>
      <c r="NKO223" s="36"/>
      <c r="NKP223" s="36"/>
      <c r="NKQ223" s="36"/>
      <c r="NKR223" s="36"/>
      <c r="NKS223" s="36"/>
      <c r="NKT223" s="36"/>
      <c r="NKU223" s="36"/>
      <c r="NKV223" s="36"/>
      <c r="NKW223" s="36"/>
      <c r="NKX223" s="36"/>
      <c r="NKY223" s="36"/>
      <c r="NKZ223" s="36"/>
      <c r="NLA223" s="36"/>
      <c r="NLB223" s="36"/>
      <c r="NLC223" s="36"/>
      <c r="NLD223" s="36"/>
      <c r="NLE223" s="36"/>
      <c r="NLF223" s="36"/>
      <c r="NLG223" s="36"/>
      <c r="NLH223" s="36"/>
      <c r="NLI223" s="36"/>
      <c r="NLJ223" s="36"/>
      <c r="NLK223" s="36"/>
      <c r="NLL223" s="36"/>
      <c r="NLM223" s="36"/>
      <c r="NLN223" s="36"/>
      <c r="NLO223" s="36"/>
      <c r="NLP223" s="36"/>
      <c r="NLQ223" s="36"/>
      <c r="NLR223" s="36"/>
      <c r="NLS223" s="36"/>
      <c r="NLT223" s="36"/>
      <c r="NLU223" s="36"/>
      <c r="NLV223" s="36"/>
      <c r="NLW223" s="36"/>
      <c r="NLX223" s="36"/>
      <c r="NLY223" s="36"/>
      <c r="NLZ223" s="36"/>
      <c r="NMA223" s="36"/>
      <c r="NMB223" s="36"/>
      <c r="NMC223" s="36"/>
      <c r="NMD223" s="36"/>
      <c r="NME223" s="36"/>
      <c r="NMF223" s="36"/>
      <c r="NMG223" s="36"/>
      <c r="NMH223" s="36"/>
      <c r="NMI223" s="36"/>
      <c r="NMJ223" s="36"/>
      <c r="NMK223" s="36"/>
      <c r="NML223" s="36"/>
      <c r="NMM223" s="36"/>
      <c r="NMN223" s="36"/>
      <c r="NMO223" s="36"/>
      <c r="NMP223" s="36"/>
      <c r="NMQ223" s="36"/>
      <c r="NMR223" s="36"/>
      <c r="NMS223" s="36"/>
      <c r="NMT223" s="36"/>
      <c r="NMU223" s="36"/>
      <c r="NMV223" s="36"/>
      <c r="NMW223" s="36"/>
      <c r="NMX223" s="36"/>
      <c r="NMY223" s="36"/>
      <c r="NMZ223" s="36"/>
      <c r="NNA223" s="36"/>
      <c r="NNB223" s="36"/>
      <c r="NNC223" s="36"/>
      <c r="NND223" s="36"/>
      <c r="NNE223" s="36"/>
      <c r="NNF223" s="36"/>
      <c r="NNG223" s="36"/>
      <c r="NNH223" s="36"/>
      <c r="NNI223" s="36"/>
      <c r="NNJ223" s="36"/>
      <c r="NNK223" s="36"/>
      <c r="NNL223" s="36"/>
      <c r="NNM223" s="36"/>
      <c r="NNN223" s="36"/>
      <c r="NNO223" s="36"/>
      <c r="NNP223" s="36"/>
      <c r="NNQ223" s="36"/>
      <c r="NNR223" s="36"/>
      <c r="NNS223" s="36"/>
      <c r="NNT223" s="36"/>
      <c r="NNU223" s="36"/>
      <c r="NNV223" s="36"/>
      <c r="NNW223" s="36"/>
      <c r="NNX223" s="36"/>
      <c r="NNY223" s="36"/>
      <c r="NNZ223" s="36"/>
      <c r="NOA223" s="36"/>
      <c r="NOB223" s="36"/>
      <c r="NOC223" s="36"/>
      <c r="NOD223" s="36"/>
      <c r="NOE223" s="36"/>
      <c r="NOF223" s="36"/>
      <c r="NOG223" s="36"/>
      <c r="NOH223" s="36"/>
      <c r="NOI223" s="36"/>
      <c r="NOJ223" s="36"/>
      <c r="NOK223" s="36"/>
      <c r="NOL223" s="36"/>
      <c r="NOM223" s="36"/>
      <c r="NON223" s="36"/>
      <c r="NOO223" s="36"/>
      <c r="NOP223" s="36"/>
      <c r="NOQ223" s="36"/>
      <c r="NOR223" s="36"/>
      <c r="NOS223" s="36"/>
      <c r="NOT223" s="36"/>
      <c r="NOU223" s="36"/>
      <c r="NOV223" s="36"/>
      <c r="NOW223" s="36"/>
      <c r="NOX223" s="36"/>
      <c r="NOY223" s="36"/>
      <c r="NOZ223" s="36"/>
      <c r="NPA223" s="36"/>
      <c r="NPB223" s="36"/>
      <c r="NPC223" s="36"/>
      <c r="NPD223" s="36"/>
      <c r="NPE223" s="36"/>
      <c r="NPF223" s="36"/>
      <c r="NPG223" s="36"/>
      <c r="NPH223" s="36"/>
      <c r="NPI223" s="36"/>
      <c r="NPJ223" s="36"/>
      <c r="NPK223" s="36"/>
      <c r="NPL223" s="36"/>
      <c r="NPM223" s="36"/>
      <c r="NPN223" s="36"/>
      <c r="NPO223" s="36"/>
      <c r="NPP223" s="36"/>
      <c r="NPQ223" s="36"/>
      <c r="NPR223" s="36"/>
      <c r="NPS223" s="36"/>
      <c r="NPT223" s="36"/>
      <c r="NPU223" s="36"/>
      <c r="NPV223" s="36"/>
      <c r="NPW223" s="36"/>
      <c r="NPX223" s="36"/>
      <c r="NPY223" s="36"/>
      <c r="NPZ223" s="36"/>
      <c r="NQA223" s="36"/>
      <c r="NQB223" s="36"/>
      <c r="NQC223" s="36"/>
      <c r="NQD223" s="36"/>
      <c r="NQE223" s="36"/>
      <c r="NQF223" s="36"/>
      <c r="NQG223" s="36"/>
      <c r="NQH223" s="36"/>
      <c r="NQI223" s="36"/>
      <c r="NQJ223" s="36"/>
      <c r="NQK223" s="36"/>
      <c r="NQL223" s="36"/>
      <c r="NQM223" s="36"/>
      <c r="NQN223" s="36"/>
      <c r="NQO223" s="36"/>
      <c r="NQP223" s="36"/>
      <c r="NQQ223" s="36"/>
      <c r="NQR223" s="36"/>
      <c r="NQS223" s="36"/>
      <c r="NQT223" s="36"/>
      <c r="NQU223" s="36"/>
      <c r="NQV223" s="36"/>
      <c r="NQW223" s="36"/>
      <c r="NQX223" s="36"/>
      <c r="NQY223" s="36"/>
      <c r="NQZ223" s="36"/>
      <c r="NRA223" s="36"/>
      <c r="NRB223" s="36"/>
      <c r="NRC223" s="36"/>
      <c r="NRD223" s="36"/>
      <c r="NRE223" s="36"/>
      <c r="NRF223" s="36"/>
      <c r="NRG223" s="36"/>
      <c r="NRH223" s="36"/>
      <c r="NRI223" s="36"/>
      <c r="NRJ223" s="36"/>
      <c r="NRK223" s="36"/>
      <c r="NRL223" s="36"/>
      <c r="NRM223" s="36"/>
      <c r="NRN223" s="36"/>
      <c r="NRO223" s="36"/>
      <c r="NRP223" s="36"/>
      <c r="NRQ223" s="36"/>
      <c r="NRR223" s="36"/>
      <c r="NRS223" s="36"/>
      <c r="NRT223" s="36"/>
      <c r="NRU223" s="36"/>
      <c r="NRV223" s="36"/>
      <c r="NRW223" s="36"/>
      <c r="NRX223" s="36"/>
      <c r="NRY223" s="36"/>
      <c r="NRZ223" s="36"/>
      <c r="NSA223" s="36"/>
      <c r="NSB223" s="36"/>
      <c r="NSC223" s="36"/>
      <c r="NSD223" s="36"/>
      <c r="NSE223" s="36"/>
      <c r="NSF223" s="36"/>
      <c r="NSG223" s="36"/>
      <c r="NSH223" s="36"/>
      <c r="NSI223" s="36"/>
      <c r="NSJ223" s="36"/>
      <c r="NSK223" s="36"/>
      <c r="NSL223" s="36"/>
      <c r="NSM223" s="36"/>
      <c r="NSN223" s="36"/>
      <c r="NSO223" s="36"/>
      <c r="NSP223" s="36"/>
      <c r="NSQ223" s="36"/>
      <c r="NSR223" s="36"/>
      <c r="NSS223" s="36"/>
      <c r="NST223" s="36"/>
      <c r="NSU223" s="36"/>
      <c r="NSV223" s="36"/>
      <c r="NSW223" s="36"/>
      <c r="NSX223" s="36"/>
      <c r="NSY223" s="36"/>
      <c r="NSZ223" s="36"/>
      <c r="NTA223" s="36"/>
      <c r="NTB223" s="36"/>
      <c r="NTC223" s="36"/>
      <c r="NTD223" s="36"/>
      <c r="NTE223" s="36"/>
      <c r="NTF223" s="36"/>
      <c r="NTG223" s="36"/>
      <c r="NTH223" s="36"/>
      <c r="NTI223" s="36"/>
      <c r="NTJ223" s="36"/>
      <c r="NTK223" s="36"/>
      <c r="NTL223" s="36"/>
      <c r="NTM223" s="36"/>
      <c r="NTN223" s="36"/>
      <c r="NTO223" s="36"/>
      <c r="NTP223" s="36"/>
      <c r="NTQ223" s="36"/>
      <c r="NTR223" s="36"/>
      <c r="NTS223" s="36"/>
      <c r="NTT223" s="36"/>
      <c r="NTU223" s="36"/>
      <c r="NTV223" s="36"/>
      <c r="NTW223" s="36"/>
      <c r="NTX223" s="36"/>
      <c r="NTY223" s="36"/>
      <c r="NTZ223" s="36"/>
      <c r="NUA223" s="36"/>
      <c r="NUB223" s="36"/>
      <c r="NUC223" s="36"/>
      <c r="NUD223" s="36"/>
      <c r="NUE223" s="36"/>
      <c r="NUF223" s="36"/>
      <c r="NUG223" s="36"/>
      <c r="NUH223" s="36"/>
      <c r="NUI223" s="36"/>
      <c r="NUJ223" s="36"/>
      <c r="NUK223" s="36"/>
      <c r="NUL223" s="36"/>
      <c r="NUM223" s="36"/>
      <c r="NUN223" s="36"/>
      <c r="NUO223" s="36"/>
      <c r="NUP223" s="36"/>
      <c r="NUQ223" s="36"/>
      <c r="NUR223" s="36"/>
      <c r="NUS223" s="36"/>
      <c r="NUT223" s="36"/>
      <c r="NUU223" s="36"/>
      <c r="NUV223" s="36"/>
      <c r="NUW223" s="36"/>
      <c r="NUX223" s="36"/>
      <c r="NUY223" s="36"/>
      <c r="NUZ223" s="36"/>
      <c r="NVA223" s="36"/>
      <c r="NVB223" s="36"/>
      <c r="NVC223" s="36"/>
      <c r="NVD223" s="36"/>
      <c r="NVE223" s="36"/>
      <c r="NVF223" s="36"/>
      <c r="NVG223" s="36"/>
      <c r="NVH223" s="36"/>
      <c r="NVI223" s="36"/>
      <c r="NVJ223" s="36"/>
      <c r="NVK223" s="36"/>
      <c r="NVL223" s="36"/>
      <c r="NVM223" s="36"/>
      <c r="NVN223" s="36"/>
      <c r="NVO223" s="36"/>
      <c r="NVP223" s="36"/>
      <c r="NVQ223" s="36"/>
      <c r="NVR223" s="36"/>
      <c r="NVS223" s="36"/>
      <c r="NVT223" s="36"/>
      <c r="NVU223" s="36"/>
      <c r="NVV223" s="36"/>
      <c r="NVW223" s="36"/>
      <c r="NVX223" s="36"/>
      <c r="NVY223" s="36"/>
      <c r="NVZ223" s="36"/>
      <c r="NWA223" s="36"/>
      <c r="NWB223" s="36"/>
      <c r="NWC223" s="36"/>
      <c r="NWD223" s="36"/>
      <c r="NWE223" s="36"/>
      <c r="NWF223" s="36"/>
      <c r="NWG223" s="36"/>
      <c r="NWH223" s="36"/>
      <c r="NWI223" s="36"/>
      <c r="NWJ223" s="36"/>
      <c r="NWK223" s="36"/>
      <c r="NWL223" s="36"/>
      <c r="NWM223" s="36"/>
      <c r="NWN223" s="36"/>
      <c r="NWO223" s="36"/>
      <c r="NWP223" s="36"/>
      <c r="NWQ223" s="36"/>
      <c r="NWR223" s="36"/>
      <c r="NWS223" s="36"/>
      <c r="NWT223" s="36"/>
      <c r="NWU223" s="36"/>
      <c r="NWV223" s="36"/>
      <c r="NWW223" s="36"/>
      <c r="NWX223" s="36"/>
      <c r="NWY223" s="36"/>
      <c r="NWZ223" s="36"/>
      <c r="NXA223" s="36"/>
      <c r="NXB223" s="36"/>
      <c r="NXC223" s="36"/>
      <c r="NXD223" s="36"/>
      <c r="NXE223" s="36"/>
      <c r="NXF223" s="36"/>
      <c r="NXG223" s="36"/>
      <c r="NXH223" s="36"/>
      <c r="NXI223" s="36"/>
      <c r="NXJ223" s="36"/>
      <c r="NXK223" s="36"/>
      <c r="NXL223" s="36"/>
      <c r="NXM223" s="36"/>
      <c r="NXN223" s="36"/>
      <c r="NXO223" s="36"/>
      <c r="NXP223" s="36"/>
      <c r="NXQ223" s="36"/>
      <c r="NXR223" s="36"/>
      <c r="NXS223" s="36"/>
      <c r="NXT223" s="36"/>
      <c r="NXU223" s="36"/>
      <c r="NXV223" s="36"/>
      <c r="NXW223" s="36"/>
      <c r="NXX223" s="36"/>
      <c r="NXY223" s="36"/>
      <c r="NXZ223" s="36"/>
      <c r="NYA223" s="36"/>
      <c r="NYB223" s="36"/>
      <c r="NYC223" s="36"/>
      <c r="NYD223" s="36"/>
      <c r="NYE223" s="36"/>
      <c r="NYF223" s="36"/>
      <c r="NYG223" s="36"/>
      <c r="NYH223" s="36"/>
      <c r="NYI223" s="36"/>
      <c r="NYJ223" s="36"/>
      <c r="NYK223" s="36"/>
      <c r="NYL223" s="36"/>
      <c r="NYM223" s="36"/>
      <c r="NYN223" s="36"/>
      <c r="NYO223" s="36"/>
      <c r="NYP223" s="36"/>
      <c r="NYQ223" s="36"/>
      <c r="NYR223" s="36"/>
      <c r="NYS223" s="36"/>
      <c r="NYT223" s="36"/>
      <c r="NYU223" s="36"/>
      <c r="NYV223" s="36"/>
      <c r="NYW223" s="36"/>
      <c r="NYX223" s="36"/>
      <c r="NYY223" s="36"/>
      <c r="NYZ223" s="36"/>
      <c r="NZA223" s="36"/>
      <c r="NZB223" s="36"/>
      <c r="NZC223" s="36"/>
      <c r="NZD223" s="36"/>
      <c r="NZE223" s="36"/>
      <c r="NZF223" s="36"/>
      <c r="NZG223" s="36"/>
      <c r="NZH223" s="36"/>
      <c r="NZI223" s="36"/>
      <c r="NZJ223" s="36"/>
      <c r="NZK223" s="36"/>
      <c r="NZL223" s="36"/>
      <c r="NZM223" s="36"/>
      <c r="NZN223" s="36"/>
      <c r="NZO223" s="36"/>
      <c r="NZP223" s="36"/>
      <c r="NZQ223" s="36"/>
      <c r="NZR223" s="36"/>
      <c r="NZS223" s="36"/>
      <c r="NZT223" s="36"/>
      <c r="NZU223" s="36"/>
      <c r="NZV223" s="36"/>
      <c r="NZW223" s="36"/>
      <c r="NZX223" s="36"/>
      <c r="NZY223" s="36"/>
      <c r="NZZ223" s="36"/>
      <c r="OAA223" s="36"/>
      <c r="OAB223" s="36"/>
      <c r="OAC223" s="36"/>
      <c r="OAD223" s="36"/>
      <c r="OAE223" s="36"/>
      <c r="OAF223" s="36"/>
      <c r="OAG223" s="36"/>
      <c r="OAH223" s="36"/>
      <c r="OAI223" s="36"/>
      <c r="OAJ223" s="36"/>
      <c r="OAK223" s="36"/>
      <c r="OAL223" s="36"/>
      <c r="OAM223" s="36"/>
      <c r="OAN223" s="36"/>
      <c r="OAO223" s="36"/>
      <c r="OAP223" s="36"/>
      <c r="OAQ223" s="36"/>
      <c r="OAR223" s="36"/>
      <c r="OAS223" s="36"/>
      <c r="OAT223" s="36"/>
      <c r="OAU223" s="36"/>
      <c r="OAV223" s="36"/>
      <c r="OAW223" s="36"/>
      <c r="OAX223" s="36"/>
      <c r="OAY223" s="36"/>
      <c r="OAZ223" s="36"/>
      <c r="OBA223" s="36"/>
      <c r="OBB223" s="36"/>
      <c r="OBC223" s="36"/>
      <c r="OBD223" s="36"/>
      <c r="OBE223" s="36"/>
      <c r="OBF223" s="36"/>
      <c r="OBG223" s="36"/>
      <c r="OBH223" s="36"/>
      <c r="OBI223" s="36"/>
      <c r="OBJ223" s="36"/>
      <c r="OBK223" s="36"/>
      <c r="OBL223" s="36"/>
      <c r="OBM223" s="36"/>
      <c r="OBN223" s="36"/>
      <c r="OBO223" s="36"/>
      <c r="OBP223" s="36"/>
      <c r="OBQ223" s="36"/>
      <c r="OBR223" s="36"/>
      <c r="OBS223" s="36"/>
      <c r="OBT223" s="36"/>
      <c r="OBU223" s="36"/>
      <c r="OBV223" s="36"/>
      <c r="OBW223" s="36"/>
      <c r="OBX223" s="36"/>
      <c r="OBY223" s="36"/>
      <c r="OBZ223" s="36"/>
      <c r="OCA223" s="36"/>
      <c r="OCB223" s="36"/>
      <c r="OCC223" s="36"/>
      <c r="OCD223" s="36"/>
      <c r="OCE223" s="36"/>
      <c r="OCF223" s="36"/>
      <c r="OCG223" s="36"/>
      <c r="OCH223" s="36"/>
      <c r="OCI223" s="36"/>
      <c r="OCJ223" s="36"/>
      <c r="OCK223" s="36"/>
      <c r="OCL223" s="36"/>
      <c r="OCM223" s="36"/>
      <c r="OCN223" s="36"/>
      <c r="OCO223" s="36"/>
      <c r="OCP223" s="36"/>
      <c r="OCQ223" s="36"/>
      <c r="OCR223" s="36"/>
      <c r="OCS223" s="36"/>
      <c r="OCT223" s="36"/>
      <c r="OCU223" s="36"/>
      <c r="OCV223" s="36"/>
      <c r="OCW223" s="36"/>
      <c r="OCX223" s="36"/>
      <c r="OCY223" s="36"/>
      <c r="OCZ223" s="36"/>
      <c r="ODA223" s="36"/>
      <c r="ODB223" s="36"/>
      <c r="ODC223" s="36"/>
      <c r="ODD223" s="36"/>
      <c r="ODE223" s="36"/>
      <c r="ODF223" s="36"/>
      <c r="ODG223" s="36"/>
      <c r="ODH223" s="36"/>
      <c r="ODI223" s="36"/>
      <c r="ODJ223" s="36"/>
      <c r="ODK223" s="36"/>
      <c r="ODL223" s="36"/>
      <c r="ODM223" s="36"/>
      <c r="ODN223" s="36"/>
      <c r="ODO223" s="36"/>
      <c r="ODP223" s="36"/>
      <c r="ODQ223" s="36"/>
      <c r="ODR223" s="36"/>
      <c r="ODS223" s="36"/>
      <c r="ODT223" s="36"/>
      <c r="ODU223" s="36"/>
      <c r="ODV223" s="36"/>
      <c r="ODW223" s="36"/>
      <c r="ODX223" s="36"/>
      <c r="ODY223" s="36"/>
      <c r="ODZ223" s="36"/>
      <c r="OEA223" s="36"/>
      <c r="OEB223" s="36"/>
      <c r="OEC223" s="36"/>
      <c r="OED223" s="36"/>
      <c r="OEE223" s="36"/>
      <c r="OEF223" s="36"/>
      <c r="OEG223" s="36"/>
      <c r="OEH223" s="36"/>
      <c r="OEI223" s="36"/>
      <c r="OEJ223" s="36"/>
      <c r="OEK223" s="36"/>
      <c r="OEL223" s="36"/>
      <c r="OEM223" s="36"/>
      <c r="OEN223" s="36"/>
      <c r="OEO223" s="36"/>
      <c r="OEP223" s="36"/>
      <c r="OEQ223" s="36"/>
      <c r="OER223" s="36"/>
      <c r="OES223" s="36"/>
      <c r="OET223" s="36"/>
      <c r="OEU223" s="36"/>
      <c r="OEV223" s="36"/>
      <c r="OEW223" s="36"/>
      <c r="OEX223" s="36"/>
      <c r="OEY223" s="36"/>
      <c r="OEZ223" s="36"/>
      <c r="OFA223" s="36"/>
      <c r="OFB223" s="36"/>
      <c r="OFC223" s="36"/>
      <c r="OFD223" s="36"/>
      <c r="OFE223" s="36"/>
      <c r="OFF223" s="36"/>
      <c r="OFG223" s="36"/>
      <c r="OFH223" s="36"/>
      <c r="OFI223" s="36"/>
      <c r="OFJ223" s="36"/>
      <c r="OFK223" s="36"/>
      <c r="OFL223" s="36"/>
      <c r="OFM223" s="36"/>
      <c r="OFN223" s="36"/>
      <c r="OFO223" s="36"/>
      <c r="OFP223" s="36"/>
      <c r="OFQ223" s="36"/>
      <c r="OFR223" s="36"/>
      <c r="OFS223" s="36"/>
      <c r="OFT223" s="36"/>
      <c r="OFU223" s="36"/>
      <c r="OFV223" s="36"/>
      <c r="OFW223" s="36"/>
      <c r="OFX223" s="36"/>
      <c r="OFY223" s="36"/>
      <c r="OFZ223" s="36"/>
      <c r="OGA223" s="36"/>
      <c r="OGB223" s="36"/>
      <c r="OGC223" s="36"/>
      <c r="OGD223" s="36"/>
      <c r="OGE223" s="36"/>
      <c r="OGF223" s="36"/>
      <c r="OGG223" s="36"/>
      <c r="OGH223" s="36"/>
      <c r="OGI223" s="36"/>
      <c r="OGJ223" s="36"/>
      <c r="OGK223" s="36"/>
      <c r="OGL223" s="36"/>
      <c r="OGM223" s="36"/>
      <c r="OGN223" s="36"/>
      <c r="OGO223" s="36"/>
      <c r="OGP223" s="36"/>
      <c r="OGQ223" s="36"/>
      <c r="OGR223" s="36"/>
      <c r="OGS223" s="36"/>
      <c r="OGT223" s="36"/>
      <c r="OGU223" s="36"/>
      <c r="OGV223" s="36"/>
      <c r="OGW223" s="36"/>
      <c r="OGX223" s="36"/>
      <c r="OGY223" s="36"/>
      <c r="OGZ223" s="36"/>
      <c r="OHA223" s="36"/>
      <c r="OHB223" s="36"/>
      <c r="OHC223" s="36"/>
      <c r="OHD223" s="36"/>
      <c r="OHE223" s="36"/>
      <c r="OHF223" s="36"/>
      <c r="OHG223" s="36"/>
      <c r="OHH223" s="36"/>
      <c r="OHI223" s="36"/>
      <c r="OHJ223" s="36"/>
      <c r="OHK223" s="36"/>
      <c r="OHL223" s="36"/>
      <c r="OHM223" s="36"/>
      <c r="OHN223" s="36"/>
      <c r="OHO223" s="36"/>
      <c r="OHP223" s="36"/>
      <c r="OHQ223" s="36"/>
      <c r="OHR223" s="36"/>
      <c r="OHS223" s="36"/>
      <c r="OHT223" s="36"/>
      <c r="OHU223" s="36"/>
      <c r="OHV223" s="36"/>
      <c r="OHW223" s="36"/>
      <c r="OHX223" s="36"/>
      <c r="OHY223" s="36"/>
      <c r="OHZ223" s="36"/>
      <c r="OIA223" s="36"/>
      <c r="OIB223" s="36"/>
      <c r="OIC223" s="36"/>
      <c r="OID223" s="36"/>
      <c r="OIE223" s="36"/>
      <c r="OIF223" s="36"/>
      <c r="OIG223" s="36"/>
      <c r="OIH223" s="36"/>
      <c r="OII223" s="36"/>
      <c r="OIJ223" s="36"/>
      <c r="OIK223" s="36"/>
      <c r="OIL223" s="36"/>
      <c r="OIM223" s="36"/>
      <c r="OIN223" s="36"/>
      <c r="OIO223" s="36"/>
      <c r="OIP223" s="36"/>
      <c r="OIQ223" s="36"/>
      <c r="OIR223" s="36"/>
      <c r="OIS223" s="36"/>
      <c r="OIT223" s="36"/>
      <c r="OIU223" s="36"/>
      <c r="OIV223" s="36"/>
      <c r="OIW223" s="36"/>
      <c r="OIX223" s="36"/>
      <c r="OIY223" s="36"/>
      <c r="OIZ223" s="36"/>
      <c r="OJA223" s="36"/>
      <c r="OJB223" s="36"/>
      <c r="OJC223" s="36"/>
      <c r="OJD223" s="36"/>
      <c r="OJE223" s="36"/>
      <c r="OJF223" s="36"/>
      <c r="OJG223" s="36"/>
      <c r="OJH223" s="36"/>
      <c r="OJI223" s="36"/>
      <c r="OJJ223" s="36"/>
      <c r="OJK223" s="36"/>
      <c r="OJL223" s="36"/>
      <c r="OJM223" s="36"/>
      <c r="OJN223" s="36"/>
      <c r="OJO223" s="36"/>
      <c r="OJP223" s="36"/>
      <c r="OJQ223" s="36"/>
      <c r="OJR223" s="36"/>
      <c r="OJS223" s="36"/>
      <c r="OJT223" s="36"/>
      <c r="OJU223" s="36"/>
      <c r="OJV223" s="36"/>
      <c r="OJW223" s="36"/>
      <c r="OJX223" s="36"/>
      <c r="OJY223" s="36"/>
      <c r="OJZ223" s="36"/>
      <c r="OKA223" s="36"/>
      <c r="OKB223" s="36"/>
      <c r="OKC223" s="36"/>
      <c r="OKD223" s="36"/>
      <c r="OKE223" s="36"/>
      <c r="OKF223" s="36"/>
      <c r="OKG223" s="36"/>
      <c r="OKH223" s="36"/>
      <c r="OKI223" s="36"/>
      <c r="OKJ223" s="36"/>
      <c r="OKK223" s="36"/>
      <c r="OKL223" s="36"/>
      <c r="OKM223" s="36"/>
      <c r="OKN223" s="36"/>
      <c r="OKO223" s="36"/>
      <c r="OKP223" s="36"/>
      <c r="OKQ223" s="36"/>
      <c r="OKR223" s="36"/>
      <c r="OKS223" s="36"/>
      <c r="OKT223" s="36"/>
      <c r="OKU223" s="36"/>
      <c r="OKV223" s="36"/>
      <c r="OKW223" s="36"/>
      <c r="OKX223" s="36"/>
      <c r="OKY223" s="36"/>
      <c r="OKZ223" s="36"/>
      <c r="OLA223" s="36"/>
      <c r="OLB223" s="36"/>
      <c r="OLC223" s="36"/>
      <c r="OLD223" s="36"/>
      <c r="OLE223" s="36"/>
      <c r="OLF223" s="36"/>
      <c r="OLG223" s="36"/>
      <c r="OLH223" s="36"/>
      <c r="OLI223" s="36"/>
      <c r="OLJ223" s="36"/>
      <c r="OLK223" s="36"/>
      <c r="OLL223" s="36"/>
      <c r="OLM223" s="36"/>
      <c r="OLN223" s="36"/>
      <c r="OLO223" s="36"/>
      <c r="OLP223" s="36"/>
      <c r="OLQ223" s="36"/>
      <c r="OLR223" s="36"/>
      <c r="OLS223" s="36"/>
      <c r="OLT223" s="36"/>
      <c r="OLU223" s="36"/>
      <c r="OLV223" s="36"/>
      <c r="OLW223" s="36"/>
      <c r="OLX223" s="36"/>
      <c r="OLY223" s="36"/>
      <c r="OLZ223" s="36"/>
      <c r="OMA223" s="36"/>
      <c r="OMB223" s="36"/>
      <c r="OMC223" s="36"/>
      <c r="OMD223" s="36"/>
      <c r="OME223" s="36"/>
      <c r="OMF223" s="36"/>
      <c r="OMG223" s="36"/>
      <c r="OMH223" s="36"/>
      <c r="OMI223" s="36"/>
      <c r="OMJ223" s="36"/>
      <c r="OMK223" s="36"/>
      <c r="OML223" s="36"/>
      <c r="OMM223" s="36"/>
      <c r="OMN223" s="36"/>
      <c r="OMO223" s="36"/>
      <c r="OMP223" s="36"/>
      <c r="OMQ223" s="36"/>
      <c r="OMR223" s="36"/>
      <c r="OMS223" s="36"/>
      <c r="OMT223" s="36"/>
      <c r="OMU223" s="36"/>
      <c r="OMV223" s="36"/>
      <c r="OMW223" s="36"/>
      <c r="OMX223" s="36"/>
      <c r="OMY223" s="36"/>
      <c r="OMZ223" s="36"/>
      <c r="ONA223" s="36"/>
      <c r="ONB223" s="36"/>
      <c r="ONC223" s="36"/>
      <c r="OND223" s="36"/>
      <c r="ONE223" s="36"/>
      <c r="ONF223" s="36"/>
      <c r="ONG223" s="36"/>
      <c r="ONH223" s="36"/>
      <c r="ONI223" s="36"/>
      <c r="ONJ223" s="36"/>
      <c r="ONK223" s="36"/>
      <c r="ONL223" s="36"/>
      <c r="ONM223" s="36"/>
      <c r="ONN223" s="36"/>
      <c r="ONO223" s="36"/>
      <c r="ONP223" s="36"/>
      <c r="ONQ223" s="36"/>
      <c r="ONR223" s="36"/>
      <c r="ONS223" s="36"/>
      <c r="ONT223" s="36"/>
      <c r="ONU223" s="36"/>
      <c r="ONV223" s="36"/>
      <c r="ONW223" s="36"/>
      <c r="ONX223" s="36"/>
      <c r="ONY223" s="36"/>
      <c r="ONZ223" s="36"/>
      <c r="OOA223" s="36"/>
      <c r="OOB223" s="36"/>
      <c r="OOC223" s="36"/>
      <c r="OOD223" s="36"/>
      <c r="OOE223" s="36"/>
      <c r="OOF223" s="36"/>
      <c r="OOG223" s="36"/>
      <c r="OOH223" s="36"/>
      <c r="OOI223" s="36"/>
      <c r="OOJ223" s="36"/>
      <c r="OOK223" s="36"/>
      <c r="OOL223" s="36"/>
      <c r="OOM223" s="36"/>
      <c r="OON223" s="36"/>
      <c r="OOO223" s="36"/>
      <c r="OOP223" s="36"/>
      <c r="OOQ223" s="36"/>
      <c r="OOR223" s="36"/>
      <c r="OOS223" s="36"/>
      <c r="OOT223" s="36"/>
      <c r="OOU223" s="36"/>
      <c r="OOV223" s="36"/>
      <c r="OOW223" s="36"/>
      <c r="OOX223" s="36"/>
      <c r="OOY223" s="36"/>
      <c r="OOZ223" s="36"/>
      <c r="OPA223" s="36"/>
      <c r="OPB223" s="36"/>
      <c r="OPC223" s="36"/>
      <c r="OPD223" s="36"/>
      <c r="OPE223" s="36"/>
      <c r="OPF223" s="36"/>
      <c r="OPG223" s="36"/>
      <c r="OPH223" s="36"/>
      <c r="OPI223" s="36"/>
      <c r="OPJ223" s="36"/>
      <c r="OPK223" s="36"/>
      <c r="OPL223" s="36"/>
      <c r="OPM223" s="36"/>
      <c r="OPN223" s="36"/>
      <c r="OPO223" s="36"/>
      <c r="OPP223" s="36"/>
      <c r="OPQ223" s="36"/>
      <c r="OPR223" s="36"/>
      <c r="OPS223" s="36"/>
      <c r="OPT223" s="36"/>
      <c r="OPU223" s="36"/>
      <c r="OPV223" s="36"/>
      <c r="OPW223" s="36"/>
      <c r="OPX223" s="36"/>
      <c r="OPY223" s="36"/>
      <c r="OPZ223" s="36"/>
      <c r="OQA223" s="36"/>
      <c r="OQB223" s="36"/>
      <c r="OQC223" s="36"/>
      <c r="OQD223" s="36"/>
      <c r="OQE223" s="36"/>
      <c r="OQF223" s="36"/>
      <c r="OQG223" s="36"/>
      <c r="OQH223" s="36"/>
      <c r="OQI223" s="36"/>
      <c r="OQJ223" s="36"/>
      <c r="OQK223" s="36"/>
      <c r="OQL223" s="36"/>
      <c r="OQM223" s="36"/>
      <c r="OQN223" s="36"/>
      <c r="OQO223" s="36"/>
      <c r="OQP223" s="36"/>
      <c r="OQQ223" s="36"/>
      <c r="OQR223" s="36"/>
      <c r="OQS223" s="36"/>
      <c r="OQT223" s="36"/>
      <c r="OQU223" s="36"/>
      <c r="OQV223" s="36"/>
      <c r="OQW223" s="36"/>
      <c r="OQX223" s="36"/>
      <c r="OQY223" s="36"/>
      <c r="OQZ223" s="36"/>
      <c r="ORA223" s="36"/>
      <c r="ORB223" s="36"/>
      <c r="ORC223" s="36"/>
      <c r="ORD223" s="36"/>
      <c r="ORE223" s="36"/>
      <c r="ORF223" s="36"/>
      <c r="ORG223" s="36"/>
      <c r="ORH223" s="36"/>
      <c r="ORI223" s="36"/>
      <c r="ORJ223" s="36"/>
      <c r="ORK223" s="36"/>
      <c r="ORL223" s="36"/>
      <c r="ORM223" s="36"/>
      <c r="ORN223" s="36"/>
      <c r="ORO223" s="36"/>
      <c r="ORP223" s="36"/>
      <c r="ORQ223" s="36"/>
      <c r="ORR223" s="36"/>
      <c r="ORS223" s="36"/>
      <c r="ORT223" s="36"/>
      <c r="ORU223" s="36"/>
      <c r="ORV223" s="36"/>
      <c r="ORW223" s="36"/>
      <c r="ORX223" s="36"/>
      <c r="ORY223" s="36"/>
      <c r="ORZ223" s="36"/>
      <c r="OSA223" s="36"/>
      <c r="OSB223" s="36"/>
      <c r="OSC223" s="36"/>
      <c r="OSD223" s="36"/>
      <c r="OSE223" s="36"/>
      <c r="OSF223" s="36"/>
      <c r="OSG223" s="36"/>
      <c r="OSH223" s="36"/>
      <c r="OSI223" s="36"/>
      <c r="OSJ223" s="36"/>
      <c r="OSK223" s="36"/>
      <c r="OSL223" s="36"/>
      <c r="OSM223" s="36"/>
      <c r="OSN223" s="36"/>
      <c r="OSO223" s="36"/>
      <c r="OSP223" s="36"/>
      <c r="OSQ223" s="36"/>
      <c r="OSR223" s="36"/>
      <c r="OSS223" s="36"/>
      <c r="OST223" s="36"/>
      <c r="OSU223" s="36"/>
      <c r="OSV223" s="36"/>
      <c r="OSW223" s="36"/>
      <c r="OSX223" s="36"/>
      <c r="OSY223" s="36"/>
      <c r="OSZ223" s="36"/>
      <c r="OTA223" s="36"/>
      <c r="OTB223" s="36"/>
      <c r="OTC223" s="36"/>
      <c r="OTD223" s="36"/>
      <c r="OTE223" s="36"/>
      <c r="OTF223" s="36"/>
      <c r="OTG223" s="36"/>
      <c r="OTH223" s="36"/>
      <c r="OTI223" s="36"/>
      <c r="OTJ223" s="36"/>
      <c r="OTK223" s="36"/>
      <c r="OTL223" s="36"/>
      <c r="OTM223" s="36"/>
      <c r="OTN223" s="36"/>
      <c r="OTO223" s="36"/>
      <c r="OTP223" s="36"/>
      <c r="OTQ223" s="36"/>
      <c r="OTR223" s="36"/>
      <c r="OTS223" s="36"/>
      <c r="OTT223" s="36"/>
      <c r="OTU223" s="36"/>
      <c r="OTV223" s="36"/>
      <c r="OTW223" s="36"/>
      <c r="OTX223" s="36"/>
      <c r="OTY223" s="36"/>
      <c r="OTZ223" s="36"/>
      <c r="OUA223" s="36"/>
      <c r="OUB223" s="36"/>
      <c r="OUC223" s="36"/>
      <c r="OUD223" s="36"/>
      <c r="OUE223" s="36"/>
      <c r="OUF223" s="36"/>
      <c r="OUG223" s="36"/>
      <c r="OUH223" s="36"/>
      <c r="OUI223" s="36"/>
      <c r="OUJ223" s="36"/>
      <c r="OUK223" s="36"/>
      <c r="OUL223" s="36"/>
      <c r="OUM223" s="36"/>
      <c r="OUN223" s="36"/>
      <c r="OUO223" s="36"/>
      <c r="OUP223" s="36"/>
      <c r="OUQ223" s="36"/>
      <c r="OUR223" s="36"/>
      <c r="OUS223" s="36"/>
      <c r="OUT223" s="36"/>
      <c r="OUU223" s="36"/>
      <c r="OUV223" s="36"/>
      <c r="OUW223" s="36"/>
      <c r="OUX223" s="36"/>
      <c r="OUY223" s="36"/>
      <c r="OUZ223" s="36"/>
      <c r="OVA223" s="36"/>
      <c r="OVB223" s="36"/>
      <c r="OVC223" s="36"/>
      <c r="OVD223" s="36"/>
      <c r="OVE223" s="36"/>
      <c r="OVF223" s="36"/>
      <c r="OVG223" s="36"/>
      <c r="OVH223" s="36"/>
      <c r="OVI223" s="36"/>
      <c r="OVJ223" s="36"/>
      <c r="OVK223" s="36"/>
      <c r="OVL223" s="36"/>
      <c r="OVM223" s="36"/>
      <c r="OVN223" s="36"/>
      <c r="OVO223" s="36"/>
      <c r="OVP223" s="36"/>
      <c r="OVQ223" s="36"/>
      <c r="OVR223" s="36"/>
      <c r="OVS223" s="36"/>
      <c r="OVT223" s="36"/>
      <c r="OVU223" s="36"/>
      <c r="OVV223" s="36"/>
      <c r="OVW223" s="36"/>
      <c r="OVX223" s="36"/>
      <c r="OVY223" s="36"/>
      <c r="OVZ223" s="36"/>
      <c r="OWA223" s="36"/>
      <c r="OWB223" s="36"/>
      <c r="OWC223" s="36"/>
      <c r="OWD223" s="36"/>
      <c r="OWE223" s="36"/>
      <c r="OWF223" s="36"/>
      <c r="OWG223" s="36"/>
      <c r="OWH223" s="36"/>
      <c r="OWI223" s="36"/>
      <c r="OWJ223" s="36"/>
      <c r="OWK223" s="36"/>
      <c r="OWL223" s="36"/>
      <c r="OWM223" s="36"/>
      <c r="OWN223" s="36"/>
      <c r="OWO223" s="36"/>
      <c r="OWP223" s="36"/>
      <c r="OWQ223" s="36"/>
      <c r="OWR223" s="36"/>
      <c r="OWS223" s="36"/>
      <c r="OWT223" s="36"/>
      <c r="OWU223" s="36"/>
      <c r="OWV223" s="36"/>
      <c r="OWW223" s="36"/>
      <c r="OWX223" s="36"/>
      <c r="OWY223" s="36"/>
      <c r="OWZ223" s="36"/>
      <c r="OXA223" s="36"/>
      <c r="OXB223" s="36"/>
      <c r="OXC223" s="36"/>
      <c r="OXD223" s="36"/>
      <c r="OXE223" s="36"/>
      <c r="OXF223" s="36"/>
      <c r="OXG223" s="36"/>
      <c r="OXH223" s="36"/>
      <c r="OXI223" s="36"/>
      <c r="OXJ223" s="36"/>
      <c r="OXK223" s="36"/>
      <c r="OXL223" s="36"/>
      <c r="OXM223" s="36"/>
      <c r="OXN223" s="36"/>
      <c r="OXO223" s="36"/>
      <c r="OXP223" s="36"/>
      <c r="OXQ223" s="36"/>
      <c r="OXR223" s="36"/>
      <c r="OXS223" s="36"/>
      <c r="OXT223" s="36"/>
      <c r="OXU223" s="36"/>
      <c r="OXV223" s="36"/>
      <c r="OXW223" s="36"/>
      <c r="OXX223" s="36"/>
      <c r="OXY223" s="36"/>
      <c r="OXZ223" s="36"/>
      <c r="OYA223" s="36"/>
      <c r="OYB223" s="36"/>
      <c r="OYC223" s="36"/>
      <c r="OYD223" s="36"/>
      <c r="OYE223" s="36"/>
      <c r="OYF223" s="36"/>
      <c r="OYG223" s="36"/>
      <c r="OYH223" s="36"/>
      <c r="OYI223" s="36"/>
      <c r="OYJ223" s="36"/>
      <c r="OYK223" s="36"/>
      <c r="OYL223" s="36"/>
      <c r="OYM223" s="36"/>
      <c r="OYN223" s="36"/>
      <c r="OYO223" s="36"/>
      <c r="OYP223" s="36"/>
      <c r="OYQ223" s="36"/>
      <c r="OYR223" s="36"/>
      <c r="OYS223" s="36"/>
      <c r="OYT223" s="36"/>
      <c r="OYU223" s="36"/>
      <c r="OYV223" s="36"/>
      <c r="OYW223" s="36"/>
      <c r="OYX223" s="36"/>
      <c r="OYY223" s="36"/>
      <c r="OYZ223" s="36"/>
      <c r="OZA223" s="36"/>
      <c r="OZB223" s="36"/>
      <c r="OZC223" s="36"/>
      <c r="OZD223" s="36"/>
      <c r="OZE223" s="36"/>
      <c r="OZF223" s="36"/>
      <c r="OZG223" s="36"/>
      <c r="OZH223" s="36"/>
      <c r="OZI223" s="36"/>
      <c r="OZJ223" s="36"/>
      <c r="OZK223" s="36"/>
      <c r="OZL223" s="36"/>
      <c r="OZM223" s="36"/>
      <c r="OZN223" s="36"/>
      <c r="OZO223" s="36"/>
      <c r="OZP223" s="36"/>
      <c r="OZQ223" s="36"/>
      <c r="OZR223" s="36"/>
      <c r="OZS223" s="36"/>
      <c r="OZT223" s="36"/>
      <c r="OZU223" s="36"/>
      <c r="OZV223" s="36"/>
      <c r="OZW223" s="36"/>
      <c r="OZX223" s="36"/>
      <c r="OZY223" s="36"/>
      <c r="OZZ223" s="36"/>
      <c r="PAA223" s="36"/>
      <c r="PAB223" s="36"/>
      <c r="PAC223" s="36"/>
      <c r="PAD223" s="36"/>
      <c r="PAE223" s="36"/>
      <c r="PAF223" s="36"/>
      <c r="PAG223" s="36"/>
      <c r="PAH223" s="36"/>
      <c r="PAI223" s="36"/>
      <c r="PAJ223" s="36"/>
      <c r="PAK223" s="36"/>
      <c r="PAL223" s="36"/>
      <c r="PAM223" s="36"/>
      <c r="PAN223" s="36"/>
      <c r="PAO223" s="36"/>
      <c r="PAP223" s="36"/>
      <c r="PAQ223" s="36"/>
      <c r="PAR223" s="36"/>
      <c r="PAS223" s="36"/>
      <c r="PAT223" s="36"/>
      <c r="PAU223" s="36"/>
      <c r="PAV223" s="36"/>
      <c r="PAW223" s="36"/>
      <c r="PAX223" s="36"/>
      <c r="PAY223" s="36"/>
      <c r="PAZ223" s="36"/>
      <c r="PBA223" s="36"/>
      <c r="PBB223" s="36"/>
      <c r="PBC223" s="36"/>
      <c r="PBD223" s="36"/>
      <c r="PBE223" s="36"/>
      <c r="PBF223" s="36"/>
      <c r="PBG223" s="36"/>
      <c r="PBH223" s="36"/>
      <c r="PBI223" s="36"/>
      <c r="PBJ223" s="36"/>
      <c r="PBK223" s="36"/>
      <c r="PBL223" s="36"/>
      <c r="PBM223" s="36"/>
      <c r="PBN223" s="36"/>
      <c r="PBO223" s="36"/>
      <c r="PBP223" s="36"/>
      <c r="PBQ223" s="36"/>
      <c r="PBR223" s="36"/>
      <c r="PBS223" s="36"/>
      <c r="PBT223" s="36"/>
      <c r="PBU223" s="36"/>
      <c r="PBV223" s="36"/>
      <c r="PBW223" s="36"/>
      <c r="PBX223" s="36"/>
      <c r="PBY223" s="36"/>
      <c r="PBZ223" s="36"/>
      <c r="PCA223" s="36"/>
      <c r="PCB223" s="36"/>
      <c r="PCC223" s="36"/>
      <c r="PCD223" s="36"/>
      <c r="PCE223" s="36"/>
      <c r="PCF223" s="36"/>
      <c r="PCG223" s="36"/>
      <c r="PCH223" s="36"/>
      <c r="PCI223" s="36"/>
      <c r="PCJ223" s="36"/>
      <c r="PCK223" s="36"/>
      <c r="PCL223" s="36"/>
      <c r="PCM223" s="36"/>
      <c r="PCN223" s="36"/>
      <c r="PCO223" s="36"/>
      <c r="PCP223" s="36"/>
      <c r="PCQ223" s="36"/>
      <c r="PCR223" s="36"/>
      <c r="PCS223" s="36"/>
      <c r="PCT223" s="36"/>
      <c r="PCU223" s="36"/>
      <c r="PCV223" s="36"/>
      <c r="PCW223" s="36"/>
      <c r="PCX223" s="36"/>
      <c r="PCY223" s="36"/>
      <c r="PCZ223" s="36"/>
      <c r="PDA223" s="36"/>
      <c r="PDB223" s="36"/>
      <c r="PDC223" s="36"/>
      <c r="PDD223" s="36"/>
      <c r="PDE223" s="36"/>
      <c r="PDF223" s="36"/>
      <c r="PDG223" s="36"/>
      <c r="PDH223" s="36"/>
      <c r="PDI223" s="36"/>
      <c r="PDJ223" s="36"/>
      <c r="PDK223" s="36"/>
      <c r="PDL223" s="36"/>
      <c r="PDM223" s="36"/>
      <c r="PDN223" s="36"/>
      <c r="PDO223" s="36"/>
      <c r="PDP223" s="36"/>
      <c r="PDQ223" s="36"/>
      <c r="PDR223" s="36"/>
      <c r="PDS223" s="36"/>
      <c r="PDT223" s="36"/>
      <c r="PDU223" s="36"/>
      <c r="PDV223" s="36"/>
      <c r="PDW223" s="36"/>
      <c r="PDX223" s="36"/>
      <c r="PDY223" s="36"/>
      <c r="PDZ223" s="36"/>
      <c r="PEA223" s="36"/>
      <c r="PEB223" s="36"/>
      <c r="PEC223" s="36"/>
      <c r="PED223" s="36"/>
      <c r="PEE223" s="36"/>
      <c r="PEF223" s="36"/>
      <c r="PEG223" s="36"/>
      <c r="PEH223" s="36"/>
      <c r="PEI223" s="36"/>
      <c r="PEJ223" s="36"/>
      <c r="PEK223" s="36"/>
      <c r="PEL223" s="36"/>
      <c r="PEM223" s="36"/>
      <c r="PEN223" s="36"/>
      <c r="PEO223" s="36"/>
      <c r="PEP223" s="36"/>
      <c r="PEQ223" s="36"/>
      <c r="PER223" s="36"/>
      <c r="PES223" s="36"/>
      <c r="PET223" s="36"/>
      <c r="PEU223" s="36"/>
      <c r="PEV223" s="36"/>
      <c r="PEW223" s="36"/>
      <c r="PEX223" s="36"/>
      <c r="PEY223" s="36"/>
      <c r="PEZ223" s="36"/>
      <c r="PFA223" s="36"/>
      <c r="PFB223" s="36"/>
      <c r="PFC223" s="36"/>
      <c r="PFD223" s="36"/>
      <c r="PFE223" s="36"/>
      <c r="PFF223" s="36"/>
      <c r="PFG223" s="36"/>
      <c r="PFH223" s="36"/>
      <c r="PFI223" s="36"/>
      <c r="PFJ223" s="36"/>
      <c r="PFK223" s="36"/>
      <c r="PFL223" s="36"/>
      <c r="PFM223" s="36"/>
      <c r="PFN223" s="36"/>
      <c r="PFO223" s="36"/>
      <c r="PFP223" s="36"/>
      <c r="PFQ223" s="36"/>
      <c r="PFR223" s="36"/>
      <c r="PFS223" s="36"/>
      <c r="PFT223" s="36"/>
      <c r="PFU223" s="36"/>
      <c r="PFV223" s="36"/>
      <c r="PFW223" s="36"/>
      <c r="PFX223" s="36"/>
      <c r="PFY223" s="36"/>
      <c r="PFZ223" s="36"/>
      <c r="PGA223" s="36"/>
      <c r="PGB223" s="36"/>
      <c r="PGC223" s="36"/>
      <c r="PGD223" s="36"/>
      <c r="PGE223" s="36"/>
      <c r="PGF223" s="36"/>
      <c r="PGG223" s="36"/>
      <c r="PGH223" s="36"/>
      <c r="PGI223" s="36"/>
      <c r="PGJ223" s="36"/>
      <c r="PGK223" s="36"/>
      <c r="PGL223" s="36"/>
      <c r="PGM223" s="36"/>
      <c r="PGN223" s="36"/>
      <c r="PGO223" s="36"/>
      <c r="PGP223" s="36"/>
      <c r="PGQ223" s="36"/>
      <c r="PGR223" s="36"/>
      <c r="PGS223" s="36"/>
      <c r="PGT223" s="36"/>
      <c r="PGU223" s="36"/>
      <c r="PGV223" s="36"/>
      <c r="PGW223" s="36"/>
      <c r="PGX223" s="36"/>
      <c r="PGY223" s="36"/>
      <c r="PGZ223" s="36"/>
      <c r="PHA223" s="36"/>
      <c r="PHB223" s="36"/>
      <c r="PHC223" s="36"/>
      <c r="PHD223" s="36"/>
      <c r="PHE223" s="36"/>
      <c r="PHF223" s="36"/>
      <c r="PHG223" s="36"/>
      <c r="PHH223" s="36"/>
      <c r="PHI223" s="36"/>
      <c r="PHJ223" s="36"/>
      <c r="PHK223" s="36"/>
      <c r="PHL223" s="36"/>
      <c r="PHM223" s="36"/>
      <c r="PHN223" s="36"/>
      <c r="PHO223" s="36"/>
      <c r="PHP223" s="36"/>
      <c r="PHQ223" s="36"/>
      <c r="PHR223" s="36"/>
      <c r="PHS223" s="36"/>
      <c r="PHT223" s="36"/>
      <c r="PHU223" s="36"/>
      <c r="PHV223" s="36"/>
      <c r="PHW223" s="36"/>
      <c r="PHX223" s="36"/>
      <c r="PHY223" s="36"/>
      <c r="PHZ223" s="36"/>
      <c r="PIA223" s="36"/>
      <c r="PIB223" s="36"/>
      <c r="PIC223" s="36"/>
      <c r="PID223" s="36"/>
      <c r="PIE223" s="36"/>
      <c r="PIF223" s="36"/>
      <c r="PIG223" s="36"/>
      <c r="PIH223" s="36"/>
      <c r="PII223" s="36"/>
      <c r="PIJ223" s="36"/>
      <c r="PIK223" s="36"/>
      <c r="PIL223" s="36"/>
      <c r="PIM223" s="36"/>
      <c r="PIN223" s="36"/>
      <c r="PIO223" s="36"/>
      <c r="PIP223" s="36"/>
      <c r="PIQ223" s="36"/>
      <c r="PIR223" s="36"/>
      <c r="PIS223" s="36"/>
      <c r="PIT223" s="36"/>
      <c r="PIU223" s="36"/>
      <c r="PIV223" s="36"/>
      <c r="PIW223" s="36"/>
      <c r="PIX223" s="36"/>
      <c r="PIY223" s="36"/>
      <c r="PIZ223" s="36"/>
      <c r="PJA223" s="36"/>
      <c r="PJB223" s="36"/>
      <c r="PJC223" s="36"/>
      <c r="PJD223" s="36"/>
      <c r="PJE223" s="36"/>
      <c r="PJF223" s="36"/>
      <c r="PJG223" s="36"/>
      <c r="PJH223" s="36"/>
      <c r="PJI223" s="36"/>
      <c r="PJJ223" s="36"/>
      <c r="PJK223" s="36"/>
      <c r="PJL223" s="36"/>
      <c r="PJM223" s="36"/>
      <c r="PJN223" s="36"/>
      <c r="PJO223" s="36"/>
      <c r="PJP223" s="36"/>
      <c r="PJQ223" s="36"/>
      <c r="PJR223" s="36"/>
      <c r="PJS223" s="36"/>
      <c r="PJT223" s="36"/>
      <c r="PJU223" s="36"/>
      <c r="PJV223" s="36"/>
      <c r="PJW223" s="36"/>
      <c r="PJX223" s="36"/>
      <c r="PJY223" s="36"/>
      <c r="PJZ223" s="36"/>
      <c r="PKA223" s="36"/>
      <c r="PKB223" s="36"/>
      <c r="PKC223" s="36"/>
      <c r="PKD223" s="36"/>
      <c r="PKE223" s="36"/>
      <c r="PKF223" s="36"/>
      <c r="PKG223" s="36"/>
      <c r="PKH223" s="36"/>
      <c r="PKI223" s="36"/>
      <c r="PKJ223" s="36"/>
      <c r="PKK223" s="36"/>
      <c r="PKL223" s="36"/>
      <c r="PKM223" s="36"/>
      <c r="PKN223" s="36"/>
      <c r="PKO223" s="36"/>
      <c r="PKP223" s="36"/>
      <c r="PKQ223" s="36"/>
      <c r="PKR223" s="36"/>
      <c r="PKS223" s="36"/>
      <c r="PKT223" s="36"/>
      <c r="PKU223" s="36"/>
      <c r="PKV223" s="36"/>
      <c r="PKW223" s="36"/>
      <c r="PKX223" s="36"/>
      <c r="PKY223" s="36"/>
      <c r="PKZ223" s="36"/>
      <c r="PLA223" s="36"/>
      <c r="PLB223" s="36"/>
      <c r="PLC223" s="36"/>
      <c r="PLD223" s="36"/>
      <c r="PLE223" s="36"/>
      <c r="PLF223" s="36"/>
      <c r="PLG223" s="36"/>
      <c r="PLH223" s="36"/>
      <c r="PLI223" s="36"/>
      <c r="PLJ223" s="36"/>
      <c r="PLK223" s="36"/>
      <c r="PLL223" s="36"/>
      <c r="PLM223" s="36"/>
      <c r="PLN223" s="36"/>
      <c r="PLO223" s="36"/>
      <c r="PLP223" s="36"/>
      <c r="PLQ223" s="36"/>
      <c r="PLR223" s="36"/>
      <c r="PLS223" s="36"/>
      <c r="PLT223" s="36"/>
      <c r="PLU223" s="36"/>
      <c r="PLV223" s="36"/>
      <c r="PLW223" s="36"/>
      <c r="PLX223" s="36"/>
      <c r="PLY223" s="36"/>
      <c r="PLZ223" s="36"/>
      <c r="PMA223" s="36"/>
      <c r="PMB223" s="36"/>
      <c r="PMC223" s="36"/>
      <c r="PMD223" s="36"/>
      <c r="PME223" s="36"/>
      <c r="PMF223" s="36"/>
      <c r="PMG223" s="36"/>
      <c r="PMH223" s="36"/>
      <c r="PMI223" s="36"/>
      <c r="PMJ223" s="36"/>
      <c r="PMK223" s="36"/>
      <c r="PML223" s="36"/>
      <c r="PMM223" s="36"/>
      <c r="PMN223" s="36"/>
      <c r="PMO223" s="36"/>
      <c r="PMP223" s="36"/>
      <c r="PMQ223" s="36"/>
      <c r="PMR223" s="36"/>
      <c r="PMS223" s="36"/>
      <c r="PMT223" s="36"/>
      <c r="PMU223" s="36"/>
      <c r="PMV223" s="36"/>
      <c r="PMW223" s="36"/>
      <c r="PMX223" s="36"/>
      <c r="PMY223" s="36"/>
      <c r="PMZ223" s="36"/>
      <c r="PNA223" s="36"/>
      <c r="PNB223" s="36"/>
      <c r="PNC223" s="36"/>
      <c r="PND223" s="36"/>
      <c r="PNE223" s="36"/>
      <c r="PNF223" s="36"/>
      <c r="PNG223" s="36"/>
      <c r="PNH223" s="36"/>
      <c r="PNI223" s="36"/>
      <c r="PNJ223" s="36"/>
      <c r="PNK223" s="36"/>
      <c r="PNL223" s="36"/>
      <c r="PNM223" s="36"/>
      <c r="PNN223" s="36"/>
      <c r="PNO223" s="36"/>
      <c r="PNP223" s="36"/>
      <c r="PNQ223" s="36"/>
      <c r="PNR223" s="36"/>
      <c r="PNS223" s="36"/>
      <c r="PNT223" s="36"/>
      <c r="PNU223" s="36"/>
      <c r="PNV223" s="36"/>
      <c r="PNW223" s="36"/>
      <c r="PNX223" s="36"/>
      <c r="PNY223" s="36"/>
      <c r="PNZ223" s="36"/>
      <c r="POA223" s="36"/>
      <c r="POB223" s="36"/>
      <c r="POC223" s="36"/>
      <c r="POD223" s="36"/>
      <c r="POE223" s="36"/>
      <c r="POF223" s="36"/>
      <c r="POG223" s="36"/>
      <c r="POH223" s="36"/>
      <c r="POI223" s="36"/>
      <c r="POJ223" s="36"/>
      <c r="POK223" s="36"/>
      <c r="POL223" s="36"/>
      <c r="POM223" s="36"/>
      <c r="PON223" s="36"/>
      <c r="POO223" s="36"/>
      <c r="POP223" s="36"/>
      <c r="POQ223" s="36"/>
      <c r="POR223" s="36"/>
      <c r="POS223" s="36"/>
      <c r="POT223" s="36"/>
      <c r="POU223" s="36"/>
      <c r="POV223" s="36"/>
      <c r="POW223" s="36"/>
      <c r="POX223" s="36"/>
      <c r="POY223" s="36"/>
      <c r="POZ223" s="36"/>
      <c r="PPA223" s="36"/>
      <c r="PPB223" s="36"/>
      <c r="PPC223" s="36"/>
      <c r="PPD223" s="36"/>
      <c r="PPE223" s="36"/>
      <c r="PPF223" s="36"/>
      <c r="PPG223" s="36"/>
      <c r="PPH223" s="36"/>
      <c r="PPI223" s="36"/>
      <c r="PPJ223" s="36"/>
      <c r="PPK223" s="36"/>
      <c r="PPL223" s="36"/>
      <c r="PPM223" s="36"/>
      <c r="PPN223" s="36"/>
      <c r="PPO223" s="36"/>
      <c r="PPP223" s="36"/>
      <c r="PPQ223" s="36"/>
      <c r="PPR223" s="36"/>
      <c r="PPS223" s="36"/>
      <c r="PPT223" s="36"/>
      <c r="PPU223" s="36"/>
      <c r="PPV223" s="36"/>
      <c r="PPW223" s="36"/>
      <c r="PPX223" s="36"/>
      <c r="PPY223" s="36"/>
      <c r="PPZ223" s="36"/>
      <c r="PQA223" s="36"/>
      <c r="PQB223" s="36"/>
      <c r="PQC223" s="36"/>
      <c r="PQD223" s="36"/>
      <c r="PQE223" s="36"/>
      <c r="PQF223" s="36"/>
      <c r="PQG223" s="36"/>
      <c r="PQH223" s="36"/>
      <c r="PQI223" s="36"/>
      <c r="PQJ223" s="36"/>
      <c r="PQK223" s="36"/>
      <c r="PQL223" s="36"/>
      <c r="PQM223" s="36"/>
      <c r="PQN223" s="36"/>
      <c r="PQO223" s="36"/>
      <c r="PQP223" s="36"/>
      <c r="PQQ223" s="36"/>
      <c r="PQR223" s="36"/>
      <c r="PQS223" s="36"/>
      <c r="PQT223" s="36"/>
      <c r="PQU223" s="36"/>
      <c r="PQV223" s="36"/>
      <c r="PQW223" s="36"/>
      <c r="PQX223" s="36"/>
      <c r="PQY223" s="36"/>
      <c r="PQZ223" s="36"/>
      <c r="PRA223" s="36"/>
      <c r="PRB223" s="36"/>
      <c r="PRC223" s="36"/>
      <c r="PRD223" s="36"/>
      <c r="PRE223" s="36"/>
      <c r="PRF223" s="36"/>
      <c r="PRG223" s="36"/>
      <c r="PRH223" s="36"/>
      <c r="PRI223" s="36"/>
      <c r="PRJ223" s="36"/>
      <c r="PRK223" s="36"/>
      <c r="PRL223" s="36"/>
      <c r="PRM223" s="36"/>
      <c r="PRN223" s="36"/>
      <c r="PRO223" s="36"/>
      <c r="PRP223" s="36"/>
      <c r="PRQ223" s="36"/>
      <c r="PRR223" s="36"/>
      <c r="PRS223" s="36"/>
      <c r="PRT223" s="36"/>
      <c r="PRU223" s="36"/>
      <c r="PRV223" s="36"/>
      <c r="PRW223" s="36"/>
      <c r="PRX223" s="36"/>
      <c r="PRY223" s="36"/>
      <c r="PRZ223" s="36"/>
      <c r="PSA223" s="36"/>
      <c r="PSB223" s="36"/>
      <c r="PSC223" s="36"/>
      <c r="PSD223" s="36"/>
      <c r="PSE223" s="36"/>
      <c r="PSF223" s="36"/>
      <c r="PSG223" s="36"/>
      <c r="PSH223" s="36"/>
      <c r="PSI223" s="36"/>
      <c r="PSJ223" s="36"/>
      <c r="PSK223" s="36"/>
      <c r="PSL223" s="36"/>
      <c r="PSM223" s="36"/>
      <c r="PSN223" s="36"/>
      <c r="PSO223" s="36"/>
      <c r="PSP223" s="36"/>
      <c r="PSQ223" s="36"/>
      <c r="PSR223" s="36"/>
      <c r="PSS223" s="36"/>
      <c r="PST223" s="36"/>
      <c r="PSU223" s="36"/>
      <c r="PSV223" s="36"/>
      <c r="PSW223" s="36"/>
      <c r="PSX223" s="36"/>
      <c r="PSY223" s="36"/>
      <c r="PSZ223" s="36"/>
      <c r="PTA223" s="36"/>
      <c r="PTB223" s="36"/>
      <c r="PTC223" s="36"/>
      <c r="PTD223" s="36"/>
      <c r="PTE223" s="36"/>
      <c r="PTF223" s="36"/>
      <c r="PTG223" s="36"/>
      <c r="PTH223" s="36"/>
      <c r="PTI223" s="36"/>
      <c r="PTJ223" s="36"/>
      <c r="PTK223" s="36"/>
      <c r="PTL223" s="36"/>
      <c r="PTM223" s="36"/>
      <c r="PTN223" s="36"/>
      <c r="PTO223" s="36"/>
      <c r="PTP223" s="36"/>
      <c r="PTQ223" s="36"/>
      <c r="PTR223" s="36"/>
      <c r="PTS223" s="36"/>
      <c r="PTT223" s="36"/>
      <c r="PTU223" s="36"/>
      <c r="PTV223" s="36"/>
      <c r="PTW223" s="36"/>
      <c r="PTX223" s="36"/>
      <c r="PTY223" s="36"/>
      <c r="PTZ223" s="36"/>
      <c r="PUA223" s="36"/>
      <c r="PUB223" s="36"/>
      <c r="PUC223" s="36"/>
      <c r="PUD223" s="36"/>
      <c r="PUE223" s="36"/>
      <c r="PUF223" s="36"/>
      <c r="PUG223" s="36"/>
      <c r="PUH223" s="36"/>
      <c r="PUI223" s="36"/>
      <c r="PUJ223" s="36"/>
      <c r="PUK223" s="36"/>
      <c r="PUL223" s="36"/>
      <c r="PUM223" s="36"/>
      <c r="PUN223" s="36"/>
      <c r="PUO223" s="36"/>
      <c r="PUP223" s="36"/>
      <c r="PUQ223" s="36"/>
      <c r="PUR223" s="36"/>
      <c r="PUS223" s="36"/>
      <c r="PUT223" s="36"/>
      <c r="PUU223" s="36"/>
      <c r="PUV223" s="36"/>
      <c r="PUW223" s="36"/>
      <c r="PUX223" s="36"/>
      <c r="PUY223" s="36"/>
      <c r="PUZ223" s="36"/>
      <c r="PVA223" s="36"/>
      <c r="PVB223" s="36"/>
      <c r="PVC223" s="36"/>
      <c r="PVD223" s="36"/>
      <c r="PVE223" s="36"/>
      <c r="PVF223" s="36"/>
      <c r="PVG223" s="36"/>
      <c r="PVH223" s="36"/>
      <c r="PVI223" s="36"/>
      <c r="PVJ223" s="36"/>
      <c r="PVK223" s="36"/>
      <c r="PVL223" s="36"/>
      <c r="PVM223" s="36"/>
      <c r="PVN223" s="36"/>
      <c r="PVO223" s="36"/>
      <c r="PVP223" s="36"/>
      <c r="PVQ223" s="36"/>
      <c r="PVR223" s="36"/>
      <c r="PVS223" s="36"/>
      <c r="PVT223" s="36"/>
      <c r="PVU223" s="36"/>
      <c r="PVV223" s="36"/>
      <c r="PVW223" s="36"/>
      <c r="PVX223" s="36"/>
      <c r="PVY223" s="36"/>
      <c r="PVZ223" s="36"/>
      <c r="PWA223" s="36"/>
      <c r="PWB223" s="36"/>
      <c r="PWC223" s="36"/>
      <c r="PWD223" s="36"/>
      <c r="PWE223" s="36"/>
      <c r="PWF223" s="36"/>
      <c r="PWG223" s="36"/>
      <c r="PWH223" s="36"/>
      <c r="PWI223" s="36"/>
      <c r="PWJ223" s="36"/>
      <c r="PWK223" s="36"/>
      <c r="PWL223" s="36"/>
      <c r="PWM223" s="36"/>
      <c r="PWN223" s="36"/>
      <c r="PWO223" s="36"/>
      <c r="PWP223" s="36"/>
      <c r="PWQ223" s="36"/>
      <c r="PWR223" s="36"/>
      <c r="PWS223" s="36"/>
      <c r="PWT223" s="36"/>
      <c r="PWU223" s="36"/>
      <c r="PWV223" s="36"/>
      <c r="PWW223" s="36"/>
      <c r="PWX223" s="36"/>
      <c r="PWY223" s="36"/>
      <c r="PWZ223" s="36"/>
      <c r="PXA223" s="36"/>
      <c r="PXB223" s="36"/>
      <c r="PXC223" s="36"/>
      <c r="PXD223" s="36"/>
      <c r="PXE223" s="36"/>
      <c r="PXF223" s="36"/>
      <c r="PXG223" s="36"/>
      <c r="PXH223" s="36"/>
      <c r="PXI223" s="36"/>
      <c r="PXJ223" s="36"/>
      <c r="PXK223" s="36"/>
      <c r="PXL223" s="36"/>
      <c r="PXM223" s="36"/>
      <c r="PXN223" s="36"/>
      <c r="PXO223" s="36"/>
      <c r="PXP223" s="36"/>
      <c r="PXQ223" s="36"/>
      <c r="PXR223" s="36"/>
      <c r="PXS223" s="36"/>
      <c r="PXT223" s="36"/>
      <c r="PXU223" s="36"/>
      <c r="PXV223" s="36"/>
      <c r="PXW223" s="36"/>
      <c r="PXX223" s="36"/>
      <c r="PXY223" s="36"/>
      <c r="PXZ223" s="36"/>
      <c r="PYA223" s="36"/>
      <c r="PYB223" s="36"/>
      <c r="PYC223" s="36"/>
      <c r="PYD223" s="36"/>
      <c r="PYE223" s="36"/>
      <c r="PYF223" s="36"/>
      <c r="PYG223" s="36"/>
      <c r="PYH223" s="36"/>
      <c r="PYI223" s="36"/>
      <c r="PYJ223" s="36"/>
      <c r="PYK223" s="36"/>
      <c r="PYL223" s="36"/>
      <c r="PYM223" s="36"/>
      <c r="PYN223" s="36"/>
      <c r="PYO223" s="36"/>
      <c r="PYP223" s="36"/>
      <c r="PYQ223" s="36"/>
      <c r="PYR223" s="36"/>
      <c r="PYS223" s="36"/>
      <c r="PYT223" s="36"/>
      <c r="PYU223" s="36"/>
      <c r="PYV223" s="36"/>
      <c r="PYW223" s="36"/>
      <c r="PYX223" s="36"/>
      <c r="PYY223" s="36"/>
      <c r="PYZ223" s="36"/>
      <c r="PZA223" s="36"/>
      <c r="PZB223" s="36"/>
      <c r="PZC223" s="36"/>
      <c r="PZD223" s="36"/>
      <c r="PZE223" s="36"/>
      <c r="PZF223" s="36"/>
      <c r="PZG223" s="36"/>
      <c r="PZH223" s="36"/>
      <c r="PZI223" s="36"/>
      <c r="PZJ223" s="36"/>
      <c r="PZK223" s="36"/>
      <c r="PZL223" s="36"/>
      <c r="PZM223" s="36"/>
      <c r="PZN223" s="36"/>
      <c r="PZO223" s="36"/>
      <c r="PZP223" s="36"/>
      <c r="PZQ223" s="36"/>
      <c r="PZR223" s="36"/>
      <c r="PZS223" s="36"/>
      <c r="PZT223" s="36"/>
      <c r="PZU223" s="36"/>
      <c r="PZV223" s="36"/>
      <c r="PZW223" s="36"/>
      <c r="PZX223" s="36"/>
      <c r="PZY223" s="36"/>
      <c r="PZZ223" s="36"/>
      <c r="QAA223" s="36"/>
      <c r="QAB223" s="36"/>
      <c r="QAC223" s="36"/>
      <c r="QAD223" s="36"/>
      <c r="QAE223" s="36"/>
      <c r="QAF223" s="36"/>
      <c r="QAG223" s="36"/>
      <c r="QAH223" s="36"/>
      <c r="QAI223" s="36"/>
      <c r="QAJ223" s="36"/>
      <c r="QAK223" s="36"/>
      <c r="QAL223" s="36"/>
      <c r="QAM223" s="36"/>
      <c r="QAN223" s="36"/>
      <c r="QAO223" s="36"/>
      <c r="QAP223" s="36"/>
      <c r="QAQ223" s="36"/>
      <c r="QAR223" s="36"/>
      <c r="QAS223" s="36"/>
      <c r="QAT223" s="36"/>
      <c r="QAU223" s="36"/>
      <c r="QAV223" s="36"/>
      <c r="QAW223" s="36"/>
      <c r="QAX223" s="36"/>
      <c r="QAY223" s="36"/>
      <c r="QAZ223" s="36"/>
      <c r="QBA223" s="36"/>
      <c r="QBB223" s="36"/>
      <c r="QBC223" s="36"/>
      <c r="QBD223" s="36"/>
      <c r="QBE223" s="36"/>
      <c r="QBF223" s="36"/>
      <c r="QBG223" s="36"/>
      <c r="QBH223" s="36"/>
      <c r="QBI223" s="36"/>
      <c r="QBJ223" s="36"/>
      <c r="QBK223" s="36"/>
      <c r="QBL223" s="36"/>
      <c r="QBM223" s="36"/>
      <c r="QBN223" s="36"/>
      <c r="QBO223" s="36"/>
      <c r="QBP223" s="36"/>
      <c r="QBQ223" s="36"/>
      <c r="QBR223" s="36"/>
      <c r="QBS223" s="36"/>
      <c r="QBT223" s="36"/>
      <c r="QBU223" s="36"/>
      <c r="QBV223" s="36"/>
      <c r="QBW223" s="36"/>
      <c r="QBX223" s="36"/>
      <c r="QBY223" s="36"/>
      <c r="QBZ223" s="36"/>
      <c r="QCA223" s="36"/>
      <c r="QCB223" s="36"/>
      <c r="QCC223" s="36"/>
      <c r="QCD223" s="36"/>
      <c r="QCE223" s="36"/>
      <c r="QCF223" s="36"/>
      <c r="QCG223" s="36"/>
      <c r="QCH223" s="36"/>
      <c r="QCI223" s="36"/>
      <c r="QCJ223" s="36"/>
      <c r="QCK223" s="36"/>
      <c r="QCL223" s="36"/>
      <c r="QCM223" s="36"/>
      <c r="QCN223" s="36"/>
      <c r="QCO223" s="36"/>
      <c r="QCP223" s="36"/>
      <c r="QCQ223" s="36"/>
      <c r="QCR223" s="36"/>
      <c r="QCS223" s="36"/>
      <c r="QCT223" s="36"/>
      <c r="QCU223" s="36"/>
      <c r="QCV223" s="36"/>
      <c r="QCW223" s="36"/>
      <c r="QCX223" s="36"/>
      <c r="QCY223" s="36"/>
      <c r="QCZ223" s="36"/>
      <c r="QDA223" s="36"/>
      <c r="QDB223" s="36"/>
      <c r="QDC223" s="36"/>
      <c r="QDD223" s="36"/>
      <c r="QDE223" s="36"/>
      <c r="QDF223" s="36"/>
      <c r="QDG223" s="36"/>
      <c r="QDH223" s="36"/>
      <c r="QDI223" s="36"/>
      <c r="QDJ223" s="36"/>
      <c r="QDK223" s="36"/>
      <c r="QDL223" s="36"/>
      <c r="QDM223" s="36"/>
      <c r="QDN223" s="36"/>
      <c r="QDO223" s="36"/>
      <c r="QDP223" s="36"/>
      <c r="QDQ223" s="36"/>
      <c r="QDR223" s="36"/>
      <c r="QDS223" s="36"/>
      <c r="QDT223" s="36"/>
      <c r="QDU223" s="36"/>
      <c r="QDV223" s="36"/>
      <c r="QDW223" s="36"/>
      <c r="QDX223" s="36"/>
      <c r="QDY223" s="36"/>
      <c r="QDZ223" s="36"/>
      <c r="QEA223" s="36"/>
      <c r="QEB223" s="36"/>
      <c r="QEC223" s="36"/>
      <c r="QED223" s="36"/>
      <c r="QEE223" s="36"/>
      <c r="QEF223" s="36"/>
      <c r="QEG223" s="36"/>
      <c r="QEH223" s="36"/>
      <c r="QEI223" s="36"/>
      <c r="QEJ223" s="36"/>
      <c r="QEK223" s="36"/>
      <c r="QEL223" s="36"/>
      <c r="QEM223" s="36"/>
      <c r="QEN223" s="36"/>
      <c r="QEO223" s="36"/>
      <c r="QEP223" s="36"/>
      <c r="QEQ223" s="36"/>
      <c r="QER223" s="36"/>
      <c r="QES223" s="36"/>
      <c r="QET223" s="36"/>
      <c r="QEU223" s="36"/>
      <c r="QEV223" s="36"/>
      <c r="QEW223" s="36"/>
      <c r="QEX223" s="36"/>
      <c r="QEY223" s="36"/>
      <c r="QEZ223" s="36"/>
      <c r="QFA223" s="36"/>
      <c r="QFB223" s="36"/>
      <c r="QFC223" s="36"/>
      <c r="QFD223" s="36"/>
      <c r="QFE223" s="36"/>
      <c r="QFF223" s="36"/>
      <c r="QFG223" s="36"/>
      <c r="QFH223" s="36"/>
      <c r="QFI223" s="36"/>
      <c r="QFJ223" s="36"/>
      <c r="QFK223" s="36"/>
      <c r="QFL223" s="36"/>
      <c r="QFM223" s="36"/>
      <c r="QFN223" s="36"/>
      <c r="QFO223" s="36"/>
      <c r="QFP223" s="36"/>
      <c r="QFQ223" s="36"/>
      <c r="QFR223" s="36"/>
      <c r="QFS223" s="36"/>
      <c r="QFT223" s="36"/>
      <c r="QFU223" s="36"/>
      <c r="QFV223" s="36"/>
      <c r="QFW223" s="36"/>
      <c r="QFX223" s="36"/>
      <c r="QFY223" s="36"/>
      <c r="QFZ223" s="36"/>
      <c r="QGA223" s="36"/>
      <c r="QGB223" s="36"/>
      <c r="QGC223" s="36"/>
      <c r="QGD223" s="36"/>
      <c r="QGE223" s="36"/>
      <c r="QGF223" s="36"/>
      <c r="QGG223" s="36"/>
      <c r="QGH223" s="36"/>
      <c r="QGI223" s="36"/>
      <c r="QGJ223" s="36"/>
      <c r="QGK223" s="36"/>
      <c r="QGL223" s="36"/>
      <c r="QGM223" s="36"/>
      <c r="QGN223" s="36"/>
      <c r="QGO223" s="36"/>
      <c r="QGP223" s="36"/>
      <c r="QGQ223" s="36"/>
      <c r="QGR223" s="36"/>
      <c r="QGS223" s="36"/>
      <c r="QGT223" s="36"/>
      <c r="QGU223" s="36"/>
      <c r="QGV223" s="36"/>
      <c r="QGW223" s="36"/>
      <c r="QGX223" s="36"/>
      <c r="QGY223" s="36"/>
      <c r="QGZ223" s="36"/>
      <c r="QHA223" s="36"/>
      <c r="QHB223" s="36"/>
      <c r="QHC223" s="36"/>
      <c r="QHD223" s="36"/>
      <c r="QHE223" s="36"/>
      <c r="QHF223" s="36"/>
      <c r="QHG223" s="36"/>
      <c r="QHH223" s="36"/>
      <c r="QHI223" s="36"/>
      <c r="QHJ223" s="36"/>
      <c r="QHK223" s="36"/>
      <c r="QHL223" s="36"/>
      <c r="QHM223" s="36"/>
      <c r="QHN223" s="36"/>
      <c r="QHO223" s="36"/>
      <c r="QHP223" s="36"/>
      <c r="QHQ223" s="36"/>
      <c r="QHR223" s="36"/>
      <c r="QHS223" s="36"/>
      <c r="QHT223" s="36"/>
      <c r="QHU223" s="36"/>
      <c r="QHV223" s="36"/>
      <c r="QHW223" s="36"/>
      <c r="QHX223" s="36"/>
      <c r="QHY223" s="36"/>
      <c r="QHZ223" s="36"/>
      <c r="QIA223" s="36"/>
      <c r="QIB223" s="36"/>
      <c r="QIC223" s="36"/>
      <c r="QID223" s="36"/>
      <c r="QIE223" s="36"/>
      <c r="QIF223" s="36"/>
      <c r="QIG223" s="36"/>
      <c r="QIH223" s="36"/>
      <c r="QII223" s="36"/>
      <c r="QIJ223" s="36"/>
      <c r="QIK223" s="36"/>
      <c r="QIL223" s="36"/>
      <c r="QIM223" s="36"/>
      <c r="QIN223" s="36"/>
      <c r="QIO223" s="36"/>
      <c r="QIP223" s="36"/>
      <c r="QIQ223" s="36"/>
      <c r="QIR223" s="36"/>
      <c r="QIS223" s="36"/>
      <c r="QIT223" s="36"/>
      <c r="QIU223" s="36"/>
      <c r="QIV223" s="36"/>
      <c r="QIW223" s="36"/>
      <c r="QIX223" s="36"/>
      <c r="QIY223" s="36"/>
      <c r="QIZ223" s="36"/>
      <c r="QJA223" s="36"/>
      <c r="QJB223" s="36"/>
      <c r="QJC223" s="36"/>
      <c r="QJD223" s="36"/>
      <c r="QJE223" s="36"/>
      <c r="QJF223" s="36"/>
      <c r="QJG223" s="36"/>
      <c r="QJH223" s="36"/>
      <c r="QJI223" s="36"/>
      <c r="QJJ223" s="36"/>
      <c r="QJK223" s="36"/>
      <c r="QJL223" s="36"/>
      <c r="QJM223" s="36"/>
      <c r="QJN223" s="36"/>
      <c r="QJO223" s="36"/>
      <c r="QJP223" s="36"/>
      <c r="QJQ223" s="36"/>
      <c r="QJR223" s="36"/>
      <c r="QJS223" s="36"/>
      <c r="QJT223" s="36"/>
      <c r="QJU223" s="36"/>
      <c r="QJV223" s="36"/>
      <c r="QJW223" s="36"/>
      <c r="QJX223" s="36"/>
      <c r="QJY223" s="36"/>
      <c r="QJZ223" s="36"/>
      <c r="QKA223" s="36"/>
      <c r="QKB223" s="36"/>
      <c r="QKC223" s="36"/>
      <c r="QKD223" s="36"/>
      <c r="QKE223" s="36"/>
      <c r="QKF223" s="36"/>
      <c r="QKG223" s="36"/>
      <c r="QKH223" s="36"/>
      <c r="QKI223" s="36"/>
      <c r="QKJ223" s="36"/>
      <c r="QKK223" s="36"/>
      <c r="QKL223" s="36"/>
      <c r="QKM223" s="36"/>
      <c r="QKN223" s="36"/>
      <c r="QKO223" s="36"/>
      <c r="QKP223" s="36"/>
      <c r="QKQ223" s="36"/>
      <c r="QKR223" s="36"/>
      <c r="QKS223" s="36"/>
      <c r="QKT223" s="36"/>
      <c r="QKU223" s="36"/>
      <c r="QKV223" s="36"/>
      <c r="QKW223" s="36"/>
      <c r="QKX223" s="36"/>
      <c r="QKY223" s="36"/>
      <c r="QKZ223" s="36"/>
      <c r="QLA223" s="36"/>
      <c r="QLB223" s="36"/>
      <c r="QLC223" s="36"/>
      <c r="QLD223" s="36"/>
      <c r="QLE223" s="36"/>
      <c r="QLF223" s="36"/>
      <c r="QLG223" s="36"/>
      <c r="QLH223" s="36"/>
      <c r="QLI223" s="36"/>
      <c r="QLJ223" s="36"/>
      <c r="QLK223" s="36"/>
      <c r="QLL223" s="36"/>
      <c r="QLM223" s="36"/>
      <c r="QLN223" s="36"/>
      <c r="QLO223" s="36"/>
      <c r="QLP223" s="36"/>
      <c r="QLQ223" s="36"/>
      <c r="QLR223" s="36"/>
      <c r="QLS223" s="36"/>
      <c r="QLT223" s="36"/>
      <c r="QLU223" s="36"/>
      <c r="QLV223" s="36"/>
      <c r="QLW223" s="36"/>
      <c r="QLX223" s="36"/>
      <c r="QLY223" s="36"/>
      <c r="QLZ223" s="36"/>
      <c r="QMA223" s="36"/>
      <c r="QMB223" s="36"/>
      <c r="QMC223" s="36"/>
      <c r="QMD223" s="36"/>
      <c r="QME223" s="36"/>
      <c r="QMF223" s="36"/>
      <c r="QMG223" s="36"/>
      <c r="QMH223" s="36"/>
      <c r="QMI223" s="36"/>
      <c r="QMJ223" s="36"/>
      <c r="QMK223" s="36"/>
      <c r="QML223" s="36"/>
      <c r="QMM223" s="36"/>
      <c r="QMN223" s="36"/>
      <c r="QMO223" s="36"/>
      <c r="QMP223" s="36"/>
      <c r="QMQ223" s="36"/>
      <c r="QMR223" s="36"/>
      <c r="QMS223" s="36"/>
      <c r="QMT223" s="36"/>
      <c r="QMU223" s="36"/>
      <c r="QMV223" s="36"/>
      <c r="QMW223" s="36"/>
      <c r="QMX223" s="36"/>
      <c r="QMY223" s="36"/>
      <c r="QMZ223" s="36"/>
      <c r="QNA223" s="36"/>
      <c r="QNB223" s="36"/>
      <c r="QNC223" s="36"/>
      <c r="QND223" s="36"/>
      <c r="QNE223" s="36"/>
      <c r="QNF223" s="36"/>
      <c r="QNG223" s="36"/>
      <c r="QNH223" s="36"/>
      <c r="QNI223" s="36"/>
      <c r="QNJ223" s="36"/>
      <c r="QNK223" s="36"/>
      <c r="QNL223" s="36"/>
      <c r="QNM223" s="36"/>
      <c r="QNN223" s="36"/>
      <c r="QNO223" s="36"/>
      <c r="QNP223" s="36"/>
      <c r="QNQ223" s="36"/>
      <c r="QNR223" s="36"/>
      <c r="QNS223" s="36"/>
      <c r="QNT223" s="36"/>
      <c r="QNU223" s="36"/>
      <c r="QNV223" s="36"/>
      <c r="QNW223" s="36"/>
      <c r="QNX223" s="36"/>
      <c r="QNY223" s="36"/>
      <c r="QNZ223" s="36"/>
      <c r="QOA223" s="36"/>
      <c r="QOB223" s="36"/>
      <c r="QOC223" s="36"/>
      <c r="QOD223" s="36"/>
      <c r="QOE223" s="36"/>
      <c r="QOF223" s="36"/>
      <c r="QOG223" s="36"/>
      <c r="QOH223" s="36"/>
      <c r="QOI223" s="36"/>
      <c r="QOJ223" s="36"/>
      <c r="QOK223" s="36"/>
      <c r="QOL223" s="36"/>
      <c r="QOM223" s="36"/>
      <c r="QON223" s="36"/>
      <c r="QOO223" s="36"/>
      <c r="QOP223" s="36"/>
      <c r="QOQ223" s="36"/>
      <c r="QOR223" s="36"/>
      <c r="QOS223" s="36"/>
      <c r="QOT223" s="36"/>
      <c r="QOU223" s="36"/>
      <c r="QOV223" s="36"/>
      <c r="QOW223" s="36"/>
      <c r="QOX223" s="36"/>
      <c r="QOY223" s="36"/>
      <c r="QOZ223" s="36"/>
      <c r="QPA223" s="36"/>
      <c r="QPB223" s="36"/>
      <c r="QPC223" s="36"/>
      <c r="QPD223" s="36"/>
      <c r="QPE223" s="36"/>
      <c r="QPF223" s="36"/>
      <c r="QPG223" s="36"/>
      <c r="QPH223" s="36"/>
      <c r="QPI223" s="36"/>
      <c r="QPJ223" s="36"/>
      <c r="QPK223" s="36"/>
      <c r="QPL223" s="36"/>
      <c r="QPM223" s="36"/>
      <c r="QPN223" s="36"/>
      <c r="QPO223" s="36"/>
      <c r="QPP223" s="36"/>
      <c r="QPQ223" s="36"/>
      <c r="QPR223" s="36"/>
      <c r="QPS223" s="36"/>
      <c r="QPT223" s="36"/>
      <c r="QPU223" s="36"/>
      <c r="QPV223" s="36"/>
      <c r="QPW223" s="36"/>
      <c r="QPX223" s="36"/>
      <c r="QPY223" s="36"/>
      <c r="QPZ223" s="36"/>
      <c r="QQA223" s="36"/>
      <c r="QQB223" s="36"/>
      <c r="QQC223" s="36"/>
      <c r="QQD223" s="36"/>
      <c r="QQE223" s="36"/>
      <c r="QQF223" s="36"/>
      <c r="QQG223" s="36"/>
      <c r="QQH223" s="36"/>
      <c r="QQI223" s="36"/>
      <c r="QQJ223" s="36"/>
      <c r="QQK223" s="36"/>
      <c r="QQL223" s="36"/>
      <c r="QQM223" s="36"/>
      <c r="QQN223" s="36"/>
      <c r="QQO223" s="36"/>
      <c r="QQP223" s="36"/>
      <c r="QQQ223" s="36"/>
      <c r="QQR223" s="36"/>
      <c r="QQS223" s="36"/>
      <c r="QQT223" s="36"/>
      <c r="QQU223" s="36"/>
      <c r="QQV223" s="36"/>
      <c r="QQW223" s="36"/>
      <c r="QQX223" s="36"/>
      <c r="QQY223" s="36"/>
      <c r="QQZ223" s="36"/>
      <c r="QRA223" s="36"/>
      <c r="QRB223" s="36"/>
      <c r="QRC223" s="36"/>
      <c r="QRD223" s="36"/>
      <c r="QRE223" s="36"/>
      <c r="QRF223" s="36"/>
      <c r="QRG223" s="36"/>
      <c r="QRH223" s="36"/>
      <c r="QRI223" s="36"/>
      <c r="QRJ223" s="36"/>
      <c r="QRK223" s="36"/>
      <c r="QRL223" s="36"/>
      <c r="QRM223" s="36"/>
      <c r="QRN223" s="36"/>
      <c r="QRO223" s="36"/>
      <c r="QRP223" s="36"/>
      <c r="QRQ223" s="36"/>
      <c r="QRR223" s="36"/>
      <c r="QRS223" s="36"/>
      <c r="QRT223" s="36"/>
      <c r="QRU223" s="36"/>
      <c r="QRV223" s="36"/>
      <c r="QRW223" s="36"/>
      <c r="QRX223" s="36"/>
      <c r="QRY223" s="36"/>
      <c r="QRZ223" s="36"/>
      <c r="QSA223" s="36"/>
      <c r="QSB223" s="36"/>
      <c r="QSC223" s="36"/>
      <c r="QSD223" s="36"/>
      <c r="QSE223" s="36"/>
      <c r="QSF223" s="36"/>
      <c r="QSG223" s="36"/>
      <c r="QSH223" s="36"/>
      <c r="QSI223" s="36"/>
      <c r="QSJ223" s="36"/>
      <c r="QSK223" s="36"/>
      <c r="QSL223" s="36"/>
      <c r="QSM223" s="36"/>
      <c r="QSN223" s="36"/>
      <c r="QSO223" s="36"/>
      <c r="QSP223" s="36"/>
      <c r="QSQ223" s="36"/>
      <c r="QSR223" s="36"/>
      <c r="QSS223" s="36"/>
      <c r="QST223" s="36"/>
      <c r="QSU223" s="36"/>
      <c r="QSV223" s="36"/>
      <c r="QSW223" s="36"/>
      <c r="QSX223" s="36"/>
      <c r="QSY223" s="36"/>
      <c r="QSZ223" s="36"/>
      <c r="QTA223" s="36"/>
      <c r="QTB223" s="36"/>
      <c r="QTC223" s="36"/>
      <c r="QTD223" s="36"/>
      <c r="QTE223" s="36"/>
      <c r="QTF223" s="36"/>
      <c r="QTG223" s="36"/>
      <c r="QTH223" s="36"/>
      <c r="QTI223" s="36"/>
      <c r="QTJ223" s="36"/>
      <c r="QTK223" s="36"/>
      <c r="QTL223" s="36"/>
      <c r="QTM223" s="36"/>
      <c r="QTN223" s="36"/>
      <c r="QTO223" s="36"/>
      <c r="QTP223" s="36"/>
      <c r="QTQ223" s="36"/>
      <c r="QTR223" s="36"/>
      <c r="QTS223" s="36"/>
      <c r="QTT223" s="36"/>
      <c r="QTU223" s="36"/>
      <c r="QTV223" s="36"/>
      <c r="QTW223" s="36"/>
      <c r="QTX223" s="36"/>
      <c r="QTY223" s="36"/>
      <c r="QTZ223" s="36"/>
      <c r="QUA223" s="36"/>
      <c r="QUB223" s="36"/>
      <c r="QUC223" s="36"/>
      <c r="QUD223" s="36"/>
      <c r="QUE223" s="36"/>
      <c r="QUF223" s="36"/>
      <c r="QUG223" s="36"/>
      <c r="QUH223" s="36"/>
      <c r="QUI223" s="36"/>
      <c r="QUJ223" s="36"/>
      <c r="QUK223" s="36"/>
      <c r="QUL223" s="36"/>
      <c r="QUM223" s="36"/>
      <c r="QUN223" s="36"/>
      <c r="QUO223" s="36"/>
      <c r="QUP223" s="36"/>
      <c r="QUQ223" s="36"/>
      <c r="QUR223" s="36"/>
      <c r="QUS223" s="36"/>
      <c r="QUT223" s="36"/>
      <c r="QUU223" s="36"/>
      <c r="QUV223" s="36"/>
      <c r="QUW223" s="36"/>
      <c r="QUX223" s="36"/>
      <c r="QUY223" s="36"/>
      <c r="QUZ223" s="36"/>
      <c r="QVA223" s="36"/>
      <c r="QVB223" s="36"/>
      <c r="QVC223" s="36"/>
      <c r="QVD223" s="36"/>
      <c r="QVE223" s="36"/>
      <c r="QVF223" s="36"/>
      <c r="QVG223" s="36"/>
      <c r="QVH223" s="36"/>
      <c r="QVI223" s="36"/>
      <c r="QVJ223" s="36"/>
      <c r="QVK223" s="36"/>
      <c r="QVL223" s="36"/>
      <c r="QVM223" s="36"/>
      <c r="QVN223" s="36"/>
      <c r="QVO223" s="36"/>
      <c r="QVP223" s="36"/>
      <c r="QVQ223" s="36"/>
      <c r="QVR223" s="36"/>
      <c r="QVS223" s="36"/>
      <c r="QVT223" s="36"/>
      <c r="QVU223" s="36"/>
      <c r="QVV223" s="36"/>
      <c r="QVW223" s="36"/>
      <c r="QVX223" s="36"/>
      <c r="QVY223" s="36"/>
      <c r="QVZ223" s="36"/>
      <c r="QWA223" s="36"/>
      <c r="QWB223" s="36"/>
      <c r="QWC223" s="36"/>
      <c r="QWD223" s="36"/>
      <c r="QWE223" s="36"/>
      <c r="QWF223" s="36"/>
      <c r="QWG223" s="36"/>
      <c r="QWH223" s="36"/>
      <c r="QWI223" s="36"/>
      <c r="QWJ223" s="36"/>
      <c r="QWK223" s="36"/>
      <c r="QWL223" s="36"/>
      <c r="QWM223" s="36"/>
      <c r="QWN223" s="36"/>
      <c r="QWO223" s="36"/>
      <c r="QWP223" s="36"/>
      <c r="QWQ223" s="36"/>
      <c r="QWR223" s="36"/>
      <c r="QWS223" s="36"/>
      <c r="QWT223" s="36"/>
      <c r="QWU223" s="36"/>
      <c r="QWV223" s="36"/>
      <c r="QWW223" s="36"/>
      <c r="QWX223" s="36"/>
      <c r="QWY223" s="36"/>
      <c r="QWZ223" s="36"/>
      <c r="QXA223" s="36"/>
      <c r="QXB223" s="36"/>
      <c r="QXC223" s="36"/>
      <c r="QXD223" s="36"/>
      <c r="QXE223" s="36"/>
      <c r="QXF223" s="36"/>
      <c r="QXG223" s="36"/>
      <c r="QXH223" s="36"/>
      <c r="QXI223" s="36"/>
      <c r="QXJ223" s="36"/>
      <c r="QXK223" s="36"/>
      <c r="QXL223" s="36"/>
      <c r="QXM223" s="36"/>
      <c r="QXN223" s="36"/>
      <c r="QXO223" s="36"/>
      <c r="QXP223" s="36"/>
      <c r="QXQ223" s="36"/>
      <c r="QXR223" s="36"/>
      <c r="QXS223" s="36"/>
      <c r="QXT223" s="36"/>
      <c r="QXU223" s="36"/>
      <c r="QXV223" s="36"/>
      <c r="QXW223" s="36"/>
      <c r="QXX223" s="36"/>
      <c r="QXY223" s="36"/>
      <c r="QXZ223" s="36"/>
      <c r="QYA223" s="36"/>
      <c r="QYB223" s="36"/>
      <c r="QYC223" s="36"/>
      <c r="QYD223" s="36"/>
      <c r="QYE223" s="36"/>
      <c r="QYF223" s="36"/>
      <c r="QYG223" s="36"/>
      <c r="QYH223" s="36"/>
      <c r="QYI223" s="36"/>
      <c r="QYJ223" s="36"/>
      <c r="QYK223" s="36"/>
      <c r="QYL223" s="36"/>
      <c r="QYM223" s="36"/>
      <c r="QYN223" s="36"/>
      <c r="QYO223" s="36"/>
      <c r="QYP223" s="36"/>
      <c r="QYQ223" s="36"/>
      <c r="QYR223" s="36"/>
      <c r="QYS223" s="36"/>
      <c r="QYT223" s="36"/>
      <c r="QYU223" s="36"/>
      <c r="QYV223" s="36"/>
      <c r="QYW223" s="36"/>
      <c r="QYX223" s="36"/>
      <c r="QYY223" s="36"/>
      <c r="QYZ223" s="36"/>
      <c r="QZA223" s="36"/>
      <c r="QZB223" s="36"/>
      <c r="QZC223" s="36"/>
      <c r="QZD223" s="36"/>
      <c r="QZE223" s="36"/>
      <c r="QZF223" s="36"/>
      <c r="QZG223" s="36"/>
      <c r="QZH223" s="36"/>
      <c r="QZI223" s="36"/>
      <c r="QZJ223" s="36"/>
      <c r="QZK223" s="36"/>
      <c r="QZL223" s="36"/>
      <c r="QZM223" s="36"/>
      <c r="QZN223" s="36"/>
      <c r="QZO223" s="36"/>
      <c r="QZP223" s="36"/>
      <c r="QZQ223" s="36"/>
      <c r="QZR223" s="36"/>
      <c r="QZS223" s="36"/>
      <c r="QZT223" s="36"/>
      <c r="QZU223" s="36"/>
      <c r="QZV223" s="36"/>
      <c r="QZW223" s="36"/>
      <c r="QZX223" s="36"/>
      <c r="QZY223" s="36"/>
      <c r="QZZ223" s="36"/>
      <c r="RAA223" s="36"/>
      <c r="RAB223" s="36"/>
      <c r="RAC223" s="36"/>
      <c r="RAD223" s="36"/>
      <c r="RAE223" s="36"/>
      <c r="RAF223" s="36"/>
      <c r="RAG223" s="36"/>
      <c r="RAH223" s="36"/>
      <c r="RAI223" s="36"/>
      <c r="RAJ223" s="36"/>
      <c r="RAK223" s="36"/>
      <c r="RAL223" s="36"/>
      <c r="RAM223" s="36"/>
      <c r="RAN223" s="36"/>
      <c r="RAO223" s="36"/>
      <c r="RAP223" s="36"/>
      <c r="RAQ223" s="36"/>
      <c r="RAR223" s="36"/>
      <c r="RAS223" s="36"/>
      <c r="RAT223" s="36"/>
      <c r="RAU223" s="36"/>
      <c r="RAV223" s="36"/>
      <c r="RAW223" s="36"/>
      <c r="RAX223" s="36"/>
      <c r="RAY223" s="36"/>
      <c r="RAZ223" s="36"/>
      <c r="RBA223" s="36"/>
      <c r="RBB223" s="36"/>
      <c r="RBC223" s="36"/>
      <c r="RBD223" s="36"/>
      <c r="RBE223" s="36"/>
      <c r="RBF223" s="36"/>
      <c r="RBG223" s="36"/>
      <c r="RBH223" s="36"/>
      <c r="RBI223" s="36"/>
      <c r="RBJ223" s="36"/>
      <c r="RBK223" s="36"/>
      <c r="RBL223" s="36"/>
      <c r="RBM223" s="36"/>
      <c r="RBN223" s="36"/>
      <c r="RBO223" s="36"/>
      <c r="RBP223" s="36"/>
      <c r="RBQ223" s="36"/>
      <c r="RBR223" s="36"/>
      <c r="RBS223" s="36"/>
      <c r="RBT223" s="36"/>
      <c r="RBU223" s="36"/>
      <c r="RBV223" s="36"/>
      <c r="RBW223" s="36"/>
      <c r="RBX223" s="36"/>
      <c r="RBY223" s="36"/>
      <c r="RBZ223" s="36"/>
      <c r="RCA223" s="36"/>
      <c r="RCB223" s="36"/>
      <c r="RCC223" s="36"/>
      <c r="RCD223" s="36"/>
      <c r="RCE223" s="36"/>
      <c r="RCF223" s="36"/>
      <c r="RCG223" s="36"/>
      <c r="RCH223" s="36"/>
      <c r="RCI223" s="36"/>
      <c r="RCJ223" s="36"/>
      <c r="RCK223" s="36"/>
      <c r="RCL223" s="36"/>
      <c r="RCM223" s="36"/>
      <c r="RCN223" s="36"/>
      <c r="RCO223" s="36"/>
      <c r="RCP223" s="36"/>
      <c r="RCQ223" s="36"/>
      <c r="RCR223" s="36"/>
      <c r="RCS223" s="36"/>
      <c r="RCT223" s="36"/>
      <c r="RCU223" s="36"/>
      <c r="RCV223" s="36"/>
      <c r="RCW223" s="36"/>
      <c r="RCX223" s="36"/>
      <c r="RCY223" s="36"/>
      <c r="RCZ223" s="36"/>
      <c r="RDA223" s="36"/>
      <c r="RDB223" s="36"/>
      <c r="RDC223" s="36"/>
      <c r="RDD223" s="36"/>
      <c r="RDE223" s="36"/>
      <c r="RDF223" s="36"/>
      <c r="RDG223" s="36"/>
      <c r="RDH223" s="36"/>
      <c r="RDI223" s="36"/>
      <c r="RDJ223" s="36"/>
      <c r="RDK223" s="36"/>
      <c r="RDL223" s="36"/>
      <c r="RDM223" s="36"/>
      <c r="RDN223" s="36"/>
      <c r="RDO223" s="36"/>
      <c r="RDP223" s="36"/>
      <c r="RDQ223" s="36"/>
      <c r="RDR223" s="36"/>
      <c r="RDS223" s="36"/>
      <c r="RDT223" s="36"/>
      <c r="RDU223" s="36"/>
      <c r="RDV223" s="36"/>
      <c r="RDW223" s="36"/>
      <c r="RDX223" s="36"/>
      <c r="RDY223" s="36"/>
      <c r="RDZ223" s="36"/>
      <c r="REA223" s="36"/>
      <c r="REB223" s="36"/>
      <c r="REC223" s="36"/>
      <c r="RED223" s="36"/>
      <c r="REE223" s="36"/>
      <c r="REF223" s="36"/>
      <c r="REG223" s="36"/>
      <c r="REH223" s="36"/>
      <c r="REI223" s="36"/>
      <c r="REJ223" s="36"/>
      <c r="REK223" s="36"/>
      <c r="REL223" s="36"/>
      <c r="REM223" s="36"/>
      <c r="REN223" s="36"/>
      <c r="REO223" s="36"/>
      <c r="REP223" s="36"/>
      <c r="REQ223" s="36"/>
      <c r="RER223" s="36"/>
      <c r="RES223" s="36"/>
      <c r="RET223" s="36"/>
      <c r="REU223" s="36"/>
      <c r="REV223" s="36"/>
      <c r="REW223" s="36"/>
      <c r="REX223" s="36"/>
      <c r="REY223" s="36"/>
      <c r="REZ223" s="36"/>
      <c r="RFA223" s="36"/>
      <c r="RFB223" s="36"/>
      <c r="RFC223" s="36"/>
      <c r="RFD223" s="36"/>
      <c r="RFE223" s="36"/>
      <c r="RFF223" s="36"/>
      <c r="RFG223" s="36"/>
      <c r="RFH223" s="36"/>
      <c r="RFI223" s="36"/>
      <c r="RFJ223" s="36"/>
      <c r="RFK223" s="36"/>
      <c r="RFL223" s="36"/>
      <c r="RFM223" s="36"/>
      <c r="RFN223" s="36"/>
      <c r="RFO223" s="36"/>
      <c r="RFP223" s="36"/>
      <c r="RFQ223" s="36"/>
      <c r="RFR223" s="36"/>
      <c r="RFS223" s="36"/>
      <c r="RFT223" s="36"/>
      <c r="RFU223" s="36"/>
      <c r="RFV223" s="36"/>
      <c r="RFW223" s="36"/>
      <c r="RFX223" s="36"/>
      <c r="RFY223" s="36"/>
      <c r="RFZ223" s="36"/>
      <c r="RGA223" s="36"/>
      <c r="RGB223" s="36"/>
      <c r="RGC223" s="36"/>
      <c r="RGD223" s="36"/>
      <c r="RGE223" s="36"/>
      <c r="RGF223" s="36"/>
      <c r="RGG223" s="36"/>
      <c r="RGH223" s="36"/>
      <c r="RGI223" s="36"/>
      <c r="RGJ223" s="36"/>
      <c r="RGK223" s="36"/>
      <c r="RGL223" s="36"/>
      <c r="RGM223" s="36"/>
      <c r="RGN223" s="36"/>
      <c r="RGO223" s="36"/>
      <c r="RGP223" s="36"/>
      <c r="RGQ223" s="36"/>
      <c r="RGR223" s="36"/>
      <c r="RGS223" s="36"/>
      <c r="RGT223" s="36"/>
      <c r="RGU223" s="36"/>
      <c r="RGV223" s="36"/>
      <c r="RGW223" s="36"/>
      <c r="RGX223" s="36"/>
      <c r="RGY223" s="36"/>
      <c r="RGZ223" s="36"/>
      <c r="RHA223" s="36"/>
      <c r="RHB223" s="36"/>
      <c r="RHC223" s="36"/>
      <c r="RHD223" s="36"/>
      <c r="RHE223" s="36"/>
      <c r="RHF223" s="36"/>
      <c r="RHG223" s="36"/>
      <c r="RHH223" s="36"/>
      <c r="RHI223" s="36"/>
      <c r="RHJ223" s="36"/>
      <c r="RHK223" s="36"/>
      <c r="RHL223" s="36"/>
      <c r="RHM223" s="36"/>
      <c r="RHN223" s="36"/>
      <c r="RHO223" s="36"/>
      <c r="RHP223" s="36"/>
      <c r="RHQ223" s="36"/>
      <c r="RHR223" s="36"/>
      <c r="RHS223" s="36"/>
      <c r="RHT223" s="36"/>
      <c r="RHU223" s="36"/>
      <c r="RHV223" s="36"/>
      <c r="RHW223" s="36"/>
      <c r="RHX223" s="36"/>
      <c r="RHY223" s="36"/>
      <c r="RHZ223" s="36"/>
      <c r="RIA223" s="36"/>
      <c r="RIB223" s="36"/>
      <c r="RIC223" s="36"/>
      <c r="RID223" s="36"/>
      <c r="RIE223" s="36"/>
      <c r="RIF223" s="36"/>
      <c r="RIG223" s="36"/>
      <c r="RIH223" s="36"/>
      <c r="RII223" s="36"/>
      <c r="RIJ223" s="36"/>
      <c r="RIK223" s="36"/>
      <c r="RIL223" s="36"/>
      <c r="RIM223" s="36"/>
      <c r="RIN223" s="36"/>
      <c r="RIO223" s="36"/>
      <c r="RIP223" s="36"/>
      <c r="RIQ223" s="36"/>
      <c r="RIR223" s="36"/>
      <c r="RIS223" s="36"/>
      <c r="RIT223" s="36"/>
      <c r="RIU223" s="36"/>
      <c r="RIV223" s="36"/>
      <c r="RIW223" s="36"/>
      <c r="RIX223" s="36"/>
      <c r="RIY223" s="36"/>
      <c r="RIZ223" s="36"/>
      <c r="RJA223" s="36"/>
      <c r="RJB223" s="36"/>
      <c r="RJC223" s="36"/>
      <c r="RJD223" s="36"/>
      <c r="RJE223" s="36"/>
      <c r="RJF223" s="36"/>
      <c r="RJG223" s="36"/>
      <c r="RJH223" s="36"/>
      <c r="RJI223" s="36"/>
      <c r="RJJ223" s="36"/>
      <c r="RJK223" s="36"/>
      <c r="RJL223" s="36"/>
      <c r="RJM223" s="36"/>
      <c r="RJN223" s="36"/>
      <c r="RJO223" s="36"/>
      <c r="RJP223" s="36"/>
      <c r="RJQ223" s="36"/>
      <c r="RJR223" s="36"/>
      <c r="RJS223" s="36"/>
      <c r="RJT223" s="36"/>
      <c r="RJU223" s="36"/>
      <c r="RJV223" s="36"/>
      <c r="RJW223" s="36"/>
      <c r="RJX223" s="36"/>
      <c r="RJY223" s="36"/>
      <c r="RJZ223" s="36"/>
      <c r="RKA223" s="36"/>
      <c r="RKB223" s="36"/>
      <c r="RKC223" s="36"/>
      <c r="RKD223" s="36"/>
      <c r="RKE223" s="36"/>
      <c r="RKF223" s="36"/>
      <c r="RKG223" s="36"/>
      <c r="RKH223" s="36"/>
      <c r="RKI223" s="36"/>
      <c r="RKJ223" s="36"/>
      <c r="RKK223" s="36"/>
      <c r="RKL223" s="36"/>
      <c r="RKM223" s="36"/>
      <c r="RKN223" s="36"/>
      <c r="RKO223" s="36"/>
      <c r="RKP223" s="36"/>
      <c r="RKQ223" s="36"/>
      <c r="RKR223" s="36"/>
      <c r="RKS223" s="36"/>
      <c r="RKT223" s="36"/>
      <c r="RKU223" s="36"/>
      <c r="RKV223" s="36"/>
      <c r="RKW223" s="36"/>
      <c r="RKX223" s="36"/>
      <c r="RKY223" s="36"/>
      <c r="RKZ223" s="36"/>
      <c r="RLA223" s="36"/>
      <c r="RLB223" s="36"/>
      <c r="RLC223" s="36"/>
      <c r="RLD223" s="36"/>
      <c r="RLE223" s="36"/>
      <c r="RLF223" s="36"/>
      <c r="RLG223" s="36"/>
      <c r="RLH223" s="36"/>
      <c r="RLI223" s="36"/>
      <c r="RLJ223" s="36"/>
      <c r="RLK223" s="36"/>
      <c r="RLL223" s="36"/>
      <c r="RLM223" s="36"/>
      <c r="RLN223" s="36"/>
      <c r="RLO223" s="36"/>
      <c r="RLP223" s="36"/>
      <c r="RLQ223" s="36"/>
      <c r="RLR223" s="36"/>
      <c r="RLS223" s="36"/>
      <c r="RLT223" s="36"/>
      <c r="RLU223" s="36"/>
      <c r="RLV223" s="36"/>
      <c r="RLW223" s="36"/>
      <c r="RLX223" s="36"/>
      <c r="RLY223" s="36"/>
      <c r="RLZ223" s="36"/>
      <c r="RMA223" s="36"/>
      <c r="RMB223" s="36"/>
      <c r="RMC223" s="36"/>
      <c r="RMD223" s="36"/>
      <c r="RME223" s="36"/>
      <c r="RMF223" s="36"/>
      <c r="RMG223" s="36"/>
      <c r="RMH223" s="36"/>
      <c r="RMI223" s="36"/>
      <c r="RMJ223" s="36"/>
      <c r="RMK223" s="36"/>
      <c r="RML223" s="36"/>
      <c r="RMM223" s="36"/>
      <c r="RMN223" s="36"/>
      <c r="RMO223" s="36"/>
      <c r="RMP223" s="36"/>
      <c r="RMQ223" s="36"/>
      <c r="RMR223" s="36"/>
      <c r="RMS223" s="36"/>
      <c r="RMT223" s="36"/>
      <c r="RMU223" s="36"/>
      <c r="RMV223" s="36"/>
      <c r="RMW223" s="36"/>
      <c r="RMX223" s="36"/>
      <c r="RMY223" s="36"/>
      <c r="RMZ223" s="36"/>
      <c r="RNA223" s="36"/>
      <c r="RNB223" s="36"/>
      <c r="RNC223" s="36"/>
      <c r="RND223" s="36"/>
      <c r="RNE223" s="36"/>
      <c r="RNF223" s="36"/>
      <c r="RNG223" s="36"/>
      <c r="RNH223" s="36"/>
      <c r="RNI223" s="36"/>
      <c r="RNJ223" s="36"/>
      <c r="RNK223" s="36"/>
      <c r="RNL223" s="36"/>
      <c r="RNM223" s="36"/>
      <c r="RNN223" s="36"/>
      <c r="RNO223" s="36"/>
      <c r="RNP223" s="36"/>
      <c r="RNQ223" s="36"/>
      <c r="RNR223" s="36"/>
      <c r="RNS223" s="36"/>
      <c r="RNT223" s="36"/>
      <c r="RNU223" s="36"/>
      <c r="RNV223" s="36"/>
      <c r="RNW223" s="36"/>
      <c r="RNX223" s="36"/>
      <c r="RNY223" s="36"/>
      <c r="RNZ223" s="36"/>
      <c r="ROA223" s="36"/>
      <c r="ROB223" s="36"/>
      <c r="ROC223" s="36"/>
      <c r="ROD223" s="36"/>
      <c r="ROE223" s="36"/>
      <c r="ROF223" s="36"/>
      <c r="ROG223" s="36"/>
      <c r="ROH223" s="36"/>
      <c r="ROI223" s="36"/>
      <c r="ROJ223" s="36"/>
      <c r="ROK223" s="36"/>
      <c r="ROL223" s="36"/>
      <c r="ROM223" s="36"/>
      <c r="RON223" s="36"/>
      <c r="ROO223" s="36"/>
      <c r="ROP223" s="36"/>
      <c r="ROQ223" s="36"/>
      <c r="ROR223" s="36"/>
      <c r="ROS223" s="36"/>
      <c r="ROT223" s="36"/>
      <c r="ROU223" s="36"/>
      <c r="ROV223" s="36"/>
      <c r="ROW223" s="36"/>
      <c r="ROX223" s="36"/>
      <c r="ROY223" s="36"/>
      <c r="ROZ223" s="36"/>
      <c r="RPA223" s="36"/>
      <c r="RPB223" s="36"/>
      <c r="RPC223" s="36"/>
      <c r="RPD223" s="36"/>
      <c r="RPE223" s="36"/>
      <c r="RPF223" s="36"/>
      <c r="RPG223" s="36"/>
      <c r="RPH223" s="36"/>
      <c r="RPI223" s="36"/>
      <c r="RPJ223" s="36"/>
      <c r="RPK223" s="36"/>
      <c r="RPL223" s="36"/>
      <c r="RPM223" s="36"/>
      <c r="RPN223" s="36"/>
      <c r="RPO223" s="36"/>
      <c r="RPP223" s="36"/>
      <c r="RPQ223" s="36"/>
      <c r="RPR223" s="36"/>
      <c r="RPS223" s="36"/>
      <c r="RPT223" s="36"/>
      <c r="RPU223" s="36"/>
      <c r="RPV223" s="36"/>
      <c r="RPW223" s="36"/>
      <c r="RPX223" s="36"/>
      <c r="RPY223" s="36"/>
      <c r="RPZ223" s="36"/>
      <c r="RQA223" s="36"/>
      <c r="RQB223" s="36"/>
      <c r="RQC223" s="36"/>
      <c r="RQD223" s="36"/>
      <c r="RQE223" s="36"/>
      <c r="RQF223" s="36"/>
      <c r="RQG223" s="36"/>
      <c r="RQH223" s="36"/>
      <c r="RQI223" s="36"/>
      <c r="RQJ223" s="36"/>
      <c r="RQK223" s="36"/>
      <c r="RQL223" s="36"/>
      <c r="RQM223" s="36"/>
      <c r="RQN223" s="36"/>
      <c r="RQO223" s="36"/>
      <c r="RQP223" s="36"/>
      <c r="RQQ223" s="36"/>
      <c r="RQR223" s="36"/>
      <c r="RQS223" s="36"/>
      <c r="RQT223" s="36"/>
      <c r="RQU223" s="36"/>
      <c r="RQV223" s="36"/>
      <c r="RQW223" s="36"/>
      <c r="RQX223" s="36"/>
      <c r="RQY223" s="36"/>
      <c r="RQZ223" s="36"/>
      <c r="RRA223" s="36"/>
      <c r="RRB223" s="36"/>
      <c r="RRC223" s="36"/>
      <c r="RRD223" s="36"/>
      <c r="RRE223" s="36"/>
      <c r="RRF223" s="36"/>
      <c r="RRG223" s="36"/>
      <c r="RRH223" s="36"/>
      <c r="RRI223" s="36"/>
      <c r="RRJ223" s="36"/>
      <c r="RRK223" s="36"/>
      <c r="RRL223" s="36"/>
      <c r="RRM223" s="36"/>
      <c r="RRN223" s="36"/>
      <c r="RRO223" s="36"/>
      <c r="RRP223" s="36"/>
      <c r="RRQ223" s="36"/>
      <c r="RRR223" s="36"/>
      <c r="RRS223" s="36"/>
      <c r="RRT223" s="36"/>
      <c r="RRU223" s="36"/>
      <c r="RRV223" s="36"/>
      <c r="RRW223" s="36"/>
      <c r="RRX223" s="36"/>
      <c r="RRY223" s="36"/>
      <c r="RRZ223" s="36"/>
      <c r="RSA223" s="36"/>
      <c r="RSB223" s="36"/>
      <c r="RSC223" s="36"/>
      <c r="RSD223" s="36"/>
      <c r="RSE223" s="36"/>
      <c r="RSF223" s="36"/>
      <c r="RSG223" s="36"/>
      <c r="RSH223" s="36"/>
      <c r="RSI223" s="36"/>
      <c r="RSJ223" s="36"/>
      <c r="RSK223" s="36"/>
      <c r="RSL223" s="36"/>
      <c r="RSM223" s="36"/>
      <c r="RSN223" s="36"/>
      <c r="RSO223" s="36"/>
      <c r="RSP223" s="36"/>
      <c r="RSQ223" s="36"/>
      <c r="RSR223" s="36"/>
      <c r="RSS223" s="36"/>
      <c r="RST223" s="36"/>
      <c r="RSU223" s="36"/>
      <c r="RSV223" s="36"/>
      <c r="RSW223" s="36"/>
      <c r="RSX223" s="36"/>
      <c r="RSY223" s="36"/>
      <c r="RSZ223" s="36"/>
      <c r="RTA223" s="36"/>
      <c r="RTB223" s="36"/>
      <c r="RTC223" s="36"/>
      <c r="RTD223" s="36"/>
      <c r="RTE223" s="36"/>
      <c r="RTF223" s="36"/>
      <c r="RTG223" s="36"/>
      <c r="RTH223" s="36"/>
      <c r="RTI223" s="36"/>
      <c r="RTJ223" s="36"/>
      <c r="RTK223" s="36"/>
      <c r="RTL223" s="36"/>
      <c r="RTM223" s="36"/>
      <c r="RTN223" s="36"/>
      <c r="RTO223" s="36"/>
      <c r="RTP223" s="36"/>
      <c r="RTQ223" s="36"/>
      <c r="RTR223" s="36"/>
      <c r="RTS223" s="36"/>
      <c r="RTT223" s="36"/>
      <c r="RTU223" s="36"/>
      <c r="RTV223" s="36"/>
      <c r="RTW223" s="36"/>
      <c r="RTX223" s="36"/>
      <c r="RTY223" s="36"/>
      <c r="RTZ223" s="36"/>
      <c r="RUA223" s="36"/>
      <c r="RUB223" s="36"/>
      <c r="RUC223" s="36"/>
      <c r="RUD223" s="36"/>
      <c r="RUE223" s="36"/>
      <c r="RUF223" s="36"/>
      <c r="RUG223" s="36"/>
      <c r="RUH223" s="36"/>
      <c r="RUI223" s="36"/>
      <c r="RUJ223" s="36"/>
      <c r="RUK223" s="36"/>
      <c r="RUL223" s="36"/>
      <c r="RUM223" s="36"/>
      <c r="RUN223" s="36"/>
      <c r="RUO223" s="36"/>
      <c r="RUP223" s="36"/>
      <c r="RUQ223" s="36"/>
      <c r="RUR223" s="36"/>
      <c r="RUS223" s="36"/>
      <c r="RUT223" s="36"/>
      <c r="RUU223" s="36"/>
      <c r="RUV223" s="36"/>
      <c r="RUW223" s="36"/>
      <c r="RUX223" s="36"/>
      <c r="RUY223" s="36"/>
      <c r="RUZ223" s="36"/>
      <c r="RVA223" s="36"/>
      <c r="RVB223" s="36"/>
      <c r="RVC223" s="36"/>
      <c r="RVD223" s="36"/>
      <c r="RVE223" s="36"/>
      <c r="RVF223" s="36"/>
      <c r="RVG223" s="36"/>
      <c r="RVH223" s="36"/>
      <c r="RVI223" s="36"/>
      <c r="RVJ223" s="36"/>
      <c r="RVK223" s="36"/>
      <c r="RVL223" s="36"/>
      <c r="RVM223" s="36"/>
      <c r="RVN223" s="36"/>
      <c r="RVO223" s="36"/>
      <c r="RVP223" s="36"/>
      <c r="RVQ223" s="36"/>
      <c r="RVR223" s="36"/>
      <c r="RVS223" s="36"/>
      <c r="RVT223" s="36"/>
      <c r="RVU223" s="36"/>
      <c r="RVV223" s="36"/>
      <c r="RVW223" s="36"/>
      <c r="RVX223" s="36"/>
      <c r="RVY223" s="36"/>
      <c r="RVZ223" s="36"/>
      <c r="RWA223" s="36"/>
      <c r="RWB223" s="36"/>
      <c r="RWC223" s="36"/>
      <c r="RWD223" s="36"/>
      <c r="RWE223" s="36"/>
      <c r="RWF223" s="36"/>
      <c r="RWG223" s="36"/>
      <c r="RWH223" s="36"/>
      <c r="RWI223" s="36"/>
      <c r="RWJ223" s="36"/>
      <c r="RWK223" s="36"/>
      <c r="RWL223" s="36"/>
      <c r="RWM223" s="36"/>
      <c r="RWN223" s="36"/>
      <c r="RWO223" s="36"/>
      <c r="RWP223" s="36"/>
      <c r="RWQ223" s="36"/>
      <c r="RWR223" s="36"/>
      <c r="RWS223" s="36"/>
      <c r="RWT223" s="36"/>
      <c r="RWU223" s="36"/>
      <c r="RWV223" s="36"/>
      <c r="RWW223" s="36"/>
      <c r="RWX223" s="36"/>
      <c r="RWY223" s="36"/>
      <c r="RWZ223" s="36"/>
      <c r="RXA223" s="36"/>
      <c r="RXB223" s="36"/>
      <c r="RXC223" s="36"/>
      <c r="RXD223" s="36"/>
      <c r="RXE223" s="36"/>
      <c r="RXF223" s="36"/>
      <c r="RXG223" s="36"/>
      <c r="RXH223" s="36"/>
      <c r="RXI223" s="36"/>
      <c r="RXJ223" s="36"/>
      <c r="RXK223" s="36"/>
      <c r="RXL223" s="36"/>
      <c r="RXM223" s="36"/>
      <c r="RXN223" s="36"/>
      <c r="RXO223" s="36"/>
      <c r="RXP223" s="36"/>
      <c r="RXQ223" s="36"/>
      <c r="RXR223" s="36"/>
      <c r="RXS223" s="36"/>
      <c r="RXT223" s="36"/>
      <c r="RXU223" s="36"/>
      <c r="RXV223" s="36"/>
      <c r="RXW223" s="36"/>
      <c r="RXX223" s="36"/>
      <c r="RXY223" s="36"/>
      <c r="RXZ223" s="36"/>
      <c r="RYA223" s="36"/>
      <c r="RYB223" s="36"/>
      <c r="RYC223" s="36"/>
      <c r="RYD223" s="36"/>
      <c r="RYE223" s="36"/>
      <c r="RYF223" s="36"/>
      <c r="RYG223" s="36"/>
      <c r="RYH223" s="36"/>
      <c r="RYI223" s="36"/>
      <c r="RYJ223" s="36"/>
      <c r="RYK223" s="36"/>
      <c r="RYL223" s="36"/>
      <c r="RYM223" s="36"/>
      <c r="RYN223" s="36"/>
      <c r="RYO223" s="36"/>
      <c r="RYP223" s="36"/>
      <c r="RYQ223" s="36"/>
      <c r="RYR223" s="36"/>
      <c r="RYS223" s="36"/>
      <c r="RYT223" s="36"/>
      <c r="RYU223" s="36"/>
      <c r="RYV223" s="36"/>
      <c r="RYW223" s="36"/>
      <c r="RYX223" s="36"/>
      <c r="RYY223" s="36"/>
      <c r="RYZ223" s="36"/>
      <c r="RZA223" s="36"/>
      <c r="RZB223" s="36"/>
      <c r="RZC223" s="36"/>
      <c r="RZD223" s="36"/>
      <c r="RZE223" s="36"/>
      <c r="RZF223" s="36"/>
      <c r="RZG223" s="36"/>
      <c r="RZH223" s="36"/>
      <c r="RZI223" s="36"/>
      <c r="RZJ223" s="36"/>
      <c r="RZK223" s="36"/>
      <c r="RZL223" s="36"/>
      <c r="RZM223" s="36"/>
      <c r="RZN223" s="36"/>
      <c r="RZO223" s="36"/>
      <c r="RZP223" s="36"/>
      <c r="RZQ223" s="36"/>
      <c r="RZR223" s="36"/>
      <c r="RZS223" s="36"/>
      <c r="RZT223" s="36"/>
      <c r="RZU223" s="36"/>
      <c r="RZV223" s="36"/>
      <c r="RZW223" s="36"/>
      <c r="RZX223" s="36"/>
      <c r="RZY223" s="36"/>
      <c r="RZZ223" s="36"/>
      <c r="SAA223" s="36"/>
      <c r="SAB223" s="36"/>
      <c r="SAC223" s="36"/>
      <c r="SAD223" s="36"/>
      <c r="SAE223" s="36"/>
      <c r="SAF223" s="36"/>
      <c r="SAG223" s="36"/>
      <c r="SAH223" s="36"/>
      <c r="SAI223" s="36"/>
      <c r="SAJ223" s="36"/>
      <c r="SAK223" s="36"/>
      <c r="SAL223" s="36"/>
      <c r="SAM223" s="36"/>
      <c r="SAN223" s="36"/>
      <c r="SAO223" s="36"/>
      <c r="SAP223" s="36"/>
      <c r="SAQ223" s="36"/>
      <c r="SAR223" s="36"/>
      <c r="SAS223" s="36"/>
      <c r="SAT223" s="36"/>
      <c r="SAU223" s="36"/>
      <c r="SAV223" s="36"/>
      <c r="SAW223" s="36"/>
      <c r="SAX223" s="36"/>
      <c r="SAY223" s="36"/>
      <c r="SAZ223" s="36"/>
      <c r="SBA223" s="36"/>
      <c r="SBB223" s="36"/>
      <c r="SBC223" s="36"/>
      <c r="SBD223" s="36"/>
      <c r="SBE223" s="36"/>
      <c r="SBF223" s="36"/>
      <c r="SBG223" s="36"/>
      <c r="SBH223" s="36"/>
      <c r="SBI223" s="36"/>
      <c r="SBJ223" s="36"/>
      <c r="SBK223" s="36"/>
      <c r="SBL223" s="36"/>
      <c r="SBM223" s="36"/>
      <c r="SBN223" s="36"/>
      <c r="SBO223" s="36"/>
      <c r="SBP223" s="36"/>
      <c r="SBQ223" s="36"/>
      <c r="SBR223" s="36"/>
      <c r="SBS223" s="36"/>
      <c r="SBT223" s="36"/>
      <c r="SBU223" s="36"/>
      <c r="SBV223" s="36"/>
      <c r="SBW223" s="36"/>
      <c r="SBX223" s="36"/>
      <c r="SBY223" s="36"/>
      <c r="SBZ223" s="36"/>
      <c r="SCA223" s="36"/>
      <c r="SCB223" s="36"/>
      <c r="SCC223" s="36"/>
      <c r="SCD223" s="36"/>
      <c r="SCE223" s="36"/>
      <c r="SCF223" s="36"/>
      <c r="SCG223" s="36"/>
      <c r="SCH223" s="36"/>
      <c r="SCI223" s="36"/>
      <c r="SCJ223" s="36"/>
      <c r="SCK223" s="36"/>
      <c r="SCL223" s="36"/>
      <c r="SCM223" s="36"/>
      <c r="SCN223" s="36"/>
      <c r="SCO223" s="36"/>
      <c r="SCP223" s="36"/>
      <c r="SCQ223" s="36"/>
      <c r="SCR223" s="36"/>
      <c r="SCS223" s="36"/>
      <c r="SCT223" s="36"/>
      <c r="SCU223" s="36"/>
      <c r="SCV223" s="36"/>
      <c r="SCW223" s="36"/>
      <c r="SCX223" s="36"/>
      <c r="SCY223" s="36"/>
      <c r="SCZ223" s="36"/>
      <c r="SDA223" s="36"/>
      <c r="SDB223" s="36"/>
      <c r="SDC223" s="36"/>
      <c r="SDD223" s="36"/>
      <c r="SDE223" s="36"/>
      <c r="SDF223" s="36"/>
      <c r="SDG223" s="36"/>
      <c r="SDH223" s="36"/>
      <c r="SDI223" s="36"/>
      <c r="SDJ223" s="36"/>
      <c r="SDK223" s="36"/>
      <c r="SDL223" s="36"/>
      <c r="SDM223" s="36"/>
      <c r="SDN223" s="36"/>
      <c r="SDO223" s="36"/>
      <c r="SDP223" s="36"/>
      <c r="SDQ223" s="36"/>
      <c r="SDR223" s="36"/>
      <c r="SDS223" s="36"/>
      <c r="SDT223" s="36"/>
      <c r="SDU223" s="36"/>
      <c r="SDV223" s="36"/>
      <c r="SDW223" s="36"/>
      <c r="SDX223" s="36"/>
      <c r="SDY223" s="36"/>
      <c r="SDZ223" s="36"/>
      <c r="SEA223" s="36"/>
      <c r="SEB223" s="36"/>
      <c r="SEC223" s="36"/>
      <c r="SED223" s="36"/>
      <c r="SEE223" s="36"/>
      <c r="SEF223" s="36"/>
      <c r="SEG223" s="36"/>
      <c r="SEH223" s="36"/>
      <c r="SEI223" s="36"/>
      <c r="SEJ223" s="36"/>
      <c r="SEK223" s="36"/>
      <c r="SEL223" s="36"/>
      <c r="SEM223" s="36"/>
      <c r="SEN223" s="36"/>
      <c r="SEO223" s="36"/>
      <c r="SEP223" s="36"/>
      <c r="SEQ223" s="36"/>
      <c r="SER223" s="36"/>
      <c r="SES223" s="36"/>
      <c r="SET223" s="36"/>
      <c r="SEU223" s="36"/>
      <c r="SEV223" s="36"/>
      <c r="SEW223" s="36"/>
      <c r="SEX223" s="36"/>
      <c r="SEY223" s="36"/>
      <c r="SEZ223" s="36"/>
      <c r="SFA223" s="36"/>
      <c r="SFB223" s="36"/>
      <c r="SFC223" s="36"/>
      <c r="SFD223" s="36"/>
      <c r="SFE223" s="36"/>
      <c r="SFF223" s="36"/>
      <c r="SFG223" s="36"/>
      <c r="SFH223" s="36"/>
      <c r="SFI223" s="36"/>
      <c r="SFJ223" s="36"/>
      <c r="SFK223" s="36"/>
      <c r="SFL223" s="36"/>
      <c r="SFM223" s="36"/>
      <c r="SFN223" s="36"/>
      <c r="SFO223" s="36"/>
      <c r="SFP223" s="36"/>
      <c r="SFQ223" s="36"/>
      <c r="SFR223" s="36"/>
      <c r="SFS223" s="36"/>
      <c r="SFT223" s="36"/>
      <c r="SFU223" s="36"/>
      <c r="SFV223" s="36"/>
      <c r="SFW223" s="36"/>
      <c r="SFX223" s="36"/>
      <c r="SFY223" s="36"/>
      <c r="SFZ223" s="36"/>
      <c r="SGA223" s="36"/>
      <c r="SGB223" s="36"/>
      <c r="SGC223" s="36"/>
      <c r="SGD223" s="36"/>
      <c r="SGE223" s="36"/>
      <c r="SGF223" s="36"/>
      <c r="SGG223" s="36"/>
      <c r="SGH223" s="36"/>
      <c r="SGI223" s="36"/>
      <c r="SGJ223" s="36"/>
      <c r="SGK223" s="36"/>
      <c r="SGL223" s="36"/>
      <c r="SGM223" s="36"/>
      <c r="SGN223" s="36"/>
      <c r="SGO223" s="36"/>
      <c r="SGP223" s="36"/>
      <c r="SGQ223" s="36"/>
      <c r="SGR223" s="36"/>
      <c r="SGS223" s="36"/>
      <c r="SGT223" s="36"/>
      <c r="SGU223" s="36"/>
      <c r="SGV223" s="36"/>
      <c r="SGW223" s="36"/>
      <c r="SGX223" s="36"/>
      <c r="SGY223" s="36"/>
      <c r="SGZ223" s="36"/>
      <c r="SHA223" s="36"/>
      <c r="SHB223" s="36"/>
      <c r="SHC223" s="36"/>
      <c r="SHD223" s="36"/>
      <c r="SHE223" s="36"/>
      <c r="SHF223" s="36"/>
      <c r="SHG223" s="36"/>
      <c r="SHH223" s="36"/>
      <c r="SHI223" s="36"/>
      <c r="SHJ223" s="36"/>
      <c r="SHK223" s="36"/>
      <c r="SHL223" s="36"/>
      <c r="SHM223" s="36"/>
      <c r="SHN223" s="36"/>
      <c r="SHO223" s="36"/>
      <c r="SHP223" s="36"/>
      <c r="SHQ223" s="36"/>
      <c r="SHR223" s="36"/>
      <c r="SHS223" s="36"/>
      <c r="SHT223" s="36"/>
      <c r="SHU223" s="36"/>
      <c r="SHV223" s="36"/>
      <c r="SHW223" s="36"/>
      <c r="SHX223" s="36"/>
      <c r="SHY223" s="36"/>
      <c r="SHZ223" s="36"/>
      <c r="SIA223" s="36"/>
      <c r="SIB223" s="36"/>
      <c r="SIC223" s="36"/>
      <c r="SID223" s="36"/>
      <c r="SIE223" s="36"/>
      <c r="SIF223" s="36"/>
      <c r="SIG223" s="36"/>
      <c r="SIH223" s="36"/>
      <c r="SII223" s="36"/>
      <c r="SIJ223" s="36"/>
      <c r="SIK223" s="36"/>
      <c r="SIL223" s="36"/>
      <c r="SIM223" s="36"/>
      <c r="SIN223" s="36"/>
      <c r="SIO223" s="36"/>
      <c r="SIP223" s="36"/>
      <c r="SIQ223" s="36"/>
      <c r="SIR223" s="36"/>
      <c r="SIS223" s="36"/>
      <c r="SIT223" s="36"/>
      <c r="SIU223" s="36"/>
      <c r="SIV223" s="36"/>
      <c r="SIW223" s="36"/>
      <c r="SIX223" s="36"/>
      <c r="SIY223" s="36"/>
      <c r="SIZ223" s="36"/>
      <c r="SJA223" s="36"/>
      <c r="SJB223" s="36"/>
      <c r="SJC223" s="36"/>
      <c r="SJD223" s="36"/>
      <c r="SJE223" s="36"/>
      <c r="SJF223" s="36"/>
      <c r="SJG223" s="36"/>
      <c r="SJH223" s="36"/>
      <c r="SJI223" s="36"/>
      <c r="SJJ223" s="36"/>
      <c r="SJK223" s="36"/>
      <c r="SJL223" s="36"/>
      <c r="SJM223" s="36"/>
      <c r="SJN223" s="36"/>
      <c r="SJO223" s="36"/>
      <c r="SJP223" s="36"/>
      <c r="SJQ223" s="36"/>
      <c r="SJR223" s="36"/>
      <c r="SJS223" s="36"/>
      <c r="SJT223" s="36"/>
      <c r="SJU223" s="36"/>
      <c r="SJV223" s="36"/>
      <c r="SJW223" s="36"/>
      <c r="SJX223" s="36"/>
      <c r="SJY223" s="36"/>
      <c r="SJZ223" s="36"/>
      <c r="SKA223" s="36"/>
      <c r="SKB223" s="36"/>
      <c r="SKC223" s="36"/>
      <c r="SKD223" s="36"/>
      <c r="SKE223" s="36"/>
      <c r="SKF223" s="36"/>
      <c r="SKG223" s="36"/>
      <c r="SKH223" s="36"/>
      <c r="SKI223" s="36"/>
      <c r="SKJ223" s="36"/>
      <c r="SKK223" s="36"/>
      <c r="SKL223" s="36"/>
      <c r="SKM223" s="36"/>
      <c r="SKN223" s="36"/>
      <c r="SKO223" s="36"/>
      <c r="SKP223" s="36"/>
      <c r="SKQ223" s="36"/>
      <c r="SKR223" s="36"/>
      <c r="SKS223" s="36"/>
      <c r="SKT223" s="36"/>
      <c r="SKU223" s="36"/>
      <c r="SKV223" s="36"/>
      <c r="SKW223" s="36"/>
      <c r="SKX223" s="36"/>
      <c r="SKY223" s="36"/>
      <c r="SKZ223" s="36"/>
      <c r="SLA223" s="36"/>
      <c r="SLB223" s="36"/>
      <c r="SLC223" s="36"/>
      <c r="SLD223" s="36"/>
      <c r="SLE223" s="36"/>
      <c r="SLF223" s="36"/>
      <c r="SLG223" s="36"/>
      <c r="SLH223" s="36"/>
      <c r="SLI223" s="36"/>
      <c r="SLJ223" s="36"/>
      <c r="SLK223" s="36"/>
      <c r="SLL223" s="36"/>
      <c r="SLM223" s="36"/>
      <c r="SLN223" s="36"/>
      <c r="SLO223" s="36"/>
      <c r="SLP223" s="36"/>
      <c r="SLQ223" s="36"/>
      <c r="SLR223" s="36"/>
      <c r="SLS223" s="36"/>
      <c r="SLT223" s="36"/>
      <c r="SLU223" s="36"/>
      <c r="SLV223" s="36"/>
      <c r="SLW223" s="36"/>
      <c r="SLX223" s="36"/>
      <c r="SLY223" s="36"/>
      <c r="SLZ223" s="36"/>
      <c r="SMA223" s="36"/>
      <c r="SMB223" s="36"/>
      <c r="SMC223" s="36"/>
      <c r="SMD223" s="36"/>
      <c r="SME223" s="36"/>
      <c r="SMF223" s="36"/>
      <c r="SMG223" s="36"/>
      <c r="SMH223" s="36"/>
      <c r="SMI223" s="36"/>
      <c r="SMJ223" s="36"/>
      <c r="SMK223" s="36"/>
      <c r="SML223" s="36"/>
      <c r="SMM223" s="36"/>
      <c r="SMN223" s="36"/>
      <c r="SMO223" s="36"/>
      <c r="SMP223" s="36"/>
      <c r="SMQ223" s="36"/>
      <c r="SMR223" s="36"/>
      <c r="SMS223" s="36"/>
      <c r="SMT223" s="36"/>
      <c r="SMU223" s="36"/>
      <c r="SMV223" s="36"/>
      <c r="SMW223" s="36"/>
      <c r="SMX223" s="36"/>
      <c r="SMY223" s="36"/>
      <c r="SMZ223" s="36"/>
      <c r="SNA223" s="36"/>
      <c r="SNB223" s="36"/>
      <c r="SNC223" s="36"/>
      <c r="SND223" s="36"/>
      <c r="SNE223" s="36"/>
      <c r="SNF223" s="36"/>
      <c r="SNG223" s="36"/>
      <c r="SNH223" s="36"/>
      <c r="SNI223" s="36"/>
      <c r="SNJ223" s="36"/>
      <c r="SNK223" s="36"/>
      <c r="SNL223" s="36"/>
      <c r="SNM223" s="36"/>
      <c r="SNN223" s="36"/>
      <c r="SNO223" s="36"/>
      <c r="SNP223" s="36"/>
      <c r="SNQ223" s="36"/>
      <c r="SNR223" s="36"/>
      <c r="SNS223" s="36"/>
      <c r="SNT223" s="36"/>
      <c r="SNU223" s="36"/>
      <c r="SNV223" s="36"/>
      <c r="SNW223" s="36"/>
      <c r="SNX223" s="36"/>
      <c r="SNY223" s="36"/>
      <c r="SNZ223" s="36"/>
      <c r="SOA223" s="36"/>
      <c r="SOB223" s="36"/>
      <c r="SOC223" s="36"/>
      <c r="SOD223" s="36"/>
      <c r="SOE223" s="36"/>
      <c r="SOF223" s="36"/>
      <c r="SOG223" s="36"/>
      <c r="SOH223" s="36"/>
      <c r="SOI223" s="36"/>
      <c r="SOJ223" s="36"/>
      <c r="SOK223" s="36"/>
      <c r="SOL223" s="36"/>
      <c r="SOM223" s="36"/>
      <c r="SON223" s="36"/>
      <c r="SOO223" s="36"/>
      <c r="SOP223" s="36"/>
      <c r="SOQ223" s="36"/>
      <c r="SOR223" s="36"/>
      <c r="SOS223" s="36"/>
      <c r="SOT223" s="36"/>
      <c r="SOU223" s="36"/>
      <c r="SOV223" s="36"/>
      <c r="SOW223" s="36"/>
      <c r="SOX223" s="36"/>
      <c r="SOY223" s="36"/>
      <c r="SOZ223" s="36"/>
      <c r="SPA223" s="36"/>
      <c r="SPB223" s="36"/>
      <c r="SPC223" s="36"/>
      <c r="SPD223" s="36"/>
      <c r="SPE223" s="36"/>
      <c r="SPF223" s="36"/>
      <c r="SPG223" s="36"/>
      <c r="SPH223" s="36"/>
      <c r="SPI223" s="36"/>
      <c r="SPJ223" s="36"/>
      <c r="SPK223" s="36"/>
      <c r="SPL223" s="36"/>
      <c r="SPM223" s="36"/>
      <c r="SPN223" s="36"/>
      <c r="SPO223" s="36"/>
      <c r="SPP223" s="36"/>
      <c r="SPQ223" s="36"/>
      <c r="SPR223" s="36"/>
      <c r="SPS223" s="36"/>
      <c r="SPT223" s="36"/>
      <c r="SPU223" s="36"/>
      <c r="SPV223" s="36"/>
      <c r="SPW223" s="36"/>
      <c r="SPX223" s="36"/>
      <c r="SPY223" s="36"/>
      <c r="SPZ223" s="36"/>
      <c r="SQA223" s="36"/>
      <c r="SQB223" s="36"/>
      <c r="SQC223" s="36"/>
      <c r="SQD223" s="36"/>
      <c r="SQE223" s="36"/>
      <c r="SQF223" s="36"/>
      <c r="SQG223" s="36"/>
      <c r="SQH223" s="36"/>
      <c r="SQI223" s="36"/>
      <c r="SQJ223" s="36"/>
      <c r="SQK223" s="36"/>
      <c r="SQL223" s="36"/>
      <c r="SQM223" s="36"/>
      <c r="SQN223" s="36"/>
      <c r="SQO223" s="36"/>
      <c r="SQP223" s="36"/>
      <c r="SQQ223" s="36"/>
      <c r="SQR223" s="36"/>
      <c r="SQS223" s="36"/>
      <c r="SQT223" s="36"/>
      <c r="SQU223" s="36"/>
      <c r="SQV223" s="36"/>
      <c r="SQW223" s="36"/>
      <c r="SQX223" s="36"/>
      <c r="SQY223" s="36"/>
      <c r="SQZ223" s="36"/>
      <c r="SRA223" s="36"/>
      <c r="SRB223" s="36"/>
      <c r="SRC223" s="36"/>
      <c r="SRD223" s="36"/>
      <c r="SRE223" s="36"/>
      <c r="SRF223" s="36"/>
      <c r="SRG223" s="36"/>
      <c r="SRH223" s="36"/>
      <c r="SRI223" s="36"/>
      <c r="SRJ223" s="36"/>
      <c r="SRK223" s="36"/>
      <c r="SRL223" s="36"/>
      <c r="SRM223" s="36"/>
      <c r="SRN223" s="36"/>
      <c r="SRO223" s="36"/>
      <c r="SRP223" s="36"/>
      <c r="SRQ223" s="36"/>
      <c r="SRR223" s="36"/>
      <c r="SRS223" s="36"/>
      <c r="SRT223" s="36"/>
      <c r="SRU223" s="36"/>
      <c r="SRV223" s="36"/>
      <c r="SRW223" s="36"/>
      <c r="SRX223" s="36"/>
      <c r="SRY223" s="36"/>
      <c r="SRZ223" s="36"/>
      <c r="SSA223" s="36"/>
      <c r="SSB223" s="36"/>
      <c r="SSC223" s="36"/>
      <c r="SSD223" s="36"/>
      <c r="SSE223" s="36"/>
      <c r="SSF223" s="36"/>
      <c r="SSG223" s="36"/>
      <c r="SSH223" s="36"/>
      <c r="SSI223" s="36"/>
      <c r="SSJ223" s="36"/>
      <c r="SSK223" s="36"/>
      <c r="SSL223" s="36"/>
      <c r="SSM223" s="36"/>
      <c r="SSN223" s="36"/>
      <c r="SSO223" s="36"/>
      <c r="SSP223" s="36"/>
      <c r="SSQ223" s="36"/>
      <c r="SSR223" s="36"/>
      <c r="SSS223" s="36"/>
      <c r="SST223" s="36"/>
      <c r="SSU223" s="36"/>
      <c r="SSV223" s="36"/>
      <c r="SSW223" s="36"/>
      <c r="SSX223" s="36"/>
      <c r="SSY223" s="36"/>
      <c r="SSZ223" s="36"/>
      <c r="STA223" s="36"/>
      <c r="STB223" s="36"/>
      <c r="STC223" s="36"/>
      <c r="STD223" s="36"/>
      <c r="STE223" s="36"/>
      <c r="STF223" s="36"/>
      <c r="STG223" s="36"/>
      <c r="STH223" s="36"/>
      <c r="STI223" s="36"/>
      <c r="STJ223" s="36"/>
      <c r="STK223" s="36"/>
      <c r="STL223" s="36"/>
      <c r="STM223" s="36"/>
      <c r="STN223" s="36"/>
      <c r="STO223" s="36"/>
      <c r="STP223" s="36"/>
      <c r="STQ223" s="36"/>
      <c r="STR223" s="36"/>
      <c r="STS223" s="36"/>
      <c r="STT223" s="36"/>
      <c r="STU223" s="36"/>
      <c r="STV223" s="36"/>
      <c r="STW223" s="36"/>
      <c r="STX223" s="36"/>
      <c r="STY223" s="36"/>
      <c r="STZ223" s="36"/>
      <c r="SUA223" s="36"/>
      <c r="SUB223" s="36"/>
      <c r="SUC223" s="36"/>
      <c r="SUD223" s="36"/>
      <c r="SUE223" s="36"/>
      <c r="SUF223" s="36"/>
      <c r="SUG223" s="36"/>
      <c r="SUH223" s="36"/>
      <c r="SUI223" s="36"/>
      <c r="SUJ223" s="36"/>
      <c r="SUK223" s="36"/>
      <c r="SUL223" s="36"/>
      <c r="SUM223" s="36"/>
      <c r="SUN223" s="36"/>
      <c r="SUO223" s="36"/>
      <c r="SUP223" s="36"/>
      <c r="SUQ223" s="36"/>
      <c r="SUR223" s="36"/>
      <c r="SUS223" s="36"/>
      <c r="SUT223" s="36"/>
      <c r="SUU223" s="36"/>
      <c r="SUV223" s="36"/>
      <c r="SUW223" s="36"/>
      <c r="SUX223" s="36"/>
      <c r="SUY223" s="36"/>
      <c r="SUZ223" s="36"/>
      <c r="SVA223" s="36"/>
      <c r="SVB223" s="36"/>
      <c r="SVC223" s="36"/>
      <c r="SVD223" s="36"/>
      <c r="SVE223" s="36"/>
      <c r="SVF223" s="36"/>
      <c r="SVG223" s="36"/>
      <c r="SVH223" s="36"/>
      <c r="SVI223" s="36"/>
      <c r="SVJ223" s="36"/>
      <c r="SVK223" s="36"/>
      <c r="SVL223" s="36"/>
      <c r="SVM223" s="36"/>
      <c r="SVN223" s="36"/>
      <c r="SVO223" s="36"/>
      <c r="SVP223" s="36"/>
      <c r="SVQ223" s="36"/>
      <c r="SVR223" s="36"/>
      <c r="SVS223" s="36"/>
      <c r="SVT223" s="36"/>
      <c r="SVU223" s="36"/>
      <c r="SVV223" s="36"/>
      <c r="SVW223" s="36"/>
      <c r="SVX223" s="36"/>
      <c r="SVY223" s="36"/>
      <c r="SVZ223" s="36"/>
      <c r="SWA223" s="36"/>
      <c r="SWB223" s="36"/>
      <c r="SWC223" s="36"/>
      <c r="SWD223" s="36"/>
      <c r="SWE223" s="36"/>
      <c r="SWF223" s="36"/>
      <c r="SWG223" s="36"/>
      <c r="SWH223" s="36"/>
      <c r="SWI223" s="36"/>
      <c r="SWJ223" s="36"/>
      <c r="SWK223" s="36"/>
      <c r="SWL223" s="36"/>
      <c r="SWM223" s="36"/>
      <c r="SWN223" s="36"/>
      <c r="SWO223" s="36"/>
      <c r="SWP223" s="36"/>
      <c r="SWQ223" s="36"/>
      <c r="SWR223" s="36"/>
      <c r="SWS223" s="36"/>
      <c r="SWT223" s="36"/>
      <c r="SWU223" s="36"/>
      <c r="SWV223" s="36"/>
      <c r="SWW223" s="36"/>
      <c r="SWX223" s="36"/>
      <c r="SWY223" s="36"/>
      <c r="SWZ223" s="36"/>
      <c r="SXA223" s="36"/>
      <c r="SXB223" s="36"/>
      <c r="SXC223" s="36"/>
      <c r="SXD223" s="36"/>
      <c r="SXE223" s="36"/>
      <c r="SXF223" s="36"/>
      <c r="SXG223" s="36"/>
      <c r="SXH223" s="36"/>
      <c r="SXI223" s="36"/>
      <c r="SXJ223" s="36"/>
      <c r="SXK223" s="36"/>
      <c r="SXL223" s="36"/>
      <c r="SXM223" s="36"/>
      <c r="SXN223" s="36"/>
      <c r="SXO223" s="36"/>
      <c r="SXP223" s="36"/>
      <c r="SXQ223" s="36"/>
      <c r="SXR223" s="36"/>
      <c r="SXS223" s="36"/>
      <c r="SXT223" s="36"/>
      <c r="SXU223" s="36"/>
      <c r="SXV223" s="36"/>
      <c r="SXW223" s="36"/>
      <c r="SXX223" s="36"/>
      <c r="SXY223" s="36"/>
      <c r="SXZ223" s="36"/>
      <c r="SYA223" s="36"/>
      <c r="SYB223" s="36"/>
      <c r="SYC223" s="36"/>
      <c r="SYD223" s="36"/>
      <c r="SYE223" s="36"/>
      <c r="SYF223" s="36"/>
      <c r="SYG223" s="36"/>
      <c r="SYH223" s="36"/>
      <c r="SYI223" s="36"/>
      <c r="SYJ223" s="36"/>
      <c r="SYK223" s="36"/>
      <c r="SYL223" s="36"/>
      <c r="SYM223" s="36"/>
      <c r="SYN223" s="36"/>
      <c r="SYO223" s="36"/>
      <c r="SYP223" s="36"/>
      <c r="SYQ223" s="36"/>
      <c r="SYR223" s="36"/>
      <c r="SYS223" s="36"/>
      <c r="SYT223" s="36"/>
      <c r="SYU223" s="36"/>
      <c r="SYV223" s="36"/>
      <c r="SYW223" s="36"/>
      <c r="SYX223" s="36"/>
      <c r="SYY223" s="36"/>
      <c r="SYZ223" s="36"/>
      <c r="SZA223" s="36"/>
      <c r="SZB223" s="36"/>
      <c r="SZC223" s="36"/>
      <c r="SZD223" s="36"/>
      <c r="SZE223" s="36"/>
      <c r="SZF223" s="36"/>
      <c r="SZG223" s="36"/>
      <c r="SZH223" s="36"/>
      <c r="SZI223" s="36"/>
      <c r="SZJ223" s="36"/>
      <c r="SZK223" s="36"/>
      <c r="SZL223" s="36"/>
      <c r="SZM223" s="36"/>
      <c r="SZN223" s="36"/>
      <c r="SZO223" s="36"/>
      <c r="SZP223" s="36"/>
      <c r="SZQ223" s="36"/>
      <c r="SZR223" s="36"/>
      <c r="SZS223" s="36"/>
      <c r="SZT223" s="36"/>
      <c r="SZU223" s="36"/>
      <c r="SZV223" s="36"/>
      <c r="SZW223" s="36"/>
      <c r="SZX223" s="36"/>
      <c r="SZY223" s="36"/>
      <c r="SZZ223" s="36"/>
      <c r="TAA223" s="36"/>
      <c r="TAB223" s="36"/>
      <c r="TAC223" s="36"/>
      <c r="TAD223" s="36"/>
      <c r="TAE223" s="36"/>
      <c r="TAF223" s="36"/>
      <c r="TAG223" s="36"/>
      <c r="TAH223" s="36"/>
      <c r="TAI223" s="36"/>
      <c r="TAJ223" s="36"/>
      <c r="TAK223" s="36"/>
      <c r="TAL223" s="36"/>
      <c r="TAM223" s="36"/>
      <c r="TAN223" s="36"/>
      <c r="TAO223" s="36"/>
      <c r="TAP223" s="36"/>
      <c r="TAQ223" s="36"/>
      <c r="TAR223" s="36"/>
      <c r="TAS223" s="36"/>
      <c r="TAT223" s="36"/>
      <c r="TAU223" s="36"/>
      <c r="TAV223" s="36"/>
      <c r="TAW223" s="36"/>
      <c r="TAX223" s="36"/>
      <c r="TAY223" s="36"/>
      <c r="TAZ223" s="36"/>
      <c r="TBA223" s="36"/>
      <c r="TBB223" s="36"/>
      <c r="TBC223" s="36"/>
      <c r="TBD223" s="36"/>
      <c r="TBE223" s="36"/>
      <c r="TBF223" s="36"/>
      <c r="TBG223" s="36"/>
      <c r="TBH223" s="36"/>
      <c r="TBI223" s="36"/>
      <c r="TBJ223" s="36"/>
      <c r="TBK223" s="36"/>
      <c r="TBL223" s="36"/>
      <c r="TBM223" s="36"/>
      <c r="TBN223" s="36"/>
      <c r="TBO223" s="36"/>
      <c r="TBP223" s="36"/>
      <c r="TBQ223" s="36"/>
      <c r="TBR223" s="36"/>
      <c r="TBS223" s="36"/>
      <c r="TBT223" s="36"/>
      <c r="TBU223" s="36"/>
      <c r="TBV223" s="36"/>
      <c r="TBW223" s="36"/>
      <c r="TBX223" s="36"/>
      <c r="TBY223" s="36"/>
      <c r="TBZ223" s="36"/>
      <c r="TCA223" s="36"/>
      <c r="TCB223" s="36"/>
      <c r="TCC223" s="36"/>
      <c r="TCD223" s="36"/>
      <c r="TCE223" s="36"/>
      <c r="TCF223" s="36"/>
      <c r="TCG223" s="36"/>
      <c r="TCH223" s="36"/>
      <c r="TCI223" s="36"/>
      <c r="TCJ223" s="36"/>
      <c r="TCK223" s="36"/>
      <c r="TCL223" s="36"/>
      <c r="TCM223" s="36"/>
      <c r="TCN223" s="36"/>
      <c r="TCO223" s="36"/>
      <c r="TCP223" s="36"/>
      <c r="TCQ223" s="36"/>
      <c r="TCR223" s="36"/>
      <c r="TCS223" s="36"/>
      <c r="TCT223" s="36"/>
      <c r="TCU223" s="36"/>
      <c r="TCV223" s="36"/>
      <c r="TCW223" s="36"/>
      <c r="TCX223" s="36"/>
      <c r="TCY223" s="36"/>
      <c r="TCZ223" s="36"/>
      <c r="TDA223" s="36"/>
      <c r="TDB223" s="36"/>
      <c r="TDC223" s="36"/>
      <c r="TDD223" s="36"/>
      <c r="TDE223" s="36"/>
      <c r="TDF223" s="36"/>
      <c r="TDG223" s="36"/>
      <c r="TDH223" s="36"/>
      <c r="TDI223" s="36"/>
      <c r="TDJ223" s="36"/>
      <c r="TDK223" s="36"/>
      <c r="TDL223" s="36"/>
      <c r="TDM223" s="36"/>
      <c r="TDN223" s="36"/>
      <c r="TDO223" s="36"/>
      <c r="TDP223" s="36"/>
      <c r="TDQ223" s="36"/>
      <c r="TDR223" s="36"/>
      <c r="TDS223" s="36"/>
      <c r="TDT223" s="36"/>
      <c r="TDU223" s="36"/>
      <c r="TDV223" s="36"/>
      <c r="TDW223" s="36"/>
      <c r="TDX223" s="36"/>
      <c r="TDY223" s="36"/>
      <c r="TDZ223" s="36"/>
      <c r="TEA223" s="36"/>
      <c r="TEB223" s="36"/>
      <c r="TEC223" s="36"/>
      <c r="TED223" s="36"/>
      <c r="TEE223" s="36"/>
      <c r="TEF223" s="36"/>
      <c r="TEG223" s="36"/>
      <c r="TEH223" s="36"/>
      <c r="TEI223" s="36"/>
      <c r="TEJ223" s="36"/>
      <c r="TEK223" s="36"/>
      <c r="TEL223" s="36"/>
      <c r="TEM223" s="36"/>
      <c r="TEN223" s="36"/>
      <c r="TEO223" s="36"/>
      <c r="TEP223" s="36"/>
      <c r="TEQ223" s="36"/>
      <c r="TER223" s="36"/>
      <c r="TES223" s="36"/>
      <c r="TET223" s="36"/>
      <c r="TEU223" s="36"/>
      <c r="TEV223" s="36"/>
      <c r="TEW223" s="36"/>
      <c r="TEX223" s="36"/>
      <c r="TEY223" s="36"/>
      <c r="TEZ223" s="36"/>
      <c r="TFA223" s="36"/>
      <c r="TFB223" s="36"/>
      <c r="TFC223" s="36"/>
      <c r="TFD223" s="36"/>
      <c r="TFE223" s="36"/>
      <c r="TFF223" s="36"/>
      <c r="TFG223" s="36"/>
      <c r="TFH223" s="36"/>
      <c r="TFI223" s="36"/>
      <c r="TFJ223" s="36"/>
      <c r="TFK223" s="36"/>
      <c r="TFL223" s="36"/>
      <c r="TFM223" s="36"/>
      <c r="TFN223" s="36"/>
      <c r="TFO223" s="36"/>
      <c r="TFP223" s="36"/>
      <c r="TFQ223" s="36"/>
      <c r="TFR223" s="36"/>
      <c r="TFS223" s="36"/>
      <c r="TFT223" s="36"/>
      <c r="TFU223" s="36"/>
      <c r="TFV223" s="36"/>
      <c r="TFW223" s="36"/>
      <c r="TFX223" s="36"/>
      <c r="TFY223" s="36"/>
      <c r="TFZ223" s="36"/>
      <c r="TGA223" s="36"/>
      <c r="TGB223" s="36"/>
      <c r="TGC223" s="36"/>
      <c r="TGD223" s="36"/>
      <c r="TGE223" s="36"/>
      <c r="TGF223" s="36"/>
      <c r="TGG223" s="36"/>
      <c r="TGH223" s="36"/>
      <c r="TGI223" s="36"/>
      <c r="TGJ223" s="36"/>
      <c r="TGK223" s="36"/>
      <c r="TGL223" s="36"/>
      <c r="TGM223" s="36"/>
      <c r="TGN223" s="36"/>
      <c r="TGO223" s="36"/>
      <c r="TGP223" s="36"/>
      <c r="TGQ223" s="36"/>
      <c r="TGR223" s="36"/>
      <c r="TGS223" s="36"/>
      <c r="TGT223" s="36"/>
      <c r="TGU223" s="36"/>
      <c r="TGV223" s="36"/>
      <c r="TGW223" s="36"/>
      <c r="TGX223" s="36"/>
      <c r="TGY223" s="36"/>
      <c r="TGZ223" s="36"/>
      <c r="THA223" s="36"/>
      <c r="THB223" s="36"/>
      <c r="THC223" s="36"/>
      <c r="THD223" s="36"/>
      <c r="THE223" s="36"/>
      <c r="THF223" s="36"/>
      <c r="THG223" s="36"/>
      <c r="THH223" s="36"/>
      <c r="THI223" s="36"/>
      <c r="THJ223" s="36"/>
      <c r="THK223" s="36"/>
      <c r="THL223" s="36"/>
      <c r="THM223" s="36"/>
      <c r="THN223" s="36"/>
      <c r="THO223" s="36"/>
      <c r="THP223" s="36"/>
      <c r="THQ223" s="36"/>
      <c r="THR223" s="36"/>
      <c r="THS223" s="36"/>
      <c r="THT223" s="36"/>
      <c r="THU223" s="36"/>
      <c r="THV223" s="36"/>
      <c r="THW223" s="36"/>
      <c r="THX223" s="36"/>
      <c r="THY223" s="36"/>
      <c r="THZ223" s="36"/>
      <c r="TIA223" s="36"/>
      <c r="TIB223" s="36"/>
      <c r="TIC223" s="36"/>
      <c r="TID223" s="36"/>
      <c r="TIE223" s="36"/>
      <c r="TIF223" s="36"/>
      <c r="TIG223" s="36"/>
      <c r="TIH223" s="36"/>
      <c r="TII223" s="36"/>
      <c r="TIJ223" s="36"/>
      <c r="TIK223" s="36"/>
      <c r="TIL223" s="36"/>
      <c r="TIM223" s="36"/>
      <c r="TIN223" s="36"/>
      <c r="TIO223" s="36"/>
      <c r="TIP223" s="36"/>
      <c r="TIQ223" s="36"/>
      <c r="TIR223" s="36"/>
      <c r="TIS223" s="36"/>
      <c r="TIT223" s="36"/>
      <c r="TIU223" s="36"/>
      <c r="TIV223" s="36"/>
      <c r="TIW223" s="36"/>
      <c r="TIX223" s="36"/>
      <c r="TIY223" s="36"/>
      <c r="TIZ223" s="36"/>
      <c r="TJA223" s="36"/>
      <c r="TJB223" s="36"/>
      <c r="TJC223" s="36"/>
      <c r="TJD223" s="36"/>
      <c r="TJE223" s="36"/>
      <c r="TJF223" s="36"/>
      <c r="TJG223" s="36"/>
      <c r="TJH223" s="36"/>
      <c r="TJI223" s="36"/>
      <c r="TJJ223" s="36"/>
      <c r="TJK223" s="36"/>
      <c r="TJL223" s="36"/>
      <c r="TJM223" s="36"/>
      <c r="TJN223" s="36"/>
      <c r="TJO223" s="36"/>
      <c r="TJP223" s="36"/>
      <c r="TJQ223" s="36"/>
      <c r="TJR223" s="36"/>
      <c r="TJS223" s="36"/>
      <c r="TJT223" s="36"/>
      <c r="TJU223" s="36"/>
      <c r="TJV223" s="36"/>
      <c r="TJW223" s="36"/>
      <c r="TJX223" s="36"/>
      <c r="TJY223" s="36"/>
      <c r="TJZ223" s="36"/>
      <c r="TKA223" s="36"/>
      <c r="TKB223" s="36"/>
      <c r="TKC223" s="36"/>
      <c r="TKD223" s="36"/>
      <c r="TKE223" s="36"/>
      <c r="TKF223" s="36"/>
      <c r="TKG223" s="36"/>
      <c r="TKH223" s="36"/>
      <c r="TKI223" s="36"/>
      <c r="TKJ223" s="36"/>
      <c r="TKK223" s="36"/>
      <c r="TKL223" s="36"/>
      <c r="TKM223" s="36"/>
      <c r="TKN223" s="36"/>
      <c r="TKO223" s="36"/>
      <c r="TKP223" s="36"/>
      <c r="TKQ223" s="36"/>
      <c r="TKR223" s="36"/>
      <c r="TKS223" s="36"/>
      <c r="TKT223" s="36"/>
      <c r="TKU223" s="36"/>
      <c r="TKV223" s="36"/>
      <c r="TKW223" s="36"/>
      <c r="TKX223" s="36"/>
      <c r="TKY223" s="36"/>
      <c r="TKZ223" s="36"/>
      <c r="TLA223" s="36"/>
      <c r="TLB223" s="36"/>
      <c r="TLC223" s="36"/>
      <c r="TLD223" s="36"/>
      <c r="TLE223" s="36"/>
      <c r="TLF223" s="36"/>
      <c r="TLG223" s="36"/>
      <c r="TLH223" s="36"/>
      <c r="TLI223" s="36"/>
      <c r="TLJ223" s="36"/>
      <c r="TLK223" s="36"/>
      <c r="TLL223" s="36"/>
      <c r="TLM223" s="36"/>
      <c r="TLN223" s="36"/>
      <c r="TLO223" s="36"/>
      <c r="TLP223" s="36"/>
      <c r="TLQ223" s="36"/>
      <c r="TLR223" s="36"/>
      <c r="TLS223" s="36"/>
      <c r="TLT223" s="36"/>
      <c r="TLU223" s="36"/>
      <c r="TLV223" s="36"/>
      <c r="TLW223" s="36"/>
      <c r="TLX223" s="36"/>
      <c r="TLY223" s="36"/>
      <c r="TLZ223" s="36"/>
      <c r="TMA223" s="36"/>
      <c r="TMB223" s="36"/>
      <c r="TMC223" s="36"/>
      <c r="TMD223" s="36"/>
      <c r="TME223" s="36"/>
      <c r="TMF223" s="36"/>
      <c r="TMG223" s="36"/>
      <c r="TMH223" s="36"/>
      <c r="TMI223" s="36"/>
      <c r="TMJ223" s="36"/>
      <c r="TMK223" s="36"/>
      <c r="TML223" s="36"/>
      <c r="TMM223" s="36"/>
      <c r="TMN223" s="36"/>
      <c r="TMO223" s="36"/>
      <c r="TMP223" s="36"/>
      <c r="TMQ223" s="36"/>
      <c r="TMR223" s="36"/>
      <c r="TMS223" s="36"/>
      <c r="TMT223" s="36"/>
      <c r="TMU223" s="36"/>
      <c r="TMV223" s="36"/>
      <c r="TMW223" s="36"/>
      <c r="TMX223" s="36"/>
      <c r="TMY223" s="36"/>
      <c r="TMZ223" s="36"/>
      <c r="TNA223" s="36"/>
      <c r="TNB223" s="36"/>
      <c r="TNC223" s="36"/>
      <c r="TND223" s="36"/>
      <c r="TNE223" s="36"/>
      <c r="TNF223" s="36"/>
      <c r="TNG223" s="36"/>
      <c r="TNH223" s="36"/>
      <c r="TNI223" s="36"/>
      <c r="TNJ223" s="36"/>
      <c r="TNK223" s="36"/>
      <c r="TNL223" s="36"/>
      <c r="TNM223" s="36"/>
      <c r="TNN223" s="36"/>
      <c r="TNO223" s="36"/>
      <c r="TNP223" s="36"/>
      <c r="TNQ223" s="36"/>
      <c r="TNR223" s="36"/>
      <c r="TNS223" s="36"/>
      <c r="TNT223" s="36"/>
      <c r="TNU223" s="36"/>
      <c r="TNV223" s="36"/>
      <c r="TNW223" s="36"/>
      <c r="TNX223" s="36"/>
      <c r="TNY223" s="36"/>
      <c r="TNZ223" s="36"/>
      <c r="TOA223" s="36"/>
      <c r="TOB223" s="36"/>
      <c r="TOC223" s="36"/>
      <c r="TOD223" s="36"/>
      <c r="TOE223" s="36"/>
      <c r="TOF223" s="36"/>
      <c r="TOG223" s="36"/>
      <c r="TOH223" s="36"/>
      <c r="TOI223" s="36"/>
      <c r="TOJ223" s="36"/>
      <c r="TOK223" s="36"/>
      <c r="TOL223" s="36"/>
      <c r="TOM223" s="36"/>
      <c r="TON223" s="36"/>
      <c r="TOO223" s="36"/>
      <c r="TOP223" s="36"/>
      <c r="TOQ223" s="36"/>
      <c r="TOR223" s="36"/>
      <c r="TOS223" s="36"/>
      <c r="TOT223" s="36"/>
      <c r="TOU223" s="36"/>
      <c r="TOV223" s="36"/>
      <c r="TOW223" s="36"/>
      <c r="TOX223" s="36"/>
      <c r="TOY223" s="36"/>
      <c r="TOZ223" s="36"/>
      <c r="TPA223" s="36"/>
      <c r="TPB223" s="36"/>
      <c r="TPC223" s="36"/>
      <c r="TPD223" s="36"/>
      <c r="TPE223" s="36"/>
      <c r="TPF223" s="36"/>
      <c r="TPG223" s="36"/>
      <c r="TPH223" s="36"/>
      <c r="TPI223" s="36"/>
      <c r="TPJ223" s="36"/>
      <c r="TPK223" s="36"/>
      <c r="TPL223" s="36"/>
      <c r="TPM223" s="36"/>
      <c r="TPN223" s="36"/>
      <c r="TPO223" s="36"/>
      <c r="TPP223" s="36"/>
      <c r="TPQ223" s="36"/>
      <c r="TPR223" s="36"/>
      <c r="TPS223" s="36"/>
      <c r="TPT223" s="36"/>
      <c r="TPU223" s="36"/>
      <c r="TPV223" s="36"/>
      <c r="TPW223" s="36"/>
      <c r="TPX223" s="36"/>
      <c r="TPY223" s="36"/>
      <c r="TPZ223" s="36"/>
      <c r="TQA223" s="36"/>
      <c r="TQB223" s="36"/>
      <c r="TQC223" s="36"/>
      <c r="TQD223" s="36"/>
      <c r="TQE223" s="36"/>
      <c r="TQF223" s="36"/>
      <c r="TQG223" s="36"/>
      <c r="TQH223" s="36"/>
      <c r="TQI223" s="36"/>
      <c r="TQJ223" s="36"/>
      <c r="TQK223" s="36"/>
      <c r="TQL223" s="36"/>
      <c r="TQM223" s="36"/>
      <c r="TQN223" s="36"/>
      <c r="TQO223" s="36"/>
      <c r="TQP223" s="36"/>
      <c r="TQQ223" s="36"/>
      <c r="TQR223" s="36"/>
      <c r="TQS223" s="36"/>
      <c r="TQT223" s="36"/>
      <c r="TQU223" s="36"/>
      <c r="TQV223" s="36"/>
      <c r="TQW223" s="36"/>
      <c r="TQX223" s="36"/>
      <c r="TQY223" s="36"/>
      <c r="TQZ223" s="36"/>
      <c r="TRA223" s="36"/>
      <c r="TRB223" s="36"/>
      <c r="TRC223" s="36"/>
      <c r="TRD223" s="36"/>
      <c r="TRE223" s="36"/>
      <c r="TRF223" s="36"/>
      <c r="TRG223" s="36"/>
      <c r="TRH223" s="36"/>
      <c r="TRI223" s="36"/>
      <c r="TRJ223" s="36"/>
      <c r="TRK223" s="36"/>
      <c r="TRL223" s="36"/>
      <c r="TRM223" s="36"/>
      <c r="TRN223" s="36"/>
      <c r="TRO223" s="36"/>
      <c r="TRP223" s="36"/>
      <c r="TRQ223" s="36"/>
      <c r="TRR223" s="36"/>
      <c r="TRS223" s="36"/>
      <c r="TRT223" s="36"/>
      <c r="TRU223" s="36"/>
      <c r="TRV223" s="36"/>
      <c r="TRW223" s="36"/>
      <c r="TRX223" s="36"/>
      <c r="TRY223" s="36"/>
      <c r="TRZ223" s="36"/>
      <c r="TSA223" s="36"/>
      <c r="TSB223" s="36"/>
      <c r="TSC223" s="36"/>
      <c r="TSD223" s="36"/>
      <c r="TSE223" s="36"/>
      <c r="TSF223" s="36"/>
      <c r="TSG223" s="36"/>
      <c r="TSH223" s="36"/>
      <c r="TSI223" s="36"/>
      <c r="TSJ223" s="36"/>
      <c r="TSK223" s="36"/>
      <c r="TSL223" s="36"/>
      <c r="TSM223" s="36"/>
      <c r="TSN223" s="36"/>
      <c r="TSO223" s="36"/>
      <c r="TSP223" s="36"/>
      <c r="TSQ223" s="36"/>
      <c r="TSR223" s="36"/>
      <c r="TSS223" s="36"/>
      <c r="TST223" s="36"/>
      <c r="TSU223" s="36"/>
      <c r="TSV223" s="36"/>
      <c r="TSW223" s="36"/>
      <c r="TSX223" s="36"/>
      <c r="TSY223" s="36"/>
      <c r="TSZ223" s="36"/>
      <c r="TTA223" s="36"/>
      <c r="TTB223" s="36"/>
      <c r="TTC223" s="36"/>
      <c r="TTD223" s="36"/>
      <c r="TTE223" s="36"/>
      <c r="TTF223" s="36"/>
      <c r="TTG223" s="36"/>
      <c r="TTH223" s="36"/>
      <c r="TTI223" s="36"/>
      <c r="TTJ223" s="36"/>
      <c r="TTK223" s="36"/>
      <c r="TTL223" s="36"/>
      <c r="TTM223" s="36"/>
      <c r="TTN223" s="36"/>
      <c r="TTO223" s="36"/>
      <c r="TTP223" s="36"/>
      <c r="TTQ223" s="36"/>
      <c r="TTR223" s="36"/>
      <c r="TTS223" s="36"/>
      <c r="TTT223" s="36"/>
      <c r="TTU223" s="36"/>
      <c r="TTV223" s="36"/>
      <c r="TTW223" s="36"/>
      <c r="TTX223" s="36"/>
      <c r="TTY223" s="36"/>
      <c r="TTZ223" s="36"/>
      <c r="TUA223" s="36"/>
      <c r="TUB223" s="36"/>
      <c r="TUC223" s="36"/>
      <c r="TUD223" s="36"/>
      <c r="TUE223" s="36"/>
      <c r="TUF223" s="36"/>
      <c r="TUG223" s="36"/>
      <c r="TUH223" s="36"/>
      <c r="TUI223" s="36"/>
      <c r="TUJ223" s="36"/>
      <c r="TUK223" s="36"/>
      <c r="TUL223" s="36"/>
      <c r="TUM223" s="36"/>
      <c r="TUN223" s="36"/>
      <c r="TUO223" s="36"/>
      <c r="TUP223" s="36"/>
      <c r="TUQ223" s="36"/>
      <c r="TUR223" s="36"/>
      <c r="TUS223" s="36"/>
      <c r="TUT223" s="36"/>
      <c r="TUU223" s="36"/>
      <c r="TUV223" s="36"/>
      <c r="TUW223" s="36"/>
      <c r="TUX223" s="36"/>
      <c r="TUY223" s="36"/>
      <c r="TUZ223" s="36"/>
      <c r="TVA223" s="36"/>
      <c r="TVB223" s="36"/>
      <c r="TVC223" s="36"/>
      <c r="TVD223" s="36"/>
      <c r="TVE223" s="36"/>
      <c r="TVF223" s="36"/>
      <c r="TVG223" s="36"/>
      <c r="TVH223" s="36"/>
      <c r="TVI223" s="36"/>
      <c r="TVJ223" s="36"/>
      <c r="TVK223" s="36"/>
      <c r="TVL223" s="36"/>
      <c r="TVM223" s="36"/>
      <c r="TVN223" s="36"/>
      <c r="TVO223" s="36"/>
      <c r="TVP223" s="36"/>
      <c r="TVQ223" s="36"/>
      <c r="TVR223" s="36"/>
      <c r="TVS223" s="36"/>
      <c r="TVT223" s="36"/>
      <c r="TVU223" s="36"/>
      <c r="TVV223" s="36"/>
      <c r="TVW223" s="36"/>
      <c r="TVX223" s="36"/>
      <c r="TVY223" s="36"/>
      <c r="TVZ223" s="36"/>
      <c r="TWA223" s="36"/>
      <c r="TWB223" s="36"/>
      <c r="TWC223" s="36"/>
      <c r="TWD223" s="36"/>
      <c r="TWE223" s="36"/>
      <c r="TWF223" s="36"/>
      <c r="TWG223" s="36"/>
      <c r="TWH223" s="36"/>
      <c r="TWI223" s="36"/>
      <c r="TWJ223" s="36"/>
      <c r="TWK223" s="36"/>
      <c r="TWL223" s="36"/>
      <c r="TWM223" s="36"/>
      <c r="TWN223" s="36"/>
      <c r="TWO223" s="36"/>
      <c r="TWP223" s="36"/>
      <c r="TWQ223" s="36"/>
      <c r="TWR223" s="36"/>
      <c r="TWS223" s="36"/>
      <c r="TWT223" s="36"/>
      <c r="TWU223" s="36"/>
      <c r="TWV223" s="36"/>
      <c r="TWW223" s="36"/>
      <c r="TWX223" s="36"/>
      <c r="TWY223" s="36"/>
      <c r="TWZ223" s="36"/>
      <c r="TXA223" s="36"/>
      <c r="TXB223" s="36"/>
      <c r="TXC223" s="36"/>
      <c r="TXD223" s="36"/>
      <c r="TXE223" s="36"/>
      <c r="TXF223" s="36"/>
      <c r="TXG223" s="36"/>
      <c r="TXH223" s="36"/>
      <c r="TXI223" s="36"/>
      <c r="TXJ223" s="36"/>
      <c r="TXK223" s="36"/>
      <c r="TXL223" s="36"/>
      <c r="TXM223" s="36"/>
      <c r="TXN223" s="36"/>
      <c r="TXO223" s="36"/>
      <c r="TXP223" s="36"/>
      <c r="TXQ223" s="36"/>
      <c r="TXR223" s="36"/>
      <c r="TXS223" s="36"/>
      <c r="TXT223" s="36"/>
      <c r="TXU223" s="36"/>
      <c r="TXV223" s="36"/>
      <c r="TXW223" s="36"/>
      <c r="TXX223" s="36"/>
      <c r="TXY223" s="36"/>
      <c r="TXZ223" s="36"/>
      <c r="TYA223" s="36"/>
      <c r="TYB223" s="36"/>
      <c r="TYC223" s="36"/>
      <c r="TYD223" s="36"/>
      <c r="TYE223" s="36"/>
      <c r="TYF223" s="36"/>
      <c r="TYG223" s="36"/>
      <c r="TYH223" s="36"/>
      <c r="TYI223" s="36"/>
      <c r="TYJ223" s="36"/>
      <c r="TYK223" s="36"/>
      <c r="TYL223" s="36"/>
      <c r="TYM223" s="36"/>
      <c r="TYN223" s="36"/>
      <c r="TYO223" s="36"/>
      <c r="TYP223" s="36"/>
      <c r="TYQ223" s="36"/>
      <c r="TYR223" s="36"/>
      <c r="TYS223" s="36"/>
      <c r="TYT223" s="36"/>
      <c r="TYU223" s="36"/>
      <c r="TYV223" s="36"/>
      <c r="TYW223" s="36"/>
      <c r="TYX223" s="36"/>
      <c r="TYY223" s="36"/>
      <c r="TYZ223" s="36"/>
      <c r="TZA223" s="36"/>
      <c r="TZB223" s="36"/>
      <c r="TZC223" s="36"/>
      <c r="TZD223" s="36"/>
      <c r="TZE223" s="36"/>
      <c r="TZF223" s="36"/>
      <c r="TZG223" s="36"/>
      <c r="TZH223" s="36"/>
      <c r="TZI223" s="36"/>
      <c r="TZJ223" s="36"/>
      <c r="TZK223" s="36"/>
      <c r="TZL223" s="36"/>
      <c r="TZM223" s="36"/>
      <c r="TZN223" s="36"/>
      <c r="TZO223" s="36"/>
      <c r="TZP223" s="36"/>
      <c r="TZQ223" s="36"/>
      <c r="TZR223" s="36"/>
      <c r="TZS223" s="36"/>
      <c r="TZT223" s="36"/>
      <c r="TZU223" s="36"/>
      <c r="TZV223" s="36"/>
      <c r="TZW223" s="36"/>
      <c r="TZX223" s="36"/>
      <c r="TZY223" s="36"/>
      <c r="TZZ223" s="36"/>
      <c r="UAA223" s="36"/>
      <c r="UAB223" s="36"/>
      <c r="UAC223" s="36"/>
      <c r="UAD223" s="36"/>
      <c r="UAE223" s="36"/>
      <c r="UAF223" s="36"/>
      <c r="UAG223" s="36"/>
      <c r="UAH223" s="36"/>
      <c r="UAI223" s="36"/>
      <c r="UAJ223" s="36"/>
      <c r="UAK223" s="36"/>
      <c r="UAL223" s="36"/>
      <c r="UAM223" s="36"/>
      <c r="UAN223" s="36"/>
      <c r="UAO223" s="36"/>
      <c r="UAP223" s="36"/>
      <c r="UAQ223" s="36"/>
      <c r="UAR223" s="36"/>
      <c r="UAS223" s="36"/>
      <c r="UAT223" s="36"/>
      <c r="UAU223" s="36"/>
      <c r="UAV223" s="36"/>
      <c r="UAW223" s="36"/>
      <c r="UAX223" s="36"/>
      <c r="UAY223" s="36"/>
      <c r="UAZ223" s="36"/>
      <c r="UBA223" s="36"/>
      <c r="UBB223" s="36"/>
      <c r="UBC223" s="36"/>
      <c r="UBD223" s="36"/>
      <c r="UBE223" s="36"/>
      <c r="UBF223" s="36"/>
      <c r="UBG223" s="36"/>
      <c r="UBH223" s="36"/>
      <c r="UBI223" s="36"/>
      <c r="UBJ223" s="36"/>
      <c r="UBK223" s="36"/>
      <c r="UBL223" s="36"/>
      <c r="UBM223" s="36"/>
      <c r="UBN223" s="36"/>
      <c r="UBO223" s="36"/>
      <c r="UBP223" s="36"/>
      <c r="UBQ223" s="36"/>
      <c r="UBR223" s="36"/>
      <c r="UBS223" s="36"/>
      <c r="UBT223" s="36"/>
      <c r="UBU223" s="36"/>
      <c r="UBV223" s="36"/>
      <c r="UBW223" s="36"/>
      <c r="UBX223" s="36"/>
      <c r="UBY223" s="36"/>
      <c r="UBZ223" s="36"/>
      <c r="UCA223" s="36"/>
      <c r="UCB223" s="36"/>
      <c r="UCC223" s="36"/>
      <c r="UCD223" s="36"/>
      <c r="UCE223" s="36"/>
      <c r="UCF223" s="36"/>
      <c r="UCG223" s="36"/>
      <c r="UCH223" s="36"/>
      <c r="UCI223" s="36"/>
      <c r="UCJ223" s="36"/>
      <c r="UCK223" s="36"/>
      <c r="UCL223" s="36"/>
      <c r="UCM223" s="36"/>
      <c r="UCN223" s="36"/>
      <c r="UCO223" s="36"/>
      <c r="UCP223" s="36"/>
      <c r="UCQ223" s="36"/>
      <c r="UCR223" s="36"/>
      <c r="UCS223" s="36"/>
      <c r="UCT223" s="36"/>
      <c r="UCU223" s="36"/>
      <c r="UCV223" s="36"/>
      <c r="UCW223" s="36"/>
      <c r="UCX223" s="36"/>
      <c r="UCY223" s="36"/>
      <c r="UCZ223" s="36"/>
      <c r="UDA223" s="36"/>
      <c r="UDB223" s="36"/>
      <c r="UDC223" s="36"/>
      <c r="UDD223" s="36"/>
      <c r="UDE223" s="36"/>
      <c r="UDF223" s="36"/>
      <c r="UDG223" s="36"/>
      <c r="UDH223" s="36"/>
      <c r="UDI223" s="36"/>
      <c r="UDJ223" s="36"/>
      <c r="UDK223" s="36"/>
      <c r="UDL223" s="36"/>
      <c r="UDM223" s="36"/>
      <c r="UDN223" s="36"/>
      <c r="UDO223" s="36"/>
      <c r="UDP223" s="36"/>
      <c r="UDQ223" s="36"/>
      <c r="UDR223" s="36"/>
      <c r="UDS223" s="36"/>
      <c r="UDT223" s="36"/>
      <c r="UDU223" s="36"/>
      <c r="UDV223" s="36"/>
      <c r="UDW223" s="36"/>
      <c r="UDX223" s="36"/>
      <c r="UDY223" s="36"/>
      <c r="UDZ223" s="36"/>
      <c r="UEA223" s="36"/>
      <c r="UEB223" s="36"/>
      <c r="UEC223" s="36"/>
      <c r="UED223" s="36"/>
      <c r="UEE223" s="36"/>
      <c r="UEF223" s="36"/>
      <c r="UEG223" s="36"/>
      <c r="UEH223" s="36"/>
      <c r="UEI223" s="36"/>
      <c r="UEJ223" s="36"/>
      <c r="UEK223" s="36"/>
      <c r="UEL223" s="36"/>
      <c r="UEM223" s="36"/>
      <c r="UEN223" s="36"/>
      <c r="UEO223" s="36"/>
      <c r="UEP223" s="36"/>
      <c r="UEQ223" s="36"/>
      <c r="UER223" s="36"/>
      <c r="UES223" s="36"/>
      <c r="UET223" s="36"/>
      <c r="UEU223" s="36"/>
      <c r="UEV223" s="36"/>
      <c r="UEW223" s="36"/>
      <c r="UEX223" s="36"/>
      <c r="UEY223" s="36"/>
      <c r="UEZ223" s="36"/>
      <c r="UFA223" s="36"/>
      <c r="UFB223" s="36"/>
      <c r="UFC223" s="36"/>
      <c r="UFD223" s="36"/>
      <c r="UFE223" s="36"/>
      <c r="UFF223" s="36"/>
      <c r="UFG223" s="36"/>
      <c r="UFH223" s="36"/>
      <c r="UFI223" s="36"/>
      <c r="UFJ223" s="36"/>
      <c r="UFK223" s="36"/>
      <c r="UFL223" s="36"/>
      <c r="UFM223" s="36"/>
      <c r="UFN223" s="36"/>
      <c r="UFO223" s="36"/>
      <c r="UFP223" s="36"/>
      <c r="UFQ223" s="36"/>
      <c r="UFR223" s="36"/>
      <c r="UFS223" s="36"/>
      <c r="UFT223" s="36"/>
      <c r="UFU223" s="36"/>
      <c r="UFV223" s="36"/>
      <c r="UFW223" s="36"/>
      <c r="UFX223" s="36"/>
      <c r="UFY223" s="36"/>
      <c r="UFZ223" s="36"/>
      <c r="UGA223" s="36"/>
      <c r="UGB223" s="36"/>
      <c r="UGC223" s="36"/>
      <c r="UGD223" s="36"/>
      <c r="UGE223" s="36"/>
      <c r="UGF223" s="36"/>
      <c r="UGG223" s="36"/>
      <c r="UGH223" s="36"/>
      <c r="UGI223" s="36"/>
      <c r="UGJ223" s="36"/>
      <c r="UGK223" s="36"/>
      <c r="UGL223" s="36"/>
      <c r="UGM223" s="36"/>
      <c r="UGN223" s="36"/>
      <c r="UGO223" s="36"/>
      <c r="UGP223" s="36"/>
      <c r="UGQ223" s="36"/>
      <c r="UGR223" s="36"/>
      <c r="UGS223" s="36"/>
      <c r="UGT223" s="36"/>
      <c r="UGU223" s="36"/>
      <c r="UGV223" s="36"/>
      <c r="UGW223" s="36"/>
      <c r="UGX223" s="36"/>
      <c r="UGY223" s="36"/>
      <c r="UGZ223" s="36"/>
      <c r="UHA223" s="36"/>
      <c r="UHB223" s="36"/>
      <c r="UHC223" s="36"/>
      <c r="UHD223" s="36"/>
      <c r="UHE223" s="36"/>
      <c r="UHF223" s="36"/>
      <c r="UHG223" s="36"/>
      <c r="UHH223" s="36"/>
      <c r="UHI223" s="36"/>
      <c r="UHJ223" s="36"/>
      <c r="UHK223" s="36"/>
      <c r="UHL223" s="36"/>
      <c r="UHM223" s="36"/>
      <c r="UHN223" s="36"/>
      <c r="UHO223" s="36"/>
      <c r="UHP223" s="36"/>
      <c r="UHQ223" s="36"/>
      <c r="UHR223" s="36"/>
      <c r="UHS223" s="36"/>
      <c r="UHT223" s="36"/>
      <c r="UHU223" s="36"/>
      <c r="UHV223" s="36"/>
      <c r="UHW223" s="36"/>
      <c r="UHX223" s="36"/>
      <c r="UHY223" s="36"/>
      <c r="UHZ223" s="36"/>
      <c r="UIA223" s="36"/>
      <c r="UIB223" s="36"/>
      <c r="UIC223" s="36"/>
      <c r="UID223" s="36"/>
      <c r="UIE223" s="36"/>
      <c r="UIF223" s="36"/>
      <c r="UIG223" s="36"/>
      <c r="UIH223" s="36"/>
      <c r="UII223" s="36"/>
      <c r="UIJ223" s="36"/>
      <c r="UIK223" s="36"/>
      <c r="UIL223" s="36"/>
      <c r="UIM223" s="36"/>
      <c r="UIN223" s="36"/>
      <c r="UIO223" s="36"/>
      <c r="UIP223" s="36"/>
      <c r="UIQ223" s="36"/>
      <c r="UIR223" s="36"/>
      <c r="UIS223" s="36"/>
      <c r="UIT223" s="36"/>
      <c r="UIU223" s="36"/>
      <c r="UIV223" s="36"/>
      <c r="UIW223" s="36"/>
      <c r="UIX223" s="36"/>
      <c r="UIY223" s="36"/>
      <c r="UIZ223" s="36"/>
      <c r="UJA223" s="36"/>
      <c r="UJB223" s="36"/>
      <c r="UJC223" s="36"/>
      <c r="UJD223" s="36"/>
      <c r="UJE223" s="36"/>
      <c r="UJF223" s="36"/>
      <c r="UJG223" s="36"/>
      <c r="UJH223" s="36"/>
      <c r="UJI223" s="36"/>
      <c r="UJJ223" s="36"/>
      <c r="UJK223" s="36"/>
      <c r="UJL223" s="36"/>
      <c r="UJM223" s="36"/>
      <c r="UJN223" s="36"/>
      <c r="UJO223" s="36"/>
      <c r="UJP223" s="36"/>
      <c r="UJQ223" s="36"/>
      <c r="UJR223" s="36"/>
      <c r="UJS223" s="36"/>
      <c r="UJT223" s="36"/>
      <c r="UJU223" s="36"/>
      <c r="UJV223" s="36"/>
      <c r="UJW223" s="36"/>
      <c r="UJX223" s="36"/>
      <c r="UJY223" s="36"/>
      <c r="UJZ223" s="36"/>
      <c r="UKA223" s="36"/>
      <c r="UKB223" s="36"/>
      <c r="UKC223" s="36"/>
      <c r="UKD223" s="36"/>
      <c r="UKE223" s="36"/>
      <c r="UKF223" s="36"/>
      <c r="UKG223" s="36"/>
      <c r="UKH223" s="36"/>
      <c r="UKI223" s="36"/>
      <c r="UKJ223" s="36"/>
      <c r="UKK223" s="36"/>
      <c r="UKL223" s="36"/>
      <c r="UKM223" s="36"/>
      <c r="UKN223" s="36"/>
      <c r="UKO223" s="36"/>
      <c r="UKP223" s="36"/>
      <c r="UKQ223" s="36"/>
      <c r="UKR223" s="36"/>
      <c r="UKS223" s="36"/>
      <c r="UKT223" s="36"/>
      <c r="UKU223" s="36"/>
      <c r="UKV223" s="36"/>
      <c r="UKW223" s="36"/>
      <c r="UKX223" s="36"/>
      <c r="UKY223" s="36"/>
      <c r="UKZ223" s="36"/>
      <c r="ULA223" s="36"/>
      <c r="ULB223" s="36"/>
      <c r="ULC223" s="36"/>
      <c r="ULD223" s="36"/>
      <c r="ULE223" s="36"/>
      <c r="ULF223" s="36"/>
      <c r="ULG223" s="36"/>
      <c r="ULH223" s="36"/>
      <c r="ULI223" s="36"/>
      <c r="ULJ223" s="36"/>
      <c r="ULK223" s="36"/>
      <c r="ULL223" s="36"/>
      <c r="ULM223" s="36"/>
      <c r="ULN223" s="36"/>
      <c r="ULO223" s="36"/>
      <c r="ULP223" s="36"/>
      <c r="ULQ223" s="36"/>
      <c r="ULR223" s="36"/>
      <c r="ULS223" s="36"/>
      <c r="ULT223" s="36"/>
      <c r="ULU223" s="36"/>
      <c r="ULV223" s="36"/>
      <c r="ULW223" s="36"/>
      <c r="ULX223" s="36"/>
      <c r="ULY223" s="36"/>
      <c r="ULZ223" s="36"/>
      <c r="UMA223" s="36"/>
      <c r="UMB223" s="36"/>
      <c r="UMC223" s="36"/>
      <c r="UMD223" s="36"/>
      <c r="UME223" s="36"/>
      <c r="UMF223" s="36"/>
      <c r="UMG223" s="36"/>
      <c r="UMH223" s="36"/>
      <c r="UMI223" s="36"/>
      <c r="UMJ223" s="36"/>
      <c r="UMK223" s="36"/>
      <c r="UML223" s="36"/>
      <c r="UMM223" s="36"/>
      <c r="UMN223" s="36"/>
      <c r="UMO223" s="36"/>
      <c r="UMP223" s="36"/>
      <c r="UMQ223" s="36"/>
      <c r="UMR223" s="36"/>
      <c r="UMS223" s="36"/>
      <c r="UMT223" s="36"/>
      <c r="UMU223" s="36"/>
      <c r="UMV223" s="36"/>
      <c r="UMW223" s="36"/>
      <c r="UMX223" s="36"/>
      <c r="UMY223" s="36"/>
      <c r="UMZ223" s="36"/>
      <c r="UNA223" s="36"/>
      <c r="UNB223" s="36"/>
      <c r="UNC223" s="36"/>
      <c r="UND223" s="36"/>
      <c r="UNE223" s="36"/>
      <c r="UNF223" s="36"/>
      <c r="UNG223" s="36"/>
      <c r="UNH223" s="36"/>
      <c r="UNI223" s="36"/>
      <c r="UNJ223" s="36"/>
      <c r="UNK223" s="36"/>
      <c r="UNL223" s="36"/>
      <c r="UNM223" s="36"/>
      <c r="UNN223" s="36"/>
      <c r="UNO223" s="36"/>
      <c r="UNP223" s="36"/>
      <c r="UNQ223" s="36"/>
      <c r="UNR223" s="36"/>
      <c r="UNS223" s="36"/>
      <c r="UNT223" s="36"/>
      <c r="UNU223" s="36"/>
      <c r="UNV223" s="36"/>
      <c r="UNW223" s="36"/>
      <c r="UNX223" s="36"/>
      <c r="UNY223" s="36"/>
      <c r="UNZ223" s="36"/>
      <c r="UOA223" s="36"/>
      <c r="UOB223" s="36"/>
      <c r="UOC223" s="36"/>
      <c r="UOD223" s="36"/>
      <c r="UOE223" s="36"/>
      <c r="UOF223" s="36"/>
      <c r="UOG223" s="36"/>
      <c r="UOH223" s="36"/>
      <c r="UOI223" s="36"/>
      <c r="UOJ223" s="36"/>
      <c r="UOK223" s="36"/>
      <c r="UOL223" s="36"/>
      <c r="UOM223" s="36"/>
      <c r="UON223" s="36"/>
      <c r="UOO223" s="36"/>
      <c r="UOP223" s="36"/>
      <c r="UOQ223" s="36"/>
      <c r="UOR223" s="36"/>
      <c r="UOS223" s="36"/>
      <c r="UOT223" s="36"/>
      <c r="UOU223" s="36"/>
      <c r="UOV223" s="36"/>
      <c r="UOW223" s="36"/>
      <c r="UOX223" s="36"/>
      <c r="UOY223" s="36"/>
      <c r="UOZ223" s="36"/>
      <c r="UPA223" s="36"/>
      <c r="UPB223" s="36"/>
      <c r="UPC223" s="36"/>
      <c r="UPD223" s="36"/>
      <c r="UPE223" s="36"/>
      <c r="UPF223" s="36"/>
      <c r="UPG223" s="36"/>
      <c r="UPH223" s="36"/>
      <c r="UPI223" s="36"/>
      <c r="UPJ223" s="36"/>
      <c r="UPK223" s="36"/>
      <c r="UPL223" s="36"/>
      <c r="UPM223" s="36"/>
      <c r="UPN223" s="36"/>
      <c r="UPO223" s="36"/>
      <c r="UPP223" s="36"/>
      <c r="UPQ223" s="36"/>
      <c r="UPR223" s="36"/>
      <c r="UPS223" s="36"/>
      <c r="UPT223" s="36"/>
      <c r="UPU223" s="36"/>
      <c r="UPV223" s="36"/>
      <c r="UPW223" s="36"/>
      <c r="UPX223" s="36"/>
      <c r="UPY223" s="36"/>
      <c r="UPZ223" s="36"/>
      <c r="UQA223" s="36"/>
      <c r="UQB223" s="36"/>
      <c r="UQC223" s="36"/>
      <c r="UQD223" s="36"/>
      <c r="UQE223" s="36"/>
      <c r="UQF223" s="36"/>
      <c r="UQG223" s="36"/>
      <c r="UQH223" s="36"/>
      <c r="UQI223" s="36"/>
      <c r="UQJ223" s="36"/>
      <c r="UQK223" s="36"/>
      <c r="UQL223" s="36"/>
      <c r="UQM223" s="36"/>
      <c r="UQN223" s="36"/>
      <c r="UQO223" s="36"/>
      <c r="UQP223" s="36"/>
      <c r="UQQ223" s="36"/>
      <c r="UQR223" s="36"/>
      <c r="UQS223" s="36"/>
      <c r="UQT223" s="36"/>
      <c r="UQU223" s="36"/>
      <c r="UQV223" s="36"/>
      <c r="UQW223" s="36"/>
      <c r="UQX223" s="36"/>
      <c r="UQY223" s="36"/>
      <c r="UQZ223" s="36"/>
      <c r="URA223" s="36"/>
      <c r="URB223" s="36"/>
      <c r="URC223" s="36"/>
      <c r="URD223" s="36"/>
      <c r="URE223" s="36"/>
      <c r="URF223" s="36"/>
      <c r="URG223" s="36"/>
      <c r="URH223" s="36"/>
      <c r="URI223" s="36"/>
      <c r="URJ223" s="36"/>
      <c r="URK223" s="36"/>
      <c r="URL223" s="36"/>
      <c r="URM223" s="36"/>
      <c r="URN223" s="36"/>
      <c r="URO223" s="36"/>
      <c r="URP223" s="36"/>
      <c r="URQ223" s="36"/>
      <c r="URR223" s="36"/>
      <c r="URS223" s="36"/>
      <c r="URT223" s="36"/>
      <c r="URU223" s="36"/>
      <c r="URV223" s="36"/>
      <c r="URW223" s="36"/>
      <c r="URX223" s="36"/>
      <c r="URY223" s="36"/>
      <c r="URZ223" s="36"/>
      <c r="USA223" s="36"/>
      <c r="USB223" s="36"/>
      <c r="USC223" s="36"/>
      <c r="USD223" s="36"/>
      <c r="USE223" s="36"/>
      <c r="USF223" s="36"/>
      <c r="USG223" s="36"/>
      <c r="USH223" s="36"/>
      <c r="USI223" s="36"/>
      <c r="USJ223" s="36"/>
      <c r="USK223" s="36"/>
      <c r="USL223" s="36"/>
      <c r="USM223" s="36"/>
      <c r="USN223" s="36"/>
      <c r="USO223" s="36"/>
      <c r="USP223" s="36"/>
      <c r="USQ223" s="36"/>
      <c r="USR223" s="36"/>
      <c r="USS223" s="36"/>
      <c r="UST223" s="36"/>
      <c r="USU223" s="36"/>
      <c r="USV223" s="36"/>
      <c r="USW223" s="36"/>
      <c r="USX223" s="36"/>
      <c r="USY223" s="36"/>
      <c r="USZ223" s="36"/>
      <c r="UTA223" s="36"/>
      <c r="UTB223" s="36"/>
      <c r="UTC223" s="36"/>
      <c r="UTD223" s="36"/>
      <c r="UTE223" s="36"/>
      <c r="UTF223" s="36"/>
      <c r="UTG223" s="36"/>
      <c r="UTH223" s="36"/>
      <c r="UTI223" s="36"/>
      <c r="UTJ223" s="36"/>
      <c r="UTK223" s="36"/>
      <c r="UTL223" s="36"/>
      <c r="UTM223" s="36"/>
      <c r="UTN223" s="36"/>
      <c r="UTO223" s="36"/>
      <c r="UTP223" s="36"/>
      <c r="UTQ223" s="36"/>
      <c r="UTR223" s="36"/>
      <c r="UTS223" s="36"/>
      <c r="UTT223" s="36"/>
      <c r="UTU223" s="36"/>
      <c r="UTV223" s="36"/>
      <c r="UTW223" s="36"/>
      <c r="UTX223" s="36"/>
      <c r="UTY223" s="36"/>
      <c r="UTZ223" s="36"/>
      <c r="UUA223" s="36"/>
      <c r="UUB223" s="36"/>
      <c r="UUC223" s="36"/>
      <c r="UUD223" s="36"/>
      <c r="UUE223" s="36"/>
      <c r="UUF223" s="36"/>
      <c r="UUG223" s="36"/>
      <c r="UUH223" s="36"/>
      <c r="UUI223" s="36"/>
      <c r="UUJ223" s="36"/>
      <c r="UUK223" s="36"/>
      <c r="UUL223" s="36"/>
      <c r="UUM223" s="36"/>
      <c r="UUN223" s="36"/>
      <c r="UUO223" s="36"/>
      <c r="UUP223" s="36"/>
      <c r="UUQ223" s="36"/>
      <c r="UUR223" s="36"/>
      <c r="UUS223" s="36"/>
      <c r="UUT223" s="36"/>
      <c r="UUU223" s="36"/>
      <c r="UUV223" s="36"/>
      <c r="UUW223" s="36"/>
      <c r="UUX223" s="36"/>
      <c r="UUY223" s="36"/>
      <c r="UUZ223" s="36"/>
      <c r="UVA223" s="36"/>
      <c r="UVB223" s="36"/>
      <c r="UVC223" s="36"/>
      <c r="UVD223" s="36"/>
      <c r="UVE223" s="36"/>
      <c r="UVF223" s="36"/>
      <c r="UVG223" s="36"/>
      <c r="UVH223" s="36"/>
      <c r="UVI223" s="36"/>
      <c r="UVJ223" s="36"/>
      <c r="UVK223" s="36"/>
      <c r="UVL223" s="36"/>
      <c r="UVM223" s="36"/>
      <c r="UVN223" s="36"/>
      <c r="UVO223" s="36"/>
      <c r="UVP223" s="36"/>
      <c r="UVQ223" s="36"/>
      <c r="UVR223" s="36"/>
      <c r="UVS223" s="36"/>
      <c r="UVT223" s="36"/>
      <c r="UVU223" s="36"/>
      <c r="UVV223" s="36"/>
      <c r="UVW223" s="36"/>
      <c r="UVX223" s="36"/>
      <c r="UVY223" s="36"/>
      <c r="UVZ223" s="36"/>
      <c r="UWA223" s="36"/>
      <c r="UWB223" s="36"/>
      <c r="UWC223" s="36"/>
      <c r="UWD223" s="36"/>
      <c r="UWE223" s="36"/>
      <c r="UWF223" s="36"/>
      <c r="UWG223" s="36"/>
      <c r="UWH223" s="36"/>
      <c r="UWI223" s="36"/>
      <c r="UWJ223" s="36"/>
      <c r="UWK223" s="36"/>
      <c r="UWL223" s="36"/>
      <c r="UWM223" s="36"/>
      <c r="UWN223" s="36"/>
      <c r="UWO223" s="36"/>
      <c r="UWP223" s="36"/>
      <c r="UWQ223" s="36"/>
      <c r="UWR223" s="36"/>
      <c r="UWS223" s="36"/>
      <c r="UWT223" s="36"/>
      <c r="UWU223" s="36"/>
      <c r="UWV223" s="36"/>
      <c r="UWW223" s="36"/>
      <c r="UWX223" s="36"/>
      <c r="UWY223" s="36"/>
      <c r="UWZ223" s="36"/>
      <c r="UXA223" s="36"/>
      <c r="UXB223" s="36"/>
      <c r="UXC223" s="36"/>
      <c r="UXD223" s="36"/>
      <c r="UXE223" s="36"/>
      <c r="UXF223" s="36"/>
      <c r="UXG223" s="36"/>
      <c r="UXH223" s="36"/>
      <c r="UXI223" s="36"/>
      <c r="UXJ223" s="36"/>
      <c r="UXK223" s="36"/>
      <c r="UXL223" s="36"/>
      <c r="UXM223" s="36"/>
      <c r="UXN223" s="36"/>
      <c r="UXO223" s="36"/>
      <c r="UXP223" s="36"/>
      <c r="UXQ223" s="36"/>
      <c r="UXR223" s="36"/>
      <c r="UXS223" s="36"/>
      <c r="UXT223" s="36"/>
      <c r="UXU223" s="36"/>
      <c r="UXV223" s="36"/>
      <c r="UXW223" s="36"/>
      <c r="UXX223" s="36"/>
      <c r="UXY223" s="36"/>
      <c r="UXZ223" s="36"/>
      <c r="UYA223" s="36"/>
      <c r="UYB223" s="36"/>
      <c r="UYC223" s="36"/>
      <c r="UYD223" s="36"/>
      <c r="UYE223" s="36"/>
      <c r="UYF223" s="36"/>
      <c r="UYG223" s="36"/>
      <c r="UYH223" s="36"/>
      <c r="UYI223" s="36"/>
      <c r="UYJ223" s="36"/>
      <c r="UYK223" s="36"/>
      <c r="UYL223" s="36"/>
      <c r="UYM223" s="36"/>
      <c r="UYN223" s="36"/>
      <c r="UYO223" s="36"/>
      <c r="UYP223" s="36"/>
      <c r="UYQ223" s="36"/>
      <c r="UYR223" s="36"/>
      <c r="UYS223" s="36"/>
      <c r="UYT223" s="36"/>
      <c r="UYU223" s="36"/>
      <c r="UYV223" s="36"/>
      <c r="UYW223" s="36"/>
      <c r="UYX223" s="36"/>
      <c r="UYY223" s="36"/>
      <c r="UYZ223" s="36"/>
      <c r="UZA223" s="36"/>
      <c r="UZB223" s="36"/>
      <c r="UZC223" s="36"/>
      <c r="UZD223" s="36"/>
      <c r="UZE223" s="36"/>
      <c r="UZF223" s="36"/>
      <c r="UZG223" s="36"/>
      <c r="UZH223" s="36"/>
      <c r="UZI223" s="36"/>
      <c r="UZJ223" s="36"/>
      <c r="UZK223" s="36"/>
      <c r="UZL223" s="36"/>
      <c r="UZM223" s="36"/>
      <c r="UZN223" s="36"/>
      <c r="UZO223" s="36"/>
      <c r="UZP223" s="36"/>
      <c r="UZQ223" s="36"/>
      <c r="UZR223" s="36"/>
      <c r="UZS223" s="36"/>
      <c r="UZT223" s="36"/>
      <c r="UZU223" s="36"/>
      <c r="UZV223" s="36"/>
      <c r="UZW223" s="36"/>
      <c r="UZX223" s="36"/>
      <c r="UZY223" s="36"/>
      <c r="UZZ223" s="36"/>
      <c r="VAA223" s="36"/>
      <c r="VAB223" s="36"/>
      <c r="VAC223" s="36"/>
      <c r="VAD223" s="36"/>
      <c r="VAE223" s="36"/>
      <c r="VAF223" s="36"/>
      <c r="VAG223" s="36"/>
      <c r="VAH223" s="36"/>
      <c r="VAI223" s="36"/>
      <c r="VAJ223" s="36"/>
      <c r="VAK223" s="36"/>
      <c r="VAL223" s="36"/>
      <c r="VAM223" s="36"/>
      <c r="VAN223" s="36"/>
      <c r="VAO223" s="36"/>
      <c r="VAP223" s="36"/>
      <c r="VAQ223" s="36"/>
      <c r="VAR223" s="36"/>
      <c r="VAS223" s="36"/>
      <c r="VAT223" s="36"/>
      <c r="VAU223" s="36"/>
      <c r="VAV223" s="36"/>
      <c r="VAW223" s="36"/>
      <c r="VAX223" s="36"/>
      <c r="VAY223" s="36"/>
      <c r="VAZ223" s="36"/>
      <c r="VBA223" s="36"/>
      <c r="VBB223" s="36"/>
      <c r="VBC223" s="36"/>
      <c r="VBD223" s="36"/>
      <c r="VBE223" s="36"/>
      <c r="VBF223" s="36"/>
      <c r="VBG223" s="36"/>
      <c r="VBH223" s="36"/>
      <c r="VBI223" s="36"/>
      <c r="VBJ223" s="36"/>
      <c r="VBK223" s="36"/>
      <c r="VBL223" s="36"/>
      <c r="VBM223" s="36"/>
      <c r="VBN223" s="36"/>
      <c r="VBO223" s="36"/>
      <c r="VBP223" s="36"/>
      <c r="VBQ223" s="36"/>
      <c r="VBR223" s="36"/>
      <c r="VBS223" s="36"/>
      <c r="VBT223" s="36"/>
      <c r="VBU223" s="36"/>
      <c r="VBV223" s="36"/>
      <c r="VBW223" s="36"/>
      <c r="VBX223" s="36"/>
      <c r="VBY223" s="36"/>
      <c r="VBZ223" s="36"/>
      <c r="VCA223" s="36"/>
      <c r="VCB223" s="36"/>
      <c r="VCC223" s="36"/>
      <c r="VCD223" s="36"/>
      <c r="VCE223" s="36"/>
      <c r="VCF223" s="36"/>
      <c r="VCG223" s="36"/>
      <c r="VCH223" s="36"/>
      <c r="VCI223" s="36"/>
      <c r="VCJ223" s="36"/>
      <c r="VCK223" s="36"/>
      <c r="VCL223" s="36"/>
      <c r="VCM223" s="36"/>
      <c r="VCN223" s="36"/>
      <c r="VCO223" s="36"/>
      <c r="VCP223" s="36"/>
      <c r="VCQ223" s="36"/>
      <c r="VCR223" s="36"/>
      <c r="VCS223" s="36"/>
      <c r="VCT223" s="36"/>
      <c r="VCU223" s="36"/>
      <c r="VCV223" s="36"/>
      <c r="VCW223" s="36"/>
      <c r="VCX223" s="36"/>
      <c r="VCY223" s="36"/>
      <c r="VCZ223" s="36"/>
      <c r="VDA223" s="36"/>
      <c r="VDB223" s="36"/>
      <c r="VDC223" s="36"/>
      <c r="VDD223" s="36"/>
      <c r="VDE223" s="36"/>
      <c r="VDF223" s="36"/>
      <c r="VDG223" s="36"/>
      <c r="VDH223" s="36"/>
      <c r="VDI223" s="36"/>
      <c r="VDJ223" s="36"/>
      <c r="VDK223" s="36"/>
      <c r="VDL223" s="36"/>
      <c r="VDM223" s="36"/>
      <c r="VDN223" s="36"/>
      <c r="VDO223" s="36"/>
      <c r="VDP223" s="36"/>
      <c r="VDQ223" s="36"/>
      <c r="VDR223" s="36"/>
      <c r="VDS223" s="36"/>
      <c r="VDT223" s="36"/>
      <c r="VDU223" s="36"/>
      <c r="VDV223" s="36"/>
      <c r="VDW223" s="36"/>
      <c r="VDX223" s="36"/>
      <c r="VDY223" s="36"/>
      <c r="VDZ223" s="36"/>
      <c r="VEA223" s="36"/>
      <c r="VEB223" s="36"/>
      <c r="VEC223" s="36"/>
      <c r="VED223" s="36"/>
      <c r="VEE223" s="36"/>
      <c r="VEF223" s="36"/>
      <c r="VEG223" s="36"/>
      <c r="VEH223" s="36"/>
      <c r="VEI223" s="36"/>
      <c r="VEJ223" s="36"/>
      <c r="VEK223" s="36"/>
      <c r="VEL223" s="36"/>
      <c r="VEM223" s="36"/>
      <c r="VEN223" s="36"/>
      <c r="VEO223" s="36"/>
      <c r="VEP223" s="36"/>
      <c r="VEQ223" s="36"/>
      <c r="VER223" s="36"/>
      <c r="VES223" s="36"/>
      <c r="VET223" s="36"/>
      <c r="VEU223" s="36"/>
      <c r="VEV223" s="36"/>
      <c r="VEW223" s="36"/>
      <c r="VEX223" s="36"/>
      <c r="VEY223" s="36"/>
      <c r="VEZ223" s="36"/>
      <c r="VFA223" s="36"/>
      <c r="VFB223" s="36"/>
      <c r="VFC223" s="36"/>
      <c r="VFD223" s="36"/>
      <c r="VFE223" s="36"/>
      <c r="VFF223" s="36"/>
      <c r="VFG223" s="36"/>
      <c r="VFH223" s="36"/>
      <c r="VFI223" s="36"/>
      <c r="VFJ223" s="36"/>
      <c r="VFK223" s="36"/>
      <c r="VFL223" s="36"/>
      <c r="VFM223" s="36"/>
      <c r="VFN223" s="36"/>
      <c r="VFO223" s="36"/>
      <c r="VFP223" s="36"/>
      <c r="VFQ223" s="36"/>
      <c r="VFR223" s="36"/>
      <c r="VFS223" s="36"/>
      <c r="VFT223" s="36"/>
      <c r="VFU223" s="36"/>
      <c r="VFV223" s="36"/>
      <c r="VFW223" s="36"/>
      <c r="VFX223" s="36"/>
      <c r="VFY223" s="36"/>
      <c r="VFZ223" s="36"/>
      <c r="VGA223" s="36"/>
      <c r="VGB223" s="36"/>
      <c r="VGC223" s="36"/>
      <c r="VGD223" s="36"/>
      <c r="VGE223" s="36"/>
      <c r="VGF223" s="36"/>
      <c r="VGG223" s="36"/>
      <c r="VGH223" s="36"/>
      <c r="VGI223" s="36"/>
      <c r="VGJ223" s="36"/>
      <c r="VGK223" s="36"/>
      <c r="VGL223" s="36"/>
      <c r="VGM223" s="36"/>
      <c r="VGN223" s="36"/>
      <c r="VGO223" s="36"/>
      <c r="VGP223" s="36"/>
      <c r="VGQ223" s="36"/>
      <c r="VGR223" s="36"/>
      <c r="VGS223" s="36"/>
      <c r="VGT223" s="36"/>
      <c r="VGU223" s="36"/>
      <c r="VGV223" s="36"/>
      <c r="VGW223" s="36"/>
      <c r="VGX223" s="36"/>
      <c r="VGY223" s="36"/>
      <c r="VGZ223" s="36"/>
      <c r="VHA223" s="36"/>
      <c r="VHB223" s="36"/>
      <c r="VHC223" s="36"/>
      <c r="VHD223" s="36"/>
      <c r="VHE223" s="36"/>
      <c r="VHF223" s="36"/>
      <c r="VHG223" s="36"/>
      <c r="VHH223" s="36"/>
      <c r="VHI223" s="36"/>
      <c r="VHJ223" s="36"/>
      <c r="VHK223" s="36"/>
      <c r="VHL223" s="36"/>
      <c r="VHM223" s="36"/>
      <c r="VHN223" s="36"/>
      <c r="VHO223" s="36"/>
      <c r="VHP223" s="36"/>
      <c r="VHQ223" s="36"/>
      <c r="VHR223" s="36"/>
      <c r="VHS223" s="36"/>
      <c r="VHT223" s="36"/>
      <c r="VHU223" s="36"/>
      <c r="VHV223" s="36"/>
      <c r="VHW223" s="36"/>
      <c r="VHX223" s="36"/>
      <c r="VHY223" s="36"/>
      <c r="VHZ223" s="36"/>
      <c r="VIA223" s="36"/>
      <c r="VIB223" s="36"/>
      <c r="VIC223" s="36"/>
      <c r="VID223" s="36"/>
      <c r="VIE223" s="36"/>
      <c r="VIF223" s="36"/>
      <c r="VIG223" s="36"/>
      <c r="VIH223" s="36"/>
      <c r="VII223" s="36"/>
      <c r="VIJ223" s="36"/>
      <c r="VIK223" s="36"/>
      <c r="VIL223" s="36"/>
      <c r="VIM223" s="36"/>
      <c r="VIN223" s="36"/>
      <c r="VIO223" s="36"/>
      <c r="VIP223" s="36"/>
      <c r="VIQ223" s="36"/>
      <c r="VIR223" s="36"/>
      <c r="VIS223" s="36"/>
      <c r="VIT223" s="36"/>
      <c r="VIU223" s="36"/>
      <c r="VIV223" s="36"/>
      <c r="VIW223" s="36"/>
      <c r="VIX223" s="36"/>
      <c r="VIY223" s="36"/>
      <c r="VIZ223" s="36"/>
      <c r="VJA223" s="36"/>
      <c r="VJB223" s="36"/>
      <c r="VJC223" s="36"/>
      <c r="VJD223" s="36"/>
      <c r="VJE223" s="36"/>
      <c r="VJF223" s="36"/>
      <c r="VJG223" s="36"/>
      <c r="VJH223" s="36"/>
      <c r="VJI223" s="36"/>
      <c r="VJJ223" s="36"/>
      <c r="VJK223" s="36"/>
      <c r="VJL223" s="36"/>
      <c r="VJM223" s="36"/>
      <c r="VJN223" s="36"/>
      <c r="VJO223" s="36"/>
      <c r="VJP223" s="36"/>
      <c r="VJQ223" s="36"/>
      <c r="VJR223" s="36"/>
      <c r="VJS223" s="36"/>
      <c r="VJT223" s="36"/>
      <c r="VJU223" s="36"/>
      <c r="VJV223" s="36"/>
      <c r="VJW223" s="36"/>
      <c r="VJX223" s="36"/>
      <c r="VJY223" s="36"/>
      <c r="VJZ223" s="36"/>
      <c r="VKA223" s="36"/>
      <c r="VKB223" s="36"/>
      <c r="VKC223" s="36"/>
      <c r="VKD223" s="36"/>
      <c r="VKE223" s="36"/>
      <c r="VKF223" s="36"/>
      <c r="VKG223" s="36"/>
      <c r="VKH223" s="36"/>
      <c r="VKI223" s="36"/>
      <c r="VKJ223" s="36"/>
      <c r="VKK223" s="36"/>
      <c r="VKL223" s="36"/>
      <c r="VKM223" s="36"/>
      <c r="VKN223" s="36"/>
      <c r="VKO223" s="36"/>
      <c r="VKP223" s="36"/>
      <c r="VKQ223" s="36"/>
      <c r="VKR223" s="36"/>
      <c r="VKS223" s="36"/>
      <c r="VKT223" s="36"/>
      <c r="VKU223" s="36"/>
      <c r="VKV223" s="36"/>
      <c r="VKW223" s="36"/>
      <c r="VKX223" s="36"/>
      <c r="VKY223" s="36"/>
      <c r="VKZ223" s="36"/>
      <c r="VLA223" s="36"/>
      <c r="VLB223" s="36"/>
      <c r="VLC223" s="36"/>
      <c r="VLD223" s="36"/>
      <c r="VLE223" s="36"/>
      <c r="VLF223" s="36"/>
      <c r="VLG223" s="36"/>
      <c r="VLH223" s="36"/>
      <c r="VLI223" s="36"/>
      <c r="VLJ223" s="36"/>
      <c r="VLK223" s="36"/>
      <c r="VLL223" s="36"/>
      <c r="VLM223" s="36"/>
      <c r="VLN223" s="36"/>
      <c r="VLO223" s="36"/>
      <c r="VLP223" s="36"/>
      <c r="VLQ223" s="36"/>
      <c r="VLR223" s="36"/>
      <c r="VLS223" s="36"/>
      <c r="VLT223" s="36"/>
      <c r="VLU223" s="36"/>
      <c r="VLV223" s="36"/>
      <c r="VLW223" s="36"/>
      <c r="VLX223" s="36"/>
      <c r="VLY223" s="36"/>
      <c r="VLZ223" s="36"/>
      <c r="VMA223" s="36"/>
      <c r="VMB223" s="36"/>
      <c r="VMC223" s="36"/>
      <c r="VMD223" s="36"/>
      <c r="VME223" s="36"/>
      <c r="VMF223" s="36"/>
      <c r="VMG223" s="36"/>
      <c r="VMH223" s="36"/>
      <c r="VMI223" s="36"/>
      <c r="VMJ223" s="36"/>
      <c r="VMK223" s="36"/>
      <c r="VML223" s="36"/>
      <c r="VMM223" s="36"/>
      <c r="VMN223" s="36"/>
      <c r="VMO223" s="36"/>
      <c r="VMP223" s="36"/>
      <c r="VMQ223" s="36"/>
      <c r="VMR223" s="36"/>
      <c r="VMS223" s="36"/>
      <c r="VMT223" s="36"/>
      <c r="VMU223" s="36"/>
      <c r="VMV223" s="36"/>
      <c r="VMW223" s="36"/>
      <c r="VMX223" s="36"/>
      <c r="VMY223" s="36"/>
      <c r="VMZ223" s="36"/>
      <c r="VNA223" s="36"/>
      <c r="VNB223" s="36"/>
      <c r="VNC223" s="36"/>
      <c r="VND223" s="36"/>
      <c r="VNE223" s="36"/>
      <c r="VNF223" s="36"/>
      <c r="VNG223" s="36"/>
      <c r="VNH223" s="36"/>
      <c r="VNI223" s="36"/>
      <c r="VNJ223" s="36"/>
      <c r="VNK223" s="36"/>
      <c r="VNL223" s="36"/>
      <c r="VNM223" s="36"/>
      <c r="VNN223" s="36"/>
      <c r="VNO223" s="36"/>
      <c r="VNP223" s="36"/>
      <c r="VNQ223" s="36"/>
      <c r="VNR223" s="36"/>
      <c r="VNS223" s="36"/>
      <c r="VNT223" s="36"/>
      <c r="VNU223" s="36"/>
      <c r="VNV223" s="36"/>
      <c r="VNW223" s="36"/>
      <c r="VNX223" s="36"/>
      <c r="VNY223" s="36"/>
      <c r="VNZ223" s="36"/>
      <c r="VOA223" s="36"/>
      <c r="VOB223" s="36"/>
      <c r="VOC223" s="36"/>
      <c r="VOD223" s="36"/>
      <c r="VOE223" s="36"/>
      <c r="VOF223" s="36"/>
      <c r="VOG223" s="36"/>
      <c r="VOH223" s="36"/>
      <c r="VOI223" s="36"/>
      <c r="VOJ223" s="36"/>
      <c r="VOK223" s="36"/>
      <c r="VOL223" s="36"/>
      <c r="VOM223" s="36"/>
      <c r="VON223" s="36"/>
      <c r="VOO223" s="36"/>
      <c r="VOP223" s="36"/>
      <c r="VOQ223" s="36"/>
      <c r="VOR223" s="36"/>
      <c r="VOS223" s="36"/>
      <c r="VOT223" s="36"/>
      <c r="VOU223" s="36"/>
      <c r="VOV223" s="36"/>
      <c r="VOW223" s="36"/>
      <c r="VOX223" s="36"/>
      <c r="VOY223" s="36"/>
      <c r="VOZ223" s="36"/>
      <c r="VPA223" s="36"/>
      <c r="VPB223" s="36"/>
      <c r="VPC223" s="36"/>
      <c r="VPD223" s="36"/>
      <c r="VPE223" s="36"/>
      <c r="VPF223" s="36"/>
      <c r="VPG223" s="36"/>
      <c r="VPH223" s="36"/>
      <c r="VPI223" s="36"/>
      <c r="VPJ223" s="36"/>
      <c r="VPK223" s="36"/>
      <c r="VPL223" s="36"/>
      <c r="VPM223" s="36"/>
      <c r="VPN223" s="36"/>
      <c r="VPO223" s="36"/>
      <c r="VPP223" s="36"/>
      <c r="VPQ223" s="36"/>
      <c r="VPR223" s="36"/>
      <c r="VPS223" s="36"/>
      <c r="VPT223" s="36"/>
      <c r="VPU223" s="36"/>
      <c r="VPV223" s="36"/>
      <c r="VPW223" s="36"/>
      <c r="VPX223" s="36"/>
      <c r="VPY223" s="36"/>
      <c r="VPZ223" s="36"/>
      <c r="VQA223" s="36"/>
      <c r="VQB223" s="36"/>
      <c r="VQC223" s="36"/>
      <c r="VQD223" s="36"/>
      <c r="VQE223" s="36"/>
      <c r="VQF223" s="36"/>
      <c r="VQG223" s="36"/>
      <c r="VQH223" s="36"/>
      <c r="VQI223" s="36"/>
      <c r="VQJ223" s="36"/>
      <c r="VQK223" s="36"/>
      <c r="VQL223" s="36"/>
      <c r="VQM223" s="36"/>
      <c r="VQN223" s="36"/>
      <c r="VQO223" s="36"/>
      <c r="VQP223" s="36"/>
      <c r="VQQ223" s="36"/>
      <c r="VQR223" s="36"/>
      <c r="VQS223" s="36"/>
      <c r="VQT223" s="36"/>
      <c r="VQU223" s="36"/>
      <c r="VQV223" s="36"/>
      <c r="VQW223" s="36"/>
      <c r="VQX223" s="36"/>
      <c r="VQY223" s="36"/>
      <c r="VQZ223" s="36"/>
      <c r="VRA223" s="36"/>
      <c r="VRB223" s="36"/>
      <c r="VRC223" s="36"/>
      <c r="VRD223" s="36"/>
      <c r="VRE223" s="36"/>
      <c r="VRF223" s="36"/>
      <c r="VRG223" s="36"/>
      <c r="VRH223" s="36"/>
      <c r="VRI223" s="36"/>
      <c r="VRJ223" s="36"/>
      <c r="VRK223" s="36"/>
      <c r="VRL223" s="36"/>
      <c r="VRM223" s="36"/>
      <c r="VRN223" s="36"/>
      <c r="VRO223" s="36"/>
      <c r="VRP223" s="36"/>
      <c r="VRQ223" s="36"/>
      <c r="VRR223" s="36"/>
      <c r="VRS223" s="36"/>
      <c r="VRT223" s="36"/>
      <c r="VRU223" s="36"/>
      <c r="VRV223" s="36"/>
      <c r="VRW223" s="36"/>
      <c r="VRX223" s="36"/>
      <c r="VRY223" s="36"/>
      <c r="VRZ223" s="36"/>
      <c r="VSA223" s="36"/>
      <c r="VSB223" s="36"/>
      <c r="VSC223" s="36"/>
      <c r="VSD223" s="36"/>
      <c r="VSE223" s="36"/>
      <c r="VSF223" s="36"/>
      <c r="VSG223" s="36"/>
      <c r="VSH223" s="36"/>
      <c r="VSI223" s="36"/>
      <c r="VSJ223" s="36"/>
      <c r="VSK223" s="36"/>
      <c r="VSL223" s="36"/>
      <c r="VSM223" s="36"/>
      <c r="VSN223" s="36"/>
      <c r="VSO223" s="36"/>
      <c r="VSP223" s="36"/>
      <c r="VSQ223" s="36"/>
      <c r="VSR223" s="36"/>
      <c r="VSS223" s="36"/>
      <c r="VST223" s="36"/>
      <c r="VSU223" s="36"/>
      <c r="VSV223" s="36"/>
      <c r="VSW223" s="36"/>
      <c r="VSX223" s="36"/>
      <c r="VSY223" s="36"/>
      <c r="VSZ223" s="36"/>
      <c r="VTA223" s="36"/>
      <c r="VTB223" s="36"/>
      <c r="VTC223" s="36"/>
      <c r="VTD223" s="36"/>
      <c r="VTE223" s="36"/>
      <c r="VTF223" s="36"/>
      <c r="VTG223" s="36"/>
      <c r="VTH223" s="36"/>
      <c r="VTI223" s="36"/>
      <c r="VTJ223" s="36"/>
      <c r="VTK223" s="36"/>
      <c r="VTL223" s="36"/>
      <c r="VTM223" s="36"/>
      <c r="VTN223" s="36"/>
      <c r="VTO223" s="36"/>
      <c r="VTP223" s="36"/>
      <c r="VTQ223" s="36"/>
      <c r="VTR223" s="36"/>
      <c r="VTS223" s="36"/>
      <c r="VTT223" s="36"/>
      <c r="VTU223" s="36"/>
      <c r="VTV223" s="36"/>
      <c r="VTW223" s="36"/>
      <c r="VTX223" s="36"/>
      <c r="VTY223" s="36"/>
      <c r="VTZ223" s="36"/>
      <c r="VUA223" s="36"/>
      <c r="VUB223" s="36"/>
      <c r="VUC223" s="36"/>
      <c r="VUD223" s="36"/>
      <c r="VUE223" s="36"/>
      <c r="VUF223" s="36"/>
      <c r="VUG223" s="36"/>
      <c r="VUH223" s="36"/>
      <c r="VUI223" s="36"/>
      <c r="VUJ223" s="36"/>
      <c r="VUK223" s="36"/>
      <c r="VUL223" s="36"/>
      <c r="VUM223" s="36"/>
      <c r="VUN223" s="36"/>
      <c r="VUO223" s="36"/>
      <c r="VUP223" s="36"/>
      <c r="VUQ223" s="36"/>
      <c r="VUR223" s="36"/>
      <c r="VUS223" s="36"/>
      <c r="VUT223" s="36"/>
      <c r="VUU223" s="36"/>
      <c r="VUV223" s="36"/>
      <c r="VUW223" s="36"/>
      <c r="VUX223" s="36"/>
      <c r="VUY223" s="36"/>
      <c r="VUZ223" s="36"/>
      <c r="VVA223" s="36"/>
      <c r="VVB223" s="36"/>
      <c r="VVC223" s="36"/>
      <c r="VVD223" s="36"/>
      <c r="VVE223" s="36"/>
      <c r="VVF223" s="36"/>
      <c r="VVG223" s="36"/>
      <c r="VVH223" s="36"/>
      <c r="VVI223" s="36"/>
      <c r="VVJ223" s="36"/>
      <c r="VVK223" s="36"/>
      <c r="VVL223" s="36"/>
      <c r="VVM223" s="36"/>
      <c r="VVN223" s="36"/>
      <c r="VVO223" s="36"/>
      <c r="VVP223" s="36"/>
      <c r="VVQ223" s="36"/>
      <c r="VVR223" s="36"/>
      <c r="VVS223" s="36"/>
      <c r="VVT223" s="36"/>
      <c r="VVU223" s="36"/>
      <c r="VVV223" s="36"/>
      <c r="VVW223" s="36"/>
      <c r="VVX223" s="36"/>
      <c r="VVY223" s="36"/>
      <c r="VVZ223" s="36"/>
      <c r="VWA223" s="36"/>
      <c r="VWB223" s="36"/>
      <c r="VWC223" s="36"/>
      <c r="VWD223" s="36"/>
      <c r="VWE223" s="36"/>
      <c r="VWF223" s="36"/>
      <c r="VWG223" s="36"/>
      <c r="VWH223" s="36"/>
      <c r="VWI223" s="36"/>
      <c r="VWJ223" s="36"/>
      <c r="VWK223" s="36"/>
      <c r="VWL223" s="36"/>
      <c r="VWM223" s="36"/>
      <c r="VWN223" s="36"/>
      <c r="VWO223" s="36"/>
      <c r="VWP223" s="36"/>
      <c r="VWQ223" s="36"/>
      <c r="VWR223" s="36"/>
      <c r="VWS223" s="36"/>
      <c r="VWT223" s="36"/>
      <c r="VWU223" s="36"/>
      <c r="VWV223" s="36"/>
      <c r="VWW223" s="36"/>
      <c r="VWX223" s="36"/>
      <c r="VWY223" s="36"/>
      <c r="VWZ223" s="36"/>
      <c r="VXA223" s="36"/>
      <c r="VXB223" s="36"/>
      <c r="VXC223" s="36"/>
      <c r="VXD223" s="36"/>
      <c r="VXE223" s="36"/>
      <c r="VXF223" s="36"/>
      <c r="VXG223" s="36"/>
      <c r="VXH223" s="36"/>
      <c r="VXI223" s="36"/>
      <c r="VXJ223" s="36"/>
      <c r="VXK223" s="36"/>
      <c r="VXL223" s="36"/>
      <c r="VXM223" s="36"/>
      <c r="VXN223" s="36"/>
      <c r="VXO223" s="36"/>
      <c r="VXP223" s="36"/>
      <c r="VXQ223" s="36"/>
      <c r="VXR223" s="36"/>
      <c r="VXS223" s="36"/>
      <c r="VXT223" s="36"/>
      <c r="VXU223" s="36"/>
      <c r="VXV223" s="36"/>
      <c r="VXW223" s="36"/>
      <c r="VXX223" s="36"/>
      <c r="VXY223" s="36"/>
      <c r="VXZ223" s="36"/>
      <c r="VYA223" s="36"/>
      <c r="VYB223" s="36"/>
      <c r="VYC223" s="36"/>
      <c r="VYD223" s="36"/>
      <c r="VYE223" s="36"/>
      <c r="VYF223" s="36"/>
      <c r="VYG223" s="36"/>
      <c r="VYH223" s="36"/>
      <c r="VYI223" s="36"/>
      <c r="VYJ223" s="36"/>
      <c r="VYK223" s="36"/>
      <c r="VYL223" s="36"/>
      <c r="VYM223" s="36"/>
      <c r="VYN223" s="36"/>
      <c r="VYO223" s="36"/>
      <c r="VYP223" s="36"/>
      <c r="VYQ223" s="36"/>
      <c r="VYR223" s="36"/>
      <c r="VYS223" s="36"/>
      <c r="VYT223" s="36"/>
      <c r="VYU223" s="36"/>
      <c r="VYV223" s="36"/>
      <c r="VYW223" s="36"/>
      <c r="VYX223" s="36"/>
      <c r="VYY223" s="36"/>
      <c r="VYZ223" s="36"/>
      <c r="VZA223" s="36"/>
      <c r="VZB223" s="36"/>
      <c r="VZC223" s="36"/>
      <c r="VZD223" s="36"/>
      <c r="VZE223" s="36"/>
      <c r="VZF223" s="36"/>
      <c r="VZG223" s="36"/>
      <c r="VZH223" s="36"/>
      <c r="VZI223" s="36"/>
      <c r="VZJ223" s="36"/>
      <c r="VZK223" s="36"/>
      <c r="VZL223" s="36"/>
      <c r="VZM223" s="36"/>
      <c r="VZN223" s="36"/>
      <c r="VZO223" s="36"/>
      <c r="VZP223" s="36"/>
      <c r="VZQ223" s="36"/>
      <c r="VZR223" s="36"/>
      <c r="VZS223" s="36"/>
      <c r="VZT223" s="36"/>
      <c r="VZU223" s="36"/>
      <c r="VZV223" s="36"/>
      <c r="VZW223" s="36"/>
      <c r="VZX223" s="36"/>
      <c r="VZY223" s="36"/>
      <c r="VZZ223" s="36"/>
      <c r="WAA223" s="36"/>
      <c r="WAB223" s="36"/>
      <c r="WAC223" s="36"/>
      <c r="WAD223" s="36"/>
      <c r="WAE223" s="36"/>
      <c r="WAF223" s="36"/>
      <c r="WAG223" s="36"/>
      <c r="WAH223" s="36"/>
      <c r="WAI223" s="36"/>
      <c r="WAJ223" s="36"/>
      <c r="WAK223" s="36"/>
      <c r="WAL223" s="36"/>
      <c r="WAM223" s="36"/>
      <c r="WAN223" s="36"/>
      <c r="WAO223" s="36"/>
      <c r="WAP223" s="36"/>
      <c r="WAQ223" s="36"/>
      <c r="WAR223" s="36"/>
      <c r="WAS223" s="36"/>
      <c r="WAT223" s="36"/>
      <c r="WAU223" s="36"/>
      <c r="WAV223" s="36"/>
      <c r="WAW223" s="36"/>
      <c r="WAX223" s="36"/>
      <c r="WAY223" s="36"/>
      <c r="WAZ223" s="36"/>
      <c r="WBA223" s="36"/>
      <c r="WBB223" s="36"/>
      <c r="WBC223" s="36"/>
      <c r="WBD223" s="36"/>
      <c r="WBE223" s="36"/>
      <c r="WBF223" s="36"/>
      <c r="WBG223" s="36"/>
      <c r="WBH223" s="36"/>
      <c r="WBI223" s="36"/>
      <c r="WBJ223" s="36"/>
      <c r="WBK223" s="36"/>
      <c r="WBL223" s="36"/>
      <c r="WBM223" s="36"/>
      <c r="WBN223" s="36"/>
      <c r="WBO223" s="36"/>
      <c r="WBP223" s="36"/>
      <c r="WBQ223" s="36"/>
      <c r="WBR223" s="36"/>
      <c r="WBS223" s="36"/>
      <c r="WBT223" s="36"/>
      <c r="WBU223" s="36"/>
      <c r="WBV223" s="36"/>
      <c r="WBW223" s="36"/>
      <c r="WBX223" s="36"/>
      <c r="WBY223" s="36"/>
      <c r="WBZ223" s="36"/>
      <c r="WCA223" s="36"/>
      <c r="WCB223" s="36"/>
      <c r="WCC223" s="36"/>
      <c r="WCD223" s="36"/>
      <c r="WCE223" s="36"/>
      <c r="WCF223" s="36"/>
      <c r="WCG223" s="36"/>
      <c r="WCH223" s="36"/>
      <c r="WCI223" s="36"/>
      <c r="WCJ223" s="36"/>
      <c r="WCK223" s="36"/>
      <c r="WCL223" s="36"/>
      <c r="WCM223" s="36"/>
      <c r="WCN223" s="36"/>
      <c r="WCO223" s="36"/>
      <c r="WCP223" s="36"/>
      <c r="WCQ223" s="36"/>
      <c r="WCR223" s="36"/>
      <c r="WCS223" s="36"/>
      <c r="WCT223" s="36"/>
      <c r="WCU223" s="36"/>
      <c r="WCV223" s="36"/>
      <c r="WCW223" s="36"/>
      <c r="WCX223" s="36"/>
      <c r="WCY223" s="36"/>
      <c r="WCZ223" s="36"/>
      <c r="WDA223" s="36"/>
      <c r="WDB223" s="36"/>
      <c r="WDC223" s="36"/>
      <c r="WDD223" s="36"/>
      <c r="WDE223" s="36"/>
      <c r="WDF223" s="36"/>
      <c r="WDG223" s="36"/>
      <c r="WDH223" s="36"/>
      <c r="WDI223" s="36"/>
      <c r="WDJ223" s="36"/>
      <c r="WDK223" s="36"/>
      <c r="WDL223" s="36"/>
      <c r="WDM223" s="36"/>
      <c r="WDN223" s="36"/>
      <c r="WDO223" s="36"/>
      <c r="WDP223" s="36"/>
      <c r="WDQ223" s="36"/>
      <c r="WDR223" s="36"/>
      <c r="WDS223" s="36"/>
      <c r="WDT223" s="36"/>
      <c r="WDU223" s="36"/>
      <c r="WDV223" s="36"/>
      <c r="WDW223" s="36"/>
      <c r="WDX223" s="36"/>
      <c r="WDY223" s="36"/>
      <c r="WDZ223" s="36"/>
      <c r="WEA223" s="36"/>
      <c r="WEB223" s="36"/>
      <c r="WEC223" s="36"/>
      <c r="WED223" s="36"/>
      <c r="WEE223" s="36"/>
      <c r="WEF223" s="36"/>
      <c r="WEG223" s="36"/>
      <c r="WEH223" s="36"/>
      <c r="WEI223" s="36"/>
      <c r="WEJ223" s="36"/>
      <c r="WEK223" s="36"/>
      <c r="WEL223" s="36"/>
      <c r="WEM223" s="36"/>
      <c r="WEN223" s="36"/>
      <c r="WEO223" s="36"/>
      <c r="WEP223" s="36"/>
      <c r="WEQ223" s="36"/>
      <c r="WER223" s="36"/>
      <c r="WES223" s="36"/>
      <c r="WET223" s="36"/>
      <c r="WEU223" s="36"/>
      <c r="WEV223" s="36"/>
      <c r="WEW223" s="36"/>
      <c r="WEX223" s="36"/>
      <c r="WEY223" s="36"/>
      <c r="WEZ223" s="36"/>
      <c r="WFA223" s="36"/>
      <c r="WFB223" s="36"/>
      <c r="WFC223" s="36"/>
      <c r="WFD223" s="36"/>
      <c r="WFE223" s="36"/>
      <c r="WFF223" s="36"/>
      <c r="WFG223" s="36"/>
      <c r="WFH223" s="36"/>
      <c r="WFI223" s="36"/>
      <c r="WFJ223" s="36"/>
      <c r="WFK223" s="36"/>
      <c r="WFL223" s="36"/>
      <c r="WFM223" s="36"/>
      <c r="WFN223" s="36"/>
      <c r="WFO223" s="36"/>
      <c r="WFP223" s="36"/>
      <c r="WFQ223" s="36"/>
      <c r="WFR223" s="36"/>
      <c r="WFS223" s="36"/>
      <c r="WFT223" s="36"/>
      <c r="WFU223" s="36"/>
      <c r="WFV223" s="36"/>
      <c r="WFW223" s="36"/>
      <c r="WFX223" s="36"/>
      <c r="WFY223" s="36"/>
      <c r="WFZ223" s="36"/>
      <c r="WGA223" s="36"/>
      <c r="WGB223" s="36"/>
      <c r="WGC223" s="36"/>
      <c r="WGD223" s="36"/>
      <c r="WGE223" s="36"/>
      <c r="WGF223" s="36"/>
      <c r="WGG223" s="36"/>
      <c r="WGH223" s="36"/>
      <c r="WGI223" s="36"/>
      <c r="WGJ223" s="36"/>
      <c r="WGK223" s="36"/>
      <c r="WGL223" s="36"/>
      <c r="WGM223" s="36"/>
      <c r="WGN223" s="36"/>
      <c r="WGO223" s="36"/>
      <c r="WGP223" s="36"/>
      <c r="WGQ223" s="36"/>
      <c r="WGR223" s="36"/>
      <c r="WGS223" s="36"/>
      <c r="WGT223" s="36"/>
      <c r="WGU223" s="36"/>
      <c r="WGV223" s="36"/>
      <c r="WGW223" s="36"/>
      <c r="WGX223" s="36"/>
      <c r="WGY223" s="36"/>
      <c r="WGZ223" s="36"/>
      <c r="WHA223" s="36"/>
      <c r="WHB223" s="36"/>
      <c r="WHC223" s="36"/>
      <c r="WHD223" s="36"/>
      <c r="WHE223" s="36"/>
      <c r="WHF223" s="36"/>
      <c r="WHG223" s="36"/>
      <c r="WHH223" s="36"/>
      <c r="WHI223" s="36"/>
      <c r="WHJ223" s="36"/>
      <c r="WHK223" s="36"/>
      <c r="WHL223" s="36"/>
      <c r="WHM223" s="36"/>
      <c r="WHN223" s="36"/>
      <c r="WHO223" s="36"/>
      <c r="WHP223" s="36"/>
      <c r="WHQ223" s="36"/>
      <c r="WHR223" s="36"/>
      <c r="WHS223" s="36"/>
      <c r="WHT223" s="36"/>
      <c r="WHU223" s="36"/>
      <c r="WHV223" s="36"/>
      <c r="WHW223" s="36"/>
      <c r="WHX223" s="36"/>
      <c r="WHY223" s="36"/>
      <c r="WHZ223" s="36"/>
      <c r="WIA223" s="36"/>
      <c r="WIB223" s="36"/>
      <c r="WIC223" s="36"/>
      <c r="WID223" s="36"/>
      <c r="WIE223" s="36"/>
      <c r="WIF223" s="36"/>
      <c r="WIG223" s="36"/>
      <c r="WIH223" s="36"/>
      <c r="WII223" s="36"/>
      <c r="WIJ223" s="36"/>
      <c r="WIK223" s="36"/>
      <c r="WIL223" s="36"/>
      <c r="WIM223" s="36"/>
      <c r="WIN223" s="36"/>
      <c r="WIO223" s="36"/>
      <c r="WIP223" s="36"/>
      <c r="WIQ223" s="36"/>
      <c r="WIR223" s="36"/>
      <c r="WIS223" s="36"/>
      <c r="WIT223" s="36"/>
      <c r="WIU223" s="36"/>
      <c r="WIV223" s="36"/>
      <c r="WIW223" s="36"/>
      <c r="WIX223" s="36"/>
      <c r="WIY223" s="36"/>
      <c r="WIZ223" s="36"/>
      <c r="WJA223" s="36"/>
      <c r="WJB223" s="36"/>
      <c r="WJC223" s="36"/>
      <c r="WJD223" s="36"/>
      <c r="WJE223" s="36"/>
      <c r="WJF223" s="36"/>
      <c r="WJG223" s="36"/>
      <c r="WJH223" s="36"/>
      <c r="WJI223" s="36"/>
      <c r="WJJ223" s="36"/>
      <c r="WJK223" s="36"/>
      <c r="WJL223" s="36"/>
      <c r="WJM223" s="36"/>
      <c r="WJN223" s="36"/>
      <c r="WJO223" s="36"/>
      <c r="WJP223" s="36"/>
      <c r="WJQ223" s="36"/>
      <c r="WJR223" s="36"/>
      <c r="WJS223" s="36"/>
      <c r="WJT223" s="36"/>
      <c r="WJU223" s="36"/>
      <c r="WJV223" s="36"/>
      <c r="WJW223" s="36"/>
      <c r="WJX223" s="36"/>
      <c r="WJY223" s="36"/>
      <c r="WJZ223" s="36"/>
      <c r="WKA223" s="36"/>
      <c r="WKB223" s="36"/>
      <c r="WKC223" s="36"/>
      <c r="WKD223" s="36"/>
      <c r="WKE223" s="36"/>
      <c r="WKF223" s="36"/>
      <c r="WKG223" s="36"/>
      <c r="WKH223" s="36"/>
      <c r="WKI223" s="36"/>
      <c r="WKJ223" s="36"/>
      <c r="WKK223" s="36"/>
      <c r="WKL223" s="36"/>
      <c r="WKM223" s="36"/>
      <c r="WKN223" s="36"/>
      <c r="WKO223" s="36"/>
      <c r="WKP223" s="36"/>
      <c r="WKQ223" s="36"/>
      <c r="WKR223" s="36"/>
      <c r="WKS223" s="36"/>
      <c r="WKT223" s="36"/>
      <c r="WKU223" s="36"/>
      <c r="WKV223" s="36"/>
      <c r="WKW223" s="36"/>
      <c r="WKX223" s="36"/>
      <c r="WKY223" s="36"/>
      <c r="WKZ223" s="36"/>
      <c r="WLA223" s="36"/>
      <c r="WLB223" s="36"/>
      <c r="WLC223" s="36"/>
      <c r="WLD223" s="36"/>
      <c r="WLE223" s="36"/>
      <c r="WLF223" s="36"/>
      <c r="WLG223" s="36"/>
      <c r="WLH223" s="36"/>
      <c r="WLI223" s="36"/>
      <c r="WLJ223" s="36"/>
      <c r="WLK223" s="36"/>
      <c r="WLL223" s="36"/>
      <c r="WLM223" s="36"/>
      <c r="WLN223" s="36"/>
      <c r="WLO223" s="36"/>
      <c r="WLP223" s="36"/>
      <c r="WLQ223" s="36"/>
      <c r="WLR223" s="36"/>
      <c r="WLS223" s="36"/>
      <c r="WLT223" s="36"/>
      <c r="WLU223" s="36"/>
      <c r="WLV223" s="36"/>
      <c r="WLW223" s="36"/>
      <c r="WLX223" s="36"/>
      <c r="WLY223" s="36"/>
      <c r="WLZ223" s="36"/>
      <c r="WMA223" s="36"/>
      <c r="WMB223" s="36"/>
      <c r="WMC223" s="36"/>
      <c r="WMD223" s="36"/>
      <c r="WME223" s="36"/>
      <c r="WMF223" s="36"/>
      <c r="WMG223" s="36"/>
      <c r="WMH223" s="36"/>
      <c r="WMI223" s="36"/>
      <c r="WMJ223" s="36"/>
      <c r="WMK223" s="36"/>
      <c r="WML223" s="36"/>
      <c r="WMM223" s="36"/>
      <c r="WMN223" s="36"/>
      <c r="WMO223" s="36"/>
      <c r="WMP223" s="36"/>
      <c r="WMQ223" s="36"/>
      <c r="WMR223" s="36"/>
      <c r="WMS223" s="36"/>
      <c r="WMT223" s="36"/>
      <c r="WMU223" s="36"/>
      <c r="WMV223" s="36"/>
      <c r="WMW223" s="36"/>
      <c r="WMX223" s="36"/>
      <c r="WMY223" s="36"/>
      <c r="WMZ223" s="36"/>
      <c r="WNA223" s="36"/>
      <c r="WNB223" s="36"/>
      <c r="WNC223" s="36"/>
      <c r="WND223" s="36"/>
      <c r="WNE223" s="36"/>
      <c r="WNF223" s="36"/>
      <c r="WNG223" s="36"/>
      <c r="WNH223" s="36"/>
      <c r="WNI223" s="36"/>
      <c r="WNJ223" s="36"/>
      <c r="WNK223" s="36"/>
      <c r="WNL223" s="36"/>
      <c r="WNM223" s="36"/>
      <c r="WNN223" s="36"/>
      <c r="WNO223" s="36"/>
      <c r="WNP223" s="36"/>
      <c r="WNQ223" s="36"/>
      <c r="WNR223" s="36"/>
      <c r="WNS223" s="36"/>
      <c r="WNT223" s="36"/>
      <c r="WNU223" s="36"/>
      <c r="WNV223" s="36"/>
      <c r="WNW223" s="36"/>
      <c r="WNX223" s="36"/>
      <c r="WNY223" s="36"/>
      <c r="WNZ223" s="36"/>
      <c r="WOA223" s="36"/>
      <c r="WOB223" s="36"/>
      <c r="WOC223" s="36"/>
      <c r="WOD223" s="36"/>
      <c r="WOE223" s="36"/>
      <c r="WOF223" s="36"/>
      <c r="WOG223" s="36"/>
      <c r="WOH223" s="36"/>
      <c r="WOI223" s="36"/>
      <c r="WOJ223" s="36"/>
      <c r="WOK223" s="36"/>
      <c r="WOL223" s="36"/>
      <c r="WOM223" s="36"/>
      <c r="WON223" s="36"/>
      <c r="WOO223" s="36"/>
      <c r="WOP223" s="36"/>
      <c r="WOQ223" s="36"/>
      <c r="WOR223" s="36"/>
      <c r="WOS223" s="36"/>
      <c r="WOT223" s="36"/>
      <c r="WOU223" s="36"/>
      <c r="WOV223" s="36"/>
      <c r="WOW223" s="36"/>
      <c r="WOX223" s="36"/>
      <c r="WOY223" s="36"/>
      <c r="WOZ223" s="36"/>
      <c r="WPA223" s="36"/>
      <c r="WPB223" s="36"/>
      <c r="WPC223" s="36"/>
      <c r="WPD223" s="36"/>
      <c r="WPE223" s="36"/>
      <c r="WPF223" s="36"/>
      <c r="WPG223" s="36"/>
      <c r="WPH223" s="36"/>
      <c r="WPI223" s="36"/>
      <c r="WPJ223" s="36"/>
      <c r="WPK223" s="36"/>
      <c r="WPL223" s="36"/>
      <c r="WPM223" s="36"/>
      <c r="WPN223" s="36"/>
      <c r="WPO223" s="36"/>
      <c r="WPP223" s="36"/>
      <c r="WPQ223" s="36"/>
      <c r="WPR223" s="36"/>
      <c r="WPS223" s="36"/>
      <c r="WPT223" s="36"/>
      <c r="WPU223" s="36"/>
      <c r="WPV223" s="36"/>
      <c r="WPW223" s="36"/>
      <c r="WPX223" s="36"/>
      <c r="WPY223" s="36"/>
      <c r="WPZ223" s="36"/>
      <c r="WQA223" s="36"/>
      <c r="WQB223" s="36"/>
      <c r="WQC223" s="36"/>
      <c r="WQD223" s="36"/>
      <c r="WQE223" s="36"/>
      <c r="WQF223" s="36"/>
      <c r="WQG223" s="36"/>
      <c r="WQH223" s="36"/>
      <c r="WQI223" s="36"/>
      <c r="WQJ223" s="36"/>
      <c r="WQK223" s="36"/>
      <c r="WQL223" s="36"/>
      <c r="WQM223" s="36"/>
      <c r="WQN223" s="36"/>
      <c r="WQO223" s="36"/>
      <c r="WQP223" s="36"/>
      <c r="WQQ223" s="36"/>
      <c r="WQR223" s="36"/>
      <c r="WQS223" s="36"/>
      <c r="WQT223" s="36"/>
      <c r="WQU223" s="36"/>
      <c r="WQV223" s="36"/>
      <c r="WQW223" s="36"/>
      <c r="WQX223" s="36"/>
      <c r="WQY223" s="36"/>
      <c r="WQZ223" s="36"/>
      <c r="WRA223" s="36"/>
      <c r="WRB223" s="36"/>
      <c r="WRC223" s="36"/>
      <c r="WRD223" s="36"/>
      <c r="WRE223" s="36"/>
      <c r="WRF223" s="36"/>
      <c r="WRG223" s="36"/>
      <c r="WRH223" s="36"/>
      <c r="WRI223" s="36"/>
      <c r="WRJ223" s="36"/>
      <c r="WRK223" s="36"/>
      <c r="WRL223" s="36"/>
      <c r="WRM223" s="36"/>
      <c r="WRN223" s="36"/>
      <c r="WRO223" s="36"/>
      <c r="WRP223" s="36"/>
      <c r="WRQ223" s="36"/>
      <c r="WRR223" s="36"/>
      <c r="WRS223" s="36"/>
      <c r="WRT223" s="36"/>
      <c r="WRU223" s="36"/>
      <c r="WRV223" s="36"/>
      <c r="WRW223" s="36"/>
      <c r="WRX223" s="36"/>
      <c r="WRY223" s="36"/>
      <c r="WRZ223" s="36"/>
      <c r="WSA223" s="36"/>
      <c r="WSB223" s="36"/>
      <c r="WSC223" s="36"/>
      <c r="WSD223" s="36"/>
      <c r="WSE223" s="36"/>
      <c r="WSF223" s="36"/>
      <c r="WSG223" s="36"/>
      <c r="WSH223" s="36"/>
      <c r="WSI223" s="36"/>
      <c r="WSJ223" s="36"/>
      <c r="WSK223" s="36"/>
      <c r="WSL223" s="36"/>
      <c r="WSM223" s="36"/>
      <c r="WSN223" s="36"/>
      <c r="WSO223" s="36"/>
      <c r="WSP223" s="36"/>
      <c r="WSQ223" s="36"/>
      <c r="WSR223" s="36"/>
      <c r="WSS223" s="36"/>
      <c r="WST223" s="36"/>
      <c r="WSU223" s="36"/>
      <c r="WSV223" s="36"/>
      <c r="WSW223" s="36"/>
      <c r="WSX223" s="36"/>
      <c r="WSY223" s="36"/>
      <c r="WSZ223" s="36"/>
      <c r="WTA223" s="36"/>
      <c r="WTB223" s="36"/>
      <c r="WTC223" s="36"/>
      <c r="WTD223" s="36"/>
      <c r="WTE223" s="36"/>
      <c r="WTF223" s="36"/>
      <c r="WTG223" s="36"/>
      <c r="WTH223" s="36"/>
      <c r="WTI223" s="36"/>
      <c r="WTJ223" s="36"/>
      <c r="WTK223" s="36"/>
      <c r="WTL223" s="36"/>
      <c r="WTM223" s="36"/>
      <c r="WTN223" s="36"/>
      <c r="WTO223" s="36"/>
      <c r="WTP223" s="36"/>
      <c r="WTQ223" s="36"/>
      <c r="WTR223" s="36"/>
      <c r="WTS223" s="36"/>
      <c r="WTT223" s="36"/>
      <c r="WTU223" s="36"/>
      <c r="WTV223" s="36"/>
      <c r="WTW223" s="36"/>
      <c r="WTX223" s="36"/>
      <c r="WTY223" s="36"/>
      <c r="WTZ223" s="36"/>
      <c r="WUA223" s="36"/>
      <c r="WUB223" s="36"/>
      <c r="WUC223" s="36"/>
      <c r="WUD223" s="36"/>
      <c r="WUE223" s="36"/>
      <c r="WUF223" s="36"/>
      <c r="WUG223" s="36"/>
      <c r="WUH223" s="36"/>
      <c r="WUI223" s="36"/>
      <c r="WUJ223" s="36"/>
      <c r="WUK223" s="36"/>
      <c r="WUL223" s="36"/>
      <c r="WUM223" s="36"/>
      <c r="WUN223" s="36"/>
      <c r="WUO223" s="36"/>
      <c r="WUP223" s="36"/>
      <c r="WUQ223" s="36"/>
      <c r="WUR223" s="36"/>
      <c r="WUS223" s="36"/>
      <c r="WUT223" s="36"/>
      <c r="WUU223" s="36"/>
      <c r="WUV223" s="36"/>
      <c r="WUW223" s="36"/>
      <c r="WUX223" s="36"/>
      <c r="WUY223" s="36"/>
      <c r="WUZ223" s="36"/>
      <c r="WVA223" s="36"/>
      <c r="WVB223" s="36"/>
      <c r="WVC223" s="36"/>
      <c r="WVD223" s="36"/>
      <c r="WVE223" s="36"/>
      <c r="WVF223" s="36"/>
      <c r="WVG223" s="36"/>
      <c r="WVH223" s="36"/>
      <c r="WVI223" s="36"/>
      <c r="WVJ223" s="36"/>
      <c r="WVK223" s="36"/>
      <c r="WVL223" s="36"/>
      <c r="WVM223" s="36"/>
      <c r="WVN223" s="36"/>
      <c r="WVO223" s="36"/>
      <c r="WVP223" s="36"/>
      <c r="WVQ223" s="36"/>
      <c r="WVR223" s="36"/>
      <c r="WVS223" s="36"/>
      <c r="WVT223" s="36"/>
      <c r="WVU223" s="36"/>
      <c r="WVV223" s="36"/>
      <c r="WVW223" s="36"/>
      <c r="WVX223" s="36"/>
      <c r="WVY223" s="36"/>
      <c r="WVZ223" s="36"/>
      <c r="WWA223" s="36"/>
      <c r="WWB223" s="36"/>
      <c r="WWC223" s="36"/>
      <c r="WWD223" s="36"/>
      <c r="WWE223" s="36"/>
      <c r="WWF223" s="36"/>
      <c r="WWG223" s="36"/>
      <c r="WWH223" s="36"/>
      <c r="WWI223" s="36"/>
      <c r="WWJ223" s="36"/>
      <c r="WWK223" s="36"/>
      <c r="WWL223" s="36"/>
      <c r="WWM223" s="36"/>
      <c r="WWN223" s="36"/>
      <c r="WWO223" s="36"/>
      <c r="WWP223" s="36"/>
      <c r="WWQ223" s="36"/>
      <c r="WWR223" s="36"/>
      <c r="WWS223" s="36"/>
      <c r="WWT223" s="36"/>
      <c r="WWU223" s="36"/>
      <c r="WWV223" s="36"/>
      <c r="WWW223" s="36"/>
      <c r="WWX223" s="36"/>
      <c r="WWY223" s="36"/>
      <c r="WWZ223" s="36"/>
      <c r="WXA223" s="36"/>
      <c r="WXB223" s="36"/>
      <c r="WXC223" s="36"/>
      <c r="WXD223" s="36"/>
      <c r="WXE223" s="36"/>
      <c r="WXF223" s="36"/>
      <c r="WXG223" s="36"/>
      <c r="WXH223" s="36"/>
      <c r="WXI223" s="36"/>
      <c r="WXJ223" s="36"/>
      <c r="WXK223" s="36"/>
      <c r="WXL223" s="36"/>
      <c r="WXM223" s="36"/>
      <c r="WXN223" s="36"/>
      <c r="WXO223" s="36"/>
      <c r="WXP223" s="36"/>
      <c r="WXQ223" s="36"/>
      <c r="WXR223" s="36"/>
      <c r="WXS223" s="36"/>
      <c r="WXT223" s="36"/>
      <c r="WXU223" s="36"/>
      <c r="WXV223" s="36"/>
      <c r="WXW223" s="36"/>
      <c r="WXX223" s="36"/>
      <c r="WXY223" s="36"/>
      <c r="WXZ223" s="36"/>
      <c r="WYA223" s="36"/>
      <c r="WYB223" s="36"/>
      <c r="WYC223" s="36"/>
      <c r="WYD223" s="36"/>
      <c r="WYE223" s="36"/>
      <c r="WYF223" s="36"/>
      <c r="WYG223" s="36"/>
      <c r="WYH223" s="36"/>
      <c r="WYI223" s="36"/>
      <c r="WYJ223" s="36"/>
      <c r="WYK223" s="36"/>
      <c r="WYL223" s="36"/>
      <c r="WYM223" s="36"/>
      <c r="WYN223" s="36"/>
      <c r="WYO223" s="36"/>
      <c r="WYP223" s="36"/>
      <c r="WYQ223" s="36"/>
      <c r="WYR223" s="36"/>
      <c r="WYS223" s="36"/>
      <c r="WYT223" s="36"/>
      <c r="WYU223" s="36"/>
      <c r="WYV223" s="36"/>
      <c r="WYW223" s="36"/>
      <c r="WYX223" s="36"/>
      <c r="WYY223" s="36"/>
      <c r="WYZ223" s="36"/>
      <c r="WZA223" s="36"/>
      <c r="WZB223" s="36"/>
      <c r="WZC223" s="36"/>
      <c r="WZD223" s="36"/>
      <c r="WZE223" s="36"/>
      <c r="WZF223" s="36"/>
      <c r="WZG223" s="36"/>
      <c r="WZH223" s="36"/>
      <c r="WZI223" s="36"/>
      <c r="WZJ223" s="36"/>
      <c r="WZK223" s="36"/>
      <c r="WZL223" s="36"/>
      <c r="WZM223" s="36"/>
      <c r="WZN223" s="36"/>
      <c r="WZO223" s="36"/>
      <c r="WZP223" s="36"/>
      <c r="WZQ223" s="36"/>
      <c r="WZR223" s="36"/>
      <c r="WZS223" s="36"/>
      <c r="WZT223" s="36"/>
      <c r="WZU223" s="36"/>
      <c r="WZV223" s="36"/>
      <c r="WZW223" s="36"/>
      <c r="WZX223" s="36"/>
      <c r="WZY223" s="36"/>
      <c r="WZZ223" s="36"/>
      <c r="XAA223" s="36"/>
      <c r="XAB223" s="36"/>
      <c r="XAC223" s="36"/>
      <c r="XAD223" s="36"/>
      <c r="XAE223" s="36"/>
      <c r="XAF223" s="36"/>
      <c r="XAG223" s="36"/>
      <c r="XAH223" s="36"/>
      <c r="XAI223" s="36"/>
      <c r="XAJ223" s="36"/>
      <c r="XAK223" s="36"/>
      <c r="XAL223" s="36"/>
      <c r="XAM223" s="36"/>
      <c r="XAN223" s="36"/>
      <c r="XAO223" s="36"/>
      <c r="XAP223" s="36"/>
      <c r="XAQ223" s="36"/>
      <c r="XAR223" s="36"/>
      <c r="XAS223" s="36"/>
      <c r="XAT223" s="36"/>
      <c r="XAU223" s="36"/>
      <c r="XAV223" s="36"/>
      <c r="XAW223" s="36"/>
      <c r="XAX223" s="36"/>
      <c r="XAY223" s="36"/>
      <c r="XAZ223" s="36"/>
      <c r="XBA223" s="36"/>
      <c r="XBB223" s="36"/>
      <c r="XBC223" s="36"/>
      <c r="XBD223" s="36"/>
      <c r="XBE223" s="36"/>
      <c r="XBF223" s="36"/>
      <c r="XBG223" s="36"/>
      <c r="XBH223" s="36"/>
      <c r="XBI223" s="36"/>
      <c r="XBJ223" s="36"/>
      <c r="XBK223" s="36"/>
      <c r="XBL223" s="36"/>
      <c r="XBM223" s="36"/>
      <c r="XBN223" s="36"/>
      <c r="XBO223" s="36"/>
      <c r="XBP223" s="36"/>
      <c r="XBQ223" s="36"/>
      <c r="XBR223" s="36"/>
      <c r="XBS223" s="36"/>
      <c r="XBT223" s="36"/>
      <c r="XBU223" s="36"/>
      <c r="XBV223" s="36"/>
      <c r="XBW223" s="36"/>
      <c r="XBX223" s="36"/>
      <c r="XBY223" s="36"/>
      <c r="XBZ223" s="36"/>
      <c r="XCA223" s="36"/>
      <c r="XCB223" s="36"/>
      <c r="XCC223" s="36"/>
      <c r="XCD223" s="36"/>
      <c r="XCE223" s="36"/>
      <c r="XCF223" s="36"/>
      <c r="XCG223" s="36"/>
      <c r="XCH223" s="36"/>
      <c r="XCI223" s="36"/>
      <c r="XCJ223" s="36"/>
      <c r="XCK223" s="36"/>
      <c r="XCL223" s="36"/>
      <c r="XCM223" s="36"/>
      <c r="XCN223" s="36"/>
      <c r="XCO223" s="36"/>
      <c r="XCP223" s="36"/>
      <c r="XCQ223" s="36"/>
      <c r="XCR223" s="36"/>
      <c r="XCS223" s="36"/>
      <c r="XCT223" s="36"/>
      <c r="XCU223" s="36"/>
      <c r="XCV223" s="36"/>
      <c r="XCW223" s="36"/>
      <c r="XCX223" s="36"/>
      <c r="XCY223" s="36"/>
      <c r="XCZ223" s="36"/>
      <c r="XDA223" s="36"/>
      <c r="XDB223" s="36"/>
      <c r="XDC223" s="36"/>
      <c r="XDD223" s="36"/>
      <c r="XDE223" s="36"/>
      <c r="XDF223" s="36"/>
      <c r="XDG223" s="36"/>
      <c r="XDH223" s="36"/>
      <c r="XDI223" s="36"/>
      <c r="XDJ223" s="36"/>
      <c r="XDK223" s="36"/>
      <c r="XDL223" s="36"/>
      <c r="XDM223" s="36"/>
      <c r="XDN223" s="36"/>
      <c r="XDO223" s="36"/>
      <c r="XDP223" s="36"/>
      <c r="XDQ223" s="36"/>
      <c r="XDR223" s="36"/>
      <c r="XDS223" s="36"/>
      <c r="XDT223" s="36"/>
      <c r="XDU223" s="36"/>
      <c r="XDV223" s="36"/>
      <c r="XDW223" s="36"/>
      <c r="XDX223" s="36"/>
      <c r="XDY223" s="36"/>
      <c r="XDZ223" s="36"/>
      <c r="XEA223" s="36"/>
      <c r="XEB223" s="36"/>
      <c r="XEC223" s="36"/>
      <c r="XED223" s="36"/>
      <c r="XEE223" s="36"/>
      <c r="XEF223" s="36"/>
      <c r="XEG223" s="36"/>
      <c r="XEH223" s="36"/>
      <c r="XEI223" s="36"/>
      <c r="XEJ223" s="36"/>
      <c r="XEK223" s="36"/>
      <c r="XEL223" s="36"/>
      <c r="XEM223" s="36"/>
      <c r="XEN223" s="36"/>
      <c r="XEO223" s="36"/>
      <c r="XEP223" s="36"/>
      <c r="XEQ223" s="36"/>
      <c r="XER223" s="36"/>
      <c r="XES223" s="36"/>
      <c r="XET223" s="36"/>
      <c r="XEU223" s="36"/>
      <c r="XEV223" s="36"/>
      <c r="XEW223" s="36"/>
      <c r="XEX223" s="36"/>
      <c r="XEY223" s="36"/>
      <c r="XEZ223" s="36"/>
      <c r="XFA223" s="36"/>
      <c r="XFB223" s="36"/>
      <c r="XFC223" s="36"/>
    </row>
    <row r="224" spans="1:16383" ht="15" hidden="1" thickTop="1">
      <c r="B224" s="412" t="str">
        <f t="shared" ref="B224:B230" si="15">D$224</f>
        <v>Autre #1</v>
      </c>
      <c r="C224" s="2086" t="s">
        <v>275</v>
      </c>
      <c r="D224" s="832" t="str">
        <f>nAutre1</f>
        <v>Autre #1</v>
      </c>
      <c r="E224" s="1370" t="s">
        <v>224</v>
      </c>
      <c r="F224" s="1945" t="str">
        <f>IFERROR(G224/G$248,"")</f>
        <v/>
      </c>
      <c r="G224" s="1946">
        <f>SUMIFS(F$92:F$101,PlanRotationPaturageS0,$B224)+SUMIFS(F$78:F$87,PlanRotationS0,$B224)</f>
        <v>0</v>
      </c>
      <c r="H224" s="837" t="str">
        <f>IFERROR(I224/I$248,"")</f>
        <v/>
      </c>
      <c r="I224" s="845">
        <f>SUMIFS(H$92:H$101,PlanRotationPaturageS1,$B224)+SUMIFS(H$78:H$87,PlanRotationS1,$B224)</f>
        <v>0</v>
      </c>
      <c r="J224" s="839" t="str">
        <f>IFERROR(K224/K$248,"")</f>
        <v/>
      </c>
      <c r="K224" s="845">
        <f>SUMIFS(J$92:J$101,PlanRotationPaturageS2,$B224)+SUMIFS(J$78:J$87,PlanRotationS2,$B224)</f>
        <v>0</v>
      </c>
      <c r="L224" s="842" t="str">
        <f>IFERROR(M224/M$248,"")</f>
        <v/>
      </c>
      <c r="M224" s="845">
        <f>SUMIFS(L$92:L$101,PlanRotationPaturageS3,$B224)+SUMIFS(L$78:L$87,PlanRotationS3,$B224)</f>
        <v>0</v>
      </c>
      <c r="N224" s="842" t="str">
        <f>IFERROR(O224/O$248,"")</f>
        <v/>
      </c>
      <c r="O224" s="845">
        <f>SUMIFS(N$92:N$101,PlanRotationPaturageS4,$B224)+SUMIFS(N$78:N$87,PlanRotationS4,$B224)</f>
        <v>0</v>
      </c>
      <c r="P224" s="842" t="str">
        <f>IFERROR(Q224/Q$248,"")</f>
        <v/>
      </c>
      <c r="Q224" s="845">
        <f>SUMIFS(P$92:P$101,PlanRotationPaturageS5,$B224)+SUMIFS(P$78:P$87,PlanRotationS5,$B224)</f>
        <v>0</v>
      </c>
    </row>
    <row r="225" spans="1:16383" hidden="1">
      <c r="B225" s="412" t="str">
        <f t="shared" si="15"/>
        <v>Autre #1</v>
      </c>
      <c r="D225" s="765" t="s">
        <v>281</v>
      </c>
      <c r="E225" s="1371" t="s">
        <v>254</v>
      </c>
      <c r="F225" s="1953"/>
      <c r="G225" s="1946">
        <f ca="1">OFFSET(RéfChamps!$DF$55,0,IF(ProdS0="Biologique",0,3))</f>
        <v>0</v>
      </c>
      <c r="H225" s="994"/>
      <c r="I225" s="834">
        <f ca="1">OFFSET(RéfChamps!$DF$55,0,IF(ProdS1="Biologique",0,3))</f>
        <v>0</v>
      </c>
      <c r="J225" s="996"/>
      <c r="K225" s="834">
        <f ca="1">OFFSET(RéfChamps!$DF$55,0,IF(ProdS2="Biologique",0,3))</f>
        <v>0</v>
      </c>
      <c r="L225" s="999"/>
      <c r="M225" s="834">
        <f ca="1">OFFSET(RéfChamps!$DF$55,0,IF(ProdS3="Biologique",0,3))</f>
        <v>0</v>
      </c>
      <c r="N225" s="999"/>
      <c r="O225" s="834">
        <f ca="1">OFFSET(RéfChamps!$DF$55,0,IF(ProdS4="Biologique",0,3))</f>
        <v>0</v>
      </c>
      <c r="P225" s="999"/>
      <c r="Q225" s="834">
        <f ca="1">OFFSET(RéfChamps!$DF$55,0,IF(ProdS5="Biologique",0,3))</f>
        <v>0</v>
      </c>
      <c r="S225" s="14"/>
    </row>
    <row r="226" spans="1:16383" hidden="1">
      <c r="B226" s="412" t="str">
        <f t="shared" si="15"/>
        <v>Autre #1</v>
      </c>
      <c r="D226" s="765" t="s">
        <v>252</v>
      </c>
      <c r="E226" s="1371" t="s">
        <v>937</v>
      </c>
      <c r="F226" s="1945"/>
      <c r="G226" s="1946">
        <f ca="1">OFFSET(RéfChamps!$DD$5,0,IF(ProdS0="Biologique",0,3))</f>
        <v>0</v>
      </c>
      <c r="H226" s="994"/>
      <c r="I226" s="1468">
        <f ca="1">OFFSET(RéfChamps!$DD$5,0,IF(ProdS1="Biologique",0,3))</f>
        <v>0</v>
      </c>
      <c r="J226" s="996"/>
      <c r="K226" s="1072">
        <f ca="1">OFFSET(RéfChamps!$DD$5,0,IF(ProdS2="Biologique",0,3))</f>
        <v>0</v>
      </c>
      <c r="L226" s="1073"/>
      <c r="M226" s="1072">
        <f ca="1">OFFSET(RéfChamps!$DD$5,0,IF(ProdS3="Biologique",0,3))</f>
        <v>0</v>
      </c>
      <c r="N226" s="1073"/>
      <c r="O226" s="1072">
        <f ca="1">OFFSET(RéfChamps!$DD$5,0,IF(ProdS4="Biologique",0,3))</f>
        <v>0</v>
      </c>
      <c r="P226" s="1073"/>
      <c r="Q226" s="1072">
        <f ca="1">OFFSET(RéfChamps!$DD$5,0,IF(ProdS5="Biologique",0,3))</f>
        <v>0</v>
      </c>
    </row>
    <row r="227" spans="1:16383" hidden="1">
      <c r="B227" s="412" t="str">
        <f t="shared" si="15"/>
        <v>Autre #1</v>
      </c>
      <c r="D227" s="765" t="s">
        <v>253</v>
      </c>
      <c r="E227" s="1371" t="s">
        <v>225</v>
      </c>
      <c r="F227" s="1945"/>
      <c r="G227" s="1946">
        <f ca="1">OFFSET(RéfChamps!$DE$5,0,IF(PrixS0="Biologique",0,3))</f>
        <v>0</v>
      </c>
      <c r="H227" s="994"/>
      <c r="I227" s="835">
        <f ca="1">OFFSET(RéfChamps!$DE$5,0,IF(PrixS1="Biologique",0,3))</f>
        <v>0</v>
      </c>
      <c r="J227" s="996"/>
      <c r="K227" s="835">
        <f ca="1">OFFSET(RéfChamps!$DE$5,0,IF(PrixS2="Biologique",0,3))</f>
        <v>0</v>
      </c>
      <c r="L227" s="1000"/>
      <c r="M227" s="835">
        <f ca="1">OFFSET(RéfChamps!$DE$5,0,IF(PrixS3="Biologique",0,3))</f>
        <v>0</v>
      </c>
      <c r="N227" s="1000"/>
      <c r="O227" s="835">
        <f ca="1">OFFSET(RéfChamps!$DE$5,0,IF(PrixS4="Biologique",0,3))</f>
        <v>0</v>
      </c>
      <c r="P227" s="1000"/>
      <c r="Q227" s="835">
        <f ca="1">OFFSET(RéfChamps!$DE$5,0,IF(PrixS5="Biologique",0,3))</f>
        <v>0</v>
      </c>
    </row>
    <row r="228" spans="1:16383" hidden="1">
      <c r="B228" s="412" t="str">
        <f t="shared" si="15"/>
        <v>Autre #1</v>
      </c>
      <c r="D228" s="765" t="s">
        <v>282</v>
      </c>
      <c r="E228" s="1371" t="s">
        <v>254</v>
      </c>
      <c r="F228" s="1945"/>
      <c r="G228" s="1946">
        <f ca="1">SUMPRODUCT(OFFSET(RéfChamps!$DD$5:$DD$9,0,IF(ProdS0="Biologique",0,3)),OFFSET(RéfChamps!$DE$5:$DE$9,0,IF(PrixS0="Biologique",0,3)))</f>
        <v>0</v>
      </c>
      <c r="H228" s="994"/>
      <c r="I228" s="835">
        <f ca="1">SUMPRODUCT(OFFSET(RéfChamps!$DD$5:$DD$9,0,IF(ProdS1="Biologique",0,3)),OFFSET(RéfChamps!$DE$5:$DE$9,0,IF(PrixS1="Biologique",0,3)))</f>
        <v>0</v>
      </c>
      <c r="J228" s="997"/>
      <c r="K228" s="835">
        <f ca="1">SUMPRODUCT(OFFSET(RéfChamps!$DD$5:$DD$9,0,IF(ProdS2="Biologique",0,3)),OFFSET(RéfChamps!$DE$5:$DE$9,0,IF(PrixS2="Biologique",0,3)))</f>
        <v>0</v>
      </c>
      <c r="L228" s="1000"/>
      <c r="M228" s="835">
        <f ca="1">SUMPRODUCT(OFFSET(RéfChamps!$DD$5:$DD$9,0,IF(ProdS3="Biologique",0,3)),OFFSET(RéfChamps!$DE$5:$DE$9,0,IF(PrixS3="Biologique",0,3)))</f>
        <v>0</v>
      </c>
      <c r="N228" s="1000"/>
      <c r="O228" s="835">
        <f ca="1">SUMPRODUCT(OFFSET(RéfChamps!$DD$5:$DD$9,0,IF(ProdS4="Biologique",0,3)),OFFSET(RéfChamps!$DE$5:$DE$9,0,IF(PrixS4="Biologique",0,3)))</f>
        <v>0</v>
      </c>
      <c r="P228" s="1000"/>
      <c r="Q228" s="835">
        <f ca="1">SUMPRODUCT(OFFSET(RéfChamps!$DD$5:$DD$9,0,IF(ProdS5="Biologique",0,3)),OFFSET(RéfChamps!$DE$5:$DE$9,0,IF(PrixS5="Biologique",0,3)))</f>
        <v>0</v>
      </c>
    </row>
    <row r="229" spans="1:16383" s="346" customFormat="1" ht="15" hidden="1" thickBot="1">
      <c r="A229" s="413"/>
      <c r="B229" s="428" t="str">
        <f t="shared" si="15"/>
        <v>Autre #1</v>
      </c>
      <c r="D229" s="765" t="s">
        <v>1457</v>
      </c>
      <c r="E229" s="1371" t="s">
        <v>254</v>
      </c>
      <c r="F229" s="1945"/>
      <c r="G229" s="1951">
        <f ca="1">IFERROR(G228-G225,"Erreur")</f>
        <v>0</v>
      </c>
      <c r="H229" s="994"/>
      <c r="I229" s="846">
        <f ca="1">IFERROR(I228-I225,"Erreur")</f>
        <v>0</v>
      </c>
      <c r="J229" s="998"/>
      <c r="K229" s="846">
        <f ca="1">IFERROR(K228-K225,"Erreur")</f>
        <v>0</v>
      </c>
      <c r="L229" s="1001"/>
      <c r="M229" s="846">
        <f ca="1">IFERROR(M228-M225,"Erreur")</f>
        <v>0</v>
      </c>
      <c r="N229" s="1001"/>
      <c r="O229" s="846">
        <f ca="1">IFERROR(O228-O225,"Erreur")</f>
        <v>0</v>
      </c>
      <c r="P229" s="1001"/>
      <c r="Q229" s="846">
        <f ca="1">IFERROR(Q228-Q225,"Erreur")</f>
        <v>0</v>
      </c>
      <c r="R229" s="1698"/>
    </row>
    <row r="230" spans="1:16383" s="28" customFormat="1" ht="15.75" hidden="1" thickTop="1" thickBot="1">
      <c r="A230" s="411"/>
      <c r="B230" s="428" t="str">
        <f t="shared" si="15"/>
        <v>Autre #1</v>
      </c>
      <c r="C230" s="36"/>
      <c r="D230" s="2085" t="str">
        <f>"Détails pour """&amp;LOWER(D224)&amp;""""</f>
        <v>Détails pour "autre #1"</v>
      </c>
      <c r="E230" s="1371"/>
      <c r="F230" s="1952"/>
      <c r="G230" s="1946"/>
      <c r="H230" s="994"/>
      <c r="I230" s="1612"/>
      <c r="J230" s="1002"/>
      <c r="K230" s="1612"/>
      <c r="L230" s="1002"/>
      <c r="M230" s="1612"/>
      <c r="N230" s="1002"/>
      <c r="O230" s="1612"/>
      <c r="P230" s="1002"/>
      <c r="Q230" s="1612"/>
      <c r="R230" s="1701"/>
      <c r="S230" s="36"/>
      <c r="T230" s="36"/>
      <c r="U230" s="36"/>
      <c r="V230" s="36"/>
      <c r="W230" s="36"/>
      <c r="X230" s="36"/>
      <c r="Y230" s="36"/>
      <c r="Z230" s="36"/>
      <c r="AA230" s="36"/>
      <c r="AB230" s="36"/>
      <c r="AC230" s="36"/>
      <c r="AD230" s="36"/>
      <c r="AE230" s="36"/>
      <c r="AF230" s="36"/>
      <c r="AG230" s="36"/>
      <c r="AH230" s="36"/>
      <c r="AI230" s="36"/>
      <c r="AJ230" s="36"/>
      <c r="AK230" s="36"/>
      <c r="AL230" s="36"/>
      <c r="AM230" s="36"/>
      <c r="AN230" s="36"/>
      <c r="AO230" s="36"/>
      <c r="AP230" s="36"/>
      <c r="AQ230" s="36"/>
      <c r="AR230" s="36"/>
      <c r="AS230" s="36"/>
      <c r="AT230" s="36"/>
      <c r="AU230" s="36"/>
      <c r="AV230" s="36"/>
      <c r="AW230" s="36"/>
      <c r="AX230" s="36"/>
      <c r="AY230" s="36"/>
      <c r="AZ230" s="36"/>
      <c r="BA230" s="36"/>
      <c r="BB230" s="36"/>
      <c r="BC230" s="36"/>
      <c r="BD230" s="36"/>
      <c r="BE230" s="36"/>
      <c r="BF230" s="36"/>
      <c r="BG230" s="36"/>
      <c r="BH230" s="36"/>
      <c r="BI230" s="36"/>
      <c r="BJ230" s="36"/>
      <c r="BK230" s="36"/>
      <c r="BL230" s="36"/>
      <c r="BM230" s="36"/>
      <c r="BN230" s="36"/>
      <c r="BO230" s="36"/>
      <c r="BP230" s="36"/>
      <c r="BQ230" s="36"/>
      <c r="BR230" s="36"/>
      <c r="BS230" s="36"/>
      <c r="BT230" s="36"/>
      <c r="BU230" s="36"/>
      <c r="BV230" s="36"/>
      <c r="BW230" s="36"/>
      <c r="BX230" s="36"/>
      <c r="BY230" s="36"/>
      <c r="BZ230" s="36"/>
      <c r="CA230" s="36"/>
      <c r="CB230" s="36"/>
      <c r="CC230" s="36"/>
      <c r="CD230" s="36"/>
      <c r="CE230" s="36"/>
      <c r="CF230" s="36"/>
      <c r="CG230" s="36"/>
      <c r="CH230" s="36"/>
      <c r="CI230" s="36"/>
      <c r="CJ230" s="36"/>
      <c r="CK230" s="36"/>
      <c r="CL230" s="36"/>
      <c r="CM230" s="36"/>
      <c r="CN230" s="36"/>
      <c r="CO230" s="36"/>
      <c r="CP230" s="36"/>
      <c r="CQ230" s="36"/>
      <c r="CR230" s="36"/>
      <c r="CS230" s="36"/>
      <c r="CT230" s="36"/>
      <c r="CU230" s="36"/>
      <c r="CV230" s="36"/>
      <c r="CW230" s="36"/>
      <c r="CX230" s="36"/>
      <c r="CY230" s="36"/>
      <c r="CZ230" s="36"/>
      <c r="DA230" s="36"/>
      <c r="DB230" s="36"/>
      <c r="DC230" s="36"/>
      <c r="DD230" s="36"/>
      <c r="DE230" s="36"/>
      <c r="DF230" s="36"/>
      <c r="DG230" s="36"/>
      <c r="DH230" s="36"/>
      <c r="DI230" s="36"/>
      <c r="DJ230" s="36"/>
      <c r="DK230" s="36"/>
      <c r="DL230" s="36"/>
      <c r="DM230" s="36"/>
      <c r="DN230" s="36"/>
      <c r="DO230" s="36"/>
      <c r="DP230" s="36"/>
      <c r="DQ230" s="36"/>
      <c r="DR230" s="36"/>
      <c r="DS230" s="36"/>
      <c r="DT230" s="36"/>
      <c r="DU230" s="36"/>
      <c r="DV230" s="36"/>
      <c r="DW230" s="36"/>
      <c r="DX230" s="36"/>
      <c r="DY230" s="36"/>
      <c r="DZ230" s="36"/>
      <c r="EA230" s="36"/>
      <c r="EB230" s="36"/>
      <c r="EC230" s="36"/>
      <c r="ED230" s="36"/>
      <c r="EE230" s="36"/>
      <c r="EF230" s="36"/>
      <c r="EG230" s="36"/>
      <c r="EH230" s="36"/>
      <c r="EI230" s="36"/>
      <c r="EJ230" s="36"/>
      <c r="EK230" s="36"/>
      <c r="EL230" s="36"/>
      <c r="EM230" s="36"/>
      <c r="EN230" s="36"/>
      <c r="EO230" s="36"/>
      <c r="EP230" s="36"/>
      <c r="EQ230" s="36"/>
      <c r="ER230" s="36"/>
      <c r="ES230" s="36"/>
      <c r="ET230" s="36"/>
      <c r="EU230" s="36"/>
      <c r="EV230" s="36"/>
      <c r="EW230" s="36"/>
      <c r="EX230" s="36"/>
      <c r="EY230" s="36"/>
      <c r="EZ230" s="36"/>
      <c r="FA230" s="36"/>
      <c r="FB230" s="36"/>
      <c r="FC230" s="36"/>
      <c r="FD230" s="36"/>
      <c r="FE230" s="36"/>
      <c r="FF230" s="36"/>
      <c r="FG230" s="36"/>
      <c r="FH230" s="36"/>
      <c r="FI230" s="36"/>
      <c r="FJ230" s="36"/>
      <c r="FK230" s="36"/>
      <c r="FL230" s="36"/>
      <c r="FM230" s="36"/>
      <c r="FN230" s="36"/>
      <c r="FO230" s="36"/>
      <c r="FP230" s="36"/>
      <c r="FQ230" s="36"/>
      <c r="FR230" s="36"/>
      <c r="FS230" s="36"/>
      <c r="FT230" s="36"/>
      <c r="FU230" s="36"/>
      <c r="FV230" s="36"/>
      <c r="FW230" s="36"/>
      <c r="FX230" s="36"/>
      <c r="FY230" s="36"/>
      <c r="FZ230" s="36"/>
      <c r="GA230" s="36"/>
      <c r="GB230" s="36"/>
      <c r="GC230" s="36"/>
      <c r="GD230" s="36"/>
      <c r="GE230" s="36"/>
      <c r="GF230" s="36"/>
      <c r="GG230" s="36"/>
      <c r="GH230" s="36"/>
      <c r="GI230" s="36"/>
      <c r="GJ230" s="36"/>
      <c r="GK230" s="36"/>
      <c r="GL230" s="36"/>
      <c r="GM230" s="36"/>
      <c r="GN230" s="36"/>
      <c r="GO230" s="36"/>
      <c r="GP230" s="36"/>
      <c r="GQ230" s="36"/>
      <c r="GR230" s="36"/>
      <c r="GS230" s="36"/>
      <c r="GT230" s="36"/>
      <c r="GU230" s="36"/>
      <c r="GV230" s="36"/>
      <c r="GW230" s="36"/>
      <c r="GX230" s="36"/>
      <c r="GY230" s="36"/>
      <c r="GZ230" s="36"/>
      <c r="HA230" s="36"/>
      <c r="HB230" s="36"/>
      <c r="HC230" s="36"/>
      <c r="HD230" s="36"/>
      <c r="HE230" s="36"/>
      <c r="HF230" s="36"/>
      <c r="HG230" s="36"/>
      <c r="HH230" s="36"/>
      <c r="HI230" s="36"/>
      <c r="HJ230" s="36"/>
      <c r="HK230" s="36"/>
      <c r="HL230" s="36"/>
      <c r="HM230" s="36"/>
      <c r="HN230" s="36"/>
      <c r="HO230" s="36"/>
      <c r="HP230" s="36"/>
      <c r="HQ230" s="36"/>
      <c r="HR230" s="36"/>
      <c r="HS230" s="36"/>
      <c r="HT230" s="36"/>
      <c r="HU230" s="36"/>
      <c r="HV230" s="36"/>
      <c r="HW230" s="36"/>
      <c r="HX230" s="36"/>
      <c r="HY230" s="36"/>
      <c r="HZ230" s="36"/>
      <c r="IA230" s="36"/>
      <c r="IB230" s="36"/>
      <c r="IC230" s="36"/>
      <c r="ID230" s="36"/>
      <c r="IE230" s="36"/>
      <c r="IF230" s="36"/>
      <c r="IG230" s="36"/>
      <c r="IH230" s="36"/>
      <c r="II230" s="36"/>
      <c r="IJ230" s="36"/>
      <c r="IK230" s="36"/>
      <c r="IL230" s="36"/>
      <c r="IM230" s="36"/>
      <c r="IN230" s="36"/>
      <c r="IO230" s="36"/>
      <c r="IP230" s="36"/>
      <c r="IQ230" s="36"/>
      <c r="IR230" s="36"/>
      <c r="IS230" s="36"/>
      <c r="IT230" s="36"/>
      <c r="IU230" s="36"/>
      <c r="IV230" s="36"/>
      <c r="IW230" s="36"/>
      <c r="IX230" s="36"/>
      <c r="IY230" s="36"/>
      <c r="IZ230" s="36"/>
      <c r="JA230" s="36"/>
      <c r="JB230" s="36"/>
      <c r="JC230" s="36"/>
      <c r="JD230" s="36"/>
      <c r="JE230" s="36"/>
      <c r="JF230" s="36"/>
      <c r="JG230" s="36"/>
      <c r="JH230" s="36"/>
      <c r="JI230" s="36"/>
      <c r="JJ230" s="36"/>
      <c r="JK230" s="36"/>
      <c r="JL230" s="36"/>
      <c r="JM230" s="36"/>
      <c r="JN230" s="36"/>
      <c r="JO230" s="36"/>
      <c r="JP230" s="36"/>
      <c r="JQ230" s="36"/>
      <c r="JR230" s="36"/>
      <c r="JS230" s="36"/>
      <c r="JT230" s="36"/>
      <c r="JU230" s="36"/>
      <c r="JV230" s="36"/>
      <c r="JW230" s="36"/>
      <c r="JX230" s="36"/>
      <c r="JY230" s="36"/>
      <c r="JZ230" s="36"/>
      <c r="KA230" s="36"/>
      <c r="KB230" s="36"/>
      <c r="KC230" s="36"/>
      <c r="KD230" s="36"/>
      <c r="KE230" s="36"/>
      <c r="KF230" s="36"/>
      <c r="KG230" s="36"/>
      <c r="KH230" s="36"/>
      <c r="KI230" s="36"/>
      <c r="KJ230" s="36"/>
      <c r="KK230" s="36"/>
      <c r="KL230" s="36"/>
      <c r="KM230" s="36"/>
      <c r="KN230" s="36"/>
      <c r="KO230" s="36"/>
      <c r="KP230" s="36"/>
      <c r="KQ230" s="36"/>
      <c r="KR230" s="36"/>
      <c r="KS230" s="36"/>
      <c r="KT230" s="36"/>
      <c r="KU230" s="36"/>
      <c r="KV230" s="36"/>
      <c r="KW230" s="36"/>
      <c r="KX230" s="36"/>
      <c r="KY230" s="36"/>
      <c r="KZ230" s="36"/>
      <c r="LA230" s="36"/>
      <c r="LB230" s="36"/>
      <c r="LC230" s="36"/>
      <c r="LD230" s="36"/>
      <c r="LE230" s="36"/>
      <c r="LF230" s="36"/>
      <c r="LG230" s="36"/>
      <c r="LH230" s="36"/>
      <c r="LI230" s="36"/>
      <c r="LJ230" s="36"/>
      <c r="LK230" s="36"/>
      <c r="LL230" s="36"/>
      <c r="LM230" s="36"/>
      <c r="LN230" s="36"/>
      <c r="LO230" s="36"/>
      <c r="LP230" s="36"/>
      <c r="LQ230" s="36"/>
      <c r="LR230" s="36"/>
      <c r="LS230" s="36"/>
      <c r="LT230" s="36"/>
      <c r="LU230" s="36"/>
      <c r="LV230" s="36"/>
      <c r="LW230" s="36"/>
      <c r="LX230" s="36"/>
      <c r="LY230" s="36"/>
      <c r="LZ230" s="36"/>
      <c r="MA230" s="36"/>
      <c r="MB230" s="36"/>
      <c r="MC230" s="36"/>
      <c r="MD230" s="36"/>
      <c r="ME230" s="36"/>
      <c r="MF230" s="36"/>
      <c r="MG230" s="36"/>
      <c r="MH230" s="36"/>
      <c r="MI230" s="36"/>
      <c r="MJ230" s="36"/>
      <c r="MK230" s="36"/>
      <c r="ML230" s="36"/>
      <c r="MM230" s="36"/>
      <c r="MN230" s="36"/>
      <c r="MO230" s="36"/>
      <c r="MP230" s="36"/>
      <c r="MQ230" s="36"/>
      <c r="MR230" s="36"/>
      <c r="MS230" s="36"/>
      <c r="MT230" s="36"/>
      <c r="MU230" s="36"/>
      <c r="MV230" s="36"/>
      <c r="MW230" s="36"/>
      <c r="MX230" s="36"/>
      <c r="MY230" s="36"/>
      <c r="MZ230" s="36"/>
      <c r="NA230" s="36"/>
      <c r="NB230" s="36"/>
      <c r="NC230" s="36"/>
      <c r="ND230" s="36"/>
      <c r="NE230" s="36"/>
      <c r="NF230" s="36"/>
      <c r="NG230" s="36"/>
      <c r="NH230" s="36"/>
      <c r="NI230" s="36"/>
      <c r="NJ230" s="36"/>
      <c r="NK230" s="36"/>
      <c r="NL230" s="36"/>
      <c r="NM230" s="36"/>
      <c r="NN230" s="36"/>
      <c r="NO230" s="36"/>
      <c r="NP230" s="36"/>
      <c r="NQ230" s="36"/>
      <c r="NR230" s="36"/>
      <c r="NS230" s="36"/>
      <c r="NT230" s="36"/>
      <c r="NU230" s="36"/>
      <c r="NV230" s="36"/>
      <c r="NW230" s="36"/>
      <c r="NX230" s="36"/>
      <c r="NY230" s="36"/>
      <c r="NZ230" s="36"/>
      <c r="OA230" s="36"/>
      <c r="OB230" s="36"/>
      <c r="OC230" s="36"/>
      <c r="OD230" s="36"/>
      <c r="OE230" s="36"/>
      <c r="OF230" s="36"/>
      <c r="OG230" s="36"/>
      <c r="OH230" s="36"/>
      <c r="OI230" s="36"/>
      <c r="OJ230" s="36"/>
      <c r="OK230" s="36"/>
      <c r="OL230" s="36"/>
      <c r="OM230" s="36"/>
      <c r="ON230" s="36"/>
      <c r="OO230" s="36"/>
      <c r="OP230" s="36"/>
      <c r="OQ230" s="36"/>
      <c r="OR230" s="36"/>
      <c r="OS230" s="36"/>
      <c r="OT230" s="36"/>
      <c r="OU230" s="36"/>
      <c r="OV230" s="36"/>
      <c r="OW230" s="36"/>
      <c r="OX230" s="36"/>
      <c r="OY230" s="36"/>
      <c r="OZ230" s="36"/>
      <c r="PA230" s="36"/>
      <c r="PB230" s="36"/>
      <c r="PC230" s="36"/>
      <c r="PD230" s="36"/>
      <c r="PE230" s="36"/>
      <c r="PF230" s="36"/>
      <c r="PG230" s="36"/>
      <c r="PH230" s="36"/>
      <c r="PI230" s="36"/>
      <c r="PJ230" s="36"/>
      <c r="PK230" s="36"/>
      <c r="PL230" s="36"/>
      <c r="PM230" s="36"/>
      <c r="PN230" s="36"/>
      <c r="PO230" s="36"/>
      <c r="PP230" s="36"/>
      <c r="PQ230" s="36"/>
      <c r="PR230" s="36"/>
      <c r="PS230" s="36"/>
      <c r="PT230" s="36"/>
      <c r="PU230" s="36"/>
      <c r="PV230" s="36"/>
      <c r="PW230" s="36"/>
      <c r="PX230" s="36"/>
      <c r="PY230" s="36"/>
      <c r="PZ230" s="36"/>
      <c r="QA230" s="36"/>
      <c r="QB230" s="36"/>
      <c r="QC230" s="36"/>
      <c r="QD230" s="36"/>
      <c r="QE230" s="36"/>
      <c r="QF230" s="36"/>
      <c r="QG230" s="36"/>
      <c r="QH230" s="36"/>
      <c r="QI230" s="36"/>
      <c r="QJ230" s="36"/>
      <c r="QK230" s="36"/>
      <c r="QL230" s="36"/>
      <c r="QM230" s="36"/>
      <c r="QN230" s="36"/>
      <c r="QO230" s="36"/>
      <c r="QP230" s="36"/>
      <c r="QQ230" s="36"/>
      <c r="QR230" s="36"/>
      <c r="QS230" s="36"/>
      <c r="QT230" s="36"/>
      <c r="QU230" s="36"/>
      <c r="QV230" s="36"/>
      <c r="QW230" s="36"/>
      <c r="QX230" s="36"/>
      <c r="QY230" s="36"/>
      <c r="QZ230" s="36"/>
      <c r="RA230" s="36"/>
      <c r="RB230" s="36"/>
      <c r="RC230" s="36"/>
      <c r="RD230" s="36"/>
      <c r="RE230" s="36"/>
      <c r="RF230" s="36"/>
      <c r="RG230" s="36"/>
      <c r="RH230" s="36"/>
      <c r="RI230" s="36"/>
      <c r="RJ230" s="36"/>
      <c r="RK230" s="36"/>
      <c r="RL230" s="36"/>
      <c r="RM230" s="36"/>
      <c r="RN230" s="36"/>
      <c r="RO230" s="36"/>
      <c r="RP230" s="36"/>
      <c r="RQ230" s="36"/>
      <c r="RR230" s="36"/>
      <c r="RS230" s="36"/>
      <c r="RT230" s="36"/>
      <c r="RU230" s="36"/>
      <c r="RV230" s="36"/>
      <c r="RW230" s="36"/>
      <c r="RX230" s="36"/>
      <c r="RY230" s="36"/>
      <c r="RZ230" s="36"/>
      <c r="SA230" s="36"/>
      <c r="SB230" s="36"/>
      <c r="SC230" s="36"/>
      <c r="SD230" s="36"/>
      <c r="SE230" s="36"/>
      <c r="SF230" s="36"/>
      <c r="SG230" s="36"/>
      <c r="SH230" s="36"/>
      <c r="SI230" s="36"/>
      <c r="SJ230" s="36"/>
      <c r="SK230" s="36"/>
      <c r="SL230" s="36"/>
      <c r="SM230" s="36"/>
      <c r="SN230" s="36"/>
      <c r="SO230" s="36"/>
      <c r="SP230" s="36"/>
      <c r="SQ230" s="36"/>
      <c r="SR230" s="36"/>
      <c r="SS230" s="36"/>
      <c r="ST230" s="36"/>
      <c r="SU230" s="36"/>
      <c r="SV230" s="36"/>
      <c r="SW230" s="36"/>
      <c r="SX230" s="36"/>
      <c r="SY230" s="36"/>
      <c r="SZ230" s="36"/>
      <c r="TA230" s="36"/>
      <c r="TB230" s="36"/>
      <c r="TC230" s="36"/>
      <c r="TD230" s="36"/>
      <c r="TE230" s="36"/>
      <c r="TF230" s="36"/>
      <c r="TG230" s="36"/>
      <c r="TH230" s="36"/>
      <c r="TI230" s="36"/>
      <c r="TJ230" s="36"/>
      <c r="TK230" s="36"/>
      <c r="TL230" s="36"/>
      <c r="TM230" s="36"/>
      <c r="TN230" s="36"/>
      <c r="TO230" s="36"/>
      <c r="TP230" s="36"/>
      <c r="TQ230" s="36"/>
      <c r="TR230" s="36"/>
      <c r="TS230" s="36"/>
      <c r="TT230" s="36"/>
      <c r="TU230" s="36"/>
      <c r="TV230" s="36"/>
      <c r="TW230" s="36"/>
      <c r="TX230" s="36"/>
      <c r="TY230" s="36"/>
      <c r="TZ230" s="36"/>
      <c r="UA230" s="36"/>
      <c r="UB230" s="36"/>
      <c r="UC230" s="36"/>
      <c r="UD230" s="36"/>
      <c r="UE230" s="36"/>
      <c r="UF230" s="36"/>
      <c r="UG230" s="36"/>
      <c r="UH230" s="36"/>
      <c r="UI230" s="36"/>
      <c r="UJ230" s="36"/>
      <c r="UK230" s="36"/>
      <c r="UL230" s="36"/>
      <c r="UM230" s="36"/>
      <c r="UN230" s="36"/>
      <c r="UO230" s="36"/>
      <c r="UP230" s="36"/>
      <c r="UQ230" s="36"/>
      <c r="UR230" s="36"/>
      <c r="US230" s="36"/>
      <c r="UT230" s="36"/>
      <c r="UU230" s="36"/>
      <c r="UV230" s="36"/>
      <c r="UW230" s="36"/>
      <c r="UX230" s="36"/>
      <c r="UY230" s="36"/>
      <c r="UZ230" s="36"/>
      <c r="VA230" s="36"/>
      <c r="VB230" s="36"/>
      <c r="VC230" s="36"/>
      <c r="VD230" s="36"/>
      <c r="VE230" s="36"/>
      <c r="VF230" s="36"/>
      <c r="VG230" s="36"/>
      <c r="VH230" s="36"/>
      <c r="VI230" s="36"/>
      <c r="VJ230" s="36"/>
      <c r="VK230" s="36"/>
      <c r="VL230" s="36"/>
      <c r="VM230" s="36"/>
      <c r="VN230" s="36"/>
      <c r="VO230" s="36"/>
      <c r="VP230" s="36"/>
      <c r="VQ230" s="36"/>
      <c r="VR230" s="36"/>
      <c r="VS230" s="36"/>
      <c r="VT230" s="36"/>
      <c r="VU230" s="36"/>
      <c r="VV230" s="36"/>
      <c r="VW230" s="36"/>
      <c r="VX230" s="36"/>
      <c r="VY230" s="36"/>
      <c r="VZ230" s="36"/>
      <c r="WA230" s="36"/>
      <c r="WB230" s="36"/>
      <c r="WC230" s="36"/>
      <c r="WD230" s="36"/>
      <c r="WE230" s="36"/>
      <c r="WF230" s="36"/>
      <c r="WG230" s="36"/>
      <c r="WH230" s="36"/>
      <c r="WI230" s="36"/>
      <c r="WJ230" s="36"/>
      <c r="WK230" s="36"/>
      <c r="WL230" s="36"/>
      <c r="WM230" s="36"/>
      <c r="WN230" s="36"/>
      <c r="WO230" s="36"/>
      <c r="WP230" s="36"/>
      <c r="WQ230" s="36"/>
      <c r="WR230" s="36"/>
      <c r="WS230" s="36"/>
      <c r="WT230" s="36"/>
      <c r="WU230" s="36"/>
      <c r="WV230" s="36"/>
      <c r="WW230" s="36"/>
      <c r="WX230" s="36"/>
      <c r="WY230" s="36"/>
      <c r="WZ230" s="36"/>
      <c r="XA230" s="36"/>
      <c r="XB230" s="36"/>
      <c r="XC230" s="36"/>
      <c r="XD230" s="36"/>
      <c r="XE230" s="36"/>
      <c r="XF230" s="36"/>
      <c r="XG230" s="36"/>
      <c r="XH230" s="36"/>
      <c r="XI230" s="36"/>
      <c r="XJ230" s="36"/>
      <c r="XK230" s="36"/>
      <c r="XL230" s="36"/>
      <c r="XM230" s="36"/>
      <c r="XN230" s="36"/>
      <c r="XO230" s="36"/>
      <c r="XP230" s="36"/>
      <c r="XQ230" s="36"/>
      <c r="XR230" s="36"/>
      <c r="XS230" s="36"/>
      <c r="XT230" s="36"/>
      <c r="XU230" s="36"/>
      <c r="XV230" s="36"/>
      <c r="XW230" s="36"/>
      <c r="XX230" s="36"/>
      <c r="XY230" s="36"/>
      <c r="XZ230" s="36"/>
      <c r="YA230" s="36"/>
      <c r="YB230" s="36"/>
      <c r="YC230" s="36"/>
      <c r="YD230" s="36"/>
      <c r="YE230" s="36"/>
      <c r="YF230" s="36"/>
      <c r="YG230" s="36"/>
      <c r="YH230" s="36"/>
      <c r="YI230" s="36"/>
      <c r="YJ230" s="36"/>
      <c r="YK230" s="36"/>
      <c r="YL230" s="36"/>
      <c r="YM230" s="36"/>
      <c r="YN230" s="36"/>
      <c r="YO230" s="36"/>
      <c r="YP230" s="36"/>
      <c r="YQ230" s="36"/>
      <c r="YR230" s="36"/>
      <c r="YS230" s="36"/>
      <c r="YT230" s="36"/>
      <c r="YU230" s="36"/>
      <c r="YV230" s="36"/>
      <c r="YW230" s="36"/>
      <c r="YX230" s="36"/>
      <c r="YY230" s="36"/>
      <c r="YZ230" s="36"/>
      <c r="ZA230" s="36"/>
      <c r="ZB230" s="36"/>
      <c r="ZC230" s="36"/>
      <c r="ZD230" s="36"/>
      <c r="ZE230" s="36"/>
      <c r="ZF230" s="36"/>
      <c r="ZG230" s="36"/>
      <c r="ZH230" s="36"/>
      <c r="ZI230" s="36"/>
      <c r="ZJ230" s="36"/>
      <c r="ZK230" s="36"/>
      <c r="ZL230" s="36"/>
      <c r="ZM230" s="36"/>
      <c r="ZN230" s="36"/>
      <c r="ZO230" s="36"/>
      <c r="ZP230" s="36"/>
      <c r="ZQ230" s="36"/>
      <c r="ZR230" s="36"/>
      <c r="ZS230" s="36"/>
      <c r="ZT230" s="36"/>
      <c r="ZU230" s="36"/>
      <c r="ZV230" s="36"/>
      <c r="ZW230" s="36"/>
      <c r="ZX230" s="36"/>
      <c r="ZY230" s="36"/>
      <c r="ZZ230" s="36"/>
      <c r="AAA230" s="36"/>
      <c r="AAB230" s="36"/>
      <c r="AAC230" s="36"/>
      <c r="AAD230" s="36"/>
      <c r="AAE230" s="36"/>
      <c r="AAF230" s="36"/>
      <c r="AAG230" s="36"/>
      <c r="AAH230" s="36"/>
      <c r="AAI230" s="36"/>
      <c r="AAJ230" s="36"/>
      <c r="AAK230" s="36"/>
      <c r="AAL230" s="36"/>
      <c r="AAM230" s="36"/>
      <c r="AAN230" s="36"/>
      <c r="AAO230" s="36"/>
      <c r="AAP230" s="36"/>
      <c r="AAQ230" s="36"/>
      <c r="AAR230" s="36"/>
      <c r="AAS230" s="36"/>
      <c r="AAT230" s="36"/>
      <c r="AAU230" s="36"/>
      <c r="AAV230" s="36"/>
      <c r="AAW230" s="36"/>
      <c r="AAX230" s="36"/>
      <c r="AAY230" s="36"/>
      <c r="AAZ230" s="36"/>
      <c r="ABA230" s="36"/>
      <c r="ABB230" s="36"/>
      <c r="ABC230" s="36"/>
      <c r="ABD230" s="36"/>
      <c r="ABE230" s="36"/>
      <c r="ABF230" s="36"/>
      <c r="ABG230" s="36"/>
      <c r="ABH230" s="36"/>
      <c r="ABI230" s="36"/>
      <c r="ABJ230" s="36"/>
      <c r="ABK230" s="36"/>
      <c r="ABL230" s="36"/>
      <c r="ABM230" s="36"/>
      <c r="ABN230" s="36"/>
      <c r="ABO230" s="36"/>
      <c r="ABP230" s="36"/>
      <c r="ABQ230" s="36"/>
      <c r="ABR230" s="36"/>
      <c r="ABS230" s="36"/>
      <c r="ABT230" s="36"/>
      <c r="ABU230" s="36"/>
      <c r="ABV230" s="36"/>
      <c r="ABW230" s="36"/>
      <c r="ABX230" s="36"/>
      <c r="ABY230" s="36"/>
      <c r="ABZ230" s="36"/>
      <c r="ACA230" s="36"/>
      <c r="ACB230" s="36"/>
      <c r="ACC230" s="36"/>
      <c r="ACD230" s="36"/>
      <c r="ACE230" s="36"/>
      <c r="ACF230" s="36"/>
      <c r="ACG230" s="36"/>
      <c r="ACH230" s="36"/>
      <c r="ACI230" s="36"/>
      <c r="ACJ230" s="36"/>
      <c r="ACK230" s="36"/>
      <c r="ACL230" s="36"/>
      <c r="ACM230" s="36"/>
      <c r="ACN230" s="36"/>
      <c r="ACO230" s="36"/>
      <c r="ACP230" s="36"/>
      <c r="ACQ230" s="36"/>
      <c r="ACR230" s="36"/>
      <c r="ACS230" s="36"/>
      <c r="ACT230" s="36"/>
      <c r="ACU230" s="36"/>
      <c r="ACV230" s="36"/>
      <c r="ACW230" s="36"/>
      <c r="ACX230" s="36"/>
      <c r="ACY230" s="36"/>
      <c r="ACZ230" s="36"/>
      <c r="ADA230" s="36"/>
      <c r="ADB230" s="36"/>
      <c r="ADC230" s="36"/>
      <c r="ADD230" s="36"/>
      <c r="ADE230" s="36"/>
      <c r="ADF230" s="36"/>
      <c r="ADG230" s="36"/>
      <c r="ADH230" s="36"/>
      <c r="ADI230" s="36"/>
      <c r="ADJ230" s="36"/>
      <c r="ADK230" s="36"/>
      <c r="ADL230" s="36"/>
      <c r="ADM230" s="36"/>
      <c r="ADN230" s="36"/>
      <c r="ADO230" s="36"/>
      <c r="ADP230" s="36"/>
      <c r="ADQ230" s="36"/>
      <c r="ADR230" s="36"/>
      <c r="ADS230" s="36"/>
      <c r="ADT230" s="36"/>
      <c r="ADU230" s="36"/>
      <c r="ADV230" s="36"/>
      <c r="ADW230" s="36"/>
      <c r="ADX230" s="36"/>
      <c r="ADY230" s="36"/>
      <c r="ADZ230" s="36"/>
      <c r="AEA230" s="36"/>
      <c r="AEB230" s="36"/>
      <c r="AEC230" s="36"/>
      <c r="AED230" s="36"/>
      <c r="AEE230" s="36"/>
      <c r="AEF230" s="36"/>
      <c r="AEG230" s="36"/>
      <c r="AEH230" s="36"/>
      <c r="AEI230" s="36"/>
      <c r="AEJ230" s="36"/>
      <c r="AEK230" s="36"/>
      <c r="AEL230" s="36"/>
      <c r="AEM230" s="36"/>
      <c r="AEN230" s="36"/>
      <c r="AEO230" s="36"/>
      <c r="AEP230" s="36"/>
      <c r="AEQ230" s="36"/>
      <c r="AER230" s="36"/>
      <c r="AES230" s="36"/>
      <c r="AET230" s="36"/>
      <c r="AEU230" s="36"/>
      <c r="AEV230" s="36"/>
      <c r="AEW230" s="36"/>
      <c r="AEX230" s="36"/>
      <c r="AEY230" s="36"/>
      <c r="AEZ230" s="36"/>
      <c r="AFA230" s="36"/>
      <c r="AFB230" s="36"/>
      <c r="AFC230" s="36"/>
      <c r="AFD230" s="36"/>
      <c r="AFE230" s="36"/>
      <c r="AFF230" s="36"/>
      <c r="AFG230" s="36"/>
      <c r="AFH230" s="36"/>
      <c r="AFI230" s="36"/>
      <c r="AFJ230" s="36"/>
      <c r="AFK230" s="36"/>
      <c r="AFL230" s="36"/>
      <c r="AFM230" s="36"/>
      <c r="AFN230" s="36"/>
      <c r="AFO230" s="36"/>
      <c r="AFP230" s="36"/>
      <c r="AFQ230" s="36"/>
      <c r="AFR230" s="36"/>
      <c r="AFS230" s="36"/>
      <c r="AFT230" s="36"/>
      <c r="AFU230" s="36"/>
      <c r="AFV230" s="36"/>
      <c r="AFW230" s="36"/>
      <c r="AFX230" s="36"/>
      <c r="AFY230" s="36"/>
      <c r="AFZ230" s="36"/>
      <c r="AGA230" s="36"/>
      <c r="AGB230" s="36"/>
      <c r="AGC230" s="36"/>
      <c r="AGD230" s="36"/>
      <c r="AGE230" s="36"/>
      <c r="AGF230" s="36"/>
      <c r="AGG230" s="36"/>
      <c r="AGH230" s="36"/>
      <c r="AGI230" s="36"/>
      <c r="AGJ230" s="36"/>
      <c r="AGK230" s="36"/>
      <c r="AGL230" s="36"/>
      <c r="AGM230" s="36"/>
      <c r="AGN230" s="36"/>
      <c r="AGO230" s="36"/>
      <c r="AGP230" s="36"/>
      <c r="AGQ230" s="36"/>
      <c r="AGR230" s="36"/>
      <c r="AGS230" s="36"/>
      <c r="AGT230" s="36"/>
      <c r="AGU230" s="36"/>
      <c r="AGV230" s="36"/>
      <c r="AGW230" s="36"/>
      <c r="AGX230" s="36"/>
      <c r="AGY230" s="36"/>
      <c r="AGZ230" s="36"/>
      <c r="AHA230" s="36"/>
      <c r="AHB230" s="36"/>
      <c r="AHC230" s="36"/>
      <c r="AHD230" s="36"/>
      <c r="AHE230" s="36"/>
      <c r="AHF230" s="36"/>
      <c r="AHG230" s="36"/>
      <c r="AHH230" s="36"/>
      <c r="AHI230" s="36"/>
      <c r="AHJ230" s="36"/>
      <c r="AHK230" s="36"/>
      <c r="AHL230" s="36"/>
      <c r="AHM230" s="36"/>
      <c r="AHN230" s="36"/>
      <c r="AHO230" s="36"/>
      <c r="AHP230" s="36"/>
      <c r="AHQ230" s="36"/>
      <c r="AHR230" s="36"/>
      <c r="AHS230" s="36"/>
      <c r="AHT230" s="36"/>
      <c r="AHU230" s="36"/>
      <c r="AHV230" s="36"/>
      <c r="AHW230" s="36"/>
      <c r="AHX230" s="36"/>
      <c r="AHY230" s="36"/>
      <c r="AHZ230" s="36"/>
      <c r="AIA230" s="36"/>
      <c r="AIB230" s="36"/>
      <c r="AIC230" s="36"/>
      <c r="AID230" s="36"/>
      <c r="AIE230" s="36"/>
      <c r="AIF230" s="36"/>
      <c r="AIG230" s="36"/>
      <c r="AIH230" s="36"/>
      <c r="AII230" s="36"/>
      <c r="AIJ230" s="36"/>
      <c r="AIK230" s="36"/>
      <c r="AIL230" s="36"/>
      <c r="AIM230" s="36"/>
      <c r="AIN230" s="36"/>
      <c r="AIO230" s="36"/>
      <c r="AIP230" s="36"/>
      <c r="AIQ230" s="36"/>
      <c r="AIR230" s="36"/>
      <c r="AIS230" s="36"/>
      <c r="AIT230" s="36"/>
      <c r="AIU230" s="36"/>
      <c r="AIV230" s="36"/>
      <c r="AIW230" s="36"/>
      <c r="AIX230" s="36"/>
      <c r="AIY230" s="36"/>
      <c r="AIZ230" s="36"/>
      <c r="AJA230" s="36"/>
      <c r="AJB230" s="36"/>
      <c r="AJC230" s="36"/>
      <c r="AJD230" s="36"/>
      <c r="AJE230" s="36"/>
      <c r="AJF230" s="36"/>
      <c r="AJG230" s="36"/>
      <c r="AJH230" s="36"/>
      <c r="AJI230" s="36"/>
      <c r="AJJ230" s="36"/>
      <c r="AJK230" s="36"/>
      <c r="AJL230" s="36"/>
      <c r="AJM230" s="36"/>
      <c r="AJN230" s="36"/>
      <c r="AJO230" s="36"/>
      <c r="AJP230" s="36"/>
      <c r="AJQ230" s="36"/>
      <c r="AJR230" s="36"/>
      <c r="AJS230" s="36"/>
      <c r="AJT230" s="36"/>
      <c r="AJU230" s="36"/>
      <c r="AJV230" s="36"/>
      <c r="AJW230" s="36"/>
      <c r="AJX230" s="36"/>
      <c r="AJY230" s="36"/>
      <c r="AJZ230" s="36"/>
      <c r="AKA230" s="36"/>
      <c r="AKB230" s="36"/>
      <c r="AKC230" s="36"/>
      <c r="AKD230" s="36"/>
      <c r="AKE230" s="36"/>
      <c r="AKF230" s="36"/>
      <c r="AKG230" s="36"/>
      <c r="AKH230" s="36"/>
      <c r="AKI230" s="36"/>
      <c r="AKJ230" s="36"/>
      <c r="AKK230" s="36"/>
      <c r="AKL230" s="36"/>
      <c r="AKM230" s="36"/>
      <c r="AKN230" s="36"/>
      <c r="AKO230" s="36"/>
      <c r="AKP230" s="36"/>
      <c r="AKQ230" s="36"/>
      <c r="AKR230" s="36"/>
      <c r="AKS230" s="36"/>
      <c r="AKT230" s="36"/>
      <c r="AKU230" s="36"/>
      <c r="AKV230" s="36"/>
      <c r="AKW230" s="36"/>
      <c r="AKX230" s="36"/>
      <c r="AKY230" s="36"/>
      <c r="AKZ230" s="36"/>
      <c r="ALA230" s="36"/>
      <c r="ALB230" s="36"/>
      <c r="ALC230" s="36"/>
      <c r="ALD230" s="36"/>
      <c r="ALE230" s="36"/>
      <c r="ALF230" s="36"/>
      <c r="ALG230" s="36"/>
      <c r="ALH230" s="36"/>
      <c r="ALI230" s="36"/>
      <c r="ALJ230" s="36"/>
      <c r="ALK230" s="36"/>
      <c r="ALL230" s="36"/>
      <c r="ALM230" s="36"/>
      <c r="ALN230" s="36"/>
      <c r="ALO230" s="36"/>
      <c r="ALP230" s="36"/>
      <c r="ALQ230" s="36"/>
      <c r="ALR230" s="36"/>
      <c r="ALS230" s="36"/>
      <c r="ALT230" s="36"/>
      <c r="ALU230" s="36"/>
      <c r="ALV230" s="36"/>
      <c r="ALW230" s="36"/>
      <c r="ALX230" s="36"/>
      <c r="ALY230" s="36"/>
      <c r="ALZ230" s="36"/>
      <c r="AMA230" s="36"/>
      <c r="AMB230" s="36"/>
      <c r="AMC230" s="36"/>
      <c r="AMD230" s="36"/>
      <c r="AME230" s="36"/>
      <c r="AMF230" s="36"/>
      <c r="AMG230" s="36"/>
      <c r="AMH230" s="36"/>
      <c r="AMI230" s="36"/>
      <c r="AMJ230" s="36"/>
      <c r="AMK230" s="36"/>
      <c r="AML230" s="36"/>
      <c r="AMM230" s="36"/>
      <c r="AMN230" s="36"/>
      <c r="AMO230" s="36"/>
      <c r="AMP230" s="36"/>
      <c r="AMQ230" s="36"/>
      <c r="AMR230" s="36"/>
      <c r="AMS230" s="36"/>
      <c r="AMT230" s="36"/>
      <c r="AMU230" s="36"/>
      <c r="AMV230" s="36"/>
      <c r="AMW230" s="36"/>
      <c r="AMX230" s="36"/>
      <c r="AMY230" s="36"/>
      <c r="AMZ230" s="36"/>
      <c r="ANA230" s="36"/>
      <c r="ANB230" s="36"/>
      <c r="ANC230" s="36"/>
      <c r="AND230" s="36"/>
      <c r="ANE230" s="36"/>
      <c r="ANF230" s="36"/>
      <c r="ANG230" s="36"/>
      <c r="ANH230" s="36"/>
      <c r="ANI230" s="36"/>
      <c r="ANJ230" s="36"/>
      <c r="ANK230" s="36"/>
      <c r="ANL230" s="36"/>
      <c r="ANM230" s="36"/>
      <c r="ANN230" s="36"/>
      <c r="ANO230" s="36"/>
      <c r="ANP230" s="36"/>
      <c r="ANQ230" s="36"/>
      <c r="ANR230" s="36"/>
      <c r="ANS230" s="36"/>
      <c r="ANT230" s="36"/>
      <c r="ANU230" s="36"/>
      <c r="ANV230" s="36"/>
      <c r="ANW230" s="36"/>
      <c r="ANX230" s="36"/>
      <c r="ANY230" s="36"/>
      <c r="ANZ230" s="36"/>
      <c r="AOA230" s="36"/>
      <c r="AOB230" s="36"/>
      <c r="AOC230" s="36"/>
      <c r="AOD230" s="36"/>
      <c r="AOE230" s="36"/>
      <c r="AOF230" s="36"/>
      <c r="AOG230" s="36"/>
      <c r="AOH230" s="36"/>
      <c r="AOI230" s="36"/>
      <c r="AOJ230" s="36"/>
      <c r="AOK230" s="36"/>
      <c r="AOL230" s="36"/>
      <c r="AOM230" s="36"/>
      <c r="AON230" s="36"/>
      <c r="AOO230" s="36"/>
      <c r="AOP230" s="36"/>
      <c r="AOQ230" s="36"/>
      <c r="AOR230" s="36"/>
      <c r="AOS230" s="36"/>
      <c r="AOT230" s="36"/>
      <c r="AOU230" s="36"/>
      <c r="AOV230" s="36"/>
      <c r="AOW230" s="36"/>
      <c r="AOX230" s="36"/>
      <c r="AOY230" s="36"/>
      <c r="AOZ230" s="36"/>
      <c r="APA230" s="36"/>
      <c r="APB230" s="36"/>
      <c r="APC230" s="36"/>
      <c r="APD230" s="36"/>
      <c r="APE230" s="36"/>
      <c r="APF230" s="36"/>
      <c r="APG230" s="36"/>
      <c r="APH230" s="36"/>
      <c r="API230" s="36"/>
      <c r="APJ230" s="36"/>
      <c r="APK230" s="36"/>
      <c r="APL230" s="36"/>
      <c r="APM230" s="36"/>
      <c r="APN230" s="36"/>
      <c r="APO230" s="36"/>
      <c r="APP230" s="36"/>
      <c r="APQ230" s="36"/>
      <c r="APR230" s="36"/>
      <c r="APS230" s="36"/>
      <c r="APT230" s="36"/>
      <c r="APU230" s="36"/>
      <c r="APV230" s="36"/>
      <c r="APW230" s="36"/>
      <c r="APX230" s="36"/>
      <c r="APY230" s="36"/>
      <c r="APZ230" s="36"/>
      <c r="AQA230" s="36"/>
      <c r="AQB230" s="36"/>
      <c r="AQC230" s="36"/>
      <c r="AQD230" s="36"/>
      <c r="AQE230" s="36"/>
      <c r="AQF230" s="36"/>
      <c r="AQG230" s="36"/>
      <c r="AQH230" s="36"/>
      <c r="AQI230" s="36"/>
      <c r="AQJ230" s="36"/>
      <c r="AQK230" s="36"/>
      <c r="AQL230" s="36"/>
      <c r="AQM230" s="36"/>
      <c r="AQN230" s="36"/>
      <c r="AQO230" s="36"/>
      <c r="AQP230" s="36"/>
      <c r="AQQ230" s="36"/>
      <c r="AQR230" s="36"/>
      <c r="AQS230" s="36"/>
      <c r="AQT230" s="36"/>
      <c r="AQU230" s="36"/>
      <c r="AQV230" s="36"/>
      <c r="AQW230" s="36"/>
      <c r="AQX230" s="36"/>
      <c r="AQY230" s="36"/>
      <c r="AQZ230" s="36"/>
      <c r="ARA230" s="36"/>
      <c r="ARB230" s="36"/>
      <c r="ARC230" s="36"/>
      <c r="ARD230" s="36"/>
      <c r="ARE230" s="36"/>
      <c r="ARF230" s="36"/>
      <c r="ARG230" s="36"/>
      <c r="ARH230" s="36"/>
      <c r="ARI230" s="36"/>
      <c r="ARJ230" s="36"/>
      <c r="ARK230" s="36"/>
      <c r="ARL230" s="36"/>
      <c r="ARM230" s="36"/>
      <c r="ARN230" s="36"/>
      <c r="ARO230" s="36"/>
      <c r="ARP230" s="36"/>
      <c r="ARQ230" s="36"/>
      <c r="ARR230" s="36"/>
      <c r="ARS230" s="36"/>
      <c r="ART230" s="36"/>
      <c r="ARU230" s="36"/>
      <c r="ARV230" s="36"/>
      <c r="ARW230" s="36"/>
      <c r="ARX230" s="36"/>
      <c r="ARY230" s="36"/>
      <c r="ARZ230" s="36"/>
      <c r="ASA230" s="36"/>
      <c r="ASB230" s="36"/>
      <c r="ASC230" s="36"/>
      <c r="ASD230" s="36"/>
      <c r="ASE230" s="36"/>
      <c r="ASF230" s="36"/>
      <c r="ASG230" s="36"/>
      <c r="ASH230" s="36"/>
      <c r="ASI230" s="36"/>
      <c r="ASJ230" s="36"/>
      <c r="ASK230" s="36"/>
      <c r="ASL230" s="36"/>
      <c r="ASM230" s="36"/>
      <c r="ASN230" s="36"/>
      <c r="ASO230" s="36"/>
      <c r="ASP230" s="36"/>
      <c r="ASQ230" s="36"/>
      <c r="ASR230" s="36"/>
      <c r="ASS230" s="36"/>
      <c r="AST230" s="36"/>
      <c r="ASU230" s="36"/>
      <c r="ASV230" s="36"/>
      <c r="ASW230" s="36"/>
      <c r="ASX230" s="36"/>
      <c r="ASY230" s="36"/>
      <c r="ASZ230" s="36"/>
      <c r="ATA230" s="36"/>
      <c r="ATB230" s="36"/>
      <c r="ATC230" s="36"/>
      <c r="ATD230" s="36"/>
      <c r="ATE230" s="36"/>
      <c r="ATF230" s="36"/>
      <c r="ATG230" s="36"/>
      <c r="ATH230" s="36"/>
      <c r="ATI230" s="36"/>
      <c r="ATJ230" s="36"/>
      <c r="ATK230" s="36"/>
      <c r="ATL230" s="36"/>
      <c r="ATM230" s="36"/>
      <c r="ATN230" s="36"/>
      <c r="ATO230" s="36"/>
      <c r="ATP230" s="36"/>
      <c r="ATQ230" s="36"/>
      <c r="ATR230" s="36"/>
      <c r="ATS230" s="36"/>
      <c r="ATT230" s="36"/>
      <c r="ATU230" s="36"/>
      <c r="ATV230" s="36"/>
      <c r="ATW230" s="36"/>
      <c r="ATX230" s="36"/>
      <c r="ATY230" s="36"/>
      <c r="ATZ230" s="36"/>
      <c r="AUA230" s="36"/>
      <c r="AUB230" s="36"/>
      <c r="AUC230" s="36"/>
      <c r="AUD230" s="36"/>
      <c r="AUE230" s="36"/>
      <c r="AUF230" s="36"/>
      <c r="AUG230" s="36"/>
      <c r="AUH230" s="36"/>
      <c r="AUI230" s="36"/>
      <c r="AUJ230" s="36"/>
      <c r="AUK230" s="36"/>
      <c r="AUL230" s="36"/>
      <c r="AUM230" s="36"/>
      <c r="AUN230" s="36"/>
      <c r="AUO230" s="36"/>
      <c r="AUP230" s="36"/>
      <c r="AUQ230" s="36"/>
      <c r="AUR230" s="36"/>
      <c r="AUS230" s="36"/>
      <c r="AUT230" s="36"/>
      <c r="AUU230" s="36"/>
      <c r="AUV230" s="36"/>
      <c r="AUW230" s="36"/>
      <c r="AUX230" s="36"/>
      <c r="AUY230" s="36"/>
      <c r="AUZ230" s="36"/>
      <c r="AVA230" s="36"/>
      <c r="AVB230" s="36"/>
      <c r="AVC230" s="36"/>
      <c r="AVD230" s="36"/>
      <c r="AVE230" s="36"/>
      <c r="AVF230" s="36"/>
      <c r="AVG230" s="36"/>
      <c r="AVH230" s="36"/>
      <c r="AVI230" s="36"/>
      <c r="AVJ230" s="36"/>
      <c r="AVK230" s="36"/>
      <c r="AVL230" s="36"/>
      <c r="AVM230" s="36"/>
      <c r="AVN230" s="36"/>
      <c r="AVO230" s="36"/>
      <c r="AVP230" s="36"/>
      <c r="AVQ230" s="36"/>
      <c r="AVR230" s="36"/>
      <c r="AVS230" s="36"/>
      <c r="AVT230" s="36"/>
      <c r="AVU230" s="36"/>
      <c r="AVV230" s="36"/>
      <c r="AVW230" s="36"/>
      <c r="AVX230" s="36"/>
      <c r="AVY230" s="36"/>
      <c r="AVZ230" s="36"/>
      <c r="AWA230" s="36"/>
      <c r="AWB230" s="36"/>
      <c r="AWC230" s="36"/>
      <c r="AWD230" s="36"/>
      <c r="AWE230" s="36"/>
      <c r="AWF230" s="36"/>
      <c r="AWG230" s="36"/>
      <c r="AWH230" s="36"/>
      <c r="AWI230" s="36"/>
      <c r="AWJ230" s="36"/>
      <c r="AWK230" s="36"/>
      <c r="AWL230" s="36"/>
      <c r="AWM230" s="36"/>
      <c r="AWN230" s="36"/>
      <c r="AWO230" s="36"/>
      <c r="AWP230" s="36"/>
      <c r="AWQ230" s="36"/>
      <c r="AWR230" s="36"/>
      <c r="AWS230" s="36"/>
      <c r="AWT230" s="36"/>
      <c r="AWU230" s="36"/>
      <c r="AWV230" s="36"/>
      <c r="AWW230" s="36"/>
      <c r="AWX230" s="36"/>
      <c r="AWY230" s="36"/>
      <c r="AWZ230" s="36"/>
      <c r="AXA230" s="36"/>
      <c r="AXB230" s="36"/>
      <c r="AXC230" s="36"/>
      <c r="AXD230" s="36"/>
      <c r="AXE230" s="36"/>
      <c r="AXF230" s="36"/>
      <c r="AXG230" s="36"/>
      <c r="AXH230" s="36"/>
      <c r="AXI230" s="36"/>
      <c r="AXJ230" s="36"/>
      <c r="AXK230" s="36"/>
      <c r="AXL230" s="36"/>
      <c r="AXM230" s="36"/>
      <c r="AXN230" s="36"/>
      <c r="AXO230" s="36"/>
      <c r="AXP230" s="36"/>
      <c r="AXQ230" s="36"/>
      <c r="AXR230" s="36"/>
      <c r="AXS230" s="36"/>
      <c r="AXT230" s="36"/>
      <c r="AXU230" s="36"/>
      <c r="AXV230" s="36"/>
      <c r="AXW230" s="36"/>
      <c r="AXX230" s="36"/>
      <c r="AXY230" s="36"/>
      <c r="AXZ230" s="36"/>
      <c r="AYA230" s="36"/>
      <c r="AYB230" s="36"/>
      <c r="AYC230" s="36"/>
      <c r="AYD230" s="36"/>
      <c r="AYE230" s="36"/>
      <c r="AYF230" s="36"/>
      <c r="AYG230" s="36"/>
      <c r="AYH230" s="36"/>
      <c r="AYI230" s="36"/>
      <c r="AYJ230" s="36"/>
      <c r="AYK230" s="36"/>
      <c r="AYL230" s="36"/>
      <c r="AYM230" s="36"/>
      <c r="AYN230" s="36"/>
      <c r="AYO230" s="36"/>
      <c r="AYP230" s="36"/>
      <c r="AYQ230" s="36"/>
      <c r="AYR230" s="36"/>
      <c r="AYS230" s="36"/>
      <c r="AYT230" s="36"/>
      <c r="AYU230" s="36"/>
      <c r="AYV230" s="36"/>
      <c r="AYW230" s="36"/>
      <c r="AYX230" s="36"/>
      <c r="AYY230" s="36"/>
      <c r="AYZ230" s="36"/>
      <c r="AZA230" s="36"/>
      <c r="AZB230" s="36"/>
      <c r="AZC230" s="36"/>
      <c r="AZD230" s="36"/>
      <c r="AZE230" s="36"/>
      <c r="AZF230" s="36"/>
      <c r="AZG230" s="36"/>
      <c r="AZH230" s="36"/>
      <c r="AZI230" s="36"/>
      <c r="AZJ230" s="36"/>
      <c r="AZK230" s="36"/>
      <c r="AZL230" s="36"/>
      <c r="AZM230" s="36"/>
      <c r="AZN230" s="36"/>
      <c r="AZO230" s="36"/>
      <c r="AZP230" s="36"/>
      <c r="AZQ230" s="36"/>
      <c r="AZR230" s="36"/>
      <c r="AZS230" s="36"/>
      <c r="AZT230" s="36"/>
      <c r="AZU230" s="36"/>
      <c r="AZV230" s="36"/>
      <c r="AZW230" s="36"/>
      <c r="AZX230" s="36"/>
      <c r="AZY230" s="36"/>
      <c r="AZZ230" s="36"/>
      <c r="BAA230" s="36"/>
      <c r="BAB230" s="36"/>
      <c r="BAC230" s="36"/>
      <c r="BAD230" s="36"/>
      <c r="BAE230" s="36"/>
      <c r="BAF230" s="36"/>
      <c r="BAG230" s="36"/>
      <c r="BAH230" s="36"/>
      <c r="BAI230" s="36"/>
      <c r="BAJ230" s="36"/>
      <c r="BAK230" s="36"/>
      <c r="BAL230" s="36"/>
      <c r="BAM230" s="36"/>
      <c r="BAN230" s="36"/>
      <c r="BAO230" s="36"/>
      <c r="BAP230" s="36"/>
      <c r="BAQ230" s="36"/>
      <c r="BAR230" s="36"/>
      <c r="BAS230" s="36"/>
      <c r="BAT230" s="36"/>
      <c r="BAU230" s="36"/>
      <c r="BAV230" s="36"/>
      <c r="BAW230" s="36"/>
      <c r="BAX230" s="36"/>
      <c r="BAY230" s="36"/>
      <c r="BAZ230" s="36"/>
      <c r="BBA230" s="36"/>
      <c r="BBB230" s="36"/>
      <c r="BBC230" s="36"/>
      <c r="BBD230" s="36"/>
      <c r="BBE230" s="36"/>
      <c r="BBF230" s="36"/>
      <c r="BBG230" s="36"/>
      <c r="BBH230" s="36"/>
      <c r="BBI230" s="36"/>
      <c r="BBJ230" s="36"/>
      <c r="BBK230" s="36"/>
      <c r="BBL230" s="36"/>
      <c r="BBM230" s="36"/>
      <c r="BBN230" s="36"/>
      <c r="BBO230" s="36"/>
      <c r="BBP230" s="36"/>
      <c r="BBQ230" s="36"/>
      <c r="BBR230" s="36"/>
      <c r="BBS230" s="36"/>
      <c r="BBT230" s="36"/>
      <c r="BBU230" s="36"/>
      <c r="BBV230" s="36"/>
      <c r="BBW230" s="36"/>
      <c r="BBX230" s="36"/>
      <c r="BBY230" s="36"/>
      <c r="BBZ230" s="36"/>
      <c r="BCA230" s="36"/>
      <c r="BCB230" s="36"/>
      <c r="BCC230" s="36"/>
      <c r="BCD230" s="36"/>
      <c r="BCE230" s="36"/>
      <c r="BCF230" s="36"/>
      <c r="BCG230" s="36"/>
      <c r="BCH230" s="36"/>
      <c r="BCI230" s="36"/>
      <c r="BCJ230" s="36"/>
      <c r="BCK230" s="36"/>
      <c r="BCL230" s="36"/>
      <c r="BCM230" s="36"/>
      <c r="BCN230" s="36"/>
      <c r="BCO230" s="36"/>
      <c r="BCP230" s="36"/>
      <c r="BCQ230" s="36"/>
      <c r="BCR230" s="36"/>
      <c r="BCS230" s="36"/>
      <c r="BCT230" s="36"/>
      <c r="BCU230" s="36"/>
      <c r="BCV230" s="36"/>
      <c r="BCW230" s="36"/>
      <c r="BCX230" s="36"/>
      <c r="BCY230" s="36"/>
      <c r="BCZ230" s="36"/>
      <c r="BDA230" s="36"/>
      <c r="BDB230" s="36"/>
      <c r="BDC230" s="36"/>
      <c r="BDD230" s="36"/>
      <c r="BDE230" s="36"/>
      <c r="BDF230" s="36"/>
      <c r="BDG230" s="36"/>
      <c r="BDH230" s="36"/>
      <c r="BDI230" s="36"/>
      <c r="BDJ230" s="36"/>
      <c r="BDK230" s="36"/>
      <c r="BDL230" s="36"/>
      <c r="BDM230" s="36"/>
      <c r="BDN230" s="36"/>
      <c r="BDO230" s="36"/>
      <c r="BDP230" s="36"/>
      <c r="BDQ230" s="36"/>
      <c r="BDR230" s="36"/>
      <c r="BDS230" s="36"/>
      <c r="BDT230" s="36"/>
      <c r="BDU230" s="36"/>
      <c r="BDV230" s="36"/>
      <c r="BDW230" s="36"/>
      <c r="BDX230" s="36"/>
      <c r="BDY230" s="36"/>
      <c r="BDZ230" s="36"/>
      <c r="BEA230" s="36"/>
      <c r="BEB230" s="36"/>
      <c r="BEC230" s="36"/>
      <c r="BED230" s="36"/>
      <c r="BEE230" s="36"/>
      <c r="BEF230" s="36"/>
      <c r="BEG230" s="36"/>
      <c r="BEH230" s="36"/>
      <c r="BEI230" s="36"/>
      <c r="BEJ230" s="36"/>
      <c r="BEK230" s="36"/>
      <c r="BEL230" s="36"/>
      <c r="BEM230" s="36"/>
      <c r="BEN230" s="36"/>
      <c r="BEO230" s="36"/>
      <c r="BEP230" s="36"/>
      <c r="BEQ230" s="36"/>
      <c r="BER230" s="36"/>
      <c r="BES230" s="36"/>
      <c r="BET230" s="36"/>
      <c r="BEU230" s="36"/>
      <c r="BEV230" s="36"/>
      <c r="BEW230" s="36"/>
      <c r="BEX230" s="36"/>
      <c r="BEY230" s="36"/>
      <c r="BEZ230" s="36"/>
      <c r="BFA230" s="36"/>
      <c r="BFB230" s="36"/>
      <c r="BFC230" s="36"/>
      <c r="BFD230" s="36"/>
      <c r="BFE230" s="36"/>
      <c r="BFF230" s="36"/>
      <c r="BFG230" s="36"/>
      <c r="BFH230" s="36"/>
      <c r="BFI230" s="36"/>
      <c r="BFJ230" s="36"/>
      <c r="BFK230" s="36"/>
      <c r="BFL230" s="36"/>
      <c r="BFM230" s="36"/>
      <c r="BFN230" s="36"/>
      <c r="BFO230" s="36"/>
      <c r="BFP230" s="36"/>
      <c r="BFQ230" s="36"/>
      <c r="BFR230" s="36"/>
      <c r="BFS230" s="36"/>
      <c r="BFT230" s="36"/>
      <c r="BFU230" s="36"/>
      <c r="BFV230" s="36"/>
      <c r="BFW230" s="36"/>
      <c r="BFX230" s="36"/>
      <c r="BFY230" s="36"/>
      <c r="BFZ230" s="36"/>
      <c r="BGA230" s="36"/>
      <c r="BGB230" s="36"/>
      <c r="BGC230" s="36"/>
      <c r="BGD230" s="36"/>
      <c r="BGE230" s="36"/>
      <c r="BGF230" s="36"/>
      <c r="BGG230" s="36"/>
      <c r="BGH230" s="36"/>
      <c r="BGI230" s="36"/>
      <c r="BGJ230" s="36"/>
      <c r="BGK230" s="36"/>
      <c r="BGL230" s="36"/>
      <c r="BGM230" s="36"/>
      <c r="BGN230" s="36"/>
      <c r="BGO230" s="36"/>
      <c r="BGP230" s="36"/>
      <c r="BGQ230" s="36"/>
      <c r="BGR230" s="36"/>
      <c r="BGS230" s="36"/>
      <c r="BGT230" s="36"/>
      <c r="BGU230" s="36"/>
      <c r="BGV230" s="36"/>
      <c r="BGW230" s="36"/>
      <c r="BGX230" s="36"/>
      <c r="BGY230" s="36"/>
      <c r="BGZ230" s="36"/>
      <c r="BHA230" s="36"/>
      <c r="BHB230" s="36"/>
      <c r="BHC230" s="36"/>
      <c r="BHD230" s="36"/>
      <c r="BHE230" s="36"/>
      <c r="BHF230" s="36"/>
      <c r="BHG230" s="36"/>
      <c r="BHH230" s="36"/>
      <c r="BHI230" s="36"/>
      <c r="BHJ230" s="36"/>
      <c r="BHK230" s="36"/>
      <c r="BHL230" s="36"/>
      <c r="BHM230" s="36"/>
      <c r="BHN230" s="36"/>
      <c r="BHO230" s="36"/>
      <c r="BHP230" s="36"/>
      <c r="BHQ230" s="36"/>
      <c r="BHR230" s="36"/>
      <c r="BHS230" s="36"/>
      <c r="BHT230" s="36"/>
      <c r="BHU230" s="36"/>
      <c r="BHV230" s="36"/>
      <c r="BHW230" s="36"/>
      <c r="BHX230" s="36"/>
      <c r="BHY230" s="36"/>
      <c r="BHZ230" s="36"/>
      <c r="BIA230" s="36"/>
      <c r="BIB230" s="36"/>
      <c r="BIC230" s="36"/>
      <c r="BID230" s="36"/>
      <c r="BIE230" s="36"/>
      <c r="BIF230" s="36"/>
      <c r="BIG230" s="36"/>
      <c r="BIH230" s="36"/>
      <c r="BII230" s="36"/>
      <c r="BIJ230" s="36"/>
      <c r="BIK230" s="36"/>
      <c r="BIL230" s="36"/>
      <c r="BIM230" s="36"/>
      <c r="BIN230" s="36"/>
      <c r="BIO230" s="36"/>
      <c r="BIP230" s="36"/>
      <c r="BIQ230" s="36"/>
      <c r="BIR230" s="36"/>
      <c r="BIS230" s="36"/>
      <c r="BIT230" s="36"/>
      <c r="BIU230" s="36"/>
      <c r="BIV230" s="36"/>
      <c r="BIW230" s="36"/>
      <c r="BIX230" s="36"/>
      <c r="BIY230" s="36"/>
      <c r="BIZ230" s="36"/>
      <c r="BJA230" s="36"/>
      <c r="BJB230" s="36"/>
      <c r="BJC230" s="36"/>
      <c r="BJD230" s="36"/>
      <c r="BJE230" s="36"/>
      <c r="BJF230" s="36"/>
      <c r="BJG230" s="36"/>
      <c r="BJH230" s="36"/>
      <c r="BJI230" s="36"/>
      <c r="BJJ230" s="36"/>
      <c r="BJK230" s="36"/>
      <c r="BJL230" s="36"/>
      <c r="BJM230" s="36"/>
      <c r="BJN230" s="36"/>
      <c r="BJO230" s="36"/>
      <c r="BJP230" s="36"/>
      <c r="BJQ230" s="36"/>
      <c r="BJR230" s="36"/>
      <c r="BJS230" s="36"/>
      <c r="BJT230" s="36"/>
      <c r="BJU230" s="36"/>
      <c r="BJV230" s="36"/>
      <c r="BJW230" s="36"/>
      <c r="BJX230" s="36"/>
      <c r="BJY230" s="36"/>
      <c r="BJZ230" s="36"/>
      <c r="BKA230" s="36"/>
      <c r="BKB230" s="36"/>
      <c r="BKC230" s="36"/>
      <c r="BKD230" s="36"/>
      <c r="BKE230" s="36"/>
      <c r="BKF230" s="36"/>
      <c r="BKG230" s="36"/>
      <c r="BKH230" s="36"/>
      <c r="BKI230" s="36"/>
      <c r="BKJ230" s="36"/>
      <c r="BKK230" s="36"/>
      <c r="BKL230" s="36"/>
      <c r="BKM230" s="36"/>
      <c r="BKN230" s="36"/>
      <c r="BKO230" s="36"/>
      <c r="BKP230" s="36"/>
      <c r="BKQ230" s="36"/>
      <c r="BKR230" s="36"/>
      <c r="BKS230" s="36"/>
      <c r="BKT230" s="36"/>
      <c r="BKU230" s="36"/>
      <c r="BKV230" s="36"/>
      <c r="BKW230" s="36"/>
      <c r="BKX230" s="36"/>
      <c r="BKY230" s="36"/>
      <c r="BKZ230" s="36"/>
      <c r="BLA230" s="36"/>
      <c r="BLB230" s="36"/>
      <c r="BLC230" s="36"/>
      <c r="BLD230" s="36"/>
      <c r="BLE230" s="36"/>
      <c r="BLF230" s="36"/>
      <c r="BLG230" s="36"/>
      <c r="BLH230" s="36"/>
      <c r="BLI230" s="36"/>
      <c r="BLJ230" s="36"/>
      <c r="BLK230" s="36"/>
      <c r="BLL230" s="36"/>
      <c r="BLM230" s="36"/>
      <c r="BLN230" s="36"/>
      <c r="BLO230" s="36"/>
      <c r="BLP230" s="36"/>
      <c r="BLQ230" s="36"/>
      <c r="BLR230" s="36"/>
      <c r="BLS230" s="36"/>
      <c r="BLT230" s="36"/>
      <c r="BLU230" s="36"/>
      <c r="BLV230" s="36"/>
      <c r="BLW230" s="36"/>
      <c r="BLX230" s="36"/>
      <c r="BLY230" s="36"/>
      <c r="BLZ230" s="36"/>
      <c r="BMA230" s="36"/>
      <c r="BMB230" s="36"/>
      <c r="BMC230" s="36"/>
      <c r="BMD230" s="36"/>
      <c r="BME230" s="36"/>
      <c r="BMF230" s="36"/>
      <c r="BMG230" s="36"/>
      <c r="BMH230" s="36"/>
      <c r="BMI230" s="36"/>
      <c r="BMJ230" s="36"/>
      <c r="BMK230" s="36"/>
      <c r="BML230" s="36"/>
      <c r="BMM230" s="36"/>
      <c r="BMN230" s="36"/>
      <c r="BMO230" s="36"/>
      <c r="BMP230" s="36"/>
      <c r="BMQ230" s="36"/>
      <c r="BMR230" s="36"/>
      <c r="BMS230" s="36"/>
      <c r="BMT230" s="36"/>
      <c r="BMU230" s="36"/>
      <c r="BMV230" s="36"/>
      <c r="BMW230" s="36"/>
      <c r="BMX230" s="36"/>
      <c r="BMY230" s="36"/>
      <c r="BMZ230" s="36"/>
      <c r="BNA230" s="36"/>
      <c r="BNB230" s="36"/>
      <c r="BNC230" s="36"/>
      <c r="BND230" s="36"/>
      <c r="BNE230" s="36"/>
      <c r="BNF230" s="36"/>
      <c r="BNG230" s="36"/>
      <c r="BNH230" s="36"/>
      <c r="BNI230" s="36"/>
      <c r="BNJ230" s="36"/>
      <c r="BNK230" s="36"/>
      <c r="BNL230" s="36"/>
      <c r="BNM230" s="36"/>
      <c r="BNN230" s="36"/>
      <c r="BNO230" s="36"/>
      <c r="BNP230" s="36"/>
      <c r="BNQ230" s="36"/>
      <c r="BNR230" s="36"/>
      <c r="BNS230" s="36"/>
      <c r="BNT230" s="36"/>
      <c r="BNU230" s="36"/>
      <c r="BNV230" s="36"/>
      <c r="BNW230" s="36"/>
      <c r="BNX230" s="36"/>
      <c r="BNY230" s="36"/>
      <c r="BNZ230" s="36"/>
      <c r="BOA230" s="36"/>
      <c r="BOB230" s="36"/>
      <c r="BOC230" s="36"/>
      <c r="BOD230" s="36"/>
      <c r="BOE230" s="36"/>
      <c r="BOF230" s="36"/>
      <c r="BOG230" s="36"/>
      <c r="BOH230" s="36"/>
      <c r="BOI230" s="36"/>
      <c r="BOJ230" s="36"/>
      <c r="BOK230" s="36"/>
      <c r="BOL230" s="36"/>
      <c r="BOM230" s="36"/>
      <c r="BON230" s="36"/>
      <c r="BOO230" s="36"/>
      <c r="BOP230" s="36"/>
      <c r="BOQ230" s="36"/>
      <c r="BOR230" s="36"/>
      <c r="BOS230" s="36"/>
      <c r="BOT230" s="36"/>
      <c r="BOU230" s="36"/>
      <c r="BOV230" s="36"/>
      <c r="BOW230" s="36"/>
      <c r="BOX230" s="36"/>
      <c r="BOY230" s="36"/>
      <c r="BOZ230" s="36"/>
      <c r="BPA230" s="36"/>
      <c r="BPB230" s="36"/>
      <c r="BPC230" s="36"/>
      <c r="BPD230" s="36"/>
      <c r="BPE230" s="36"/>
      <c r="BPF230" s="36"/>
      <c r="BPG230" s="36"/>
      <c r="BPH230" s="36"/>
      <c r="BPI230" s="36"/>
      <c r="BPJ230" s="36"/>
      <c r="BPK230" s="36"/>
      <c r="BPL230" s="36"/>
      <c r="BPM230" s="36"/>
      <c r="BPN230" s="36"/>
      <c r="BPO230" s="36"/>
      <c r="BPP230" s="36"/>
      <c r="BPQ230" s="36"/>
      <c r="BPR230" s="36"/>
      <c r="BPS230" s="36"/>
      <c r="BPT230" s="36"/>
      <c r="BPU230" s="36"/>
      <c r="BPV230" s="36"/>
      <c r="BPW230" s="36"/>
      <c r="BPX230" s="36"/>
      <c r="BPY230" s="36"/>
      <c r="BPZ230" s="36"/>
      <c r="BQA230" s="36"/>
      <c r="BQB230" s="36"/>
      <c r="BQC230" s="36"/>
      <c r="BQD230" s="36"/>
      <c r="BQE230" s="36"/>
      <c r="BQF230" s="36"/>
      <c r="BQG230" s="36"/>
      <c r="BQH230" s="36"/>
      <c r="BQI230" s="36"/>
      <c r="BQJ230" s="36"/>
      <c r="BQK230" s="36"/>
      <c r="BQL230" s="36"/>
      <c r="BQM230" s="36"/>
      <c r="BQN230" s="36"/>
      <c r="BQO230" s="36"/>
      <c r="BQP230" s="36"/>
      <c r="BQQ230" s="36"/>
      <c r="BQR230" s="36"/>
      <c r="BQS230" s="36"/>
      <c r="BQT230" s="36"/>
      <c r="BQU230" s="36"/>
      <c r="BQV230" s="36"/>
      <c r="BQW230" s="36"/>
      <c r="BQX230" s="36"/>
      <c r="BQY230" s="36"/>
      <c r="BQZ230" s="36"/>
      <c r="BRA230" s="36"/>
      <c r="BRB230" s="36"/>
      <c r="BRC230" s="36"/>
      <c r="BRD230" s="36"/>
      <c r="BRE230" s="36"/>
      <c r="BRF230" s="36"/>
      <c r="BRG230" s="36"/>
      <c r="BRH230" s="36"/>
      <c r="BRI230" s="36"/>
      <c r="BRJ230" s="36"/>
      <c r="BRK230" s="36"/>
      <c r="BRL230" s="36"/>
      <c r="BRM230" s="36"/>
      <c r="BRN230" s="36"/>
      <c r="BRO230" s="36"/>
      <c r="BRP230" s="36"/>
      <c r="BRQ230" s="36"/>
      <c r="BRR230" s="36"/>
      <c r="BRS230" s="36"/>
      <c r="BRT230" s="36"/>
      <c r="BRU230" s="36"/>
      <c r="BRV230" s="36"/>
      <c r="BRW230" s="36"/>
      <c r="BRX230" s="36"/>
      <c r="BRY230" s="36"/>
      <c r="BRZ230" s="36"/>
      <c r="BSA230" s="36"/>
      <c r="BSB230" s="36"/>
      <c r="BSC230" s="36"/>
      <c r="BSD230" s="36"/>
      <c r="BSE230" s="36"/>
      <c r="BSF230" s="36"/>
      <c r="BSG230" s="36"/>
      <c r="BSH230" s="36"/>
      <c r="BSI230" s="36"/>
      <c r="BSJ230" s="36"/>
      <c r="BSK230" s="36"/>
      <c r="BSL230" s="36"/>
      <c r="BSM230" s="36"/>
      <c r="BSN230" s="36"/>
      <c r="BSO230" s="36"/>
      <c r="BSP230" s="36"/>
      <c r="BSQ230" s="36"/>
      <c r="BSR230" s="36"/>
      <c r="BSS230" s="36"/>
      <c r="BST230" s="36"/>
      <c r="BSU230" s="36"/>
      <c r="BSV230" s="36"/>
      <c r="BSW230" s="36"/>
      <c r="BSX230" s="36"/>
      <c r="BSY230" s="36"/>
      <c r="BSZ230" s="36"/>
      <c r="BTA230" s="36"/>
      <c r="BTB230" s="36"/>
      <c r="BTC230" s="36"/>
      <c r="BTD230" s="36"/>
      <c r="BTE230" s="36"/>
      <c r="BTF230" s="36"/>
      <c r="BTG230" s="36"/>
      <c r="BTH230" s="36"/>
      <c r="BTI230" s="36"/>
      <c r="BTJ230" s="36"/>
      <c r="BTK230" s="36"/>
      <c r="BTL230" s="36"/>
      <c r="BTM230" s="36"/>
      <c r="BTN230" s="36"/>
      <c r="BTO230" s="36"/>
      <c r="BTP230" s="36"/>
      <c r="BTQ230" s="36"/>
      <c r="BTR230" s="36"/>
      <c r="BTS230" s="36"/>
      <c r="BTT230" s="36"/>
      <c r="BTU230" s="36"/>
      <c r="BTV230" s="36"/>
      <c r="BTW230" s="36"/>
      <c r="BTX230" s="36"/>
      <c r="BTY230" s="36"/>
      <c r="BTZ230" s="36"/>
      <c r="BUA230" s="36"/>
      <c r="BUB230" s="36"/>
      <c r="BUC230" s="36"/>
      <c r="BUD230" s="36"/>
      <c r="BUE230" s="36"/>
      <c r="BUF230" s="36"/>
      <c r="BUG230" s="36"/>
      <c r="BUH230" s="36"/>
      <c r="BUI230" s="36"/>
      <c r="BUJ230" s="36"/>
      <c r="BUK230" s="36"/>
      <c r="BUL230" s="36"/>
      <c r="BUM230" s="36"/>
      <c r="BUN230" s="36"/>
      <c r="BUO230" s="36"/>
      <c r="BUP230" s="36"/>
      <c r="BUQ230" s="36"/>
      <c r="BUR230" s="36"/>
      <c r="BUS230" s="36"/>
      <c r="BUT230" s="36"/>
      <c r="BUU230" s="36"/>
      <c r="BUV230" s="36"/>
      <c r="BUW230" s="36"/>
      <c r="BUX230" s="36"/>
      <c r="BUY230" s="36"/>
      <c r="BUZ230" s="36"/>
      <c r="BVA230" s="36"/>
      <c r="BVB230" s="36"/>
      <c r="BVC230" s="36"/>
      <c r="BVD230" s="36"/>
      <c r="BVE230" s="36"/>
      <c r="BVF230" s="36"/>
      <c r="BVG230" s="36"/>
      <c r="BVH230" s="36"/>
      <c r="BVI230" s="36"/>
      <c r="BVJ230" s="36"/>
      <c r="BVK230" s="36"/>
      <c r="BVL230" s="36"/>
      <c r="BVM230" s="36"/>
      <c r="BVN230" s="36"/>
      <c r="BVO230" s="36"/>
      <c r="BVP230" s="36"/>
      <c r="BVQ230" s="36"/>
      <c r="BVR230" s="36"/>
      <c r="BVS230" s="36"/>
      <c r="BVT230" s="36"/>
      <c r="BVU230" s="36"/>
      <c r="BVV230" s="36"/>
      <c r="BVW230" s="36"/>
      <c r="BVX230" s="36"/>
      <c r="BVY230" s="36"/>
      <c r="BVZ230" s="36"/>
      <c r="BWA230" s="36"/>
      <c r="BWB230" s="36"/>
      <c r="BWC230" s="36"/>
      <c r="BWD230" s="36"/>
      <c r="BWE230" s="36"/>
      <c r="BWF230" s="36"/>
      <c r="BWG230" s="36"/>
      <c r="BWH230" s="36"/>
      <c r="BWI230" s="36"/>
      <c r="BWJ230" s="36"/>
      <c r="BWK230" s="36"/>
      <c r="BWL230" s="36"/>
      <c r="BWM230" s="36"/>
      <c r="BWN230" s="36"/>
      <c r="BWO230" s="36"/>
      <c r="BWP230" s="36"/>
      <c r="BWQ230" s="36"/>
      <c r="BWR230" s="36"/>
      <c r="BWS230" s="36"/>
      <c r="BWT230" s="36"/>
      <c r="BWU230" s="36"/>
      <c r="BWV230" s="36"/>
      <c r="BWW230" s="36"/>
      <c r="BWX230" s="36"/>
      <c r="BWY230" s="36"/>
      <c r="BWZ230" s="36"/>
      <c r="BXA230" s="36"/>
      <c r="BXB230" s="36"/>
      <c r="BXC230" s="36"/>
      <c r="BXD230" s="36"/>
      <c r="BXE230" s="36"/>
      <c r="BXF230" s="36"/>
      <c r="BXG230" s="36"/>
      <c r="BXH230" s="36"/>
      <c r="BXI230" s="36"/>
      <c r="BXJ230" s="36"/>
      <c r="BXK230" s="36"/>
      <c r="BXL230" s="36"/>
      <c r="BXM230" s="36"/>
      <c r="BXN230" s="36"/>
      <c r="BXO230" s="36"/>
      <c r="BXP230" s="36"/>
      <c r="BXQ230" s="36"/>
      <c r="BXR230" s="36"/>
      <c r="BXS230" s="36"/>
      <c r="BXT230" s="36"/>
      <c r="BXU230" s="36"/>
      <c r="BXV230" s="36"/>
      <c r="BXW230" s="36"/>
      <c r="BXX230" s="36"/>
      <c r="BXY230" s="36"/>
      <c r="BXZ230" s="36"/>
      <c r="BYA230" s="36"/>
      <c r="BYB230" s="36"/>
      <c r="BYC230" s="36"/>
      <c r="BYD230" s="36"/>
      <c r="BYE230" s="36"/>
      <c r="BYF230" s="36"/>
      <c r="BYG230" s="36"/>
      <c r="BYH230" s="36"/>
      <c r="BYI230" s="36"/>
      <c r="BYJ230" s="36"/>
      <c r="BYK230" s="36"/>
      <c r="BYL230" s="36"/>
      <c r="BYM230" s="36"/>
      <c r="BYN230" s="36"/>
      <c r="BYO230" s="36"/>
      <c r="BYP230" s="36"/>
      <c r="BYQ230" s="36"/>
      <c r="BYR230" s="36"/>
      <c r="BYS230" s="36"/>
      <c r="BYT230" s="36"/>
      <c r="BYU230" s="36"/>
      <c r="BYV230" s="36"/>
      <c r="BYW230" s="36"/>
      <c r="BYX230" s="36"/>
      <c r="BYY230" s="36"/>
      <c r="BYZ230" s="36"/>
      <c r="BZA230" s="36"/>
      <c r="BZB230" s="36"/>
      <c r="BZC230" s="36"/>
      <c r="BZD230" s="36"/>
      <c r="BZE230" s="36"/>
      <c r="BZF230" s="36"/>
      <c r="BZG230" s="36"/>
      <c r="BZH230" s="36"/>
      <c r="BZI230" s="36"/>
      <c r="BZJ230" s="36"/>
      <c r="BZK230" s="36"/>
      <c r="BZL230" s="36"/>
      <c r="BZM230" s="36"/>
      <c r="BZN230" s="36"/>
      <c r="BZO230" s="36"/>
      <c r="BZP230" s="36"/>
      <c r="BZQ230" s="36"/>
      <c r="BZR230" s="36"/>
      <c r="BZS230" s="36"/>
      <c r="BZT230" s="36"/>
      <c r="BZU230" s="36"/>
      <c r="BZV230" s="36"/>
      <c r="BZW230" s="36"/>
      <c r="BZX230" s="36"/>
      <c r="BZY230" s="36"/>
      <c r="BZZ230" s="36"/>
      <c r="CAA230" s="36"/>
      <c r="CAB230" s="36"/>
      <c r="CAC230" s="36"/>
      <c r="CAD230" s="36"/>
      <c r="CAE230" s="36"/>
      <c r="CAF230" s="36"/>
      <c r="CAG230" s="36"/>
      <c r="CAH230" s="36"/>
      <c r="CAI230" s="36"/>
      <c r="CAJ230" s="36"/>
      <c r="CAK230" s="36"/>
      <c r="CAL230" s="36"/>
      <c r="CAM230" s="36"/>
      <c r="CAN230" s="36"/>
      <c r="CAO230" s="36"/>
      <c r="CAP230" s="36"/>
      <c r="CAQ230" s="36"/>
      <c r="CAR230" s="36"/>
      <c r="CAS230" s="36"/>
      <c r="CAT230" s="36"/>
      <c r="CAU230" s="36"/>
      <c r="CAV230" s="36"/>
      <c r="CAW230" s="36"/>
      <c r="CAX230" s="36"/>
      <c r="CAY230" s="36"/>
      <c r="CAZ230" s="36"/>
      <c r="CBA230" s="36"/>
      <c r="CBB230" s="36"/>
      <c r="CBC230" s="36"/>
      <c r="CBD230" s="36"/>
      <c r="CBE230" s="36"/>
      <c r="CBF230" s="36"/>
      <c r="CBG230" s="36"/>
      <c r="CBH230" s="36"/>
      <c r="CBI230" s="36"/>
      <c r="CBJ230" s="36"/>
      <c r="CBK230" s="36"/>
      <c r="CBL230" s="36"/>
      <c r="CBM230" s="36"/>
      <c r="CBN230" s="36"/>
      <c r="CBO230" s="36"/>
      <c r="CBP230" s="36"/>
      <c r="CBQ230" s="36"/>
      <c r="CBR230" s="36"/>
      <c r="CBS230" s="36"/>
      <c r="CBT230" s="36"/>
      <c r="CBU230" s="36"/>
      <c r="CBV230" s="36"/>
      <c r="CBW230" s="36"/>
      <c r="CBX230" s="36"/>
      <c r="CBY230" s="36"/>
      <c r="CBZ230" s="36"/>
      <c r="CCA230" s="36"/>
      <c r="CCB230" s="36"/>
      <c r="CCC230" s="36"/>
      <c r="CCD230" s="36"/>
      <c r="CCE230" s="36"/>
      <c r="CCF230" s="36"/>
      <c r="CCG230" s="36"/>
      <c r="CCH230" s="36"/>
      <c r="CCI230" s="36"/>
      <c r="CCJ230" s="36"/>
      <c r="CCK230" s="36"/>
      <c r="CCL230" s="36"/>
      <c r="CCM230" s="36"/>
      <c r="CCN230" s="36"/>
      <c r="CCO230" s="36"/>
      <c r="CCP230" s="36"/>
      <c r="CCQ230" s="36"/>
      <c r="CCR230" s="36"/>
      <c r="CCS230" s="36"/>
      <c r="CCT230" s="36"/>
      <c r="CCU230" s="36"/>
      <c r="CCV230" s="36"/>
      <c r="CCW230" s="36"/>
      <c r="CCX230" s="36"/>
      <c r="CCY230" s="36"/>
      <c r="CCZ230" s="36"/>
      <c r="CDA230" s="36"/>
      <c r="CDB230" s="36"/>
      <c r="CDC230" s="36"/>
      <c r="CDD230" s="36"/>
      <c r="CDE230" s="36"/>
      <c r="CDF230" s="36"/>
      <c r="CDG230" s="36"/>
      <c r="CDH230" s="36"/>
      <c r="CDI230" s="36"/>
      <c r="CDJ230" s="36"/>
      <c r="CDK230" s="36"/>
      <c r="CDL230" s="36"/>
      <c r="CDM230" s="36"/>
      <c r="CDN230" s="36"/>
      <c r="CDO230" s="36"/>
      <c r="CDP230" s="36"/>
      <c r="CDQ230" s="36"/>
      <c r="CDR230" s="36"/>
      <c r="CDS230" s="36"/>
      <c r="CDT230" s="36"/>
      <c r="CDU230" s="36"/>
      <c r="CDV230" s="36"/>
      <c r="CDW230" s="36"/>
      <c r="CDX230" s="36"/>
      <c r="CDY230" s="36"/>
      <c r="CDZ230" s="36"/>
      <c r="CEA230" s="36"/>
      <c r="CEB230" s="36"/>
      <c r="CEC230" s="36"/>
      <c r="CED230" s="36"/>
      <c r="CEE230" s="36"/>
      <c r="CEF230" s="36"/>
      <c r="CEG230" s="36"/>
      <c r="CEH230" s="36"/>
      <c r="CEI230" s="36"/>
      <c r="CEJ230" s="36"/>
      <c r="CEK230" s="36"/>
      <c r="CEL230" s="36"/>
      <c r="CEM230" s="36"/>
      <c r="CEN230" s="36"/>
      <c r="CEO230" s="36"/>
      <c r="CEP230" s="36"/>
      <c r="CEQ230" s="36"/>
      <c r="CER230" s="36"/>
      <c r="CES230" s="36"/>
      <c r="CET230" s="36"/>
      <c r="CEU230" s="36"/>
      <c r="CEV230" s="36"/>
      <c r="CEW230" s="36"/>
      <c r="CEX230" s="36"/>
      <c r="CEY230" s="36"/>
      <c r="CEZ230" s="36"/>
      <c r="CFA230" s="36"/>
      <c r="CFB230" s="36"/>
      <c r="CFC230" s="36"/>
      <c r="CFD230" s="36"/>
      <c r="CFE230" s="36"/>
      <c r="CFF230" s="36"/>
      <c r="CFG230" s="36"/>
      <c r="CFH230" s="36"/>
      <c r="CFI230" s="36"/>
      <c r="CFJ230" s="36"/>
      <c r="CFK230" s="36"/>
      <c r="CFL230" s="36"/>
      <c r="CFM230" s="36"/>
      <c r="CFN230" s="36"/>
      <c r="CFO230" s="36"/>
      <c r="CFP230" s="36"/>
      <c r="CFQ230" s="36"/>
      <c r="CFR230" s="36"/>
      <c r="CFS230" s="36"/>
      <c r="CFT230" s="36"/>
      <c r="CFU230" s="36"/>
      <c r="CFV230" s="36"/>
      <c r="CFW230" s="36"/>
      <c r="CFX230" s="36"/>
      <c r="CFY230" s="36"/>
      <c r="CFZ230" s="36"/>
      <c r="CGA230" s="36"/>
      <c r="CGB230" s="36"/>
      <c r="CGC230" s="36"/>
      <c r="CGD230" s="36"/>
      <c r="CGE230" s="36"/>
      <c r="CGF230" s="36"/>
      <c r="CGG230" s="36"/>
      <c r="CGH230" s="36"/>
      <c r="CGI230" s="36"/>
      <c r="CGJ230" s="36"/>
      <c r="CGK230" s="36"/>
      <c r="CGL230" s="36"/>
      <c r="CGM230" s="36"/>
      <c r="CGN230" s="36"/>
      <c r="CGO230" s="36"/>
      <c r="CGP230" s="36"/>
      <c r="CGQ230" s="36"/>
      <c r="CGR230" s="36"/>
      <c r="CGS230" s="36"/>
      <c r="CGT230" s="36"/>
      <c r="CGU230" s="36"/>
      <c r="CGV230" s="36"/>
      <c r="CGW230" s="36"/>
      <c r="CGX230" s="36"/>
      <c r="CGY230" s="36"/>
      <c r="CGZ230" s="36"/>
      <c r="CHA230" s="36"/>
      <c r="CHB230" s="36"/>
      <c r="CHC230" s="36"/>
      <c r="CHD230" s="36"/>
      <c r="CHE230" s="36"/>
      <c r="CHF230" s="36"/>
      <c r="CHG230" s="36"/>
      <c r="CHH230" s="36"/>
      <c r="CHI230" s="36"/>
      <c r="CHJ230" s="36"/>
      <c r="CHK230" s="36"/>
      <c r="CHL230" s="36"/>
      <c r="CHM230" s="36"/>
      <c r="CHN230" s="36"/>
      <c r="CHO230" s="36"/>
      <c r="CHP230" s="36"/>
      <c r="CHQ230" s="36"/>
      <c r="CHR230" s="36"/>
      <c r="CHS230" s="36"/>
      <c r="CHT230" s="36"/>
      <c r="CHU230" s="36"/>
      <c r="CHV230" s="36"/>
      <c r="CHW230" s="36"/>
      <c r="CHX230" s="36"/>
      <c r="CHY230" s="36"/>
      <c r="CHZ230" s="36"/>
      <c r="CIA230" s="36"/>
      <c r="CIB230" s="36"/>
      <c r="CIC230" s="36"/>
      <c r="CID230" s="36"/>
      <c r="CIE230" s="36"/>
      <c r="CIF230" s="36"/>
      <c r="CIG230" s="36"/>
      <c r="CIH230" s="36"/>
      <c r="CII230" s="36"/>
      <c r="CIJ230" s="36"/>
      <c r="CIK230" s="36"/>
      <c r="CIL230" s="36"/>
      <c r="CIM230" s="36"/>
      <c r="CIN230" s="36"/>
      <c r="CIO230" s="36"/>
      <c r="CIP230" s="36"/>
      <c r="CIQ230" s="36"/>
      <c r="CIR230" s="36"/>
      <c r="CIS230" s="36"/>
      <c r="CIT230" s="36"/>
      <c r="CIU230" s="36"/>
      <c r="CIV230" s="36"/>
      <c r="CIW230" s="36"/>
      <c r="CIX230" s="36"/>
      <c r="CIY230" s="36"/>
      <c r="CIZ230" s="36"/>
      <c r="CJA230" s="36"/>
      <c r="CJB230" s="36"/>
      <c r="CJC230" s="36"/>
      <c r="CJD230" s="36"/>
      <c r="CJE230" s="36"/>
      <c r="CJF230" s="36"/>
      <c r="CJG230" s="36"/>
      <c r="CJH230" s="36"/>
      <c r="CJI230" s="36"/>
      <c r="CJJ230" s="36"/>
      <c r="CJK230" s="36"/>
      <c r="CJL230" s="36"/>
      <c r="CJM230" s="36"/>
      <c r="CJN230" s="36"/>
      <c r="CJO230" s="36"/>
      <c r="CJP230" s="36"/>
      <c r="CJQ230" s="36"/>
      <c r="CJR230" s="36"/>
      <c r="CJS230" s="36"/>
      <c r="CJT230" s="36"/>
      <c r="CJU230" s="36"/>
      <c r="CJV230" s="36"/>
      <c r="CJW230" s="36"/>
      <c r="CJX230" s="36"/>
      <c r="CJY230" s="36"/>
      <c r="CJZ230" s="36"/>
      <c r="CKA230" s="36"/>
      <c r="CKB230" s="36"/>
      <c r="CKC230" s="36"/>
      <c r="CKD230" s="36"/>
      <c r="CKE230" s="36"/>
      <c r="CKF230" s="36"/>
      <c r="CKG230" s="36"/>
      <c r="CKH230" s="36"/>
      <c r="CKI230" s="36"/>
      <c r="CKJ230" s="36"/>
      <c r="CKK230" s="36"/>
      <c r="CKL230" s="36"/>
      <c r="CKM230" s="36"/>
      <c r="CKN230" s="36"/>
      <c r="CKO230" s="36"/>
      <c r="CKP230" s="36"/>
      <c r="CKQ230" s="36"/>
      <c r="CKR230" s="36"/>
      <c r="CKS230" s="36"/>
      <c r="CKT230" s="36"/>
      <c r="CKU230" s="36"/>
      <c r="CKV230" s="36"/>
      <c r="CKW230" s="36"/>
      <c r="CKX230" s="36"/>
      <c r="CKY230" s="36"/>
      <c r="CKZ230" s="36"/>
      <c r="CLA230" s="36"/>
      <c r="CLB230" s="36"/>
      <c r="CLC230" s="36"/>
      <c r="CLD230" s="36"/>
      <c r="CLE230" s="36"/>
      <c r="CLF230" s="36"/>
      <c r="CLG230" s="36"/>
      <c r="CLH230" s="36"/>
      <c r="CLI230" s="36"/>
      <c r="CLJ230" s="36"/>
      <c r="CLK230" s="36"/>
      <c r="CLL230" s="36"/>
      <c r="CLM230" s="36"/>
      <c r="CLN230" s="36"/>
      <c r="CLO230" s="36"/>
      <c r="CLP230" s="36"/>
      <c r="CLQ230" s="36"/>
      <c r="CLR230" s="36"/>
      <c r="CLS230" s="36"/>
      <c r="CLT230" s="36"/>
      <c r="CLU230" s="36"/>
      <c r="CLV230" s="36"/>
      <c r="CLW230" s="36"/>
      <c r="CLX230" s="36"/>
      <c r="CLY230" s="36"/>
      <c r="CLZ230" s="36"/>
      <c r="CMA230" s="36"/>
      <c r="CMB230" s="36"/>
      <c r="CMC230" s="36"/>
      <c r="CMD230" s="36"/>
      <c r="CME230" s="36"/>
      <c r="CMF230" s="36"/>
      <c r="CMG230" s="36"/>
      <c r="CMH230" s="36"/>
      <c r="CMI230" s="36"/>
      <c r="CMJ230" s="36"/>
      <c r="CMK230" s="36"/>
      <c r="CML230" s="36"/>
      <c r="CMM230" s="36"/>
      <c r="CMN230" s="36"/>
      <c r="CMO230" s="36"/>
      <c r="CMP230" s="36"/>
      <c r="CMQ230" s="36"/>
      <c r="CMR230" s="36"/>
      <c r="CMS230" s="36"/>
      <c r="CMT230" s="36"/>
      <c r="CMU230" s="36"/>
      <c r="CMV230" s="36"/>
      <c r="CMW230" s="36"/>
      <c r="CMX230" s="36"/>
      <c r="CMY230" s="36"/>
      <c r="CMZ230" s="36"/>
      <c r="CNA230" s="36"/>
      <c r="CNB230" s="36"/>
      <c r="CNC230" s="36"/>
      <c r="CND230" s="36"/>
      <c r="CNE230" s="36"/>
      <c r="CNF230" s="36"/>
      <c r="CNG230" s="36"/>
      <c r="CNH230" s="36"/>
      <c r="CNI230" s="36"/>
      <c r="CNJ230" s="36"/>
      <c r="CNK230" s="36"/>
      <c r="CNL230" s="36"/>
      <c r="CNM230" s="36"/>
      <c r="CNN230" s="36"/>
      <c r="CNO230" s="36"/>
      <c r="CNP230" s="36"/>
      <c r="CNQ230" s="36"/>
      <c r="CNR230" s="36"/>
      <c r="CNS230" s="36"/>
      <c r="CNT230" s="36"/>
      <c r="CNU230" s="36"/>
      <c r="CNV230" s="36"/>
      <c r="CNW230" s="36"/>
      <c r="CNX230" s="36"/>
      <c r="CNY230" s="36"/>
      <c r="CNZ230" s="36"/>
      <c r="COA230" s="36"/>
      <c r="COB230" s="36"/>
      <c r="COC230" s="36"/>
      <c r="COD230" s="36"/>
      <c r="COE230" s="36"/>
      <c r="COF230" s="36"/>
      <c r="COG230" s="36"/>
      <c r="COH230" s="36"/>
      <c r="COI230" s="36"/>
      <c r="COJ230" s="36"/>
      <c r="COK230" s="36"/>
      <c r="COL230" s="36"/>
      <c r="COM230" s="36"/>
      <c r="CON230" s="36"/>
      <c r="COO230" s="36"/>
      <c r="COP230" s="36"/>
      <c r="COQ230" s="36"/>
      <c r="COR230" s="36"/>
      <c r="COS230" s="36"/>
      <c r="COT230" s="36"/>
      <c r="COU230" s="36"/>
      <c r="COV230" s="36"/>
      <c r="COW230" s="36"/>
      <c r="COX230" s="36"/>
      <c r="COY230" s="36"/>
      <c r="COZ230" s="36"/>
      <c r="CPA230" s="36"/>
      <c r="CPB230" s="36"/>
      <c r="CPC230" s="36"/>
      <c r="CPD230" s="36"/>
      <c r="CPE230" s="36"/>
      <c r="CPF230" s="36"/>
      <c r="CPG230" s="36"/>
      <c r="CPH230" s="36"/>
      <c r="CPI230" s="36"/>
      <c r="CPJ230" s="36"/>
      <c r="CPK230" s="36"/>
      <c r="CPL230" s="36"/>
      <c r="CPM230" s="36"/>
      <c r="CPN230" s="36"/>
      <c r="CPO230" s="36"/>
      <c r="CPP230" s="36"/>
      <c r="CPQ230" s="36"/>
      <c r="CPR230" s="36"/>
      <c r="CPS230" s="36"/>
      <c r="CPT230" s="36"/>
      <c r="CPU230" s="36"/>
      <c r="CPV230" s="36"/>
      <c r="CPW230" s="36"/>
      <c r="CPX230" s="36"/>
      <c r="CPY230" s="36"/>
      <c r="CPZ230" s="36"/>
      <c r="CQA230" s="36"/>
      <c r="CQB230" s="36"/>
      <c r="CQC230" s="36"/>
      <c r="CQD230" s="36"/>
      <c r="CQE230" s="36"/>
      <c r="CQF230" s="36"/>
      <c r="CQG230" s="36"/>
      <c r="CQH230" s="36"/>
      <c r="CQI230" s="36"/>
      <c r="CQJ230" s="36"/>
      <c r="CQK230" s="36"/>
      <c r="CQL230" s="36"/>
      <c r="CQM230" s="36"/>
      <c r="CQN230" s="36"/>
      <c r="CQO230" s="36"/>
      <c r="CQP230" s="36"/>
      <c r="CQQ230" s="36"/>
      <c r="CQR230" s="36"/>
      <c r="CQS230" s="36"/>
      <c r="CQT230" s="36"/>
      <c r="CQU230" s="36"/>
      <c r="CQV230" s="36"/>
      <c r="CQW230" s="36"/>
      <c r="CQX230" s="36"/>
      <c r="CQY230" s="36"/>
      <c r="CQZ230" s="36"/>
      <c r="CRA230" s="36"/>
      <c r="CRB230" s="36"/>
      <c r="CRC230" s="36"/>
      <c r="CRD230" s="36"/>
      <c r="CRE230" s="36"/>
      <c r="CRF230" s="36"/>
      <c r="CRG230" s="36"/>
      <c r="CRH230" s="36"/>
      <c r="CRI230" s="36"/>
      <c r="CRJ230" s="36"/>
      <c r="CRK230" s="36"/>
      <c r="CRL230" s="36"/>
      <c r="CRM230" s="36"/>
      <c r="CRN230" s="36"/>
      <c r="CRO230" s="36"/>
      <c r="CRP230" s="36"/>
      <c r="CRQ230" s="36"/>
      <c r="CRR230" s="36"/>
      <c r="CRS230" s="36"/>
      <c r="CRT230" s="36"/>
      <c r="CRU230" s="36"/>
      <c r="CRV230" s="36"/>
      <c r="CRW230" s="36"/>
      <c r="CRX230" s="36"/>
      <c r="CRY230" s="36"/>
      <c r="CRZ230" s="36"/>
      <c r="CSA230" s="36"/>
      <c r="CSB230" s="36"/>
      <c r="CSC230" s="36"/>
      <c r="CSD230" s="36"/>
      <c r="CSE230" s="36"/>
      <c r="CSF230" s="36"/>
      <c r="CSG230" s="36"/>
      <c r="CSH230" s="36"/>
      <c r="CSI230" s="36"/>
      <c r="CSJ230" s="36"/>
      <c r="CSK230" s="36"/>
      <c r="CSL230" s="36"/>
      <c r="CSM230" s="36"/>
      <c r="CSN230" s="36"/>
      <c r="CSO230" s="36"/>
      <c r="CSP230" s="36"/>
      <c r="CSQ230" s="36"/>
      <c r="CSR230" s="36"/>
      <c r="CSS230" s="36"/>
      <c r="CST230" s="36"/>
      <c r="CSU230" s="36"/>
      <c r="CSV230" s="36"/>
      <c r="CSW230" s="36"/>
      <c r="CSX230" s="36"/>
      <c r="CSY230" s="36"/>
      <c r="CSZ230" s="36"/>
      <c r="CTA230" s="36"/>
      <c r="CTB230" s="36"/>
      <c r="CTC230" s="36"/>
      <c r="CTD230" s="36"/>
      <c r="CTE230" s="36"/>
      <c r="CTF230" s="36"/>
      <c r="CTG230" s="36"/>
      <c r="CTH230" s="36"/>
      <c r="CTI230" s="36"/>
      <c r="CTJ230" s="36"/>
      <c r="CTK230" s="36"/>
      <c r="CTL230" s="36"/>
      <c r="CTM230" s="36"/>
      <c r="CTN230" s="36"/>
      <c r="CTO230" s="36"/>
      <c r="CTP230" s="36"/>
      <c r="CTQ230" s="36"/>
      <c r="CTR230" s="36"/>
      <c r="CTS230" s="36"/>
      <c r="CTT230" s="36"/>
      <c r="CTU230" s="36"/>
      <c r="CTV230" s="36"/>
      <c r="CTW230" s="36"/>
      <c r="CTX230" s="36"/>
      <c r="CTY230" s="36"/>
      <c r="CTZ230" s="36"/>
      <c r="CUA230" s="36"/>
      <c r="CUB230" s="36"/>
      <c r="CUC230" s="36"/>
      <c r="CUD230" s="36"/>
      <c r="CUE230" s="36"/>
      <c r="CUF230" s="36"/>
      <c r="CUG230" s="36"/>
      <c r="CUH230" s="36"/>
      <c r="CUI230" s="36"/>
      <c r="CUJ230" s="36"/>
      <c r="CUK230" s="36"/>
      <c r="CUL230" s="36"/>
      <c r="CUM230" s="36"/>
      <c r="CUN230" s="36"/>
      <c r="CUO230" s="36"/>
      <c r="CUP230" s="36"/>
      <c r="CUQ230" s="36"/>
      <c r="CUR230" s="36"/>
      <c r="CUS230" s="36"/>
      <c r="CUT230" s="36"/>
      <c r="CUU230" s="36"/>
      <c r="CUV230" s="36"/>
      <c r="CUW230" s="36"/>
      <c r="CUX230" s="36"/>
      <c r="CUY230" s="36"/>
      <c r="CUZ230" s="36"/>
      <c r="CVA230" s="36"/>
      <c r="CVB230" s="36"/>
      <c r="CVC230" s="36"/>
      <c r="CVD230" s="36"/>
      <c r="CVE230" s="36"/>
      <c r="CVF230" s="36"/>
      <c r="CVG230" s="36"/>
      <c r="CVH230" s="36"/>
      <c r="CVI230" s="36"/>
      <c r="CVJ230" s="36"/>
      <c r="CVK230" s="36"/>
      <c r="CVL230" s="36"/>
      <c r="CVM230" s="36"/>
      <c r="CVN230" s="36"/>
      <c r="CVO230" s="36"/>
      <c r="CVP230" s="36"/>
      <c r="CVQ230" s="36"/>
      <c r="CVR230" s="36"/>
      <c r="CVS230" s="36"/>
      <c r="CVT230" s="36"/>
      <c r="CVU230" s="36"/>
      <c r="CVV230" s="36"/>
      <c r="CVW230" s="36"/>
      <c r="CVX230" s="36"/>
      <c r="CVY230" s="36"/>
      <c r="CVZ230" s="36"/>
      <c r="CWA230" s="36"/>
      <c r="CWB230" s="36"/>
      <c r="CWC230" s="36"/>
      <c r="CWD230" s="36"/>
      <c r="CWE230" s="36"/>
      <c r="CWF230" s="36"/>
      <c r="CWG230" s="36"/>
      <c r="CWH230" s="36"/>
      <c r="CWI230" s="36"/>
      <c r="CWJ230" s="36"/>
      <c r="CWK230" s="36"/>
      <c r="CWL230" s="36"/>
      <c r="CWM230" s="36"/>
      <c r="CWN230" s="36"/>
      <c r="CWO230" s="36"/>
      <c r="CWP230" s="36"/>
      <c r="CWQ230" s="36"/>
      <c r="CWR230" s="36"/>
      <c r="CWS230" s="36"/>
      <c r="CWT230" s="36"/>
      <c r="CWU230" s="36"/>
      <c r="CWV230" s="36"/>
      <c r="CWW230" s="36"/>
      <c r="CWX230" s="36"/>
      <c r="CWY230" s="36"/>
      <c r="CWZ230" s="36"/>
      <c r="CXA230" s="36"/>
      <c r="CXB230" s="36"/>
      <c r="CXC230" s="36"/>
      <c r="CXD230" s="36"/>
      <c r="CXE230" s="36"/>
      <c r="CXF230" s="36"/>
      <c r="CXG230" s="36"/>
      <c r="CXH230" s="36"/>
      <c r="CXI230" s="36"/>
      <c r="CXJ230" s="36"/>
      <c r="CXK230" s="36"/>
      <c r="CXL230" s="36"/>
      <c r="CXM230" s="36"/>
      <c r="CXN230" s="36"/>
      <c r="CXO230" s="36"/>
      <c r="CXP230" s="36"/>
      <c r="CXQ230" s="36"/>
      <c r="CXR230" s="36"/>
      <c r="CXS230" s="36"/>
      <c r="CXT230" s="36"/>
      <c r="CXU230" s="36"/>
      <c r="CXV230" s="36"/>
      <c r="CXW230" s="36"/>
      <c r="CXX230" s="36"/>
      <c r="CXY230" s="36"/>
      <c r="CXZ230" s="36"/>
      <c r="CYA230" s="36"/>
      <c r="CYB230" s="36"/>
      <c r="CYC230" s="36"/>
      <c r="CYD230" s="36"/>
      <c r="CYE230" s="36"/>
      <c r="CYF230" s="36"/>
      <c r="CYG230" s="36"/>
      <c r="CYH230" s="36"/>
      <c r="CYI230" s="36"/>
      <c r="CYJ230" s="36"/>
      <c r="CYK230" s="36"/>
      <c r="CYL230" s="36"/>
      <c r="CYM230" s="36"/>
      <c r="CYN230" s="36"/>
      <c r="CYO230" s="36"/>
      <c r="CYP230" s="36"/>
      <c r="CYQ230" s="36"/>
      <c r="CYR230" s="36"/>
      <c r="CYS230" s="36"/>
      <c r="CYT230" s="36"/>
      <c r="CYU230" s="36"/>
      <c r="CYV230" s="36"/>
      <c r="CYW230" s="36"/>
      <c r="CYX230" s="36"/>
      <c r="CYY230" s="36"/>
      <c r="CYZ230" s="36"/>
      <c r="CZA230" s="36"/>
      <c r="CZB230" s="36"/>
      <c r="CZC230" s="36"/>
      <c r="CZD230" s="36"/>
      <c r="CZE230" s="36"/>
      <c r="CZF230" s="36"/>
      <c r="CZG230" s="36"/>
      <c r="CZH230" s="36"/>
      <c r="CZI230" s="36"/>
      <c r="CZJ230" s="36"/>
      <c r="CZK230" s="36"/>
      <c r="CZL230" s="36"/>
      <c r="CZM230" s="36"/>
      <c r="CZN230" s="36"/>
      <c r="CZO230" s="36"/>
      <c r="CZP230" s="36"/>
      <c r="CZQ230" s="36"/>
      <c r="CZR230" s="36"/>
      <c r="CZS230" s="36"/>
      <c r="CZT230" s="36"/>
      <c r="CZU230" s="36"/>
      <c r="CZV230" s="36"/>
      <c r="CZW230" s="36"/>
      <c r="CZX230" s="36"/>
      <c r="CZY230" s="36"/>
      <c r="CZZ230" s="36"/>
      <c r="DAA230" s="36"/>
      <c r="DAB230" s="36"/>
      <c r="DAC230" s="36"/>
      <c r="DAD230" s="36"/>
      <c r="DAE230" s="36"/>
      <c r="DAF230" s="36"/>
      <c r="DAG230" s="36"/>
      <c r="DAH230" s="36"/>
      <c r="DAI230" s="36"/>
      <c r="DAJ230" s="36"/>
      <c r="DAK230" s="36"/>
      <c r="DAL230" s="36"/>
      <c r="DAM230" s="36"/>
      <c r="DAN230" s="36"/>
      <c r="DAO230" s="36"/>
      <c r="DAP230" s="36"/>
      <c r="DAQ230" s="36"/>
      <c r="DAR230" s="36"/>
      <c r="DAS230" s="36"/>
      <c r="DAT230" s="36"/>
      <c r="DAU230" s="36"/>
      <c r="DAV230" s="36"/>
      <c r="DAW230" s="36"/>
      <c r="DAX230" s="36"/>
      <c r="DAY230" s="36"/>
      <c r="DAZ230" s="36"/>
      <c r="DBA230" s="36"/>
      <c r="DBB230" s="36"/>
      <c r="DBC230" s="36"/>
      <c r="DBD230" s="36"/>
      <c r="DBE230" s="36"/>
      <c r="DBF230" s="36"/>
      <c r="DBG230" s="36"/>
      <c r="DBH230" s="36"/>
      <c r="DBI230" s="36"/>
      <c r="DBJ230" s="36"/>
      <c r="DBK230" s="36"/>
      <c r="DBL230" s="36"/>
      <c r="DBM230" s="36"/>
      <c r="DBN230" s="36"/>
      <c r="DBO230" s="36"/>
      <c r="DBP230" s="36"/>
      <c r="DBQ230" s="36"/>
      <c r="DBR230" s="36"/>
      <c r="DBS230" s="36"/>
      <c r="DBT230" s="36"/>
      <c r="DBU230" s="36"/>
      <c r="DBV230" s="36"/>
      <c r="DBW230" s="36"/>
      <c r="DBX230" s="36"/>
      <c r="DBY230" s="36"/>
      <c r="DBZ230" s="36"/>
      <c r="DCA230" s="36"/>
      <c r="DCB230" s="36"/>
      <c r="DCC230" s="36"/>
      <c r="DCD230" s="36"/>
      <c r="DCE230" s="36"/>
      <c r="DCF230" s="36"/>
      <c r="DCG230" s="36"/>
      <c r="DCH230" s="36"/>
      <c r="DCI230" s="36"/>
      <c r="DCJ230" s="36"/>
      <c r="DCK230" s="36"/>
      <c r="DCL230" s="36"/>
      <c r="DCM230" s="36"/>
      <c r="DCN230" s="36"/>
      <c r="DCO230" s="36"/>
      <c r="DCP230" s="36"/>
      <c r="DCQ230" s="36"/>
      <c r="DCR230" s="36"/>
      <c r="DCS230" s="36"/>
      <c r="DCT230" s="36"/>
      <c r="DCU230" s="36"/>
      <c r="DCV230" s="36"/>
      <c r="DCW230" s="36"/>
      <c r="DCX230" s="36"/>
      <c r="DCY230" s="36"/>
      <c r="DCZ230" s="36"/>
      <c r="DDA230" s="36"/>
      <c r="DDB230" s="36"/>
      <c r="DDC230" s="36"/>
      <c r="DDD230" s="36"/>
      <c r="DDE230" s="36"/>
      <c r="DDF230" s="36"/>
      <c r="DDG230" s="36"/>
      <c r="DDH230" s="36"/>
      <c r="DDI230" s="36"/>
      <c r="DDJ230" s="36"/>
      <c r="DDK230" s="36"/>
      <c r="DDL230" s="36"/>
      <c r="DDM230" s="36"/>
      <c r="DDN230" s="36"/>
      <c r="DDO230" s="36"/>
      <c r="DDP230" s="36"/>
      <c r="DDQ230" s="36"/>
      <c r="DDR230" s="36"/>
      <c r="DDS230" s="36"/>
      <c r="DDT230" s="36"/>
      <c r="DDU230" s="36"/>
      <c r="DDV230" s="36"/>
      <c r="DDW230" s="36"/>
      <c r="DDX230" s="36"/>
      <c r="DDY230" s="36"/>
      <c r="DDZ230" s="36"/>
      <c r="DEA230" s="36"/>
      <c r="DEB230" s="36"/>
      <c r="DEC230" s="36"/>
      <c r="DED230" s="36"/>
      <c r="DEE230" s="36"/>
      <c r="DEF230" s="36"/>
      <c r="DEG230" s="36"/>
      <c r="DEH230" s="36"/>
      <c r="DEI230" s="36"/>
      <c r="DEJ230" s="36"/>
      <c r="DEK230" s="36"/>
      <c r="DEL230" s="36"/>
      <c r="DEM230" s="36"/>
      <c r="DEN230" s="36"/>
      <c r="DEO230" s="36"/>
      <c r="DEP230" s="36"/>
      <c r="DEQ230" s="36"/>
      <c r="DER230" s="36"/>
      <c r="DES230" s="36"/>
      <c r="DET230" s="36"/>
      <c r="DEU230" s="36"/>
      <c r="DEV230" s="36"/>
      <c r="DEW230" s="36"/>
      <c r="DEX230" s="36"/>
      <c r="DEY230" s="36"/>
      <c r="DEZ230" s="36"/>
      <c r="DFA230" s="36"/>
      <c r="DFB230" s="36"/>
      <c r="DFC230" s="36"/>
      <c r="DFD230" s="36"/>
      <c r="DFE230" s="36"/>
      <c r="DFF230" s="36"/>
      <c r="DFG230" s="36"/>
      <c r="DFH230" s="36"/>
      <c r="DFI230" s="36"/>
      <c r="DFJ230" s="36"/>
      <c r="DFK230" s="36"/>
      <c r="DFL230" s="36"/>
      <c r="DFM230" s="36"/>
      <c r="DFN230" s="36"/>
      <c r="DFO230" s="36"/>
      <c r="DFP230" s="36"/>
      <c r="DFQ230" s="36"/>
      <c r="DFR230" s="36"/>
      <c r="DFS230" s="36"/>
      <c r="DFT230" s="36"/>
      <c r="DFU230" s="36"/>
      <c r="DFV230" s="36"/>
      <c r="DFW230" s="36"/>
      <c r="DFX230" s="36"/>
      <c r="DFY230" s="36"/>
      <c r="DFZ230" s="36"/>
      <c r="DGA230" s="36"/>
      <c r="DGB230" s="36"/>
      <c r="DGC230" s="36"/>
      <c r="DGD230" s="36"/>
      <c r="DGE230" s="36"/>
      <c r="DGF230" s="36"/>
      <c r="DGG230" s="36"/>
      <c r="DGH230" s="36"/>
      <c r="DGI230" s="36"/>
      <c r="DGJ230" s="36"/>
      <c r="DGK230" s="36"/>
      <c r="DGL230" s="36"/>
      <c r="DGM230" s="36"/>
      <c r="DGN230" s="36"/>
      <c r="DGO230" s="36"/>
      <c r="DGP230" s="36"/>
      <c r="DGQ230" s="36"/>
      <c r="DGR230" s="36"/>
      <c r="DGS230" s="36"/>
      <c r="DGT230" s="36"/>
      <c r="DGU230" s="36"/>
      <c r="DGV230" s="36"/>
      <c r="DGW230" s="36"/>
      <c r="DGX230" s="36"/>
      <c r="DGY230" s="36"/>
      <c r="DGZ230" s="36"/>
      <c r="DHA230" s="36"/>
      <c r="DHB230" s="36"/>
      <c r="DHC230" s="36"/>
      <c r="DHD230" s="36"/>
      <c r="DHE230" s="36"/>
      <c r="DHF230" s="36"/>
      <c r="DHG230" s="36"/>
      <c r="DHH230" s="36"/>
      <c r="DHI230" s="36"/>
      <c r="DHJ230" s="36"/>
      <c r="DHK230" s="36"/>
      <c r="DHL230" s="36"/>
      <c r="DHM230" s="36"/>
      <c r="DHN230" s="36"/>
      <c r="DHO230" s="36"/>
      <c r="DHP230" s="36"/>
      <c r="DHQ230" s="36"/>
      <c r="DHR230" s="36"/>
      <c r="DHS230" s="36"/>
      <c r="DHT230" s="36"/>
      <c r="DHU230" s="36"/>
      <c r="DHV230" s="36"/>
      <c r="DHW230" s="36"/>
      <c r="DHX230" s="36"/>
      <c r="DHY230" s="36"/>
      <c r="DHZ230" s="36"/>
      <c r="DIA230" s="36"/>
      <c r="DIB230" s="36"/>
      <c r="DIC230" s="36"/>
      <c r="DID230" s="36"/>
      <c r="DIE230" s="36"/>
      <c r="DIF230" s="36"/>
      <c r="DIG230" s="36"/>
      <c r="DIH230" s="36"/>
      <c r="DII230" s="36"/>
      <c r="DIJ230" s="36"/>
      <c r="DIK230" s="36"/>
      <c r="DIL230" s="36"/>
      <c r="DIM230" s="36"/>
      <c r="DIN230" s="36"/>
      <c r="DIO230" s="36"/>
      <c r="DIP230" s="36"/>
      <c r="DIQ230" s="36"/>
      <c r="DIR230" s="36"/>
      <c r="DIS230" s="36"/>
      <c r="DIT230" s="36"/>
      <c r="DIU230" s="36"/>
      <c r="DIV230" s="36"/>
      <c r="DIW230" s="36"/>
      <c r="DIX230" s="36"/>
      <c r="DIY230" s="36"/>
      <c r="DIZ230" s="36"/>
      <c r="DJA230" s="36"/>
      <c r="DJB230" s="36"/>
      <c r="DJC230" s="36"/>
      <c r="DJD230" s="36"/>
      <c r="DJE230" s="36"/>
      <c r="DJF230" s="36"/>
      <c r="DJG230" s="36"/>
      <c r="DJH230" s="36"/>
      <c r="DJI230" s="36"/>
      <c r="DJJ230" s="36"/>
      <c r="DJK230" s="36"/>
      <c r="DJL230" s="36"/>
      <c r="DJM230" s="36"/>
      <c r="DJN230" s="36"/>
      <c r="DJO230" s="36"/>
      <c r="DJP230" s="36"/>
      <c r="DJQ230" s="36"/>
      <c r="DJR230" s="36"/>
      <c r="DJS230" s="36"/>
      <c r="DJT230" s="36"/>
      <c r="DJU230" s="36"/>
      <c r="DJV230" s="36"/>
      <c r="DJW230" s="36"/>
      <c r="DJX230" s="36"/>
      <c r="DJY230" s="36"/>
      <c r="DJZ230" s="36"/>
      <c r="DKA230" s="36"/>
      <c r="DKB230" s="36"/>
      <c r="DKC230" s="36"/>
      <c r="DKD230" s="36"/>
      <c r="DKE230" s="36"/>
      <c r="DKF230" s="36"/>
      <c r="DKG230" s="36"/>
      <c r="DKH230" s="36"/>
      <c r="DKI230" s="36"/>
      <c r="DKJ230" s="36"/>
      <c r="DKK230" s="36"/>
      <c r="DKL230" s="36"/>
      <c r="DKM230" s="36"/>
      <c r="DKN230" s="36"/>
      <c r="DKO230" s="36"/>
      <c r="DKP230" s="36"/>
      <c r="DKQ230" s="36"/>
      <c r="DKR230" s="36"/>
      <c r="DKS230" s="36"/>
      <c r="DKT230" s="36"/>
      <c r="DKU230" s="36"/>
      <c r="DKV230" s="36"/>
      <c r="DKW230" s="36"/>
      <c r="DKX230" s="36"/>
      <c r="DKY230" s="36"/>
      <c r="DKZ230" s="36"/>
      <c r="DLA230" s="36"/>
      <c r="DLB230" s="36"/>
      <c r="DLC230" s="36"/>
      <c r="DLD230" s="36"/>
      <c r="DLE230" s="36"/>
      <c r="DLF230" s="36"/>
      <c r="DLG230" s="36"/>
      <c r="DLH230" s="36"/>
      <c r="DLI230" s="36"/>
      <c r="DLJ230" s="36"/>
      <c r="DLK230" s="36"/>
      <c r="DLL230" s="36"/>
      <c r="DLM230" s="36"/>
      <c r="DLN230" s="36"/>
      <c r="DLO230" s="36"/>
      <c r="DLP230" s="36"/>
      <c r="DLQ230" s="36"/>
      <c r="DLR230" s="36"/>
      <c r="DLS230" s="36"/>
      <c r="DLT230" s="36"/>
      <c r="DLU230" s="36"/>
      <c r="DLV230" s="36"/>
      <c r="DLW230" s="36"/>
      <c r="DLX230" s="36"/>
      <c r="DLY230" s="36"/>
      <c r="DLZ230" s="36"/>
      <c r="DMA230" s="36"/>
      <c r="DMB230" s="36"/>
      <c r="DMC230" s="36"/>
      <c r="DMD230" s="36"/>
      <c r="DME230" s="36"/>
      <c r="DMF230" s="36"/>
      <c r="DMG230" s="36"/>
      <c r="DMH230" s="36"/>
      <c r="DMI230" s="36"/>
      <c r="DMJ230" s="36"/>
      <c r="DMK230" s="36"/>
      <c r="DML230" s="36"/>
      <c r="DMM230" s="36"/>
      <c r="DMN230" s="36"/>
      <c r="DMO230" s="36"/>
      <c r="DMP230" s="36"/>
      <c r="DMQ230" s="36"/>
      <c r="DMR230" s="36"/>
      <c r="DMS230" s="36"/>
      <c r="DMT230" s="36"/>
      <c r="DMU230" s="36"/>
      <c r="DMV230" s="36"/>
      <c r="DMW230" s="36"/>
      <c r="DMX230" s="36"/>
      <c r="DMY230" s="36"/>
      <c r="DMZ230" s="36"/>
      <c r="DNA230" s="36"/>
      <c r="DNB230" s="36"/>
      <c r="DNC230" s="36"/>
      <c r="DND230" s="36"/>
      <c r="DNE230" s="36"/>
      <c r="DNF230" s="36"/>
      <c r="DNG230" s="36"/>
      <c r="DNH230" s="36"/>
      <c r="DNI230" s="36"/>
      <c r="DNJ230" s="36"/>
      <c r="DNK230" s="36"/>
      <c r="DNL230" s="36"/>
      <c r="DNM230" s="36"/>
      <c r="DNN230" s="36"/>
      <c r="DNO230" s="36"/>
      <c r="DNP230" s="36"/>
      <c r="DNQ230" s="36"/>
      <c r="DNR230" s="36"/>
      <c r="DNS230" s="36"/>
      <c r="DNT230" s="36"/>
      <c r="DNU230" s="36"/>
      <c r="DNV230" s="36"/>
      <c r="DNW230" s="36"/>
      <c r="DNX230" s="36"/>
      <c r="DNY230" s="36"/>
      <c r="DNZ230" s="36"/>
      <c r="DOA230" s="36"/>
      <c r="DOB230" s="36"/>
      <c r="DOC230" s="36"/>
      <c r="DOD230" s="36"/>
      <c r="DOE230" s="36"/>
      <c r="DOF230" s="36"/>
      <c r="DOG230" s="36"/>
      <c r="DOH230" s="36"/>
      <c r="DOI230" s="36"/>
      <c r="DOJ230" s="36"/>
      <c r="DOK230" s="36"/>
      <c r="DOL230" s="36"/>
      <c r="DOM230" s="36"/>
      <c r="DON230" s="36"/>
      <c r="DOO230" s="36"/>
      <c r="DOP230" s="36"/>
      <c r="DOQ230" s="36"/>
      <c r="DOR230" s="36"/>
      <c r="DOS230" s="36"/>
      <c r="DOT230" s="36"/>
      <c r="DOU230" s="36"/>
      <c r="DOV230" s="36"/>
      <c r="DOW230" s="36"/>
      <c r="DOX230" s="36"/>
      <c r="DOY230" s="36"/>
      <c r="DOZ230" s="36"/>
      <c r="DPA230" s="36"/>
      <c r="DPB230" s="36"/>
      <c r="DPC230" s="36"/>
      <c r="DPD230" s="36"/>
      <c r="DPE230" s="36"/>
      <c r="DPF230" s="36"/>
      <c r="DPG230" s="36"/>
      <c r="DPH230" s="36"/>
      <c r="DPI230" s="36"/>
      <c r="DPJ230" s="36"/>
      <c r="DPK230" s="36"/>
      <c r="DPL230" s="36"/>
      <c r="DPM230" s="36"/>
      <c r="DPN230" s="36"/>
      <c r="DPO230" s="36"/>
      <c r="DPP230" s="36"/>
      <c r="DPQ230" s="36"/>
      <c r="DPR230" s="36"/>
      <c r="DPS230" s="36"/>
      <c r="DPT230" s="36"/>
      <c r="DPU230" s="36"/>
      <c r="DPV230" s="36"/>
      <c r="DPW230" s="36"/>
      <c r="DPX230" s="36"/>
      <c r="DPY230" s="36"/>
      <c r="DPZ230" s="36"/>
      <c r="DQA230" s="36"/>
      <c r="DQB230" s="36"/>
      <c r="DQC230" s="36"/>
      <c r="DQD230" s="36"/>
      <c r="DQE230" s="36"/>
      <c r="DQF230" s="36"/>
      <c r="DQG230" s="36"/>
      <c r="DQH230" s="36"/>
      <c r="DQI230" s="36"/>
      <c r="DQJ230" s="36"/>
      <c r="DQK230" s="36"/>
      <c r="DQL230" s="36"/>
      <c r="DQM230" s="36"/>
      <c r="DQN230" s="36"/>
      <c r="DQO230" s="36"/>
      <c r="DQP230" s="36"/>
      <c r="DQQ230" s="36"/>
      <c r="DQR230" s="36"/>
      <c r="DQS230" s="36"/>
      <c r="DQT230" s="36"/>
      <c r="DQU230" s="36"/>
      <c r="DQV230" s="36"/>
      <c r="DQW230" s="36"/>
      <c r="DQX230" s="36"/>
      <c r="DQY230" s="36"/>
      <c r="DQZ230" s="36"/>
      <c r="DRA230" s="36"/>
      <c r="DRB230" s="36"/>
      <c r="DRC230" s="36"/>
      <c r="DRD230" s="36"/>
      <c r="DRE230" s="36"/>
      <c r="DRF230" s="36"/>
      <c r="DRG230" s="36"/>
      <c r="DRH230" s="36"/>
      <c r="DRI230" s="36"/>
      <c r="DRJ230" s="36"/>
      <c r="DRK230" s="36"/>
      <c r="DRL230" s="36"/>
      <c r="DRM230" s="36"/>
      <c r="DRN230" s="36"/>
      <c r="DRO230" s="36"/>
      <c r="DRP230" s="36"/>
      <c r="DRQ230" s="36"/>
      <c r="DRR230" s="36"/>
      <c r="DRS230" s="36"/>
      <c r="DRT230" s="36"/>
      <c r="DRU230" s="36"/>
      <c r="DRV230" s="36"/>
      <c r="DRW230" s="36"/>
      <c r="DRX230" s="36"/>
      <c r="DRY230" s="36"/>
      <c r="DRZ230" s="36"/>
      <c r="DSA230" s="36"/>
      <c r="DSB230" s="36"/>
      <c r="DSC230" s="36"/>
      <c r="DSD230" s="36"/>
      <c r="DSE230" s="36"/>
      <c r="DSF230" s="36"/>
      <c r="DSG230" s="36"/>
      <c r="DSH230" s="36"/>
      <c r="DSI230" s="36"/>
      <c r="DSJ230" s="36"/>
      <c r="DSK230" s="36"/>
      <c r="DSL230" s="36"/>
      <c r="DSM230" s="36"/>
      <c r="DSN230" s="36"/>
      <c r="DSO230" s="36"/>
      <c r="DSP230" s="36"/>
      <c r="DSQ230" s="36"/>
      <c r="DSR230" s="36"/>
      <c r="DSS230" s="36"/>
      <c r="DST230" s="36"/>
      <c r="DSU230" s="36"/>
      <c r="DSV230" s="36"/>
      <c r="DSW230" s="36"/>
      <c r="DSX230" s="36"/>
      <c r="DSY230" s="36"/>
      <c r="DSZ230" s="36"/>
      <c r="DTA230" s="36"/>
      <c r="DTB230" s="36"/>
      <c r="DTC230" s="36"/>
      <c r="DTD230" s="36"/>
      <c r="DTE230" s="36"/>
      <c r="DTF230" s="36"/>
      <c r="DTG230" s="36"/>
      <c r="DTH230" s="36"/>
      <c r="DTI230" s="36"/>
      <c r="DTJ230" s="36"/>
      <c r="DTK230" s="36"/>
      <c r="DTL230" s="36"/>
      <c r="DTM230" s="36"/>
      <c r="DTN230" s="36"/>
      <c r="DTO230" s="36"/>
      <c r="DTP230" s="36"/>
      <c r="DTQ230" s="36"/>
      <c r="DTR230" s="36"/>
      <c r="DTS230" s="36"/>
      <c r="DTT230" s="36"/>
      <c r="DTU230" s="36"/>
      <c r="DTV230" s="36"/>
      <c r="DTW230" s="36"/>
      <c r="DTX230" s="36"/>
      <c r="DTY230" s="36"/>
      <c r="DTZ230" s="36"/>
      <c r="DUA230" s="36"/>
      <c r="DUB230" s="36"/>
      <c r="DUC230" s="36"/>
      <c r="DUD230" s="36"/>
      <c r="DUE230" s="36"/>
      <c r="DUF230" s="36"/>
      <c r="DUG230" s="36"/>
      <c r="DUH230" s="36"/>
      <c r="DUI230" s="36"/>
      <c r="DUJ230" s="36"/>
      <c r="DUK230" s="36"/>
      <c r="DUL230" s="36"/>
      <c r="DUM230" s="36"/>
      <c r="DUN230" s="36"/>
      <c r="DUO230" s="36"/>
      <c r="DUP230" s="36"/>
      <c r="DUQ230" s="36"/>
      <c r="DUR230" s="36"/>
      <c r="DUS230" s="36"/>
      <c r="DUT230" s="36"/>
      <c r="DUU230" s="36"/>
      <c r="DUV230" s="36"/>
      <c r="DUW230" s="36"/>
      <c r="DUX230" s="36"/>
      <c r="DUY230" s="36"/>
      <c r="DUZ230" s="36"/>
      <c r="DVA230" s="36"/>
      <c r="DVB230" s="36"/>
      <c r="DVC230" s="36"/>
      <c r="DVD230" s="36"/>
      <c r="DVE230" s="36"/>
      <c r="DVF230" s="36"/>
      <c r="DVG230" s="36"/>
      <c r="DVH230" s="36"/>
      <c r="DVI230" s="36"/>
      <c r="DVJ230" s="36"/>
      <c r="DVK230" s="36"/>
      <c r="DVL230" s="36"/>
      <c r="DVM230" s="36"/>
      <c r="DVN230" s="36"/>
      <c r="DVO230" s="36"/>
      <c r="DVP230" s="36"/>
      <c r="DVQ230" s="36"/>
      <c r="DVR230" s="36"/>
      <c r="DVS230" s="36"/>
      <c r="DVT230" s="36"/>
      <c r="DVU230" s="36"/>
      <c r="DVV230" s="36"/>
      <c r="DVW230" s="36"/>
      <c r="DVX230" s="36"/>
      <c r="DVY230" s="36"/>
      <c r="DVZ230" s="36"/>
      <c r="DWA230" s="36"/>
      <c r="DWB230" s="36"/>
      <c r="DWC230" s="36"/>
      <c r="DWD230" s="36"/>
      <c r="DWE230" s="36"/>
      <c r="DWF230" s="36"/>
      <c r="DWG230" s="36"/>
      <c r="DWH230" s="36"/>
      <c r="DWI230" s="36"/>
      <c r="DWJ230" s="36"/>
      <c r="DWK230" s="36"/>
      <c r="DWL230" s="36"/>
      <c r="DWM230" s="36"/>
      <c r="DWN230" s="36"/>
      <c r="DWO230" s="36"/>
      <c r="DWP230" s="36"/>
      <c r="DWQ230" s="36"/>
      <c r="DWR230" s="36"/>
      <c r="DWS230" s="36"/>
      <c r="DWT230" s="36"/>
      <c r="DWU230" s="36"/>
      <c r="DWV230" s="36"/>
      <c r="DWW230" s="36"/>
      <c r="DWX230" s="36"/>
      <c r="DWY230" s="36"/>
      <c r="DWZ230" s="36"/>
      <c r="DXA230" s="36"/>
      <c r="DXB230" s="36"/>
      <c r="DXC230" s="36"/>
      <c r="DXD230" s="36"/>
      <c r="DXE230" s="36"/>
      <c r="DXF230" s="36"/>
      <c r="DXG230" s="36"/>
      <c r="DXH230" s="36"/>
      <c r="DXI230" s="36"/>
      <c r="DXJ230" s="36"/>
      <c r="DXK230" s="36"/>
      <c r="DXL230" s="36"/>
      <c r="DXM230" s="36"/>
      <c r="DXN230" s="36"/>
      <c r="DXO230" s="36"/>
      <c r="DXP230" s="36"/>
      <c r="DXQ230" s="36"/>
      <c r="DXR230" s="36"/>
      <c r="DXS230" s="36"/>
      <c r="DXT230" s="36"/>
      <c r="DXU230" s="36"/>
      <c r="DXV230" s="36"/>
      <c r="DXW230" s="36"/>
      <c r="DXX230" s="36"/>
      <c r="DXY230" s="36"/>
      <c r="DXZ230" s="36"/>
      <c r="DYA230" s="36"/>
      <c r="DYB230" s="36"/>
      <c r="DYC230" s="36"/>
      <c r="DYD230" s="36"/>
      <c r="DYE230" s="36"/>
      <c r="DYF230" s="36"/>
      <c r="DYG230" s="36"/>
      <c r="DYH230" s="36"/>
      <c r="DYI230" s="36"/>
      <c r="DYJ230" s="36"/>
      <c r="DYK230" s="36"/>
      <c r="DYL230" s="36"/>
      <c r="DYM230" s="36"/>
      <c r="DYN230" s="36"/>
      <c r="DYO230" s="36"/>
      <c r="DYP230" s="36"/>
      <c r="DYQ230" s="36"/>
      <c r="DYR230" s="36"/>
      <c r="DYS230" s="36"/>
      <c r="DYT230" s="36"/>
      <c r="DYU230" s="36"/>
      <c r="DYV230" s="36"/>
      <c r="DYW230" s="36"/>
      <c r="DYX230" s="36"/>
      <c r="DYY230" s="36"/>
      <c r="DYZ230" s="36"/>
      <c r="DZA230" s="36"/>
      <c r="DZB230" s="36"/>
      <c r="DZC230" s="36"/>
      <c r="DZD230" s="36"/>
      <c r="DZE230" s="36"/>
      <c r="DZF230" s="36"/>
      <c r="DZG230" s="36"/>
      <c r="DZH230" s="36"/>
      <c r="DZI230" s="36"/>
      <c r="DZJ230" s="36"/>
      <c r="DZK230" s="36"/>
      <c r="DZL230" s="36"/>
      <c r="DZM230" s="36"/>
      <c r="DZN230" s="36"/>
      <c r="DZO230" s="36"/>
      <c r="DZP230" s="36"/>
      <c r="DZQ230" s="36"/>
      <c r="DZR230" s="36"/>
      <c r="DZS230" s="36"/>
      <c r="DZT230" s="36"/>
      <c r="DZU230" s="36"/>
      <c r="DZV230" s="36"/>
      <c r="DZW230" s="36"/>
      <c r="DZX230" s="36"/>
      <c r="DZY230" s="36"/>
      <c r="DZZ230" s="36"/>
      <c r="EAA230" s="36"/>
      <c r="EAB230" s="36"/>
      <c r="EAC230" s="36"/>
      <c r="EAD230" s="36"/>
      <c r="EAE230" s="36"/>
      <c r="EAF230" s="36"/>
      <c r="EAG230" s="36"/>
      <c r="EAH230" s="36"/>
      <c r="EAI230" s="36"/>
      <c r="EAJ230" s="36"/>
      <c r="EAK230" s="36"/>
      <c r="EAL230" s="36"/>
      <c r="EAM230" s="36"/>
      <c r="EAN230" s="36"/>
      <c r="EAO230" s="36"/>
      <c r="EAP230" s="36"/>
      <c r="EAQ230" s="36"/>
      <c r="EAR230" s="36"/>
      <c r="EAS230" s="36"/>
      <c r="EAT230" s="36"/>
      <c r="EAU230" s="36"/>
      <c r="EAV230" s="36"/>
      <c r="EAW230" s="36"/>
      <c r="EAX230" s="36"/>
      <c r="EAY230" s="36"/>
      <c r="EAZ230" s="36"/>
      <c r="EBA230" s="36"/>
      <c r="EBB230" s="36"/>
      <c r="EBC230" s="36"/>
      <c r="EBD230" s="36"/>
      <c r="EBE230" s="36"/>
      <c r="EBF230" s="36"/>
      <c r="EBG230" s="36"/>
      <c r="EBH230" s="36"/>
      <c r="EBI230" s="36"/>
      <c r="EBJ230" s="36"/>
      <c r="EBK230" s="36"/>
      <c r="EBL230" s="36"/>
      <c r="EBM230" s="36"/>
      <c r="EBN230" s="36"/>
      <c r="EBO230" s="36"/>
      <c r="EBP230" s="36"/>
      <c r="EBQ230" s="36"/>
      <c r="EBR230" s="36"/>
      <c r="EBS230" s="36"/>
      <c r="EBT230" s="36"/>
      <c r="EBU230" s="36"/>
      <c r="EBV230" s="36"/>
      <c r="EBW230" s="36"/>
      <c r="EBX230" s="36"/>
      <c r="EBY230" s="36"/>
      <c r="EBZ230" s="36"/>
      <c r="ECA230" s="36"/>
      <c r="ECB230" s="36"/>
      <c r="ECC230" s="36"/>
      <c r="ECD230" s="36"/>
      <c r="ECE230" s="36"/>
      <c r="ECF230" s="36"/>
      <c r="ECG230" s="36"/>
      <c r="ECH230" s="36"/>
      <c r="ECI230" s="36"/>
      <c r="ECJ230" s="36"/>
      <c r="ECK230" s="36"/>
      <c r="ECL230" s="36"/>
      <c r="ECM230" s="36"/>
      <c r="ECN230" s="36"/>
      <c r="ECO230" s="36"/>
      <c r="ECP230" s="36"/>
      <c r="ECQ230" s="36"/>
      <c r="ECR230" s="36"/>
      <c r="ECS230" s="36"/>
      <c r="ECT230" s="36"/>
      <c r="ECU230" s="36"/>
      <c r="ECV230" s="36"/>
      <c r="ECW230" s="36"/>
      <c r="ECX230" s="36"/>
      <c r="ECY230" s="36"/>
      <c r="ECZ230" s="36"/>
      <c r="EDA230" s="36"/>
      <c r="EDB230" s="36"/>
      <c r="EDC230" s="36"/>
      <c r="EDD230" s="36"/>
      <c r="EDE230" s="36"/>
      <c r="EDF230" s="36"/>
      <c r="EDG230" s="36"/>
      <c r="EDH230" s="36"/>
      <c r="EDI230" s="36"/>
      <c r="EDJ230" s="36"/>
      <c r="EDK230" s="36"/>
      <c r="EDL230" s="36"/>
      <c r="EDM230" s="36"/>
      <c r="EDN230" s="36"/>
      <c r="EDO230" s="36"/>
      <c r="EDP230" s="36"/>
      <c r="EDQ230" s="36"/>
      <c r="EDR230" s="36"/>
      <c r="EDS230" s="36"/>
      <c r="EDT230" s="36"/>
      <c r="EDU230" s="36"/>
      <c r="EDV230" s="36"/>
      <c r="EDW230" s="36"/>
      <c r="EDX230" s="36"/>
      <c r="EDY230" s="36"/>
      <c r="EDZ230" s="36"/>
      <c r="EEA230" s="36"/>
      <c r="EEB230" s="36"/>
      <c r="EEC230" s="36"/>
      <c r="EED230" s="36"/>
      <c r="EEE230" s="36"/>
      <c r="EEF230" s="36"/>
      <c r="EEG230" s="36"/>
      <c r="EEH230" s="36"/>
      <c r="EEI230" s="36"/>
      <c r="EEJ230" s="36"/>
      <c r="EEK230" s="36"/>
      <c r="EEL230" s="36"/>
      <c r="EEM230" s="36"/>
      <c r="EEN230" s="36"/>
      <c r="EEO230" s="36"/>
      <c r="EEP230" s="36"/>
      <c r="EEQ230" s="36"/>
      <c r="EER230" s="36"/>
      <c r="EES230" s="36"/>
      <c r="EET230" s="36"/>
      <c r="EEU230" s="36"/>
      <c r="EEV230" s="36"/>
      <c r="EEW230" s="36"/>
      <c r="EEX230" s="36"/>
      <c r="EEY230" s="36"/>
      <c r="EEZ230" s="36"/>
      <c r="EFA230" s="36"/>
      <c r="EFB230" s="36"/>
      <c r="EFC230" s="36"/>
      <c r="EFD230" s="36"/>
      <c r="EFE230" s="36"/>
      <c r="EFF230" s="36"/>
      <c r="EFG230" s="36"/>
      <c r="EFH230" s="36"/>
      <c r="EFI230" s="36"/>
      <c r="EFJ230" s="36"/>
      <c r="EFK230" s="36"/>
      <c r="EFL230" s="36"/>
      <c r="EFM230" s="36"/>
      <c r="EFN230" s="36"/>
      <c r="EFO230" s="36"/>
      <c r="EFP230" s="36"/>
      <c r="EFQ230" s="36"/>
      <c r="EFR230" s="36"/>
      <c r="EFS230" s="36"/>
      <c r="EFT230" s="36"/>
      <c r="EFU230" s="36"/>
      <c r="EFV230" s="36"/>
      <c r="EFW230" s="36"/>
      <c r="EFX230" s="36"/>
      <c r="EFY230" s="36"/>
      <c r="EFZ230" s="36"/>
      <c r="EGA230" s="36"/>
      <c r="EGB230" s="36"/>
      <c r="EGC230" s="36"/>
      <c r="EGD230" s="36"/>
      <c r="EGE230" s="36"/>
      <c r="EGF230" s="36"/>
      <c r="EGG230" s="36"/>
      <c r="EGH230" s="36"/>
      <c r="EGI230" s="36"/>
      <c r="EGJ230" s="36"/>
      <c r="EGK230" s="36"/>
      <c r="EGL230" s="36"/>
      <c r="EGM230" s="36"/>
      <c r="EGN230" s="36"/>
      <c r="EGO230" s="36"/>
      <c r="EGP230" s="36"/>
      <c r="EGQ230" s="36"/>
      <c r="EGR230" s="36"/>
      <c r="EGS230" s="36"/>
      <c r="EGT230" s="36"/>
      <c r="EGU230" s="36"/>
      <c r="EGV230" s="36"/>
      <c r="EGW230" s="36"/>
      <c r="EGX230" s="36"/>
      <c r="EGY230" s="36"/>
      <c r="EGZ230" s="36"/>
      <c r="EHA230" s="36"/>
      <c r="EHB230" s="36"/>
      <c r="EHC230" s="36"/>
      <c r="EHD230" s="36"/>
      <c r="EHE230" s="36"/>
      <c r="EHF230" s="36"/>
      <c r="EHG230" s="36"/>
      <c r="EHH230" s="36"/>
      <c r="EHI230" s="36"/>
      <c r="EHJ230" s="36"/>
      <c r="EHK230" s="36"/>
      <c r="EHL230" s="36"/>
      <c r="EHM230" s="36"/>
      <c r="EHN230" s="36"/>
      <c r="EHO230" s="36"/>
      <c r="EHP230" s="36"/>
      <c r="EHQ230" s="36"/>
      <c r="EHR230" s="36"/>
      <c r="EHS230" s="36"/>
      <c r="EHT230" s="36"/>
      <c r="EHU230" s="36"/>
      <c r="EHV230" s="36"/>
      <c r="EHW230" s="36"/>
      <c r="EHX230" s="36"/>
      <c r="EHY230" s="36"/>
      <c r="EHZ230" s="36"/>
      <c r="EIA230" s="36"/>
      <c r="EIB230" s="36"/>
      <c r="EIC230" s="36"/>
      <c r="EID230" s="36"/>
      <c r="EIE230" s="36"/>
      <c r="EIF230" s="36"/>
      <c r="EIG230" s="36"/>
      <c r="EIH230" s="36"/>
      <c r="EII230" s="36"/>
      <c r="EIJ230" s="36"/>
      <c r="EIK230" s="36"/>
      <c r="EIL230" s="36"/>
      <c r="EIM230" s="36"/>
      <c r="EIN230" s="36"/>
      <c r="EIO230" s="36"/>
      <c r="EIP230" s="36"/>
      <c r="EIQ230" s="36"/>
      <c r="EIR230" s="36"/>
      <c r="EIS230" s="36"/>
      <c r="EIT230" s="36"/>
      <c r="EIU230" s="36"/>
      <c r="EIV230" s="36"/>
      <c r="EIW230" s="36"/>
      <c r="EIX230" s="36"/>
      <c r="EIY230" s="36"/>
      <c r="EIZ230" s="36"/>
      <c r="EJA230" s="36"/>
      <c r="EJB230" s="36"/>
      <c r="EJC230" s="36"/>
      <c r="EJD230" s="36"/>
      <c r="EJE230" s="36"/>
      <c r="EJF230" s="36"/>
      <c r="EJG230" s="36"/>
      <c r="EJH230" s="36"/>
      <c r="EJI230" s="36"/>
      <c r="EJJ230" s="36"/>
      <c r="EJK230" s="36"/>
      <c r="EJL230" s="36"/>
      <c r="EJM230" s="36"/>
      <c r="EJN230" s="36"/>
      <c r="EJO230" s="36"/>
      <c r="EJP230" s="36"/>
      <c r="EJQ230" s="36"/>
      <c r="EJR230" s="36"/>
      <c r="EJS230" s="36"/>
      <c r="EJT230" s="36"/>
      <c r="EJU230" s="36"/>
      <c r="EJV230" s="36"/>
      <c r="EJW230" s="36"/>
      <c r="EJX230" s="36"/>
      <c r="EJY230" s="36"/>
      <c r="EJZ230" s="36"/>
      <c r="EKA230" s="36"/>
      <c r="EKB230" s="36"/>
      <c r="EKC230" s="36"/>
      <c r="EKD230" s="36"/>
      <c r="EKE230" s="36"/>
      <c r="EKF230" s="36"/>
      <c r="EKG230" s="36"/>
      <c r="EKH230" s="36"/>
      <c r="EKI230" s="36"/>
      <c r="EKJ230" s="36"/>
      <c r="EKK230" s="36"/>
      <c r="EKL230" s="36"/>
      <c r="EKM230" s="36"/>
      <c r="EKN230" s="36"/>
      <c r="EKO230" s="36"/>
      <c r="EKP230" s="36"/>
      <c r="EKQ230" s="36"/>
      <c r="EKR230" s="36"/>
      <c r="EKS230" s="36"/>
      <c r="EKT230" s="36"/>
      <c r="EKU230" s="36"/>
      <c r="EKV230" s="36"/>
      <c r="EKW230" s="36"/>
      <c r="EKX230" s="36"/>
      <c r="EKY230" s="36"/>
      <c r="EKZ230" s="36"/>
      <c r="ELA230" s="36"/>
      <c r="ELB230" s="36"/>
      <c r="ELC230" s="36"/>
      <c r="ELD230" s="36"/>
      <c r="ELE230" s="36"/>
      <c r="ELF230" s="36"/>
      <c r="ELG230" s="36"/>
      <c r="ELH230" s="36"/>
      <c r="ELI230" s="36"/>
      <c r="ELJ230" s="36"/>
      <c r="ELK230" s="36"/>
      <c r="ELL230" s="36"/>
      <c r="ELM230" s="36"/>
      <c r="ELN230" s="36"/>
      <c r="ELO230" s="36"/>
      <c r="ELP230" s="36"/>
      <c r="ELQ230" s="36"/>
      <c r="ELR230" s="36"/>
      <c r="ELS230" s="36"/>
      <c r="ELT230" s="36"/>
      <c r="ELU230" s="36"/>
      <c r="ELV230" s="36"/>
      <c r="ELW230" s="36"/>
      <c r="ELX230" s="36"/>
      <c r="ELY230" s="36"/>
      <c r="ELZ230" s="36"/>
      <c r="EMA230" s="36"/>
      <c r="EMB230" s="36"/>
      <c r="EMC230" s="36"/>
      <c r="EMD230" s="36"/>
      <c r="EME230" s="36"/>
      <c r="EMF230" s="36"/>
      <c r="EMG230" s="36"/>
      <c r="EMH230" s="36"/>
      <c r="EMI230" s="36"/>
      <c r="EMJ230" s="36"/>
      <c r="EMK230" s="36"/>
      <c r="EML230" s="36"/>
      <c r="EMM230" s="36"/>
      <c r="EMN230" s="36"/>
      <c r="EMO230" s="36"/>
      <c r="EMP230" s="36"/>
      <c r="EMQ230" s="36"/>
      <c r="EMR230" s="36"/>
      <c r="EMS230" s="36"/>
      <c r="EMT230" s="36"/>
      <c r="EMU230" s="36"/>
      <c r="EMV230" s="36"/>
      <c r="EMW230" s="36"/>
      <c r="EMX230" s="36"/>
      <c r="EMY230" s="36"/>
      <c r="EMZ230" s="36"/>
      <c r="ENA230" s="36"/>
      <c r="ENB230" s="36"/>
      <c r="ENC230" s="36"/>
      <c r="END230" s="36"/>
      <c r="ENE230" s="36"/>
      <c r="ENF230" s="36"/>
      <c r="ENG230" s="36"/>
      <c r="ENH230" s="36"/>
      <c r="ENI230" s="36"/>
      <c r="ENJ230" s="36"/>
      <c r="ENK230" s="36"/>
      <c r="ENL230" s="36"/>
      <c r="ENM230" s="36"/>
      <c r="ENN230" s="36"/>
      <c r="ENO230" s="36"/>
      <c r="ENP230" s="36"/>
      <c r="ENQ230" s="36"/>
      <c r="ENR230" s="36"/>
      <c r="ENS230" s="36"/>
      <c r="ENT230" s="36"/>
      <c r="ENU230" s="36"/>
      <c r="ENV230" s="36"/>
      <c r="ENW230" s="36"/>
      <c r="ENX230" s="36"/>
      <c r="ENY230" s="36"/>
      <c r="ENZ230" s="36"/>
      <c r="EOA230" s="36"/>
      <c r="EOB230" s="36"/>
      <c r="EOC230" s="36"/>
      <c r="EOD230" s="36"/>
      <c r="EOE230" s="36"/>
      <c r="EOF230" s="36"/>
      <c r="EOG230" s="36"/>
      <c r="EOH230" s="36"/>
      <c r="EOI230" s="36"/>
      <c r="EOJ230" s="36"/>
      <c r="EOK230" s="36"/>
      <c r="EOL230" s="36"/>
      <c r="EOM230" s="36"/>
      <c r="EON230" s="36"/>
      <c r="EOO230" s="36"/>
      <c r="EOP230" s="36"/>
      <c r="EOQ230" s="36"/>
      <c r="EOR230" s="36"/>
      <c r="EOS230" s="36"/>
      <c r="EOT230" s="36"/>
      <c r="EOU230" s="36"/>
      <c r="EOV230" s="36"/>
      <c r="EOW230" s="36"/>
      <c r="EOX230" s="36"/>
      <c r="EOY230" s="36"/>
      <c r="EOZ230" s="36"/>
      <c r="EPA230" s="36"/>
      <c r="EPB230" s="36"/>
      <c r="EPC230" s="36"/>
      <c r="EPD230" s="36"/>
      <c r="EPE230" s="36"/>
      <c r="EPF230" s="36"/>
      <c r="EPG230" s="36"/>
      <c r="EPH230" s="36"/>
      <c r="EPI230" s="36"/>
      <c r="EPJ230" s="36"/>
      <c r="EPK230" s="36"/>
      <c r="EPL230" s="36"/>
      <c r="EPM230" s="36"/>
      <c r="EPN230" s="36"/>
      <c r="EPO230" s="36"/>
      <c r="EPP230" s="36"/>
      <c r="EPQ230" s="36"/>
      <c r="EPR230" s="36"/>
      <c r="EPS230" s="36"/>
      <c r="EPT230" s="36"/>
      <c r="EPU230" s="36"/>
      <c r="EPV230" s="36"/>
      <c r="EPW230" s="36"/>
      <c r="EPX230" s="36"/>
      <c r="EPY230" s="36"/>
      <c r="EPZ230" s="36"/>
      <c r="EQA230" s="36"/>
      <c r="EQB230" s="36"/>
      <c r="EQC230" s="36"/>
      <c r="EQD230" s="36"/>
      <c r="EQE230" s="36"/>
      <c r="EQF230" s="36"/>
      <c r="EQG230" s="36"/>
      <c r="EQH230" s="36"/>
      <c r="EQI230" s="36"/>
      <c r="EQJ230" s="36"/>
      <c r="EQK230" s="36"/>
      <c r="EQL230" s="36"/>
      <c r="EQM230" s="36"/>
      <c r="EQN230" s="36"/>
      <c r="EQO230" s="36"/>
      <c r="EQP230" s="36"/>
      <c r="EQQ230" s="36"/>
      <c r="EQR230" s="36"/>
      <c r="EQS230" s="36"/>
      <c r="EQT230" s="36"/>
      <c r="EQU230" s="36"/>
      <c r="EQV230" s="36"/>
      <c r="EQW230" s="36"/>
      <c r="EQX230" s="36"/>
      <c r="EQY230" s="36"/>
      <c r="EQZ230" s="36"/>
      <c r="ERA230" s="36"/>
      <c r="ERB230" s="36"/>
      <c r="ERC230" s="36"/>
      <c r="ERD230" s="36"/>
      <c r="ERE230" s="36"/>
      <c r="ERF230" s="36"/>
      <c r="ERG230" s="36"/>
      <c r="ERH230" s="36"/>
      <c r="ERI230" s="36"/>
      <c r="ERJ230" s="36"/>
      <c r="ERK230" s="36"/>
      <c r="ERL230" s="36"/>
      <c r="ERM230" s="36"/>
      <c r="ERN230" s="36"/>
      <c r="ERO230" s="36"/>
      <c r="ERP230" s="36"/>
      <c r="ERQ230" s="36"/>
      <c r="ERR230" s="36"/>
      <c r="ERS230" s="36"/>
      <c r="ERT230" s="36"/>
      <c r="ERU230" s="36"/>
      <c r="ERV230" s="36"/>
      <c r="ERW230" s="36"/>
      <c r="ERX230" s="36"/>
      <c r="ERY230" s="36"/>
      <c r="ERZ230" s="36"/>
      <c r="ESA230" s="36"/>
      <c r="ESB230" s="36"/>
      <c r="ESC230" s="36"/>
      <c r="ESD230" s="36"/>
      <c r="ESE230" s="36"/>
      <c r="ESF230" s="36"/>
      <c r="ESG230" s="36"/>
      <c r="ESH230" s="36"/>
      <c r="ESI230" s="36"/>
      <c r="ESJ230" s="36"/>
      <c r="ESK230" s="36"/>
      <c r="ESL230" s="36"/>
      <c r="ESM230" s="36"/>
      <c r="ESN230" s="36"/>
      <c r="ESO230" s="36"/>
      <c r="ESP230" s="36"/>
      <c r="ESQ230" s="36"/>
      <c r="ESR230" s="36"/>
      <c r="ESS230" s="36"/>
      <c r="EST230" s="36"/>
      <c r="ESU230" s="36"/>
      <c r="ESV230" s="36"/>
      <c r="ESW230" s="36"/>
      <c r="ESX230" s="36"/>
      <c r="ESY230" s="36"/>
      <c r="ESZ230" s="36"/>
      <c r="ETA230" s="36"/>
      <c r="ETB230" s="36"/>
      <c r="ETC230" s="36"/>
      <c r="ETD230" s="36"/>
      <c r="ETE230" s="36"/>
      <c r="ETF230" s="36"/>
      <c r="ETG230" s="36"/>
      <c r="ETH230" s="36"/>
      <c r="ETI230" s="36"/>
      <c r="ETJ230" s="36"/>
      <c r="ETK230" s="36"/>
      <c r="ETL230" s="36"/>
      <c r="ETM230" s="36"/>
      <c r="ETN230" s="36"/>
      <c r="ETO230" s="36"/>
      <c r="ETP230" s="36"/>
      <c r="ETQ230" s="36"/>
      <c r="ETR230" s="36"/>
      <c r="ETS230" s="36"/>
      <c r="ETT230" s="36"/>
      <c r="ETU230" s="36"/>
      <c r="ETV230" s="36"/>
      <c r="ETW230" s="36"/>
      <c r="ETX230" s="36"/>
      <c r="ETY230" s="36"/>
      <c r="ETZ230" s="36"/>
      <c r="EUA230" s="36"/>
      <c r="EUB230" s="36"/>
      <c r="EUC230" s="36"/>
      <c r="EUD230" s="36"/>
      <c r="EUE230" s="36"/>
      <c r="EUF230" s="36"/>
      <c r="EUG230" s="36"/>
      <c r="EUH230" s="36"/>
      <c r="EUI230" s="36"/>
      <c r="EUJ230" s="36"/>
      <c r="EUK230" s="36"/>
      <c r="EUL230" s="36"/>
      <c r="EUM230" s="36"/>
      <c r="EUN230" s="36"/>
      <c r="EUO230" s="36"/>
      <c r="EUP230" s="36"/>
      <c r="EUQ230" s="36"/>
      <c r="EUR230" s="36"/>
      <c r="EUS230" s="36"/>
      <c r="EUT230" s="36"/>
      <c r="EUU230" s="36"/>
      <c r="EUV230" s="36"/>
      <c r="EUW230" s="36"/>
      <c r="EUX230" s="36"/>
      <c r="EUY230" s="36"/>
      <c r="EUZ230" s="36"/>
      <c r="EVA230" s="36"/>
      <c r="EVB230" s="36"/>
      <c r="EVC230" s="36"/>
      <c r="EVD230" s="36"/>
      <c r="EVE230" s="36"/>
      <c r="EVF230" s="36"/>
      <c r="EVG230" s="36"/>
      <c r="EVH230" s="36"/>
      <c r="EVI230" s="36"/>
      <c r="EVJ230" s="36"/>
      <c r="EVK230" s="36"/>
      <c r="EVL230" s="36"/>
      <c r="EVM230" s="36"/>
      <c r="EVN230" s="36"/>
      <c r="EVO230" s="36"/>
      <c r="EVP230" s="36"/>
      <c r="EVQ230" s="36"/>
      <c r="EVR230" s="36"/>
      <c r="EVS230" s="36"/>
      <c r="EVT230" s="36"/>
      <c r="EVU230" s="36"/>
      <c r="EVV230" s="36"/>
      <c r="EVW230" s="36"/>
      <c r="EVX230" s="36"/>
      <c r="EVY230" s="36"/>
      <c r="EVZ230" s="36"/>
      <c r="EWA230" s="36"/>
      <c r="EWB230" s="36"/>
      <c r="EWC230" s="36"/>
      <c r="EWD230" s="36"/>
      <c r="EWE230" s="36"/>
      <c r="EWF230" s="36"/>
      <c r="EWG230" s="36"/>
      <c r="EWH230" s="36"/>
      <c r="EWI230" s="36"/>
      <c r="EWJ230" s="36"/>
      <c r="EWK230" s="36"/>
      <c r="EWL230" s="36"/>
      <c r="EWM230" s="36"/>
      <c r="EWN230" s="36"/>
      <c r="EWO230" s="36"/>
      <c r="EWP230" s="36"/>
      <c r="EWQ230" s="36"/>
      <c r="EWR230" s="36"/>
      <c r="EWS230" s="36"/>
      <c r="EWT230" s="36"/>
      <c r="EWU230" s="36"/>
      <c r="EWV230" s="36"/>
      <c r="EWW230" s="36"/>
      <c r="EWX230" s="36"/>
      <c r="EWY230" s="36"/>
      <c r="EWZ230" s="36"/>
      <c r="EXA230" s="36"/>
      <c r="EXB230" s="36"/>
      <c r="EXC230" s="36"/>
      <c r="EXD230" s="36"/>
      <c r="EXE230" s="36"/>
      <c r="EXF230" s="36"/>
      <c r="EXG230" s="36"/>
      <c r="EXH230" s="36"/>
      <c r="EXI230" s="36"/>
      <c r="EXJ230" s="36"/>
      <c r="EXK230" s="36"/>
      <c r="EXL230" s="36"/>
      <c r="EXM230" s="36"/>
      <c r="EXN230" s="36"/>
      <c r="EXO230" s="36"/>
      <c r="EXP230" s="36"/>
      <c r="EXQ230" s="36"/>
      <c r="EXR230" s="36"/>
      <c r="EXS230" s="36"/>
      <c r="EXT230" s="36"/>
      <c r="EXU230" s="36"/>
      <c r="EXV230" s="36"/>
      <c r="EXW230" s="36"/>
      <c r="EXX230" s="36"/>
      <c r="EXY230" s="36"/>
      <c r="EXZ230" s="36"/>
      <c r="EYA230" s="36"/>
      <c r="EYB230" s="36"/>
      <c r="EYC230" s="36"/>
      <c r="EYD230" s="36"/>
      <c r="EYE230" s="36"/>
      <c r="EYF230" s="36"/>
      <c r="EYG230" s="36"/>
      <c r="EYH230" s="36"/>
      <c r="EYI230" s="36"/>
      <c r="EYJ230" s="36"/>
      <c r="EYK230" s="36"/>
      <c r="EYL230" s="36"/>
      <c r="EYM230" s="36"/>
      <c r="EYN230" s="36"/>
      <c r="EYO230" s="36"/>
      <c r="EYP230" s="36"/>
      <c r="EYQ230" s="36"/>
      <c r="EYR230" s="36"/>
      <c r="EYS230" s="36"/>
      <c r="EYT230" s="36"/>
      <c r="EYU230" s="36"/>
      <c r="EYV230" s="36"/>
      <c r="EYW230" s="36"/>
      <c r="EYX230" s="36"/>
      <c r="EYY230" s="36"/>
      <c r="EYZ230" s="36"/>
      <c r="EZA230" s="36"/>
      <c r="EZB230" s="36"/>
      <c r="EZC230" s="36"/>
      <c r="EZD230" s="36"/>
      <c r="EZE230" s="36"/>
      <c r="EZF230" s="36"/>
      <c r="EZG230" s="36"/>
      <c r="EZH230" s="36"/>
      <c r="EZI230" s="36"/>
      <c r="EZJ230" s="36"/>
      <c r="EZK230" s="36"/>
      <c r="EZL230" s="36"/>
      <c r="EZM230" s="36"/>
      <c r="EZN230" s="36"/>
      <c r="EZO230" s="36"/>
      <c r="EZP230" s="36"/>
      <c r="EZQ230" s="36"/>
      <c r="EZR230" s="36"/>
      <c r="EZS230" s="36"/>
      <c r="EZT230" s="36"/>
      <c r="EZU230" s="36"/>
      <c r="EZV230" s="36"/>
      <c r="EZW230" s="36"/>
      <c r="EZX230" s="36"/>
      <c r="EZY230" s="36"/>
      <c r="EZZ230" s="36"/>
      <c r="FAA230" s="36"/>
      <c r="FAB230" s="36"/>
      <c r="FAC230" s="36"/>
      <c r="FAD230" s="36"/>
      <c r="FAE230" s="36"/>
      <c r="FAF230" s="36"/>
      <c r="FAG230" s="36"/>
      <c r="FAH230" s="36"/>
      <c r="FAI230" s="36"/>
      <c r="FAJ230" s="36"/>
      <c r="FAK230" s="36"/>
      <c r="FAL230" s="36"/>
      <c r="FAM230" s="36"/>
      <c r="FAN230" s="36"/>
      <c r="FAO230" s="36"/>
      <c r="FAP230" s="36"/>
      <c r="FAQ230" s="36"/>
      <c r="FAR230" s="36"/>
      <c r="FAS230" s="36"/>
      <c r="FAT230" s="36"/>
      <c r="FAU230" s="36"/>
      <c r="FAV230" s="36"/>
      <c r="FAW230" s="36"/>
      <c r="FAX230" s="36"/>
      <c r="FAY230" s="36"/>
      <c r="FAZ230" s="36"/>
      <c r="FBA230" s="36"/>
      <c r="FBB230" s="36"/>
      <c r="FBC230" s="36"/>
      <c r="FBD230" s="36"/>
      <c r="FBE230" s="36"/>
      <c r="FBF230" s="36"/>
      <c r="FBG230" s="36"/>
      <c r="FBH230" s="36"/>
      <c r="FBI230" s="36"/>
      <c r="FBJ230" s="36"/>
      <c r="FBK230" s="36"/>
      <c r="FBL230" s="36"/>
      <c r="FBM230" s="36"/>
      <c r="FBN230" s="36"/>
      <c r="FBO230" s="36"/>
      <c r="FBP230" s="36"/>
      <c r="FBQ230" s="36"/>
      <c r="FBR230" s="36"/>
      <c r="FBS230" s="36"/>
      <c r="FBT230" s="36"/>
      <c r="FBU230" s="36"/>
      <c r="FBV230" s="36"/>
      <c r="FBW230" s="36"/>
      <c r="FBX230" s="36"/>
      <c r="FBY230" s="36"/>
      <c r="FBZ230" s="36"/>
      <c r="FCA230" s="36"/>
      <c r="FCB230" s="36"/>
      <c r="FCC230" s="36"/>
      <c r="FCD230" s="36"/>
      <c r="FCE230" s="36"/>
      <c r="FCF230" s="36"/>
      <c r="FCG230" s="36"/>
      <c r="FCH230" s="36"/>
      <c r="FCI230" s="36"/>
      <c r="FCJ230" s="36"/>
      <c r="FCK230" s="36"/>
      <c r="FCL230" s="36"/>
      <c r="FCM230" s="36"/>
      <c r="FCN230" s="36"/>
      <c r="FCO230" s="36"/>
      <c r="FCP230" s="36"/>
      <c r="FCQ230" s="36"/>
      <c r="FCR230" s="36"/>
      <c r="FCS230" s="36"/>
      <c r="FCT230" s="36"/>
      <c r="FCU230" s="36"/>
      <c r="FCV230" s="36"/>
      <c r="FCW230" s="36"/>
      <c r="FCX230" s="36"/>
      <c r="FCY230" s="36"/>
      <c r="FCZ230" s="36"/>
      <c r="FDA230" s="36"/>
      <c r="FDB230" s="36"/>
      <c r="FDC230" s="36"/>
      <c r="FDD230" s="36"/>
      <c r="FDE230" s="36"/>
      <c r="FDF230" s="36"/>
      <c r="FDG230" s="36"/>
      <c r="FDH230" s="36"/>
      <c r="FDI230" s="36"/>
      <c r="FDJ230" s="36"/>
      <c r="FDK230" s="36"/>
      <c r="FDL230" s="36"/>
      <c r="FDM230" s="36"/>
      <c r="FDN230" s="36"/>
      <c r="FDO230" s="36"/>
      <c r="FDP230" s="36"/>
      <c r="FDQ230" s="36"/>
      <c r="FDR230" s="36"/>
      <c r="FDS230" s="36"/>
      <c r="FDT230" s="36"/>
      <c r="FDU230" s="36"/>
      <c r="FDV230" s="36"/>
      <c r="FDW230" s="36"/>
      <c r="FDX230" s="36"/>
      <c r="FDY230" s="36"/>
      <c r="FDZ230" s="36"/>
      <c r="FEA230" s="36"/>
      <c r="FEB230" s="36"/>
      <c r="FEC230" s="36"/>
      <c r="FED230" s="36"/>
      <c r="FEE230" s="36"/>
      <c r="FEF230" s="36"/>
      <c r="FEG230" s="36"/>
      <c r="FEH230" s="36"/>
      <c r="FEI230" s="36"/>
      <c r="FEJ230" s="36"/>
      <c r="FEK230" s="36"/>
      <c r="FEL230" s="36"/>
      <c r="FEM230" s="36"/>
      <c r="FEN230" s="36"/>
      <c r="FEO230" s="36"/>
      <c r="FEP230" s="36"/>
      <c r="FEQ230" s="36"/>
      <c r="FER230" s="36"/>
      <c r="FES230" s="36"/>
      <c r="FET230" s="36"/>
      <c r="FEU230" s="36"/>
      <c r="FEV230" s="36"/>
      <c r="FEW230" s="36"/>
      <c r="FEX230" s="36"/>
      <c r="FEY230" s="36"/>
      <c r="FEZ230" s="36"/>
      <c r="FFA230" s="36"/>
      <c r="FFB230" s="36"/>
      <c r="FFC230" s="36"/>
      <c r="FFD230" s="36"/>
      <c r="FFE230" s="36"/>
      <c r="FFF230" s="36"/>
      <c r="FFG230" s="36"/>
      <c r="FFH230" s="36"/>
      <c r="FFI230" s="36"/>
      <c r="FFJ230" s="36"/>
      <c r="FFK230" s="36"/>
      <c r="FFL230" s="36"/>
      <c r="FFM230" s="36"/>
      <c r="FFN230" s="36"/>
      <c r="FFO230" s="36"/>
      <c r="FFP230" s="36"/>
      <c r="FFQ230" s="36"/>
      <c r="FFR230" s="36"/>
      <c r="FFS230" s="36"/>
      <c r="FFT230" s="36"/>
      <c r="FFU230" s="36"/>
      <c r="FFV230" s="36"/>
      <c r="FFW230" s="36"/>
      <c r="FFX230" s="36"/>
      <c r="FFY230" s="36"/>
      <c r="FFZ230" s="36"/>
      <c r="FGA230" s="36"/>
      <c r="FGB230" s="36"/>
      <c r="FGC230" s="36"/>
      <c r="FGD230" s="36"/>
      <c r="FGE230" s="36"/>
      <c r="FGF230" s="36"/>
      <c r="FGG230" s="36"/>
      <c r="FGH230" s="36"/>
      <c r="FGI230" s="36"/>
      <c r="FGJ230" s="36"/>
      <c r="FGK230" s="36"/>
      <c r="FGL230" s="36"/>
      <c r="FGM230" s="36"/>
      <c r="FGN230" s="36"/>
      <c r="FGO230" s="36"/>
      <c r="FGP230" s="36"/>
      <c r="FGQ230" s="36"/>
      <c r="FGR230" s="36"/>
      <c r="FGS230" s="36"/>
      <c r="FGT230" s="36"/>
      <c r="FGU230" s="36"/>
      <c r="FGV230" s="36"/>
      <c r="FGW230" s="36"/>
      <c r="FGX230" s="36"/>
      <c r="FGY230" s="36"/>
      <c r="FGZ230" s="36"/>
      <c r="FHA230" s="36"/>
      <c r="FHB230" s="36"/>
      <c r="FHC230" s="36"/>
      <c r="FHD230" s="36"/>
      <c r="FHE230" s="36"/>
      <c r="FHF230" s="36"/>
      <c r="FHG230" s="36"/>
      <c r="FHH230" s="36"/>
      <c r="FHI230" s="36"/>
      <c r="FHJ230" s="36"/>
      <c r="FHK230" s="36"/>
      <c r="FHL230" s="36"/>
      <c r="FHM230" s="36"/>
      <c r="FHN230" s="36"/>
      <c r="FHO230" s="36"/>
      <c r="FHP230" s="36"/>
      <c r="FHQ230" s="36"/>
      <c r="FHR230" s="36"/>
      <c r="FHS230" s="36"/>
      <c r="FHT230" s="36"/>
      <c r="FHU230" s="36"/>
      <c r="FHV230" s="36"/>
      <c r="FHW230" s="36"/>
      <c r="FHX230" s="36"/>
      <c r="FHY230" s="36"/>
      <c r="FHZ230" s="36"/>
      <c r="FIA230" s="36"/>
      <c r="FIB230" s="36"/>
      <c r="FIC230" s="36"/>
      <c r="FID230" s="36"/>
      <c r="FIE230" s="36"/>
      <c r="FIF230" s="36"/>
      <c r="FIG230" s="36"/>
      <c r="FIH230" s="36"/>
      <c r="FII230" s="36"/>
      <c r="FIJ230" s="36"/>
      <c r="FIK230" s="36"/>
      <c r="FIL230" s="36"/>
      <c r="FIM230" s="36"/>
      <c r="FIN230" s="36"/>
      <c r="FIO230" s="36"/>
      <c r="FIP230" s="36"/>
      <c r="FIQ230" s="36"/>
      <c r="FIR230" s="36"/>
      <c r="FIS230" s="36"/>
      <c r="FIT230" s="36"/>
      <c r="FIU230" s="36"/>
      <c r="FIV230" s="36"/>
      <c r="FIW230" s="36"/>
      <c r="FIX230" s="36"/>
      <c r="FIY230" s="36"/>
      <c r="FIZ230" s="36"/>
      <c r="FJA230" s="36"/>
      <c r="FJB230" s="36"/>
      <c r="FJC230" s="36"/>
      <c r="FJD230" s="36"/>
      <c r="FJE230" s="36"/>
      <c r="FJF230" s="36"/>
      <c r="FJG230" s="36"/>
      <c r="FJH230" s="36"/>
      <c r="FJI230" s="36"/>
      <c r="FJJ230" s="36"/>
      <c r="FJK230" s="36"/>
      <c r="FJL230" s="36"/>
      <c r="FJM230" s="36"/>
      <c r="FJN230" s="36"/>
      <c r="FJO230" s="36"/>
      <c r="FJP230" s="36"/>
      <c r="FJQ230" s="36"/>
      <c r="FJR230" s="36"/>
      <c r="FJS230" s="36"/>
      <c r="FJT230" s="36"/>
      <c r="FJU230" s="36"/>
      <c r="FJV230" s="36"/>
      <c r="FJW230" s="36"/>
      <c r="FJX230" s="36"/>
      <c r="FJY230" s="36"/>
      <c r="FJZ230" s="36"/>
      <c r="FKA230" s="36"/>
      <c r="FKB230" s="36"/>
      <c r="FKC230" s="36"/>
      <c r="FKD230" s="36"/>
      <c r="FKE230" s="36"/>
      <c r="FKF230" s="36"/>
      <c r="FKG230" s="36"/>
      <c r="FKH230" s="36"/>
      <c r="FKI230" s="36"/>
      <c r="FKJ230" s="36"/>
      <c r="FKK230" s="36"/>
      <c r="FKL230" s="36"/>
      <c r="FKM230" s="36"/>
      <c r="FKN230" s="36"/>
      <c r="FKO230" s="36"/>
      <c r="FKP230" s="36"/>
      <c r="FKQ230" s="36"/>
      <c r="FKR230" s="36"/>
      <c r="FKS230" s="36"/>
      <c r="FKT230" s="36"/>
      <c r="FKU230" s="36"/>
      <c r="FKV230" s="36"/>
      <c r="FKW230" s="36"/>
      <c r="FKX230" s="36"/>
      <c r="FKY230" s="36"/>
      <c r="FKZ230" s="36"/>
      <c r="FLA230" s="36"/>
      <c r="FLB230" s="36"/>
      <c r="FLC230" s="36"/>
      <c r="FLD230" s="36"/>
      <c r="FLE230" s="36"/>
      <c r="FLF230" s="36"/>
      <c r="FLG230" s="36"/>
      <c r="FLH230" s="36"/>
      <c r="FLI230" s="36"/>
      <c r="FLJ230" s="36"/>
      <c r="FLK230" s="36"/>
      <c r="FLL230" s="36"/>
      <c r="FLM230" s="36"/>
      <c r="FLN230" s="36"/>
      <c r="FLO230" s="36"/>
      <c r="FLP230" s="36"/>
      <c r="FLQ230" s="36"/>
      <c r="FLR230" s="36"/>
      <c r="FLS230" s="36"/>
      <c r="FLT230" s="36"/>
      <c r="FLU230" s="36"/>
      <c r="FLV230" s="36"/>
      <c r="FLW230" s="36"/>
      <c r="FLX230" s="36"/>
      <c r="FLY230" s="36"/>
      <c r="FLZ230" s="36"/>
      <c r="FMA230" s="36"/>
      <c r="FMB230" s="36"/>
      <c r="FMC230" s="36"/>
      <c r="FMD230" s="36"/>
      <c r="FME230" s="36"/>
      <c r="FMF230" s="36"/>
      <c r="FMG230" s="36"/>
      <c r="FMH230" s="36"/>
      <c r="FMI230" s="36"/>
      <c r="FMJ230" s="36"/>
      <c r="FMK230" s="36"/>
      <c r="FML230" s="36"/>
      <c r="FMM230" s="36"/>
      <c r="FMN230" s="36"/>
      <c r="FMO230" s="36"/>
      <c r="FMP230" s="36"/>
      <c r="FMQ230" s="36"/>
      <c r="FMR230" s="36"/>
      <c r="FMS230" s="36"/>
      <c r="FMT230" s="36"/>
      <c r="FMU230" s="36"/>
      <c r="FMV230" s="36"/>
      <c r="FMW230" s="36"/>
      <c r="FMX230" s="36"/>
      <c r="FMY230" s="36"/>
      <c r="FMZ230" s="36"/>
      <c r="FNA230" s="36"/>
      <c r="FNB230" s="36"/>
      <c r="FNC230" s="36"/>
      <c r="FND230" s="36"/>
      <c r="FNE230" s="36"/>
      <c r="FNF230" s="36"/>
      <c r="FNG230" s="36"/>
      <c r="FNH230" s="36"/>
      <c r="FNI230" s="36"/>
      <c r="FNJ230" s="36"/>
      <c r="FNK230" s="36"/>
      <c r="FNL230" s="36"/>
      <c r="FNM230" s="36"/>
      <c r="FNN230" s="36"/>
      <c r="FNO230" s="36"/>
      <c r="FNP230" s="36"/>
      <c r="FNQ230" s="36"/>
      <c r="FNR230" s="36"/>
      <c r="FNS230" s="36"/>
      <c r="FNT230" s="36"/>
      <c r="FNU230" s="36"/>
      <c r="FNV230" s="36"/>
      <c r="FNW230" s="36"/>
      <c r="FNX230" s="36"/>
      <c r="FNY230" s="36"/>
      <c r="FNZ230" s="36"/>
      <c r="FOA230" s="36"/>
      <c r="FOB230" s="36"/>
      <c r="FOC230" s="36"/>
      <c r="FOD230" s="36"/>
      <c r="FOE230" s="36"/>
      <c r="FOF230" s="36"/>
      <c r="FOG230" s="36"/>
      <c r="FOH230" s="36"/>
      <c r="FOI230" s="36"/>
      <c r="FOJ230" s="36"/>
      <c r="FOK230" s="36"/>
      <c r="FOL230" s="36"/>
      <c r="FOM230" s="36"/>
      <c r="FON230" s="36"/>
      <c r="FOO230" s="36"/>
      <c r="FOP230" s="36"/>
      <c r="FOQ230" s="36"/>
      <c r="FOR230" s="36"/>
      <c r="FOS230" s="36"/>
      <c r="FOT230" s="36"/>
      <c r="FOU230" s="36"/>
      <c r="FOV230" s="36"/>
      <c r="FOW230" s="36"/>
      <c r="FOX230" s="36"/>
      <c r="FOY230" s="36"/>
      <c r="FOZ230" s="36"/>
      <c r="FPA230" s="36"/>
      <c r="FPB230" s="36"/>
      <c r="FPC230" s="36"/>
      <c r="FPD230" s="36"/>
      <c r="FPE230" s="36"/>
      <c r="FPF230" s="36"/>
      <c r="FPG230" s="36"/>
      <c r="FPH230" s="36"/>
      <c r="FPI230" s="36"/>
      <c r="FPJ230" s="36"/>
      <c r="FPK230" s="36"/>
      <c r="FPL230" s="36"/>
      <c r="FPM230" s="36"/>
      <c r="FPN230" s="36"/>
      <c r="FPO230" s="36"/>
      <c r="FPP230" s="36"/>
      <c r="FPQ230" s="36"/>
      <c r="FPR230" s="36"/>
      <c r="FPS230" s="36"/>
      <c r="FPT230" s="36"/>
      <c r="FPU230" s="36"/>
      <c r="FPV230" s="36"/>
      <c r="FPW230" s="36"/>
      <c r="FPX230" s="36"/>
      <c r="FPY230" s="36"/>
      <c r="FPZ230" s="36"/>
      <c r="FQA230" s="36"/>
      <c r="FQB230" s="36"/>
      <c r="FQC230" s="36"/>
      <c r="FQD230" s="36"/>
      <c r="FQE230" s="36"/>
      <c r="FQF230" s="36"/>
      <c r="FQG230" s="36"/>
      <c r="FQH230" s="36"/>
      <c r="FQI230" s="36"/>
      <c r="FQJ230" s="36"/>
      <c r="FQK230" s="36"/>
      <c r="FQL230" s="36"/>
      <c r="FQM230" s="36"/>
      <c r="FQN230" s="36"/>
      <c r="FQO230" s="36"/>
      <c r="FQP230" s="36"/>
      <c r="FQQ230" s="36"/>
      <c r="FQR230" s="36"/>
      <c r="FQS230" s="36"/>
      <c r="FQT230" s="36"/>
      <c r="FQU230" s="36"/>
      <c r="FQV230" s="36"/>
      <c r="FQW230" s="36"/>
      <c r="FQX230" s="36"/>
      <c r="FQY230" s="36"/>
      <c r="FQZ230" s="36"/>
      <c r="FRA230" s="36"/>
      <c r="FRB230" s="36"/>
      <c r="FRC230" s="36"/>
      <c r="FRD230" s="36"/>
      <c r="FRE230" s="36"/>
      <c r="FRF230" s="36"/>
      <c r="FRG230" s="36"/>
      <c r="FRH230" s="36"/>
      <c r="FRI230" s="36"/>
      <c r="FRJ230" s="36"/>
      <c r="FRK230" s="36"/>
      <c r="FRL230" s="36"/>
      <c r="FRM230" s="36"/>
      <c r="FRN230" s="36"/>
      <c r="FRO230" s="36"/>
      <c r="FRP230" s="36"/>
      <c r="FRQ230" s="36"/>
      <c r="FRR230" s="36"/>
      <c r="FRS230" s="36"/>
      <c r="FRT230" s="36"/>
      <c r="FRU230" s="36"/>
      <c r="FRV230" s="36"/>
      <c r="FRW230" s="36"/>
      <c r="FRX230" s="36"/>
      <c r="FRY230" s="36"/>
      <c r="FRZ230" s="36"/>
      <c r="FSA230" s="36"/>
      <c r="FSB230" s="36"/>
      <c r="FSC230" s="36"/>
      <c r="FSD230" s="36"/>
      <c r="FSE230" s="36"/>
      <c r="FSF230" s="36"/>
      <c r="FSG230" s="36"/>
      <c r="FSH230" s="36"/>
      <c r="FSI230" s="36"/>
      <c r="FSJ230" s="36"/>
      <c r="FSK230" s="36"/>
      <c r="FSL230" s="36"/>
      <c r="FSM230" s="36"/>
      <c r="FSN230" s="36"/>
      <c r="FSO230" s="36"/>
      <c r="FSP230" s="36"/>
      <c r="FSQ230" s="36"/>
      <c r="FSR230" s="36"/>
      <c r="FSS230" s="36"/>
      <c r="FST230" s="36"/>
      <c r="FSU230" s="36"/>
      <c r="FSV230" s="36"/>
      <c r="FSW230" s="36"/>
      <c r="FSX230" s="36"/>
      <c r="FSY230" s="36"/>
      <c r="FSZ230" s="36"/>
      <c r="FTA230" s="36"/>
      <c r="FTB230" s="36"/>
      <c r="FTC230" s="36"/>
      <c r="FTD230" s="36"/>
      <c r="FTE230" s="36"/>
      <c r="FTF230" s="36"/>
      <c r="FTG230" s="36"/>
      <c r="FTH230" s="36"/>
      <c r="FTI230" s="36"/>
      <c r="FTJ230" s="36"/>
      <c r="FTK230" s="36"/>
      <c r="FTL230" s="36"/>
      <c r="FTM230" s="36"/>
      <c r="FTN230" s="36"/>
      <c r="FTO230" s="36"/>
      <c r="FTP230" s="36"/>
      <c r="FTQ230" s="36"/>
      <c r="FTR230" s="36"/>
      <c r="FTS230" s="36"/>
      <c r="FTT230" s="36"/>
      <c r="FTU230" s="36"/>
      <c r="FTV230" s="36"/>
      <c r="FTW230" s="36"/>
      <c r="FTX230" s="36"/>
      <c r="FTY230" s="36"/>
      <c r="FTZ230" s="36"/>
      <c r="FUA230" s="36"/>
      <c r="FUB230" s="36"/>
      <c r="FUC230" s="36"/>
      <c r="FUD230" s="36"/>
      <c r="FUE230" s="36"/>
      <c r="FUF230" s="36"/>
      <c r="FUG230" s="36"/>
      <c r="FUH230" s="36"/>
      <c r="FUI230" s="36"/>
      <c r="FUJ230" s="36"/>
      <c r="FUK230" s="36"/>
      <c r="FUL230" s="36"/>
      <c r="FUM230" s="36"/>
      <c r="FUN230" s="36"/>
      <c r="FUO230" s="36"/>
      <c r="FUP230" s="36"/>
      <c r="FUQ230" s="36"/>
      <c r="FUR230" s="36"/>
      <c r="FUS230" s="36"/>
      <c r="FUT230" s="36"/>
      <c r="FUU230" s="36"/>
      <c r="FUV230" s="36"/>
      <c r="FUW230" s="36"/>
      <c r="FUX230" s="36"/>
      <c r="FUY230" s="36"/>
      <c r="FUZ230" s="36"/>
      <c r="FVA230" s="36"/>
      <c r="FVB230" s="36"/>
      <c r="FVC230" s="36"/>
      <c r="FVD230" s="36"/>
      <c r="FVE230" s="36"/>
      <c r="FVF230" s="36"/>
      <c r="FVG230" s="36"/>
      <c r="FVH230" s="36"/>
      <c r="FVI230" s="36"/>
      <c r="FVJ230" s="36"/>
      <c r="FVK230" s="36"/>
      <c r="FVL230" s="36"/>
      <c r="FVM230" s="36"/>
      <c r="FVN230" s="36"/>
      <c r="FVO230" s="36"/>
      <c r="FVP230" s="36"/>
      <c r="FVQ230" s="36"/>
      <c r="FVR230" s="36"/>
      <c r="FVS230" s="36"/>
      <c r="FVT230" s="36"/>
      <c r="FVU230" s="36"/>
      <c r="FVV230" s="36"/>
      <c r="FVW230" s="36"/>
      <c r="FVX230" s="36"/>
      <c r="FVY230" s="36"/>
      <c r="FVZ230" s="36"/>
      <c r="FWA230" s="36"/>
      <c r="FWB230" s="36"/>
      <c r="FWC230" s="36"/>
      <c r="FWD230" s="36"/>
      <c r="FWE230" s="36"/>
      <c r="FWF230" s="36"/>
      <c r="FWG230" s="36"/>
      <c r="FWH230" s="36"/>
      <c r="FWI230" s="36"/>
      <c r="FWJ230" s="36"/>
      <c r="FWK230" s="36"/>
      <c r="FWL230" s="36"/>
      <c r="FWM230" s="36"/>
      <c r="FWN230" s="36"/>
      <c r="FWO230" s="36"/>
      <c r="FWP230" s="36"/>
      <c r="FWQ230" s="36"/>
      <c r="FWR230" s="36"/>
      <c r="FWS230" s="36"/>
      <c r="FWT230" s="36"/>
      <c r="FWU230" s="36"/>
      <c r="FWV230" s="36"/>
      <c r="FWW230" s="36"/>
      <c r="FWX230" s="36"/>
      <c r="FWY230" s="36"/>
      <c r="FWZ230" s="36"/>
      <c r="FXA230" s="36"/>
      <c r="FXB230" s="36"/>
      <c r="FXC230" s="36"/>
      <c r="FXD230" s="36"/>
      <c r="FXE230" s="36"/>
      <c r="FXF230" s="36"/>
      <c r="FXG230" s="36"/>
      <c r="FXH230" s="36"/>
      <c r="FXI230" s="36"/>
      <c r="FXJ230" s="36"/>
      <c r="FXK230" s="36"/>
      <c r="FXL230" s="36"/>
      <c r="FXM230" s="36"/>
      <c r="FXN230" s="36"/>
      <c r="FXO230" s="36"/>
      <c r="FXP230" s="36"/>
      <c r="FXQ230" s="36"/>
      <c r="FXR230" s="36"/>
      <c r="FXS230" s="36"/>
      <c r="FXT230" s="36"/>
      <c r="FXU230" s="36"/>
      <c r="FXV230" s="36"/>
      <c r="FXW230" s="36"/>
      <c r="FXX230" s="36"/>
      <c r="FXY230" s="36"/>
      <c r="FXZ230" s="36"/>
      <c r="FYA230" s="36"/>
      <c r="FYB230" s="36"/>
      <c r="FYC230" s="36"/>
      <c r="FYD230" s="36"/>
      <c r="FYE230" s="36"/>
      <c r="FYF230" s="36"/>
      <c r="FYG230" s="36"/>
      <c r="FYH230" s="36"/>
      <c r="FYI230" s="36"/>
      <c r="FYJ230" s="36"/>
      <c r="FYK230" s="36"/>
      <c r="FYL230" s="36"/>
      <c r="FYM230" s="36"/>
      <c r="FYN230" s="36"/>
      <c r="FYO230" s="36"/>
      <c r="FYP230" s="36"/>
      <c r="FYQ230" s="36"/>
      <c r="FYR230" s="36"/>
      <c r="FYS230" s="36"/>
      <c r="FYT230" s="36"/>
      <c r="FYU230" s="36"/>
      <c r="FYV230" s="36"/>
      <c r="FYW230" s="36"/>
      <c r="FYX230" s="36"/>
      <c r="FYY230" s="36"/>
      <c r="FYZ230" s="36"/>
      <c r="FZA230" s="36"/>
      <c r="FZB230" s="36"/>
      <c r="FZC230" s="36"/>
      <c r="FZD230" s="36"/>
      <c r="FZE230" s="36"/>
      <c r="FZF230" s="36"/>
      <c r="FZG230" s="36"/>
      <c r="FZH230" s="36"/>
      <c r="FZI230" s="36"/>
      <c r="FZJ230" s="36"/>
      <c r="FZK230" s="36"/>
      <c r="FZL230" s="36"/>
      <c r="FZM230" s="36"/>
      <c r="FZN230" s="36"/>
      <c r="FZO230" s="36"/>
      <c r="FZP230" s="36"/>
      <c r="FZQ230" s="36"/>
      <c r="FZR230" s="36"/>
      <c r="FZS230" s="36"/>
      <c r="FZT230" s="36"/>
      <c r="FZU230" s="36"/>
      <c r="FZV230" s="36"/>
      <c r="FZW230" s="36"/>
      <c r="FZX230" s="36"/>
      <c r="FZY230" s="36"/>
      <c r="FZZ230" s="36"/>
      <c r="GAA230" s="36"/>
      <c r="GAB230" s="36"/>
      <c r="GAC230" s="36"/>
      <c r="GAD230" s="36"/>
      <c r="GAE230" s="36"/>
      <c r="GAF230" s="36"/>
      <c r="GAG230" s="36"/>
      <c r="GAH230" s="36"/>
      <c r="GAI230" s="36"/>
      <c r="GAJ230" s="36"/>
      <c r="GAK230" s="36"/>
      <c r="GAL230" s="36"/>
      <c r="GAM230" s="36"/>
      <c r="GAN230" s="36"/>
      <c r="GAO230" s="36"/>
      <c r="GAP230" s="36"/>
      <c r="GAQ230" s="36"/>
      <c r="GAR230" s="36"/>
      <c r="GAS230" s="36"/>
      <c r="GAT230" s="36"/>
      <c r="GAU230" s="36"/>
      <c r="GAV230" s="36"/>
      <c r="GAW230" s="36"/>
      <c r="GAX230" s="36"/>
      <c r="GAY230" s="36"/>
      <c r="GAZ230" s="36"/>
      <c r="GBA230" s="36"/>
      <c r="GBB230" s="36"/>
      <c r="GBC230" s="36"/>
      <c r="GBD230" s="36"/>
      <c r="GBE230" s="36"/>
      <c r="GBF230" s="36"/>
      <c r="GBG230" s="36"/>
      <c r="GBH230" s="36"/>
      <c r="GBI230" s="36"/>
      <c r="GBJ230" s="36"/>
      <c r="GBK230" s="36"/>
      <c r="GBL230" s="36"/>
      <c r="GBM230" s="36"/>
      <c r="GBN230" s="36"/>
      <c r="GBO230" s="36"/>
      <c r="GBP230" s="36"/>
      <c r="GBQ230" s="36"/>
      <c r="GBR230" s="36"/>
      <c r="GBS230" s="36"/>
      <c r="GBT230" s="36"/>
      <c r="GBU230" s="36"/>
      <c r="GBV230" s="36"/>
      <c r="GBW230" s="36"/>
      <c r="GBX230" s="36"/>
      <c r="GBY230" s="36"/>
      <c r="GBZ230" s="36"/>
      <c r="GCA230" s="36"/>
      <c r="GCB230" s="36"/>
      <c r="GCC230" s="36"/>
      <c r="GCD230" s="36"/>
      <c r="GCE230" s="36"/>
      <c r="GCF230" s="36"/>
      <c r="GCG230" s="36"/>
      <c r="GCH230" s="36"/>
      <c r="GCI230" s="36"/>
      <c r="GCJ230" s="36"/>
      <c r="GCK230" s="36"/>
      <c r="GCL230" s="36"/>
      <c r="GCM230" s="36"/>
      <c r="GCN230" s="36"/>
      <c r="GCO230" s="36"/>
      <c r="GCP230" s="36"/>
      <c r="GCQ230" s="36"/>
      <c r="GCR230" s="36"/>
      <c r="GCS230" s="36"/>
      <c r="GCT230" s="36"/>
      <c r="GCU230" s="36"/>
      <c r="GCV230" s="36"/>
      <c r="GCW230" s="36"/>
      <c r="GCX230" s="36"/>
      <c r="GCY230" s="36"/>
      <c r="GCZ230" s="36"/>
      <c r="GDA230" s="36"/>
      <c r="GDB230" s="36"/>
      <c r="GDC230" s="36"/>
      <c r="GDD230" s="36"/>
      <c r="GDE230" s="36"/>
      <c r="GDF230" s="36"/>
      <c r="GDG230" s="36"/>
      <c r="GDH230" s="36"/>
      <c r="GDI230" s="36"/>
      <c r="GDJ230" s="36"/>
      <c r="GDK230" s="36"/>
      <c r="GDL230" s="36"/>
      <c r="GDM230" s="36"/>
      <c r="GDN230" s="36"/>
      <c r="GDO230" s="36"/>
      <c r="GDP230" s="36"/>
      <c r="GDQ230" s="36"/>
      <c r="GDR230" s="36"/>
      <c r="GDS230" s="36"/>
      <c r="GDT230" s="36"/>
      <c r="GDU230" s="36"/>
      <c r="GDV230" s="36"/>
      <c r="GDW230" s="36"/>
      <c r="GDX230" s="36"/>
      <c r="GDY230" s="36"/>
      <c r="GDZ230" s="36"/>
      <c r="GEA230" s="36"/>
      <c r="GEB230" s="36"/>
      <c r="GEC230" s="36"/>
      <c r="GED230" s="36"/>
      <c r="GEE230" s="36"/>
      <c r="GEF230" s="36"/>
      <c r="GEG230" s="36"/>
      <c r="GEH230" s="36"/>
      <c r="GEI230" s="36"/>
      <c r="GEJ230" s="36"/>
      <c r="GEK230" s="36"/>
      <c r="GEL230" s="36"/>
      <c r="GEM230" s="36"/>
      <c r="GEN230" s="36"/>
      <c r="GEO230" s="36"/>
      <c r="GEP230" s="36"/>
      <c r="GEQ230" s="36"/>
      <c r="GER230" s="36"/>
      <c r="GES230" s="36"/>
      <c r="GET230" s="36"/>
      <c r="GEU230" s="36"/>
      <c r="GEV230" s="36"/>
      <c r="GEW230" s="36"/>
      <c r="GEX230" s="36"/>
      <c r="GEY230" s="36"/>
      <c r="GEZ230" s="36"/>
      <c r="GFA230" s="36"/>
      <c r="GFB230" s="36"/>
      <c r="GFC230" s="36"/>
      <c r="GFD230" s="36"/>
      <c r="GFE230" s="36"/>
      <c r="GFF230" s="36"/>
      <c r="GFG230" s="36"/>
      <c r="GFH230" s="36"/>
      <c r="GFI230" s="36"/>
      <c r="GFJ230" s="36"/>
      <c r="GFK230" s="36"/>
      <c r="GFL230" s="36"/>
      <c r="GFM230" s="36"/>
      <c r="GFN230" s="36"/>
      <c r="GFO230" s="36"/>
      <c r="GFP230" s="36"/>
      <c r="GFQ230" s="36"/>
      <c r="GFR230" s="36"/>
      <c r="GFS230" s="36"/>
      <c r="GFT230" s="36"/>
      <c r="GFU230" s="36"/>
      <c r="GFV230" s="36"/>
      <c r="GFW230" s="36"/>
      <c r="GFX230" s="36"/>
      <c r="GFY230" s="36"/>
      <c r="GFZ230" s="36"/>
      <c r="GGA230" s="36"/>
      <c r="GGB230" s="36"/>
      <c r="GGC230" s="36"/>
      <c r="GGD230" s="36"/>
      <c r="GGE230" s="36"/>
      <c r="GGF230" s="36"/>
      <c r="GGG230" s="36"/>
      <c r="GGH230" s="36"/>
      <c r="GGI230" s="36"/>
      <c r="GGJ230" s="36"/>
      <c r="GGK230" s="36"/>
      <c r="GGL230" s="36"/>
      <c r="GGM230" s="36"/>
      <c r="GGN230" s="36"/>
      <c r="GGO230" s="36"/>
      <c r="GGP230" s="36"/>
      <c r="GGQ230" s="36"/>
      <c r="GGR230" s="36"/>
      <c r="GGS230" s="36"/>
      <c r="GGT230" s="36"/>
      <c r="GGU230" s="36"/>
      <c r="GGV230" s="36"/>
      <c r="GGW230" s="36"/>
      <c r="GGX230" s="36"/>
      <c r="GGY230" s="36"/>
      <c r="GGZ230" s="36"/>
      <c r="GHA230" s="36"/>
      <c r="GHB230" s="36"/>
      <c r="GHC230" s="36"/>
      <c r="GHD230" s="36"/>
      <c r="GHE230" s="36"/>
      <c r="GHF230" s="36"/>
      <c r="GHG230" s="36"/>
      <c r="GHH230" s="36"/>
      <c r="GHI230" s="36"/>
      <c r="GHJ230" s="36"/>
      <c r="GHK230" s="36"/>
      <c r="GHL230" s="36"/>
      <c r="GHM230" s="36"/>
      <c r="GHN230" s="36"/>
      <c r="GHO230" s="36"/>
      <c r="GHP230" s="36"/>
      <c r="GHQ230" s="36"/>
      <c r="GHR230" s="36"/>
      <c r="GHS230" s="36"/>
      <c r="GHT230" s="36"/>
      <c r="GHU230" s="36"/>
      <c r="GHV230" s="36"/>
      <c r="GHW230" s="36"/>
      <c r="GHX230" s="36"/>
      <c r="GHY230" s="36"/>
      <c r="GHZ230" s="36"/>
      <c r="GIA230" s="36"/>
      <c r="GIB230" s="36"/>
      <c r="GIC230" s="36"/>
      <c r="GID230" s="36"/>
      <c r="GIE230" s="36"/>
      <c r="GIF230" s="36"/>
      <c r="GIG230" s="36"/>
      <c r="GIH230" s="36"/>
      <c r="GII230" s="36"/>
      <c r="GIJ230" s="36"/>
      <c r="GIK230" s="36"/>
      <c r="GIL230" s="36"/>
      <c r="GIM230" s="36"/>
      <c r="GIN230" s="36"/>
      <c r="GIO230" s="36"/>
      <c r="GIP230" s="36"/>
      <c r="GIQ230" s="36"/>
      <c r="GIR230" s="36"/>
      <c r="GIS230" s="36"/>
      <c r="GIT230" s="36"/>
      <c r="GIU230" s="36"/>
      <c r="GIV230" s="36"/>
      <c r="GIW230" s="36"/>
      <c r="GIX230" s="36"/>
      <c r="GIY230" s="36"/>
      <c r="GIZ230" s="36"/>
      <c r="GJA230" s="36"/>
      <c r="GJB230" s="36"/>
      <c r="GJC230" s="36"/>
      <c r="GJD230" s="36"/>
      <c r="GJE230" s="36"/>
      <c r="GJF230" s="36"/>
      <c r="GJG230" s="36"/>
      <c r="GJH230" s="36"/>
      <c r="GJI230" s="36"/>
      <c r="GJJ230" s="36"/>
      <c r="GJK230" s="36"/>
      <c r="GJL230" s="36"/>
      <c r="GJM230" s="36"/>
      <c r="GJN230" s="36"/>
      <c r="GJO230" s="36"/>
      <c r="GJP230" s="36"/>
      <c r="GJQ230" s="36"/>
      <c r="GJR230" s="36"/>
      <c r="GJS230" s="36"/>
      <c r="GJT230" s="36"/>
      <c r="GJU230" s="36"/>
      <c r="GJV230" s="36"/>
      <c r="GJW230" s="36"/>
      <c r="GJX230" s="36"/>
      <c r="GJY230" s="36"/>
      <c r="GJZ230" s="36"/>
      <c r="GKA230" s="36"/>
      <c r="GKB230" s="36"/>
      <c r="GKC230" s="36"/>
      <c r="GKD230" s="36"/>
      <c r="GKE230" s="36"/>
      <c r="GKF230" s="36"/>
      <c r="GKG230" s="36"/>
      <c r="GKH230" s="36"/>
      <c r="GKI230" s="36"/>
      <c r="GKJ230" s="36"/>
      <c r="GKK230" s="36"/>
      <c r="GKL230" s="36"/>
      <c r="GKM230" s="36"/>
      <c r="GKN230" s="36"/>
      <c r="GKO230" s="36"/>
      <c r="GKP230" s="36"/>
      <c r="GKQ230" s="36"/>
      <c r="GKR230" s="36"/>
      <c r="GKS230" s="36"/>
      <c r="GKT230" s="36"/>
      <c r="GKU230" s="36"/>
      <c r="GKV230" s="36"/>
      <c r="GKW230" s="36"/>
      <c r="GKX230" s="36"/>
      <c r="GKY230" s="36"/>
      <c r="GKZ230" s="36"/>
      <c r="GLA230" s="36"/>
      <c r="GLB230" s="36"/>
      <c r="GLC230" s="36"/>
      <c r="GLD230" s="36"/>
      <c r="GLE230" s="36"/>
      <c r="GLF230" s="36"/>
      <c r="GLG230" s="36"/>
      <c r="GLH230" s="36"/>
      <c r="GLI230" s="36"/>
      <c r="GLJ230" s="36"/>
      <c r="GLK230" s="36"/>
      <c r="GLL230" s="36"/>
      <c r="GLM230" s="36"/>
      <c r="GLN230" s="36"/>
      <c r="GLO230" s="36"/>
      <c r="GLP230" s="36"/>
      <c r="GLQ230" s="36"/>
      <c r="GLR230" s="36"/>
      <c r="GLS230" s="36"/>
      <c r="GLT230" s="36"/>
      <c r="GLU230" s="36"/>
      <c r="GLV230" s="36"/>
      <c r="GLW230" s="36"/>
      <c r="GLX230" s="36"/>
      <c r="GLY230" s="36"/>
      <c r="GLZ230" s="36"/>
      <c r="GMA230" s="36"/>
      <c r="GMB230" s="36"/>
      <c r="GMC230" s="36"/>
      <c r="GMD230" s="36"/>
      <c r="GME230" s="36"/>
      <c r="GMF230" s="36"/>
      <c r="GMG230" s="36"/>
      <c r="GMH230" s="36"/>
      <c r="GMI230" s="36"/>
      <c r="GMJ230" s="36"/>
      <c r="GMK230" s="36"/>
      <c r="GML230" s="36"/>
      <c r="GMM230" s="36"/>
      <c r="GMN230" s="36"/>
      <c r="GMO230" s="36"/>
      <c r="GMP230" s="36"/>
      <c r="GMQ230" s="36"/>
      <c r="GMR230" s="36"/>
      <c r="GMS230" s="36"/>
      <c r="GMT230" s="36"/>
      <c r="GMU230" s="36"/>
      <c r="GMV230" s="36"/>
      <c r="GMW230" s="36"/>
      <c r="GMX230" s="36"/>
      <c r="GMY230" s="36"/>
      <c r="GMZ230" s="36"/>
      <c r="GNA230" s="36"/>
      <c r="GNB230" s="36"/>
      <c r="GNC230" s="36"/>
      <c r="GND230" s="36"/>
      <c r="GNE230" s="36"/>
      <c r="GNF230" s="36"/>
      <c r="GNG230" s="36"/>
      <c r="GNH230" s="36"/>
      <c r="GNI230" s="36"/>
      <c r="GNJ230" s="36"/>
      <c r="GNK230" s="36"/>
      <c r="GNL230" s="36"/>
      <c r="GNM230" s="36"/>
      <c r="GNN230" s="36"/>
      <c r="GNO230" s="36"/>
      <c r="GNP230" s="36"/>
      <c r="GNQ230" s="36"/>
      <c r="GNR230" s="36"/>
      <c r="GNS230" s="36"/>
      <c r="GNT230" s="36"/>
      <c r="GNU230" s="36"/>
      <c r="GNV230" s="36"/>
      <c r="GNW230" s="36"/>
      <c r="GNX230" s="36"/>
      <c r="GNY230" s="36"/>
      <c r="GNZ230" s="36"/>
      <c r="GOA230" s="36"/>
      <c r="GOB230" s="36"/>
      <c r="GOC230" s="36"/>
      <c r="GOD230" s="36"/>
      <c r="GOE230" s="36"/>
      <c r="GOF230" s="36"/>
      <c r="GOG230" s="36"/>
      <c r="GOH230" s="36"/>
      <c r="GOI230" s="36"/>
      <c r="GOJ230" s="36"/>
      <c r="GOK230" s="36"/>
      <c r="GOL230" s="36"/>
      <c r="GOM230" s="36"/>
      <c r="GON230" s="36"/>
      <c r="GOO230" s="36"/>
      <c r="GOP230" s="36"/>
      <c r="GOQ230" s="36"/>
      <c r="GOR230" s="36"/>
      <c r="GOS230" s="36"/>
      <c r="GOT230" s="36"/>
      <c r="GOU230" s="36"/>
      <c r="GOV230" s="36"/>
      <c r="GOW230" s="36"/>
      <c r="GOX230" s="36"/>
      <c r="GOY230" s="36"/>
      <c r="GOZ230" s="36"/>
      <c r="GPA230" s="36"/>
      <c r="GPB230" s="36"/>
      <c r="GPC230" s="36"/>
      <c r="GPD230" s="36"/>
      <c r="GPE230" s="36"/>
      <c r="GPF230" s="36"/>
      <c r="GPG230" s="36"/>
      <c r="GPH230" s="36"/>
      <c r="GPI230" s="36"/>
      <c r="GPJ230" s="36"/>
      <c r="GPK230" s="36"/>
      <c r="GPL230" s="36"/>
      <c r="GPM230" s="36"/>
      <c r="GPN230" s="36"/>
      <c r="GPO230" s="36"/>
      <c r="GPP230" s="36"/>
      <c r="GPQ230" s="36"/>
      <c r="GPR230" s="36"/>
      <c r="GPS230" s="36"/>
      <c r="GPT230" s="36"/>
      <c r="GPU230" s="36"/>
      <c r="GPV230" s="36"/>
      <c r="GPW230" s="36"/>
      <c r="GPX230" s="36"/>
      <c r="GPY230" s="36"/>
      <c r="GPZ230" s="36"/>
      <c r="GQA230" s="36"/>
      <c r="GQB230" s="36"/>
      <c r="GQC230" s="36"/>
      <c r="GQD230" s="36"/>
      <c r="GQE230" s="36"/>
      <c r="GQF230" s="36"/>
      <c r="GQG230" s="36"/>
      <c r="GQH230" s="36"/>
      <c r="GQI230" s="36"/>
      <c r="GQJ230" s="36"/>
      <c r="GQK230" s="36"/>
      <c r="GQL230" s="36"/>
      <c r="GQM230" s="36"/>
      <c r="GQN230" s="36"/>
      <c r="GQO230" s="36"/>
      <c r="GQP230" s="36"/>
      <c r="GQQ230" s="36"/>
      <c r="GQR230" s="36"/>
      <c r="GQS230" s="36"/>
      <c r="GQT230" s="36"/>
      <c r="GQU230" s="36"/>
      <c r="GQV230" s="36"/>
      <c r="GQW230" s="36"/>
      <c r="GQX230" s="36"/>
      <c r="GQY230" s="36"/>
      <c r="GQZ230" s="36"/>
      <c r="GRA230" s="36"/>
      <c r="GRB230" s="36"/>
      <c r="GRC230" s="36"/>
      <c r="GRD230" s="36"/>
      <c r="GRE230" s="36"/>
      <c r="GRF230" s="36"/>
      <c r="GRG230" s="36"/>
      <c r="GRH230" s="36"/>
      <c r="GRI230" s="36"/>
      <c r="GRJ230" s="36"/>
      <c r="GRK230" s="36"/>
      <c r="GRL230" s="36"/>
      <c r="GRM230" s="36"/>
      <c r="GRN230" s="36"/>
      <c r="GRO230" s="36"/>
      <c r="GRP230" s="36"/>
      <c r="GRQ230" s="36"/>
      <c r="GRR230" s="36"/>
      <c r="GRS230" s="36"/>
      <c r="GRT230" s="36"/>
      <c r="GRU230" s="36"/>
      <c r="GRV230" s="36"/>
      <c r="GRW230" s="36"/>
      <c r="GRX230" s="36"/>
      <c r="GRY230" s="36"/>
      <c r="GRZ230" s="36"/>
      <c r="GSA230" s="36"/>
      <c r="GSB230" s="36"/>
      <c r="GSC230" s="36"/>
      <c r="GSD230" s="36"/>
      <c r="GSE230" s="36"/>
      <c r="GSF230" s="36"/>
      <c r="GSG230" s="36"/>
      <c r="GSH230" s="36"/>
      <c r="GSI230" s="36"/>
      <c r="GSJ230" s="36"/>
      <c r="GSK230" s="36"/>
      <c r="GSL230" s="36"/>
      <c r="GSM230" s="36"/>
      <c r="GSN230" s="36"/>
      <c r="GSO230" s="36"/>
      <c r="GSP230" s="36"/>
      <c r="GSQ230" s="36"/>
      <c r="GSR230" s="36"/>
      <c r="GSS230" s="36"/>
      <c r="GST230" s="36"/>
      <c r="GSU230" s="36"/>
      <c r="GSV230" s="36"/>
      <c r="GSW230" s="36"/>
      <c r="GSX230" s="36"/>
      <c r="GSY230" s="36"/>
      <c r="GSZ230" s="36"/>
      <c r="GTA230" s="36"/>
      <c r="GTB230" s="36"/>
      <c r="GTC230" s="36"/>
      <c r="GTD230" s="36"/>
      <c r="GTE230" s="36"/>
      <c r="GTF230" s="36"/>
      <c r="GTG230" s="36"/>
      <c r="GTH230" s="36"/>
      <c r="GTI230" s="36"/>
      <c r="GTJ230" s="36"/>
      <c r="GTK230" s="36"/>
      <c r="GTL230" s="36"/>
      <c r="GTM230" s="36"/>
      <c r="GTN230" s="36"/>
      <c r="GTO230" s="36"/>
      <c r="GTP230" s="36"/>
      <c r="GTQ230" s="36"/>
      <c r="GTR230" s="36"/>
      <c r="GTS230" s="36"/>
      <c r="GTT230" s="36"/>
      <c r="GTU230" s="36"/>
      <c r="GTV230" s="36"/>
      <c r="GTW230" s="36"/>
      <c r="GTX230" s="36"/>
      <c r="GTY230" s="36"/>
      <c r="GTZ230" s="36"/>
      <c r="GUA230" s="36"/>
      <c r="GUB230" s="36"/>
      <c r="GUC230" s="36"/>
      <c r="GUD230" s="36"/>
      <c r="GUE230" s="36"/>
      <c r="GUF230" s="36"/>
      <c r="GUG230" s="36"/>
      <c r="GUH230" s="36"/>
      <c r="GUI230" s="36"/>
      <c r="GUJ230" s="36"/>
      <c r="GUK230" s="36"/>
      <c r="GUL230" s="36"/>
      <c r="GUM230" s="36"/>
      <c r="GUN230" s="36"/>
      <c r="GUO230" s="36"/>
      <c r="GUP230" s="36"/>
      <c r="GUQ230" s="36"/>
      <c r="GUR230" s="36"/>
      <c r="GUS230" s="36"/>
      <c r="GUT230" s="36"/>
      <c r="GUU230" s="36"/>
      <c r="GUV230" s="36"/>
      <c r="GUW230" s="36"/>
      <c r="GUX230" s="36"/>
      <c r="GUY230" s="36"/>
      <c r="GUZ230" s="36"/>
      <c r="GVA230" s="36"/>
      <c r="GVB230" s="36"/>
      <c r="GVC230" s="36"/>
      <c r="GVD230" s="36"/>
      <c r="GVE230" s="36"/>
      <c r="GVF230" s="36"/>
      <c r="GVG230" s="36"/>
      <c r="GVH230" s="36"/>
      <c r="GVI230" s="36"/>
      <c r="GVJ230" s="36"/>
      <c r="GVK230" s="36"/>
      <c r="GVL230" s="36"/>
      <c r="GVM230" s="36"/>
      <c r="GVN230" s="36"/>
      <c r="GVO230" s="36"/>
      <c r="GVP230" s="36"/>
      <c r="GVQ230" s="36"/>
      <c r="GVR230" s="36"/>
      <c r="GVS230" s="36"/>
      <c r="GVT230" s="36"/>
      <c r="GVU230" s="36"/>
      <c r="GVV230" s="36"/>
      <c r="GVW230" s="36"/>
      <c r="GVX230" s="36"/>
      <c r="GVY230" s="36"/>
      <c r="GVZ230" s="36"/>
      <c r="GWA230" s="36"/>
      <c r="GWB230" s="36"/>
      <c r="GWC230" s="36"/>
      <c r="GWD230" s="36"/>
      <c r="GWE230" s="36"/>
      <c r="GWF230" s="36"/>
      <c r="GWG230" s="36"/>
      <c r="GWH230" s="36"/>
      <c r="GWI230" s="36"/>
      <c r="GWJ230" s="36"/>
      <c r="GWK230" s="36"/>
      <c r="GWL230" s="36"/>
      <c r="GWM230" s="36"/>
      <c r="GWN230" s="36"/>
      <c r="GWO230" s="36"/>
      <c r="GWP230" s="36"/>
      <c r="GWQ230" s="36"/>
      <c r="GWR230" s="36"/>
      <c r="GWS230" s="36"/>
      <c r="GWT230" s="36"/>
      <c r="GWU230" s="36"/>
      <c r="GWV230" s="36"/>
      <c r="GWW230" s="36"/>
      <c r="GWX230" s="36"/>
      <c r="GWY230" s="36"/>
      <c r="GWZ230" s="36"/>
      <c r="GXA230" s="36"/>
      <c r="GXB230" s="36"/>
      <c r="GXC230" s="36"/>
      <c r="GXD230" s="36"/>
      <c r="GXE230" s="36"/>
      <c r="GXF230" s="36"/>
      <c r="GXG230" s="36"/>
      <c r="GXH230" s="36"/>
      <c r="GXI230" s="36"/>
      <c r="GXJ230" s="36"/>
      <c r="GXK230" s="36"/>
      <c r="GXL230" s="36"/>
      <c r="GXM230" s="36"/>
      <c r="GXN230" s="36"/>
      <c r="GXO230" s="36"/>
      <c r="GXP230" s="36"/>
      <c r="GXQ230" s="36"/>
      <c r="GXR230" s="36"/>
      <c r="GXS230" s="36"/>
      <c r="GXT230" s="36"/>
      <c r="GXU230" s="36"/>
      <c r="GXV230" s="36"/>
      <c r="GXW230" s="36"/>
      <c r="GXX230" s="36"/>
      <c r="GXY230" s="36"/>
      <c r="GXZ230" s="36"/>
      <c r="GYA230" s="36"/>
      <c r="GYB230" s="36"/>
      <c r="GYC230" s="36"/>
      <c r="GYD230" s="36"/>
      <c r="GYE230" s="36"/>
      <c r="GYF230" s="36"/>
      <c r="GYG230" s="36"/>
      <c r="GYH230" s="36"/>
      <c r="GYI230" s="36"/>
      <c r="GYJ230" s="36"/>
      <c r="GYK230" s="36"/>
      <c r="GYL230" s="36"/>
      <c r="GYM230" s="36"/>
      <c r="GYN230" s="36"/>
      <c r="GYO230" s="36"/>
      <c r="GYP230" s="36"/>
      <c r="GYQ230" s="36"/>
      <c r="GYR230" s="36"/>
      <c r="GYS230" s="36"/>
      <c r="GYT230" s="36"/>
      <c r="GYU230" s="36"/>
      <c r="GYV230" s="36"/>
      <c r="GYW230" s="36"/>
      <c r="GYX230" s="36"/>
      <c r="GYY230" s="36"/>
      <c r="GYZ230" s="36"/>
      <c r="GZA230" s="36"/>
      <c r="GZB230" s="36"/>
      <c r="GZC230" s="36"/>
      <c r="GZD230" s="36"/>
      <c r="GZE230" s="36"/>
      <c r="GZF230" s="36"/>
      <c r="GZG230" s="36"/>
      <c r="GZH230" s="36"/>
      <c r="GZI230" s="36"/>
      <c r="GZJ230" s="36"/>
      <c r="GZK230" s="36"/>
      <c r="GZL230" s="36"/>
      <c r="GZM230" s="36"/>
      <c r="GZN230" s="36"/>
      <c r="GZO230" s="36"/>
      <c r="GZP230" s="36"/>
      <c r="GZQ230" s="36"/>
      <c r="GZR230" s="36"/>
      <c r="GZS230" s="36"/>
      <c r="GZT230" s="36"/>
      <c r="GZU230" s="36"/>
      <c r="GZV230" s="36"/>
      <c r="GZW230" s="36"/>
      <c r="GZX230" s="36"/>
      <c r="GZY230" s="36"/>
      <c r="GZZ230" s="36"/>
      <c r="HAA230" s="36"/>
      <c r="HAB230" s="36"/>
      <c r="HAC230" s="36"/>
      <c r="HAD230" s="36"/>
      <c r="HAE230" s="36"/>
      <c r="HAF230" s="36"/>
      <c r="HAG230" s="36"/>
      <c r="HAH230" s="36"/>
      <c r="HAI230" s="36"/>
      <c r="HAJ230" s="36"/>
      <c r="HAK230" s="36"/>
      <c r="HAL230" s="36"/>
      <c r="HAM230" s="36"/>
      <c r="HAN230" s="36"/>
      <c r="HAO230" s="36"/>
      <c r="HAP230" s="36"/>
      <c r="HAQ230" s="36"/>
      <c r="HAR230" s="36"/>
      <c r="HAS230" s="36"/>
      <c r="HAT230" s="36"/>
      <c r="HAU230" s="36"/>
      <c r="HAV230" s="36"/>
      <c r="HAW230" s="36"/>
      <c r="HAX230" s="36"/>
      <c r="HAY230" s="36"/>
      <c r="HAZ230" s="36"/>
      <c r="HBA230" s="36"/>
      <c r="HBB230" s="36"/>
      <c r="HBC230" s="36"/>
      <c r="HBD230" s="36"/>
      <c r="HBE230" s="36"/>
      <c r="HBF230" s="36"/>
      <c r="HBG230" s="36"/>
      <c r="HBH230" s="36"/>
      <c r="HBI230" s="36"/>
      <c r="HBJ230" s="36"/>
      <c r="HBK230" s="36"/>
      <c r="HBL230" s="36"/>
      <c r="HBM230" s="36"/>
      <c r="HBN230" s="36"/>
      <c r="HBO230" s="36"/>
      <c r="HBP230" s="36"/>
      <c r="HBQ230" s="36"/>
      <c r="HBR230" s="36"/>
      <c r="HBS230" s="36"/>
      <c r="HBT230" s="36"/>
      <c r="HBU230" s="36"/>
      <c r="HBV230" s="36"/>
      <c r="HBW230" s="36"/>
      <c r="HBX230" s="36"/>
      <c r="HBY230" s="36"/>
      <c r="HBZ230" s="36"/>
      <c r="HCA230" s="36"/>
      <c r="HCB230" s="36"/>
      <c r="HCC230" s="36"/>
      <c r="HCD230" s="36"/>
      <c r="HCE230" s="36"/>
      <c r="HCF230" s="36"/>
      <c r="HCG230" s="36"/>
      <c r="HCH230" s="36"/>
      <c r="HCI230" s="36"/>
      <c r="HCJ230" s="36"/>
      <c r="HCK230" s="36"/>
      <c r="HCL230" s="36"/>
      <c r="HCM230" s="36"/>
      <c r="HCN230" s="36"/>
      <c r="HCO230" s="36"/>
      <c r="HCP230" s="36"/>
      <c r="HCQ230" s="36"/>
      <c r="HCR230" s="36"/>
      <c r="HCS230" s="36"/>
      <c r="HCT230" s="36"/>
      <c r="HCU230" s="36"/>
      <c r="HCV230" s="36"/>
      <c r="HCW230" s="36"/>
      <c r="HCX230" s="36"/>
      <c r="HCY230" s="36"/>
      <c r="HCZ230" s="36"/>
      <c r="HDA230" s="36"/>
      <c r="HDB230" s="36"/>
      <c r="HDC230" s="36"/>
      <c r="HDD230" s="36"/>
      <c r="HDE230" s="36"/>
      <c r="HDF230" s="36"/>
      <c r="HDG230" s="36"/>
      <c r="HDH230" s="36"/>
      <c r="HDI230" s="36"/>
      <c r="HDJ230" s="36"/>
      <c r="HDK230" s="36"/>
      <c r="HDL230" s="36"/>
      <c r="HDM230" s="36"/>
      <c r="HDN230" s="36"/>
      <c r="HDO230" s="36"/>
      <c r="HDP230" s="36"/>
      <c r="HDQ230" s="36"/>
      <c r="HDR230" s="36"/>
      <c r="HDS230" s="36"/>
      <c r="HDT230" s="36"/>
      <c r="HDU230" s="36"/>
      <c r="HDV230" s="36"/>
      <c r="HDW230" s="36"/>
      <c r="HDX230" s="36"/>
      <c r="HDY230" s="36"/>
      <c r="HDZ230" s="36"/>
      <c r="HEA230" s="36"/>
      <c r="HEB230" s="36"/>
      <c r="HEC230" s="36"/>
      <c r="HED230" s="36"/>
      <c r="HEE230" s="36"/>
      <c r="HEF230" s="36"/>
      <c r="HEG230" s="36"/>
      <c r="HEH230" s="36"/>
      <c r="HEI230" s="36"/>
      <c r="HEJ230" s="36"/>
      <c r="HEK230" s="36"/>
      <c r="HEL230" s="36"/>
      <c r="HEM230" s="36"/>
      <c r="HEN230" s="36"/>
      <c r="HEO230" s="36"/>
      <c r="HEP230" s="36"/>
      <c r="HEQ230" s="36"/>
      <c r="HER230" s="36"/>
      <c r="HES230" s="36"/>
      <c r="HET230" s="36"/>
      <c r="HEU230" s="36"/>
      <c r="HEV230" s="36"/>
      <c r="HEW230" s="36"/>
      <c r="HEX230" s="36"/>
      <c r="HEY230" s="36"/>
      <c r="HEZ230" s="36"/>
      <c r="HFA230" s="36"/>
      <c r="HFB230" s="36"/>
      <c r="HFC230" s="36"/>
      <c r="HFD230" s="36"/>
      <c r="HFE230" s="36"/>
      <c r="HFF230" s="36"/>
      <c r="HFG230" s="36"/>
      <c r="HFH230" s="36"/>
      <c r="HFI230" s="36"/>
      <c r="HFJ230" s="36"/>
      <c r="HFK230" s="36"/>
      <c r="HFL230" s="36"/>
      <c r="HFM230" s="36"/>
      <c r="HFN230" s="36"/>
      <c r="HFO230" s="36"/>
      <c r="HFP230" s="36"/>
      <c r="HFQ230" s="36"/>
      <c r="HFR230" s="36"/>
      <c r="HFS230" s="36"/>
      <c r="HFT230" s="36"/>
      <c r="HFU230" s="36"/>
      <c r="HFV230" s="36"/>
      <c r="HFW230" s="36"/>
      <c r="HFX230" s="36"/>
      <c r="HFY230" s="36"/>
      <c r="HFZ230" s="36"/>
      <c r="HGA230" s="36"/>
      <c r="HGB230" s="36"/>
      <c r="HGC230" s="36"/>
      <c r="HGD230" s="36"/>
      <c r="HGE230" s="36"/>
      <c r="HGF230" s="36"/>
      <c r="HGG230" s="36"/>
      <c r="HGH230" s="36"/>
      <c r="HGI230" s="36"/>
      <c r="HGJ230" s="36"/>
      <c r="HGK230" s="36"/>
      <c r="HGL230" s="36"/>
      <c r="HGM230" s="36"/>
      <c r="HGN230" s="36"/>
      <c r="HGO230" s="36"/>
      <c r="HGP230" s="36"/>
      <c r="HGQ230" s="36"/>
      <c r="HGR230" s="36"/>
      <c r="HGS230" s="36"/>
      <c r="HGT230" s="36"/>
      <c r="HGU230" s="36"/>
      <c r="HGV230" s="36"/>
      <c r="HGW230" s="36"/>
      <c r="HGX230" s="36"/>
      <c r="HGY230" s="36"/>
      <c r="HGZ230" s="36"/>
      <c r="HHA230" s="36"/>
      <c r="HHB230" s="36"/>
      <c r="HHC230" s="36"/>
      <c r="HHD230" s="36"/>
      <c r="HHE230" s="36"/>
      <c r="HHF230" s="36"/>
      <c r="HHG230" s="36"/>
      <c r="HHH230" s="36"/>
      <c r="HHI230" s="36"/>
      <c r="HHJ230" s="36"/>
      <c r="HHK230" s="36"/>
      <c r="HHL230" s="36"/>
      <c r="HHM230" s="36"/>
      <c r="HHN230" s="36"/>
      <c r="HHO230" s="36"/>
      <c r="HHP230" s="36"/>
      <c r="HHQ230" s="36"/>
      <c r="HHR230" s="36"/>
      <c r="HHS230" s="36"/>
      <c r="HHT230" s="36"/>
      <c r="HHU230" s="36"/>
      <c r="HHV230" s="36"/>
      <c r="HHW230" s="36"/>
      <c r="HHX230" s="36"/>
      <c r="HHY230" s="36"/>
      <c r="HHZ230" s="36"/>
      <c r="HIA230" s="36"/>
      <c r="HIB230" s="36"/>
      <c r="HIC230" s="36"/>
      <c r="HID230" s="36"/>
      <c r="HIE230" s="36"/>
      <c r="HIF230" s="36"/>
      <c r="HIG230" s="36"/>
      <c r="HIH230" s="36"/>
      <c r="HII230" s="36"/>
      <c r="HIJ230" s="36"/>
      <c r="HIK230" s="36"/>
      <c r="HIL230" s="36"/>
      <c r="HIM230" s="36"/>
      <c r="HIN230" s="36"/>
      <c r="HIO230" s="36"/>
      <c r="HIP230" s="36"/>
      <c r="HIQ230" s="36"/>
      <c r="HIR230" s="36"/>
      <c r="HIS230" s="36"/>
      <c r="HIT230" s="36"/>
      <c r="HIU230" s="36"/>
      <c r="HIV230" s="36"/>
      <c r="HIW230" s="36"/>
      <c r="HIX230" s="36"/>
      <c r="HIY230" s="36"/>
      <c r="HIZ230" s="36"/>
      <c r="HJA230" s="36"/>
      <c r="HJB230" s="36"/>
      <c r="HJC230" s="36"/>
      <c r="HJD230" s="36"/>
      <c r="HJE230" s="36"/>
      <c r="HJF230" s="36"/>
      <c r="HJG230" s="36"/>
      <c r="HJH230" s="36"/>
      <c r="HJI230" s="36"/>
      <c r="HJJ230" s="36"/>
      <c r="HJK230" s="36"/>
      <c r="HJL230" s="36"/>
      <c r="HJM230" s="36"/>
      <c r="HJN230" s="36"/>
      <c r="HJO230" s="36"/>
      <c r="HJP230" s="36"/>
      <c r="HJQ230" s="36"/>
      <c r="HJR230" s="36"/>
      <c r="HJS230" s="36"/>
      <c r="HJT230" s="36"/>
      <c r="HJU230" s="36"/>
      <c r="HJV230" s="36"/>
      <c r="HJW230" s="36"/>
      <c r="HJX230" s="36"/>
      <c r="HJY230" s="36"/>
      <c r="HJZ230" s="36"/>
      <c r="HKA230" s="36"/>
      <c r="HKB230" s="36"/>
      <c r="HKC230" s="36"/>
      <c r="HKD230" s="36"/>
      <c r="HKE230" s="36"/>
      <c r="HKF230" s="36"/>
      <c r="HKG230" s="36"/>
      <c r="HKH230" s="36"/>
      <c r="HKI230" s="36"/>
      <c r="HKJ230" s="36"/>
      <c r="HKK230" s="36"/>
      <c r="HKL230" s="36"/>
      <c r="HKM230" s="36"/>
      <c r="HKN230" s="36"/>
      <c r="HKO230" s="36"/>
      <c r="HKP230" s="36"/>
      <c r="HKQ230" s="36"/>
      <c r="HKR230" s="36"/>
      <c r="HKS230" s="36"/>
      <c r="HKT230" s="36"/>
      <c r="HKU230" s="36"/>
      <c r="HKV230" s="36"/>
      <c r="HKW230" s="36"/>
      <c r="HKX230" s="36"/>
      <c r="HKY230" s="36"/>
      <c r="HKZ230" s="36"/>
      <c r="HLA230" s="36"/>
      <c r="HLB230" s="36"/>
      <c r="HLC230" s="36"/>
      <c r="HLD230" s="36"/>
      <c r="HLE230" s="36"/>
      <c r="HLF230" s="36"/>
      <c r="HLG230" s="36"/>
      <c r="HLH230" s="36"/>
      <c r="HLI230" s="36"/>
      <c r="HLJ230" s="36"/>
      <c r="HLK230" s="36"/>
      <c r="HLL230" s="36"/>
      <c r="HLM230" s="36"/>
      <c r="HLN230" s="36"/>
      <c r="HLO230" s="36"/>
      <c r="HLP230" s="36"/>
      <c r="HLQ230" s="36"/>
      <c r="HLR230" s="36"/>
      <c r="HLS230" s="36"/>
      <c r="HLT230" s="36"/>
      <c r="HLU230" s="36"/>
      <c r="HLV230" s="36"/>
      <c r="HLW230" s="36"/>
      <c r="HLX230" s="36"/>
      <c r="HLY230" s="36"/>
      <c r="HLZ230" s="36"/>
      <c r="HMA230" s="36"/>
      <c r="HMB230" s="36"/>
      <c r="HMC230" s="36"/>
      <c r="HMD230" s="36"/>
      <c r="HME230" s="36"/>
      <c r="HMF230" s="36"/>
      <c r="HMG230" s="36"/>
      <c r="HMH230" s="36"/>
      <c r="HMI230" s="36"/>
      <c r="HMJ230" s="36"/>
      <c r="HMK230" s="36"/>
      <c r="HML230" s="36"/>
      <c r="HMM230" s="36"/>
      <c r="HMN230" s="36"/>
      <c r="HMO230" s="36"/>
      <c r="HMP230" s="36"/>
      <c r="HMQ230" s="36"/>
      <c r="HMR230" s="36"/>
      <c r="HMS230" s="36"/>
      <c r="HMT230" s="36"/>
      <c r="HMU230" s="36"/>
      <c r="HMV230" s="36"/>
      <c r="HMW230" s="36"/>
      <c r="HMX230" s="36"/>
      <c r="HMY230" s="36"/>
      <c r="HMZ230" s="36"/>
      <c r="HNA230" s="36"/>
      <c r="HNB230" s="36"/>
      <c r="HNC230" s="36"/>
      <c r="HND230" s="36"/>
      <c r="HNE230" s="36"/>
      <c r="HNF230" s="36"/>
      <c r="HNG230" s="36"/>
      <c r="HNH230" s="36"/>
      <c r="HNI230" s="36"/>
      <c r="HNJ230" s="36"/>
      <c r="HNK230" s="36"/>
      <c r="HNL230" s="36"/>
      <c r="HNM230" s="36"/>
      <c r="HNN230" s="36"/>
      <c r="HNO230" s="36"/>
      <c r="HNP230" s="36"/>
      <c r="HNQ230" s="36"/>
      <c r="HNR230" s="36"/>
      <c r="HNS230" s="36"/>
      <c r="HNT230" s="36"/>
      <c r="HNU230" s="36"/>
      <c r="HNV230" s="36"/>
      <c r="HNW230" s="36"/>
      <c r="HNX230" s="36"/>
      <c r="HNY230" s="36"/>
      <c r="HNZ230" s="36"/>
      <c r="HOA230" s="36"/>
      <c r="HOB230" s="36"/>
      <c r="HOC230" s="36"/>
      <c r="HOD230" s="36"/>
      <c r="HOE230" s="36"/>
      <c r="HOF230" s="36"/>
      <c r="HOG230" s="36"/>
      <c r="HOH230" s="36"/>
      <c r="HOI230" s="36"/>
      <c r="HOJ230" s="36"/>
      <c r="HOK230" s="36"/>
      <c r="HOL230" s="36"/>
      <c r="HOM230" s="36"/>
      <c r="HON230" s="36"/>
      <c r="HOO230" s="36"/>
      <c r="HOP230" s="36"/>
      <c r="HOQ230" s="36"/>
      <c r="HOR230" s="36"/>
      <c r="HOS230" s="36"/>
      <c r="HOT230" s="36"/>
      <c r="HOU230" s="36"/>
      <c r="HOV230" s="36"/>
      <c r="HOW230" s="36"/>
      <c r="HOX230" s="36"/>
      <c r="HOY230" s="36"/>
      <c r="HOZ230" s="36"/>
      <c r="HPA230" s="36"/>
      <c r="HPB230" s="36"/>
      <c r="HPC230" s="36"/>
      <c r="HPD230" s="36"/>
      <c r="HPE230" s="36"/>
      <c r="HPF230" s="36"/>
      <c r="HPG230" s="36"/>
      <c r="HPH230" s="36"/>
      <c r="HPI230" s="36"/>
      <c r="HPJ230" s="36"/>
      <c r="HPK230" s="36"/>
      <c r="HPL230" s="36"/>
      <c r="HPM230" s="36"/>
      <c r="HPN230" s="36"/>
      <c r="HPO230" s="36"/>
      <c r="HPP230" s="36"/>
      <c r="HPQ230" s="36"/>
      <c r="HPR230" s="36"/>
      <c r="HPS230" s="36"/>
      <c r="HPT230" s="36"/>
      <c r="HPU230" s="36"/>
      <c r="HPV230" s="36"/>
      <c r="HPW230" s="36"/>
      <c r="HPX230" s="36"/>
      <c r="HPY230" s="36"/>
      <c r="HPZ230" s="36"/>
      <c r="HQA230" s="36"/>
      <c r="HQB230" s="36"/>
      <c r="HQC230" s="36"/>
      <c r="HQD230" s="36"/>
      <c r="HQE230" s="36"/>
      <c r="HQF230" s="36"/>
      <c r="HQG230" s="36"/>
      <c r="HQH230" s="36"/>
      <c r="HQI230" s="36"/>
      <c r="HQJ230" s="36"/>
      <c r="HQK230" s="36"/>
      <c r="HQL230" s="36"/>
      <c r="HQM230" s="36"/>
      <c r="HQN230" s="36"/>
      <c r="HQO230" s="36"/>
      <c r="HQP230" s="36"/>
      <c r="HQQ230" s="36"/>
      <c r="HQR230" s="36"/>
      <c r="HQS230" s="36"/>
      <c r="HQT230" s="36"/>
      <c r="HQU230" s="36"/>
      <c r="HQV230" s="36"/>
      <c r="HQW230" s="36"/>
      <c r="HQX230" s="36"/>
      <c r="HQY230" s="36"/>
      <c r="HQZ230" s="36"/>
      <c r="HRA230" s="36"/>
      <c r="HRB230" s="36"/>
      <c r="HRC230" s="36"/>
      <c r="HRD230" s="36"/>
      <c r="HRE230" s="36"/>
      <c r="HRF230" s="36"/>
      <c r="HRG230" s="36"/>
      <c r="HRH230" s="36"/>
      <c r="HRI230" s="36"/>
      <c r="HRJ230" s="36"/>
      <c r="HRK230" s="36"/>
      <c r="HRL230" s="36"/>
      <c r="HRM230" s="36"/>
      <c r="HRN230" s="36"/>
      <c r="HRO230" s="36"/>
      <c r="HRP230" s="36"/>
      <c r="HRQ230" s="36"/>
      <c r="HRR230" s="36"/>
      <c r="HRS230" s="36"/>
      <c r="HRT230" s="36"/>
      <c r="HRU230" s="36"/>
      <c r="HRV230" s="36"/>
      <c r="HRW230" s="36"/>
      <c r="HRX230" s="36"/>
      <c r="HRY230" s="36"/>
      <c r="HRZ230" s="36"/>
      <c r="HSA230" s="36"/>
      <c r="HSB230" s="36"/>
      <c r="HSC230" s="36"/>
      <c r="HSD230" s="36"/>
      <c r="HSE230" s="36"/>
      <c r="HSF230" s="36"/>
      <c r="HSG230" s="36"/>
      <c r="HSH230" s="36"/>
      <c r="HSI230" s="36"/>
      <c r="HSJ230" s="36"/>
      <c r="HSK230" s="36"/>
      <c r="HSL230" s="36"/>
      <c r="HSM230" s="36"/>
      <c r="HSN230" s="36"/>
      <c r="HSO230" s="36"/>
      <c r="HSP230" s="36"/>
      <c r="HSQ230" s="36"/>
      <c r="HSR230" s="36"/>
      <c r="HSS230" s="36"/>
      <c r="HST230" s="36"/>
      <c r="HSU230" s="36"/>
      <c r="HSV230" s="36"/>
      <c r="HSW230" s="36"/>
      <c r="HSX230" s="36"/>
      <c r="HSY230" s="36"/>
      <c r="HSZ230" s="36"/>
      <c r="HTA230" s="36"/>
      <c r="HTB230" s="36"/>
      <c r="HTC230" s="36"/>
      <c r="HTD230" s="36"/>
      <c r="HTE230" s="36"/>
      <c r="HTF230" s="36"/>
      <c r="HTG230" s="36"/>
      <c r="HTH230" s="36"/>
      <c r="HTI230" s="36"/>
      <c r="HTJ230" s="36"/>
      <c r="HTK230" s="36"/>
      <c r="HTL230" s="36"/>
      <c r="HTM230" s="36"/>
      <c r="HTN230" s="36"/>
      <c r="HTO230" s="36"/>
      <c r="HTP230" s="36"/>
      <c r="HTQ230" s="36"/>
      <c r="HTR230" s="36"/>
      <c r="HTS230" s="36"/>
      <c r="HTT230" s="36"/>
      <c r="HTU230" s="36"/>
      <c r="HTV230" s="36"/>
      <c r="HTW230" s="36"/>
      <c r="HTX230" s="36"/>
      <c r="HTY230" s="36"/>
      <c r="HTZ230" s="36"/>
      <c r="HUA230" s="36"/>
      <c r="HUB230" s="36"/>
      <c r="HUC230" s="36"/>
      <c r="HUD230" s="36"/>
      <c r="HUE230" s="36"/>
      <c r="HUF230" s="36"/>
      <c r="HUG230" s="36"/>
      <c r="HUH230" s="36"/>
      <c r="HUI230" s="36"/>
      <c r="HUJ230" s="36"/>
      <c r="HUK230" s="36"/>
      <c r="HUL230" s="36"/>
      <c r="HUM230" s="36"/>
      <c r="HUN230" s="36"/>
      <c r="HUO230" s="36"/>
      <c r="HUP230" s="36"/>
      <c r="HUQ230" s="36"/>
      <c r="HUR230" s="36"/>
      <c r="HUS230" s="36"/>
      <c r="HUT230" s="36"/>
      <c r="HUU230" s="36"/>
      <c r="HUV230" s="36"/>
      <c r="HUW230" s="36"/>
      <c r="HUX230" s="36"/>
      <c r="HUY230" s="36"/>
      <c r="HUZ230" s="36"/>
      <c r="HVA230" s="36"/>
      <c r="HVB230" s="36"/>
      <c r="HVC230" s="36"/>
      <c r="HVD230" s="36"/>
      <c r="HVE230" s="36"/>
      <c r="HVF230" s="36"/>
      <c r="HVG230" s="36"/>
      <c r="HVH230" s="36"/>
      <c r="HVI230" s="36"/>
      <c r="HVJ230" s="36"/>
      <c r="HVK230" s="36"/>
      <c r="HVL230" s="36"/>
      <c r="HVM230" s="36"/>
      <c r="HVN230" s="36"/>
      <c r="HVO230" s="36"/>
      <c r="HVP230" s="36"/>
      <c r="HVQ230" s="36"/>
      <c r="HVR230" s="36"/>
      <c r="HVS230" s="36"/>
      <c r="HVT230" s="36"/>
      <c r="HVU230" s="36"/>
      <c r="HVV230" s="36"/>
      <c r="HVW230" s="36"/>
      <c r="HVX230" s="36"/>
      <c r="HVY230" s="36"/>
      <c r="HVZ230" s="36"/>
      <c r="HWA230" s="36"/>
      <c r="HWB230" s="36"/>
      <c r="HWC230" s="36"/>
      <c r="HWD230" s="36"/>
      <c r="HWE230" s="36"/>
      <c r="HWF230" s="36"/>
      <c r="HWG230" s="36"/>
      <c r="HWH230" s="36"/>
      <c r="HWI230" s="36"/>
      <c r="HWJ230" s="36"/>
      <c r="HWK230" s="36"/>
      <c r="HWL230" s="36"/>
      <c r="HWM230" s="36"/>
      <c r="HWN230" s="36"/>
      <c r="HWO230" s="36"/>
      <c r="HWP230" s="36"/>
      <c r="HWQ230" s="36"/>
      <c r="HWR230" s="36"/>
      <c r="HWS230" s="36"/>
      <c r="HWT230" s="36"/>
      <c r="HWU230" s="36"/>
      <c r="HWV230" s="36"/>
      <c r="HWW230" s="36"/>
      <c r="HWX230" s="36"/>
      <c r="HWY230" s="36"/>
      <c r="HWZ230" s="36"/>
      <c r="HXA230" s="36"/>
      <c r="HXB230" s="36"/>
      <c r="HXC230" s="36"/>
      <c r="HXD230" s="36"/>
      <c r="HXE230" s="36"/>
      <c r="HXF230" s="36"/>
      <c r="HXG230" s="36"/>
      <c r="HXH230" s="36"/>
      <c r="HXI230" s="36"/>
      <c r="HXJ230" s="36"/>
      <c r="HXK230" s="36"/>
      <c r="HXL230" s="36"/>
      <c r="HXM230" s="36"/>
      <c r="HXN230" s="36"/>
      <c r="HXO230" s="36"/>
      <c r="HXP230" s="36"/>
      <c r="HXQ230" s="36"/>
      <c r="HXR230" s="36"/>
      <c r="HXS230" s="36"/>
      <c r="HXT230" s="36"/>
      <c r="HXU230" s="36"/>
      <c r="HXV230" s="36"/>
      <c r="HXW230" s="36"/>
      <c r="HXX230" s="36"/>
      <c r="HXY230" s="36"/>
      <c r="HXZ230" s="36"/>
      <c r="HYA230" s="36"/>
      <c r="HYB230" s="36"/>
      <c r="HYC230" s="36"/>
      <c r="HYD230" s="36"/>
      <c r="HYE230" s="36"/>
      <c r="HYF230" s="36"/>
      <c r="HYG230" s="36"/>
      <c r="HYH230" s="36"/>
      <c r="HYI230" s="36"/>
      <c r="HYJ230" s="36"/>
      <c r="HYK230" s="36"/>
      <c r="HYL230" s="36"/>
      <c r="HYM230" s="36"/>
      <c r="HYN230" s="36"/>
      <c r="HYO230" s="36"/>
      <c r="HYP230" s="36"/>
      <c r="HYQ230" s="36"/>
      <c r="HYR230" s="36"/>
      <c r="HYS230" s="36"/>
      <c r="HYT230" s="36"/>
      <c r="HYU230" s="36"/>
      <c r="HYV230" s="36"/>
      <c r="HYW230" s="36"/>
      <c r="HYX230" s="36"/>
      <c r="HYY230" s="36"/>
      <c r="HYZ230" s="36"/>
      <c r="HZA230" s="36"/>
      <c r="HZB230" s="36"/>
      <c r="HZC230" s="36"/>
      <c r="HZD230" s="36"/>
      <c r="HZE230" s="36"/>
      <c r="HZF230" s="36"/>
      <c r="HZG230" s="36"/>
      <c r="HZH230" s="36"/>
      <c r="HZI230" s="36"/>
      <c r="HZJ230" s="36"/>
      <c r="HZK230" s="36"/>
      <c r="HZL230" s="36"/>
      <c r="HZM230" s="36"/>
      <c r="HZN230" s="36"/>
      <c r="HZO230" s="36"/>
      <c r="HZP230" s="36"/>
      <c r="HZQ230" s="36"/>
      <c r="HZR230" s="36"/>
      <c r="HZS230" s="36"/>
      <c r="HZT230" s="36"/>
      <c r="HZU230" s="36"/>
      <c r="HZV230" s="36"/>
      <c r="HZW230" s="36"/>
      <c r="HZX230" s="36"/>
      <c r="HZY230" s="36"/>
      <c r="HZZ230" s="36"/>
      <c r="IAA230" s="36"/>
      <c r="IAB230" s="36"/>
      <c r="IAC230" s="36"/>
      <c r="IAD230" s="36"/>
      <c r="IAE230" s="36"/>
      <c r="IAF230" s="36"/>
      <c r="IAG230" s="36"/>
      <c r="IAH230" s="36"/>
      <c r="IAI230" s="36"/>
      <c r="IAJ230" s="36"/>
      <c r="IAK230" s="36"/>
      <c r="IAL230" s="36"/>
      <c r="IAM230" s="36"/>
      <c r="IAN230" s="36"/>
      <c r="IAO230" s="36"/>
      <c r="IAP230" s="36"/>
      <c r="IAQ230" s="36"/>
      <c r="IAR230" s="36"/>
      <c r="IAS230" s="36"/>
      <c r="IAT230" s="36"/>
      <c r="IAU230" s="36"/>
      <c r="IAV230" s="36"/>
      <c r="IAW230" s="36"/>
      <c r="IAX230" s="36"/>
      <c r="IAY230" s="36"/>
      <c r="IAZ230" s="36"/>
      <c r="IBA230" s="36"/>
      <c r="IBB230" s="36"/>
      <c r="IBC230" s="36"/>
      <c r="IBD230" s="36"/>
      <c r="IBE230" s="36"/>
      <c r="IBF230" s="36"/>
      <c r="IBG230" s="36"/>
      <c r="IBH230" s="36"/>
      <c r="IBI230" s="36"/>
      <c r="IBJ230" s="36"/>
      <c r="IBK230" s="36"/>
      <c r="IBL230" s="36"/>
      <c r="IBM230" s="36"/>
      <c r="IBN230" s="36"/>
      <c r="IBO230" s="36"/>
      <c r="IBP230" s="36"/>
      <c r="IBQ230" s="36"/>
      <c r="IBR230" s="36"/>
      <c r="IBS230" s="36"/>
      <c r="IBT230" s="36"/>
      <c r="IBU230" s="36"/>
      <c r="IBV230" s="36"/>
      <c r="IBW230" s="36"/>
      <c r="IBX230" s="36"/>
      <c r="IBY230" s="36"/>
      <c r="IBZ230" s="36"/>
      <c r="ICA230" s="36"/>
      <c r="ICB230" s="36"/>
      <c r="ICC230" s="36"/>
      <c r="ICD230" s="36"/>
      <c r="ICE230" s="36"/>
      <c r="ICF230" s="36"/>
      <c r="ICG230" s="36"/>
      <c r="ICH230" s="36"/>
      <c r="ICI230" s="36"/>
      <c r="ICJ230" s="36"/>
      <c r="ICK230" s="36"/>
      <c r="ICL230" s="36"/>
      <c r="ICM230" s="36"/>
      <c r="ICN230" s="36"/>
      <c r="ICO230" s="36"/>
      <c r="ICP230" s="36"/>
      <c r="ICQ230" s="36"/>
      <c r="ICR230" s="36"/>
      <c r="ICS230" s="36"/>
      <c r="ICT230" s="36"/>
      <c r="ICU230" s="36"/>
      <c r="ICV230" s="36"/>
      <c r="ICW230" s="36"/>
      <c r="ICX230" s="36"/>
      <c r="ICY230" s="36"/>
      <c r="ICZ230" s="36"/>
      <c r="IDA230" s="36"/>
      <c r="IDB230" s="36"/>
      <c r="IDC230" s="36"/>
      <c r="IDD230" s="36"/>
      <c r="IDE230" s="36"/>
      <c r="IDF230" s="36"/>
      <c r="IDG230" s="36"/>
      <c r="IDH230" s="36"/>
      <c r="IDI230" s="36"/>
      <c r="IDJ230" s="36"/>
      <c r="IDK230" s="36"/>
      <c r="IDL230" s="36"/>
      <c r="IDM230" s="36"/>
      <c r="IDN230" s="36"/>
      <c r="IDO230" s="36"/>
      <c r="IDP230" s="36"/>
      <c r="IDQ230" s="36"/>
      <c r="IDR230" s="36"/>
      <c r="IDS230" s="36"/>
      <c r="IDT230" s="36"/>
      <c r="IDU230" s="36"/>
      <c r="IDV230" s="36"/>
      <c r="IDW230" s="36"/>
      <c r="IDX230" s="36"/>
      <c r="IDY230" s="36"/>
      <c r="IDZ230" s="36"/>
      <c r="IEA230" s="36"/>
      <c r="IEB230" s="36"/>
      <c r="IEC230" s="36"/>
      <c r="IED230" s="36"/>
      <c r="IEE230" s="36"/>
      <c r="IEF230" s="36"/>
      <c r="IEG230" s="36"/>
      <c r="IEH230" s="36"/>
      <c r="IEI230" s="36"/>
      <c r="IEJ230" s="36"/>
      <c r="IEK230" s="36"/>
      <c r="IEL230" s="36"/>
      <c r="IEM230" s="36"/>
      <c r="IEN230" s="36"/>
      <c r="IEO230" s="36"/>
      <c r="IEP230" s="36"/>
      <c r="IEQ230" s="36"/>
      <c r="IER230" s="36"/>
      <c r="IES230" s="36"/>
      <c r="IET230" s="36"/>
      <c r="IEU230" s="36"/>
      <c r="IEV230" s="36"/>
      <c r="IEW230" s="36"/>
      <c r="IEX230" s="36"/>
      <c r="IEY230" s="36"/>
      <c r="IEZ230" s="36"/>
      <c r="IFA230" s="36"/>
      <c r="IFB230" s="36"/>
      <c r="IFC230" s="36"/>
      <c r="IFD230" s="36"/>
      <c r="IFE230" s="36"/>
      <c r="IFF230" s="36"/>
      <c r="IFG230" s="36"/>
      <c r="IFH230" s="36"/>
      <c r="IFI230" s="36"/>
      <c r="IFJ230" s="36"/>
      <c r="IFK230" s="36"/>
      <c r="IFL230" s="36"/>
      <c r="IFM230" s="36"/>
      <c r="IFN230" s="36"/>
      <c r="IFO230" s="36"/>
      <c r="IFP230" s="36"/>
      <c r="IFQ230" s="36"/>
      <c r="IFR230" s="36"/>
      <c r="IFS230" s="36"/>
      <c r="IFT230" s="36"/>
      <c r="IFU230" s="36"/>
      <c r="IFV230" s="36"/>
      <c r="IFW230" s="36"/>
      <c r="IFX230" s="36"/>
      <c r="IFY230" s="36"/>
      <c r="IFZ230" s="36"/>
      <c r="IGA230" s="36"/>
      <c r="IGB230" s="36"/>
      <c r="IGC230" s="36"/>
      <c r="IGD230" s="36"/>
      <c r="IGE230" s="36"/>
      <c r="IGF230" s="36"/>
      <c r="IGG230" s="36"/>
      <c r="IGH230" s="36"/>
      <c r="IGI230" s="36"/>
      <c r="IGJ230" s="36"/>
      <c r="IGK230" s="36"/>
      <c r="IGL230" s="36"/>
      <c r="IGM230" s="36"/>
      <c r="IGN230" s="36"/>
      <c r="IGO230" s="36"/>
      <c r="IGP230" s="36"/>
      <c r="IGQ230" s="36"/>
      <c r="IGR230" s="36"/>
      <c r="IGS230" s="36"/>
      <c r="IGT230" s="36"/>
      <c r="IGU230" s="36"/>
      <c r="IGV230" s="36"/>
      <c r="IGW230" s="36"/>
      <c r="IGX230" s="36"/>
      <c r="IGY230" s="36"/>
      <c r="IGZ230" s="36"/>
      <c r="IHA230" s="36"/>
      <c r="IHB230" s="36"/>
      <c r="IHC230" s="36"/>
      <c r="IHD230" s="36"/>
      <c r="IHE230" s="36"/>
      <c r="IHF230" s="36"/>
      <c r="IHG230" s="36"/>
      <c r="IHH230" s="36"/>
      <c r="IHI230" s="36"/>
      <c r="IHJ230" s="36"/>
      <c r="IHK230" s="36"/>
      <c r="IHL230" s="36"/>
      <c r="IHM230" s="36"/>
      <c r="IHN230" s="36"/>
      <c r="IHO230" s="36"/>
      <c r="IHP230" s="36"/>
      <c r="IHQ230" s="36"/>
      <c r="IHR230" s="36"/>
      <c r="IHS230" s="36"/>
      <c r="IHT230" s="36"/>
      <c r="IHU230" s="36"/>
      <c r="IHV230" s="36"/>
      <c r="IHW230" s="36"/>
      <c r="IHX230" s="36"/>
      <c r="IHY230" s="36"/>
      <c r="IHZ230" s="36"/>
      <c r="IIA230" s="36"/>
      <c r="IIB230" s="36"/>
      <c r="IIC230" s="36"/>
      <c r="IID230" s="36"/>
      <c r="IIE230" s="36"/>
      <c r="IIF230" s="36"/>
      <c r="IIG230" s="36"/>
      <c r="IIH230" s="36"/>
      <c r="III230" s="36"/>
      <c r="IIJ230" s="36"/>
      <c r="IIK230" s="36"/>
      <c r="IIL230" s="36"/>
      <c r="IIM230" s="36"/>
      <c r="IIN230" s="36"/>
      <c r="IIO230" s="36"/>
      <c r="IIP230" s="36"/>
      <c r="IIQ230" s="36"/>
      <c r="IIR230" s="36"/>
      <c r="IIS230" s="36"/>
      <c r="IIT230" s="36"/>
      <c r="IIU230" s="36"/>
      <c r="IIV230" s="36"/>
      <c r="IIW230" s="36"/>
      <c r="IIX230" s="36"/>
      <c r="IIY230" s="36"/>
      <c r="IIZ230" s="36"/>
      <c r="IJA230" s="36"/>
      <c r="IJB230" s="36"/>
      <c r="IJC230" s="36"/>
      <c r="IJD230" s="36"/>
      <c r="IJE230" s="36"/>
      <c r="IJF230" s="36"/>
      <c r="IJG230" s="36"/>
      <c r="IJH230" s="36"/>
      <c r="IJI230" s="36"/>
      <c r="IJJ230" s="36"/>
      <c r="IJK230" s="36"/>
      <c r="IJL230" s="36"/>
      <c r="IJM230" s="36"/>
      <c r="IJN230" s="36"/>
      <c r="IJO230" s="36"/>
      <c r="IJP230" s="36"/>
      <c r="IJQ230" s="36"/>
      <c r="IJR230" s="36"/>
      <c r="IJS230" s="36"/>
      <c r="IJT230" s="36"/>
      <c r="IJU230" s="36"/>
      <c r="IJV230" s="36"/>
      <c r="IJW230" s="36"/>
      <c r="IJX230" s="36"/>
      <c r="IJY230" s="36"/>
      <c r="IJZ230" s="36"/>
      <c r="IKA230" s="36"/>
      <c r="IKB230" s="36"/>
      <c r="IKC230" s="36"/>
      <c r="IKD230" s="36"/>
      <c r="IKE230" s="36"/>
      <c r="IKF230" s="36"/>
      <c r="IKG230" s="36"/>
      <c r="IKH230" s="36"/>
      <c r="IKI230" s="36"/>
      <c r="IKJ230" s="36"/>
      <c r="IKK230" s="36"/>
      <c r="IKL230" s="36"/>
      <c r="IKM230" s="36"/>
      <c r="IKN230" s="36"/>
      <c r="IKO230" s="36"/>
      <c r="IKP230" s="36"/>
      <c r="IKQ230" s="36"/>
      <c r="IKR230" s="36"/>
      <c r="IKS230" s="36"/>
      <c r="IKT230" s="36"/>
      <c r="IKU230" s="36"/>
      <c r="IKV230" s="36"/>
      <c r="IKW230" s="36"/>
      <c r="IKX230" s="36"/>
      <c r="IKY230" s="36"/>
      <c r="IKZ230" s="36"/>
      <c r="ILA230" s="36"/>
      <c r="ILB230" s="36"/>
      <c r="ILC230" s="36"/>
      <c r="ILD230" s="36"/>
      <c r="ILE230" s="36"/>
      <c r="ILF230" s="36"/>
      <c r="ILG230" s="36"/>
      <c r="ILH230" s="36"/>
      <c r="ILI230" s="36"/>
      <c r="ILJ230" s="36"/>
      <c r="ILK230" s="36"/>
      <c r="ILL230" s="36"/>
      <c r="ILM230" s="36"/>
      <c r="ILN230" s="36"/>
      <c r="ILO230" s="36"/>
      <c r="ILP230" s="36"/>
      <c r="ILQ230" s="36"/>
      <c r="ILR230" s="36"/>
      <c r="ILS230" s="36"/>
      <c r="ILT230" s="36"/>
      <c r="ILU230" s="36"/>
      <c r="ILV230" s="36"/>
      <c r="ILW230" s="36"/>
      <c r="ILX230" s="36"/>
      <c r="ILY230" s="36"/>
      <c r="ILZ230" s="36"/>
      <c r="IMA230" s="36"/>
      <c r="IMB230" s="36"/>
      <c r="IMC230" s="36"/>
      <c r="IMD230" s="36"/>
      <c r="IME230" s="36"/>
      <c r="IMF230" s="36"/>
      <c r="IMG230" s="36"/>
      <c r="IMH230" s="36"/>
      <c r="IMI230" s="36"/>
      <c r="IMJ230" s="36"/>
      <c r="IMK230" s="36"/>
      <c r="IML230" s="36"/>
      <c r="IMM230" s="36"/>
      <c r="IMN230" s="36"/>
      <c r="IMO230" s="36"/>
      <c r="IMP230" s="36"/>
      <c r="IMQ230" s="36"/>
      <c r="IMR230" s="36"/>
      <c r="IMS230" s="36"/>
      <c r="IMT230" s="36"/>
      <c r="IMU230" s="36"/>
      <c r="IMV230" s="36"/>
      <c r="IMW230" s="36"/>
      <c r="IMX230" s="36"/>
      <c r="IMY230" s="36"/>
      <c r="IMZ230" s="36"/>
      <c r="INA230" s="36"/>
      <c r="INB230" s="36"/>
      <c r="INC230" s="36"/>
      <c r="IND230" s="36"/>
      <c r="INE230" s="36"/>
      <c r="INF230" s="36"/>
      <c r="ING230" s="36"/>
      <c r="INH230" s="36"/>
      <c r="INI230" s="36"/>
      <c r="INJ230" s="36"/>
      <c r="INK230" s="36"/>
      <c r="INL230" s="36"/>
      <c r="INM230" s="36"/>
      <c r="INN230" s="36"/>
      <c r="INO230" s="36"/>
      <c r="INP230" s="36"/>
      <c r="INQ230" s="36"/>
      <c r="INR230" s="36"/>
      <c r="INS230" s="36"/>
      <c r="INT230" s="36"/>
      <c r="INU230" s="36"/>
      <c r="INV230" s="36"/>
      <c r="INW230" s="36"/>
      <c r="INX230" s="36"/>
      <c r="INY230" s="36"/>
      <c r="INZ230" s="36"/>
      <c r="IOA230" s="36"/>
      <c r="IOB230" s="36"/>
      <c r="IOC230" s="36"/>
      <c r="IOD230" s="36"/>
      <c r="IOE230" s="36"/>
      <c r="IOF230" s="36"/>
      <c r="IOG230" s="36"/>
      <c r="IOH230" s="36"/>
      <c r="IOI230" s="36"/>
      <c r="IOJ230" s="36"/>
      <c r="IOK230" s="36"/>
      <c r="IOL230" s="36"/>
      <c r="IOM230" s="36"/>
      <c r="ION230" s="36"/>
      <c r="IOO230" s="36"/>
      <c r="IOP230" s="36"/>
      <c r="IOQ230" s="36"/>
      <c r="IOR230" s="36"/>
      <c r="IOS230" s="36"/>
      <c r="IOT230" s="36"/>
      <c r="IOU230" s="36"/>
      <c r="IOV230" s="36"/>
      <c r="IOW230" s="36"/>
      <c r="IOX230" s="36"/>
      <c r="IOY230" s="36"/>
      <c r="IOZ230" s="36"/>
      <c r="IPA230" s="36"/>
      <c r="IPB230" s="36"/>
      <c r="IPC230" s="36"/>
      <c r="IPD230" s="36"/>
      <c r="IPE230" s="36"/>
      <c r="IPF230" s="36"/>
      <c r="IPG230" s="36"/>
      <c r="IPH230" s="36"/>
      <c r="IPI230" s="36"/>
      <c r="IPJ230" s="36"/>
      <c r="IPK230" s="36"/>
      <c r="IPL230" s="36"/>
      <c r="IPM230" s="36"/>
      <c r="IPN230" s="36"/>
      <c r="IPO230" s="36"/>
      <c r="IPP230" s="36"/>
      <c r="IPQ230" s="36"/>
      <c r="IPR230" s="36"/>
      <c r="IPS230" s="36"/>
      <c r="IPT230" s="36"/>
      <c r="IPU230" s="36"/>
      <c r="IPV230" s="36"/>
      <c r="IPW230" s="36"/>
      <c r="IPX230" s="36"/>
      <c r="IPY230" s="36"/>
      <c r="IPZ230" s="36"/>
      <c r="IQA230" s="36"/>
      <c r="IQB230" s="36"/>
      <c r="IQC230" s="36"/>
      <c r="IQD230" s="36"/>
      <c r="IQE230" s="36"/>
      <c r="IQF230" s="36"/>
      <c r="IQG230" s="36"/>
      <c r="IQH230" s="36"/>
      <c r="IQI230" s="36"/>
      <c r="IQJ230" s="36"/>
      <c r="IQK230" s="36"/>
      <c r="IQL230" s="36"/>
      <c r="IQM230" s="36"/>
      <c r="IQN230" s="36"/>
      <c r="IQO230" s="36"/>
      <c r="IQP230" s="36"/>
      <c r="IQQ230" s="36"/>
      <c r="IQR230" s="36"/>
      <c r="IQS230" s="36"/>
      <c r="IQT230" s="36"/>
      <c r="IQU230" s="36"/>
      <c r="IQV230" s="36"/>
      <c r="IQW230" s="36"/>
      <c r="IQX230" s="36"/>
      <c r="IQY230" s="36"/>
      <c r="IQZ230" s="36"/>
      <c r="IRA230" s="36"/>
      <c r="IRB230" s="36"/>
      <c r="IRC230" s="36"/>
      <c r="IRD230" s="36"/>
      <c r="IRE230" s="36"/>
      <c r="IRF230" s="36"/>
      <c r="IRG230" s="36"/>
      <c r="IRH230" s="36"/>
      <c r="IRI230" s="36"/>
      <c r="IRJ230" s="36"/>
      <c r="IRK230" s="36"/>
      <c r="IRL230" s="36"/>
      <c r="IRM230" s="36"/>
      <c r="IRN230" s="36"/>
      <c r="IRO230" s="36"/>
      <c r="IRP230" s="36"/>
      <c r="IRQ230" s="36"/>
      <c r="IRR230" s="36"/>
      <c r="IRS230" s="36"/>
      <c r="IRT230" s="36"/>
      <c r="IRU230" s="36"/>
      <c r="IRV230" s="36"/>
      <c r="IRW230" s="36"/>
      <c r="IRX230" s="36"/>
      <c r="IRY230" s="36"/>
      <c r="IRZ230" s="36"/>
      <c r="ISA230" s="36"/>
      <c r="ISB230" s="36"/>
      <c r="ISC230" s="36"/>
      <c r="ISD230" s="36"/>
      <c r="ISE230" s="36"/>
      <c r="ISF230" s="36"/>
      <c r="ISG230" s="36"/>
      <c r="ISH230" s="36"/>
      <c r="ISI230" s="36"/>
      <c r="ISJ230" s="36"/>
      <c r="ISK230" s="36"/>
      <c r="ISL230" s="36"/>
      <c r="ISM230" s="36"/>
      <c r="ISN230" s="36"/>
      <c r="ISO230" s="36"/>
      <c r="ISP230" s="36"/>
      <c r="ISQ230" s="36"/>
      <c r="ISR230" s="36"/>
      <c r="ISS230" s="36"/>
      <c r="IST230" s="36"/>
      <c r="ISU230" s="36"/>
      <c r="ISV230" s="36"/>
      <c r="ISW230" s="36"/>
      <c r="ISX230" s="36"/>
      <c r="ISY230" s="36"/>
      <c r="ISZ230" s="36"/>
      <c r="ITA230" s="36"/>
      <c r="ITB230" s="36"/>
      <c r="ITC230" s="36"/>
      <c r="ITD230" s="36"/>
      <c r="ITE230" s="36"/>
      <c r="ITF230" s="36"/>
      <c r="ITG230" s="36"/>
      <c r="ITH230" s="36"/>
      <c r="ITI230" s="36"/>
      <c r="ITJ230" s="36"/>
      <c r="ITK230" s="36"/>
      <c r="ITL230" s="36"/>
      <c r="ITM230" s="36"/>
      <c r="ITN230" s="36"/>
      <c r="ITO230" s="36"/>
      <c r="ITP230" s="36"/>
      <c r="ITQ230" s="36"/>
      <c r="ITR230" s="36"/>
      <c r="ITS230" s="36"/>
      <c r="ITT230" s="36"/>
      <c r="ITU230" s="36"/>
      <c r="ITV230" s="36"/>
      <c r="ITW230" s="36"/>
      <c r="ITX230" s="36"/>
      <c r="ITY230" s="36"/>
      <c r="ITZ230" s="36"/>
      <c r="IUA230" s="36"/>
      <c r="IUB230" s="36"/>
      <c r="IUC230" s="36"/>
      <c r="IUD230" s="36"/>
      <c r="IUE230" s="36"/>
      <c r="IUF230" s="36"/>
      <c r="IUG230" s="36"/>
      <c r="IUH230" s="36"/>
      <c r="IUI230" s="36"/>
      <c r="IUJ230" s="36"/>
      <c r="IUK230" s="36"/>
      <c r="IUL230" s="36"/>
      <c r="IUM230" s="36"/>
      <c r="IUN230" s="36"/>
      <c r="IUO230" s="36"/>
      <c r="IUP230" s="36"/>
      <c r="IUQ230" s="36"/>
      <c r="IUR230" s="36"/>
      <c r="IUS230" s="36"/>
      <c r="IUT230" s="36"/>
      <c r="IUU230" s="36"/>
      <c r="IUV230" s="36"/>
      <c r="IUW230" s="36"/>
      <c r="IUX230" s="36"/>
      <c r="IUY230" s="36"/>
      <c r="IUZ230" s="36"/>
      <c r="IVA230" s="36"/>
      <c r="IVB230" s="36"/>
      <c r="IVC230" s="36"/>
      <c r="IVD230" s="36"/>
      <c r="IVE230" s="36"/>
      <c r="IVF230" s="36"/>
      <c r="IVG230" s="36"/>
      <c r="IVH230" s="36"/>
      <c r="IVI230" s="36"/>
      <c r="IVJ230" s="36"/>
      <c r="IVK230" s="36"/>
      <c r="IVL230" s="36"/>
      <c r="IVM230" s="36"/>
      <c r="IVN230" s="36"/>
      <c r="IVO230" s="36"/>
      <c r="IVP230" s="36"/>
      <c r="IVQ230" s="36"/>
      <c r="IVR230" s="36"/>
      <c r="IVS230" s="36"/>
      <c r="IVT230" s="36"/>
      <c r="IVU230" s="36"/>
      <c r="IVV230" s="36"/>
      <c r="IVW230" s="36"/>
      <c r="IVX230" s="36"/>
      <c r="IVY230" s="36"/>
      <c r="IVZ230" s="36"/>
      <c r="IWA230" s="36"/>
      <c r="IWB230" s="36"/>
      <c r="IWC230" s="36"/>
      <c r="IWD230" s="36"/>
      <c r="IWE230" s="36"/>
      <c r="IWF230" s="36"/>
      <c r="IWG230" s="36"/>
      <c r="IWH230" s="36"/>
      <c r="IWI230" s="36"/>
      <c r="IWJ230" s="36"/>
      <c r="IWK230" s="36"/>
      <c r="IWL230" s="36"/>
      <c r="IWM230" s="36"/>
      <c r="IWN230" s="36"/>
      <c r="IWO230" s="36"/>
      <c r="IWP230" s="36"/>
      <c r="IWQ230" s="36"/>
      <c r="IWR230" s="36"/>
      <c r="IWS230" s="36"/>
      <c r="IWT230" s="36"/>
      <c r="IWU230" s="36"/>
      <c r="IWV230" s="36"/>
      <c r="IWW230" s="36"/>
      <c r="IWX230" s="36"/>
      <c r="IWY230" s="36"/>
      <c r="IWZ230" s="36"/>
      <c r="IXA230" s="36"/>
      <c r="IXB230" s="36"/>
      <c r="IXC230" s="36"/>
      <c r="IXD230" s="36"/>
      <c r="IXE230" s="36"/>
      <c r="IXF230" s="36"/>
      <c r="IXG230" s="36"/>
      <c r="IXH230" s="36"/>
      <c r="IXI230" s="36"/>
      <c r="IXJ230" s="36"/>
      <c r="IXK230" s="36"/>
      <c r="IXL230" s="36"/>
      <c r="IXM230" s="36"/>
      <c r="IXN230" s="36"/>
      <c r="IXO230" s="36"/>
      <c r="IXP230" s="36"/>
      <c r="IXQ230" s="36"/>
      <c r="IXR230" s="36"/>
      <c r="IXS230" s="36"/>
      <c r="IXT230" s="36"/>
      <c r="IXU230" s="36"/>
      <c r="IXV230" s="36"/>
      <c r="IXW230" s="36"/>
      <c r="IXX230" s="36"/>
      <c r="IXY230" s="36"/>
      <c r="IXZ230" s="36"/>
      <c r="IYA230" s="36"/>
      <c r="IYB230" s="36"/>
      <c r="IYC230" s="36"/>
      <c r="IYD230" s="36"/>
      <c r="IYE230" s="36"/>
      <c r="IYF230" s="36"/>
      <c r="IYG230" s="36"/>
      <c r="IYH230" s="36"/>
      <c r="IYI230" s="36"/>
      <c r="IYJ230" s="36"/>
      <c r="IYK230" s="36"/>
      <c r="IYL230" s="36"/>
      <c r="IYM230" s="36"/>
      <c r="IYN230" s="36"/>
      <c r="IYO230" s="36"/>
      <c r="IYP230" s="36"/>
      <c r="IYQ230" s="36"/>
      <c r="IYR230" s="36"/>
      <c r="IYS230" s="36"/>
      <c r="IYT230" s="36"/>
      <c r="IYU230" s="36"/>
      <c r="IYV230" s="36"/>
      <c r="IYW230" s="36"/>
      <c r="IYX230" s="36"/>
      <c r="IYY230" s="36"/>
      <c r="IYZ230" s="36"/>
      <c r="IZA230" s="36"/>
      <c r="IZB230" s="36"/>
      <c r="IZC230" s="36"/>
      <c r="IZD230" s="36"/>
      <c r="IZE230" s="36"/>
      <c r="IZF230" s="36"/>
      <c r="IZG230" s="36"/>
      <c r="IZH230" s="36"/>
      <c r="IZI230" s="36"/>
      <c r="IZJ230" s="36"/>
      <c r="IZK230" s="36"/>
      <c r="IZL230" s="36"/>
      <c r="IZM230" s="36"/>
      <c r="IZN230" s="36"/>
      <c r="IZO230" s="36"/>
      <c r="IZP230" s="36"/>
      <c r="IZQ230" s="36"/>
      <c r="IZR230" s="36"/>
      <c r="IZS230" s="36"/>
      <c r="IZT230" s="36"/>
      <c r="IZU230" s="36"/>
      <c r="IZV230" s="36"/>
      <c r="IZW230" s="36"/>
      <c r="IZX230" s="36"/>
      <c r="IZY230" s="36"/>
      <c r="IZZ230" s="36"/>
      <c r="JAA230" s="36"/>
      <c r="JAB230" s="36"/>
      <c r="JAC230" s="36"/>
      <c r="JAD230" s="36"/>
      <c r="JAE230" s="36"/>
      <c r="JAF230" s="36"/>
      <c r="JAG230" s="36"/>
      <c r="JAH230" s="36"/>
      <c r="JAI230" s="36"/>
      <c r="JAJ230" s="36"/>
      <c r="JAK230" s="36"/>
      <c r="JAL230" s="36"/>
      <c r="JAM230" s="36"/>
      <c r="JAN230" s="36"/>
      <c r="JAO230" s="36"/>
      <c r="JAP230" s="36"/>
      <c r="JAQ230" s="36"/>
      <c r="JAR230" s="36"/>
      <c r="JAS230" s="36"/>
      <c r="JAT230" s="36"/>
      <c r="JAU230" s="36"/>
      <c r="JAV230" s="36"/>
      <c r="JAW230" s="36"/>
      <c r="JAX230" s="36"/>
      <c r="JAY230" s="36"/>
      <c r="JAZ230" s="36"/>
      <c r="JBA230" s="36"/>
      <c r="JBB230" s="36"/>
      <c r="JBC230" s="36"/>
      <c r="JBD230" s="36"/>
      <c r="JBE230" s="36"/>
      <c r="JBF230" s="36"/>
      <c r="JBG230" s="36"/>
      <c r="JBH230" s="36"/>
      <c r="JBI230" s="36"/>
      <c r="JBJ230" s="36"/>
      <c r="JBK230" s="36"/>
      <c r="JBL230" s="36"/>
      <c r="JBM230" s="36"/>
      <c r="JBN230" s="36"/>
      <c r="JBO230" s="36"/>
      <c r="JBP230" s="36"/>
      <c r="JBQ230" s="36"/>
      <c r="JBR230" s="36"/>
      <c r="JBS230" s="36"/>
      <c r="JBT230" s="36"/>
      <c r="JBU230" s="36"/>
      <c r="JBV230" s="36"/>
      <c r="JBW230" s="36"/>
      <c r="JBX230" s="36"/>
      <c r="JBY230" s="36"/>
      <c r="JBZ230" s="36"/>
      <c r="JCA230" s="36"/>
      <c r="JCB230" s="36"/>
      <c r="JCC230" s="36"/>
      <c r="JCD230" s="36"/>
      <c r="JCE230" s="36"/>
      <c r="JCF230" s="36"/>
      <c r="JCG230" s="36"/>
      <c r="JCH230" s="36"/>
      <c r="JCI230" s="36"/>
      <c r="JCJ230" s="36"/>
      <c r="JCK230" s="36"/>
      <c r="JCL230" s="36"/>
      <c r="JCM230" s="36"/>
      <c r="JCN230" s="36"/>
      <c r="JCO230" s="36"/>
      <c r="JCP230" s="36"/>
      <c r="JCQ230" s="36"/>
      <c r="JCR230" s="36"/>
      <c r="JCS230" s="36"/>
      <c r="JCT230" s="36"/>
      <c r="JCU230" s="36"/>
      <c r="JCV230" s="36"/>
      <c r="JCW230" s="36"/>
      <c r="JCX230" s="36"/>
      <c r="JCY230" s="36"/>
      <c r="JCZ230" s="36"/>
      <c r="JDA230" s="36"/>
      <c r="JDB230" s="36"/>
      <c r="JDC230" s="36"/>
      <c r="JDD230" s="36"/>
      <c r="JDE230" s="36"/>
      <c r="JDF230" s="36"/>
      <c r="JDG230" s="36"/>
      <c r="JDH230" s="36"/>
      <c r="JDI230" s="36"/>
      <c r="JDJ230" s="36"/>
      <c r="JDK230" s="36"/>
      <c r="JDL230" s="36"/>
      <c r="JDM230" s="36"/>
      <c r="JDN230" s="36"/>
      <c r="JDO230" s="36"/>
      <c r="JDP230" s="36"/>
      <c r="JDQ230" s="36"/>
      <c r="JDR230" s="36"/>
      <c r="JDS230" s="36"/>
      <c r="JDT230" s="36"/>
      <c r="JDU230" s="36"/>
      <c r="JDV230" s="36"/>
      <c r="JDW230" s="36"/>
      <c r="JDX230" s="36"/>
      <c r="JDY230" s="36"/>
      <c r="JDZ230" s="36"/>
      <c r="JEA230" s="36"/>
      <c r="JEB230" s="36"/>
      <c r="JEC230" s="36"/>
      <c r="JED230" s="36"/>
      <c r="JEE230" s="36"/>
      <c r="JEF230" s="36"/>
      <c r="JEG230" s="36"/>
      <c r="JEH230" s="36"/>
      <c r="JEI230" s="36"/>
      <c r="JEJ230" s="36"/>
      <c r="JEK230" s="36"/>
      <c r="JEL230" s="36"/>
      <c r="JEM230" s="36"/>
      <c r="JEN230" s="36"/>
      <c r="JEO230" s="36"/>
      <c r="JEP230" s="36"/>
      <c r="JEQ230" s="36"/>
      <c r="JER230" s="36"/>
      <c r="JES230" s="36"/>
      <c r="JET230" s="36"/>
      <c r="JEU230" s="36"/>
      <c r="JEV230" s="36"/>
      <c r="JEW230" s="36"/>
      <c r="JEX230" s="36"/>
      <c r="JEY230" s="36"/>
      <c r="JEZ230" s="36"/>
      <c r="JFA230" s="36"/>
      <c r="JFB230" s="36"/>
      <c r="JFC230" s="36"/>
      <c r="JFD230" s="36"/>
      <c r="JFE230" s="36"/>
      <c r="JFF230" s="36"/>
      <c r="JFG230" s="36"/>
      <c r="JFH230" s="36"/>
      <c r="JFI230" s="36"/>
      <c r="JFJ230" s="36"/>
      <c r="JFK230" s="36"/>
      <c r="JFL230" s="36"/>
      <c r="JFM230" s="36"/>
      <c r="JFN230" s="36"/>
      <c r="JFO230" s="36"/>
      <c r="JFP230" s="36"/>
      <c r="JFQ230" s="36"/>
      <c r="JFR230" s="36"/>
      <c r="JFS230" s="36"/>
      <c r="JFT230" s="36"/>
      <c r="JFU230" s="36"/>
      <c r="JFV230" s="36"/>
      <c r="JFW230" s="36"/>
      <c r="JFX230" s="36"/>
      <c r="JFY230" s="36"/>
      <c r="JFZ230" s="36"/>
      <c r="JGA230" s="36"/>
      <c r="JGB230" s="36"/>
      <c r="JGC230" s="36"/>
      <c r="JGD230" s="36"/>
      <c r="JGE230" s="36"/>
      <c r="JGF230" s="36"/>
      <c r="JGG230" s="36"/>
      <c r="JGH230" s="36"/>
      <c r="JGI230" s="36"/>
      <c r="JGJ230" s="36"/>
      <c r="JGK230" s="36"/>
      <c r="JGL230" s="36"/>
      <c r="JGM230" s="36"/>
      <c r="JGN230" s="36"/>
      <c r="JGO230" s="36"/>
      <c r="JGP230" s="36"/>
      <c r="JGQ230" s="36"/>
      <c r="JGR230" s="36"/>
      <c r="JGS230" s="36"/>
      <c r="JGT230" s="36"/>
      <c r="JGU230" s="36"/>
      <c r="JGV230" s="36"/>
      <c r="JGW230" s="36"/>
      <c r="JGX230" s="36"/>
      <c r="JGY230" s="36"/>
      <c r="JGZ230" s="36"/>
      <c r="JHA230" s="36"/>
      <c r="JHB230" s="36"/>
      <c r="JHC230" s="36"/>
      <c r="JHD230" s="36"/>
      <c r="JHE230" s="36"/>
      <c r="JHF230" s="36"/>
      <c r="JHG230" s="36"/>
      <c r="JHH230" s="36"/>
      <c r="JHI230" s="36"/>
      <c r="JHJ230" s="36"/>
      <c r="JHK230" s="36"/>
      <c r="JHL230" s="36"/>
      <c r="JHM230" s="36"/>
      <c r="JHN230" s="36"/>
      <c r="JHO230" s="36"/>
      <c r="JHP230" s="36"/>
      <c r="JHQ230" s="36"/>
      <c r="JHR230" s="36"/>
      <c r="JHS230" s="36"/>
      <c r="JHT230" s="36"/>
      <c r="JHU230" s="36"/>
      <c r="JHV230" s="36"/>
      <c r="JHW230" s="36"/>
      <c r="JHX230" s="36"/>
      <c r="JHY230" s="36"/>
      <c r="JHZ230" s="36"/>
      <c r="JIA230" s="36"/>
      <c r="JIB230" s="36"/>
      <c r="JIC230" s="36"/>
      <c r="JID230" s="36"/>
      <c r="JIE230" s="36"/>
      <c r="JIF230" s="36"/>
      <c r="JIG230" s="36"/>
      <c r="JIH230" s="36"/>
      <c r="JII230" s="36"/>
      <c r="JIJ230" s="36"/>
      <c r="JIK230" s="36"/>
      <c r="JIL230" s="36"/>
      <c r="JIM230" s="36"/>
      <c r="JIN230" s="36"/>
      <c r="JIO230" s="36"/>
      <c r="JIP230" s="36"/>
      <c r="JIQ230" s="36"/>
      <c r="JIR230" s="36"/>
      <c r="JIS230" s="36"/>
      <c r="JIT230" s="36"/>
      <c r="JIU230" s="36"/>
      <c r="JIV230" s="36"/>
      <c r="JIW230" s="36"/>
      <c r="JIX230" s="36"/>
      <c r="JIY230" s="36"/>
      <c r="JIZ230" s="36"/>
      <c r="JJA230" s="36"/>
      <c r="JJB230" s="36"/>
      <c r="JJC230" s="36"/>
      <c r="JJD230" s="36"/>
      <c r="JJE230" s="36"/>
      <c r="JJF230" s="36"/>
      <c r="JJG230" s="36"/>
      <c r="JJH230" s="36"/>
      <c r="JJI230" s="36"/>
      <c r="JJJ230" s="36"/>
      <c r="JJK230" s="36"/>
      <c r="JJL230" s="36"/>
      <c r="JJM230" s="36"/>
      <c r="JJN230" s="36"/>
      <c r="JJO230" s="36"/>
      <c r="JJP230" s="36"/>
      <c r="JJQ230" s="36"/>
      <c r="JJR230" s="36"/>
      <c r="JJS230" s="36"/>
      <c r="JJT230" s="36"/>
      <c r="JJU230" s="36"/>
      <c r="JJV230" s="36"/>
      <c r="JJW230" s="36"/>
      <c r="JJX230" s="36"/>
      <c r="JJY230" s="36"/>
      <c r="JJZ230" s="36"/>
      <c r="JKA230" s="36"/>
      <c r="JKB230" s="36"/>
      <c r="JKC230" s="36"/>
      <c r="JKD230" s="36"/>
      <c r="JKE230" s="36"/>
      <c r="JKF230" s="36"/>
      <c r="JKG230" s="36"/>
      <c r="JKH230" s="36"/>
      <c r="JKI230" s="36"/>
      <c r="JKJ230" s="36"/>
      <c r="JKK230" s="36"/>
      <c r="JKL230" s="36"/>
      <c r="JKM230" s="36"/>
      <c r="JKN230" s="36"/>
      <c r="JKO230" s="36"/>
      <c r="JKP230" s="36"/>
      <c r="JKQ230" s="36"/>
      <c r="JKR230" s="36"/>
      <c r="JKS230" s="36"/>
      <c r="JKT230" s="36"/>
      <c r="JKU230" s="36"/>
      <c r="JKV230" s="36"/>
      <c r="JKW230" s="36"/>
      <c r="JKX230" s="36"/>
      <c r="JKY230" s="36"/>
      <c r="JKZ230" s="36"/>
      <c r="JLA230" s="36"/>
      <c r="JLB230" s="36"/>
      <c r="JLC230" s="36"/>
      <c r="JLD230" s="36"/>
      <c r="JLE230" s="36"/>
      <c r="JLF230" s="36"/>
      <c r="JLG230" s="36"/>
      <c r="JLH230" s="36"/>
      <c r="JLI230" s="36"/>
      <c r="JLJ230" s="36"/>
      <c r="JLK230" s="36"/>
      <c r="JLL230" s="36"/>
      <c r="JLM230" s="36"/>
      <c r="JLN230" s="36"/>
      <c r="JLO230" s="36"/>
      <c r="JLP230" s="36"/>
      <c r="JLQ230" s="36"/>
      <c r="JLR230" s="36"/>
      <c r="JLS230" s="36"/>
      <c r="JLT230" s="36"/>
      <c r="JLU230" s="36"/>
      <c r="JLV230" s="36"/>
      <c r="JLW230" s="36"/>
      <c r="JLX230" s="36"/>
      <c r="JLY230" s="36"/>
      <c r="JLZ230" s="36"/>
      <c r="JMA230" s="36"/>
      <c r="JMB230" s="36"/>
      <c r="JMC230" s="36"/>
      <c r="JMD230" s="36"/>
      <c r="JME230" s="36"/>
      <c r="JMF230" s="36"/>
      <c r="JMG230" s="36"/>
      <c r="JMH230" s="36"/>
      <c r="JMI230" s="36"/>
      <c r="JMJ230" s="36"/>
      <c r="JMK230" s="36"/>
      <c r="JML230" s="36"/>
      <c r="JMM230" s="36"/>
      <c r="JMN230" s="36"/>
      <c r="JMO230" s="36"/>
      <c r="JMP230" s="36"/>
      <c r="JMQ230" s="36"/>
      <c r="JMR230" s="36"/>
      <c r="JMS230" s="36"/>
      <c r="JMT230" s="36"/>
      <c r="JMU230" s="36"/>
      <c r="JMV230" s="36"/>
      <c r="JMW230" s="36"/>
      <c r="JMX230" s="36"/>
      <c r="JMY230" s="36"/>
      <c r="JMZ230" s="36"/>
      <c r="JNA230" s="36"/>
      <c r="JNB230" s="36"/>
      <c r="JNC230" s="36"/>
      <c r="JND230" s="36"/>
      <c r="JNE230" s="36"/>
      <c r="JNF230" s="36"/>
      <c r="JNG230" s="36"/>
      <c r="JNH230" s="36"/>
      <c r="JNI230" s="36"/>
      <c r="JNJ230" s="36"/>
      <c r="JNK230" s="36"/>
      <c r="JNL230" s="36"/>
      <c r="JNM230" s="36"/>
      <c r="JNN230" s="36"/>
      <c r="JNO230" s="36"/>
      <c r="JNP230" s="36"/>
      <c r="JNQ230" s="36"/>
      <c r="JNR230" s="36"/>
      <c r="JNS230" s="36"/>
      <c r="JNT230" s="36"/>
      <c r="JNU230" s="36"/>
      <c r="JNV230" s="36"/>
      <c r="JNW230" s="36"/>
      <c r="JNX230" s="36"/>
      <c r="JNY230" s="36"/>
      <c r="JNZ230" s="36"/>
      <c r="JOA230" s="36"/>
      <c r="JOB230" s="36"/>
      <c r="JOC230" s="36"/>
      <c r="JOD230" s="36"/>
      <c r="JOE230" s="36"/>
      <c r="JOF230" s="36"/>
      <c r="JOG230" s="36"/>
      <c r="JOH230" s="36"/>
      <c r="JOI230" s="36"/>
      <c r="JOJ230" s="36"/>
      <c r="JOK230" s="36"/>
      <c r="JOL230" s="36"/>
      <c r="JOM230" s="36"/>
      <c r="JON230" s="36"/>
      <c r="JOO230" s="36"/>
      <c r="JOP230" s="36"/>
      <c r="JOQ230" s="36"/>
      <c r="JOR230" s="36"/>
      <c r="JOS230" s="36"/>
      <c r="JOT230" s="36"/>
      <c r="JOU230" s="36"/>
      <c r="JOV230" s="36"/>
      <c r="JOW230" s="36"/>
      <c r="JOX230" s="36"/>
      <c r="JOY230" s="36"/>
      <c r="JOZ230" s="36"/>
      <c r="JPA230" s="36"/>
      <c r="JPB230" s="36"/>
      <c r="JPC230" s="36"/>
      <c r="JPD230" s="36"/>
      <c r="JPE230" s="36"/>
      <c r="JPF230" s="36"/>
      <c r="JPG230" s="36"/>
      <c r="JPH230" s="36"/>
      <c r="JPI230" s="36"/>
      <c r="JPJ230" s="36"/>
      <c r="JPK230" s="36"/>
      <c r="JPL230" s="36"/>
      <c r="JPM230" s="36"/>
      <c r="JPN230" s="36"/>
      <c r="JPO230" s="36"/>
      <c r="JPP230" s="36"/>
      <c r="JPQ230" s="36"/>
      <c r="JPR230" s="36"/>
      <c r="JPS230" s="36"/>
      <c r="JPT230" s="36"/>
      <c r="JPU230" s="36"/>
      <c r="JPV230" s="36"/>
      <c r="JPW230" s="36"/>
      <c r="JPX230" s="36"/>
      <c r="JPY230" s="36"/>
      <c r="JPZ230" s="36"/>
      <c r="JQA230" s="36"/>
      <c r="JQB230" s="36"/>
      <c r="JQC230" s="36"/>
      <c r="JQD230" s="36"/>
      <c r="JQE230" s="36"/>
      <c r="JQF230" s="36"/>
      <c r="JQG230" s="36"/>
      <c r="JQH230" s="36"/>
      <c r="JQI230" s="36"/>
      <c r="JQJ230" s="36"/>
      <c r="JQK230" s="36"/>
      <c r="JQL230" s="36"/>
      <c r="JQM230" s="36"/>
      <c r="JQN230" s="36"/>
      <c r="JQO230" s="36"/>
      <c r="JQP230" s="36"/>
      <c r="JQQ230" s="36"/>
      <c r="JQR230" s="36"/>
      <c r="JQS230" s="36"/>
      <c r="JQT230" s="36"/>
      <c r="JQU230" s="36"/>
      <c r="JQV230" s="36"/>
      <c r="JQW230" s="36"/>
      <c r="JQX230" s="36"/>
      <c r="JQY230" s="36"/>
      <c r="JQZ230" s="36"/>
      <c r="JRA230" s="36"/>
      <c r="JRB230" s="36"/>
      <c r="JRC230" s="36"/>
      <c r="JRD230" s="36"/>
      <c r="JRE230" s="36"/>
      <c r="JRF230" s="36"/>
      <c r="JRG230" s="36"/>
      <c r="JRH230" s="36"/>
      <c r="JRI230" s="36"/>
      <c r="JRJ230" s="36"/>
      <c r="JRK230" s="36"/>
      <c r="JRL230" s="36"/>
      <c r="JRM230" s="36"/>
      <c r="JRN230" s="36"/>
      <c r="JRO230" s="36"/>
      <c r="JRP230" s="36"/>
      <c r="JRQ230" s="36"/>
      <c r="JRR230" s="36"/>
      <c r="JRS230" s="36"/>
      <c r="JRT230" s="36"/>
      <c r="JRU230" s="36"/>
      <c r="JRV230" s="36"/>
      <c r="JRW230" s="36"/>
      <c r="JRX230" s="36"/>
      <c r="JRY230" s="36"/>
      <c r="JRZ230" s="36"/>
      <c r="JSA230" s="36"/>
      <c r="JSB230" s="36"/>
      <c r="JSC230" s="36"/>
      <c r="JSD230" s="36"/>
      <c r="JSE230" s="36"/>
      <c r="JSF230" s="36"/>
      <c r="JSG230" s="36"/>
      <c r="JSH230" s="36"/>
      <c r="JSI230" s="36"/>
      <c r="JSJ230" s="36"/>
      <c r="JSK230" s="36"/>
      <c r="JSL230" s="36"/>
      <c r="JSM230" s="36"/>
      <c r="JSN230" s="36"/>
      <c r="JSO230" s="36"/>
      <c r="JSP230" s="36"/>
      <c r="JSQ230" s="36"/>
      <c r="JSR230" s="36"/>
      <c r="JSS230" s="36"/>
      <c r="JST230" s="36"/>
      <c r="JSU230" s="36"/>
      <c r="JSV230" s="36"/>
      <c r="JSW230" s="36"/>
      <c r="JSX230" s="36"/>
      <c r="JSY230" s="36"/>
      <c r="JSZ230" s="36"/>
      <c r="JTA230" s="36"/>
      <c r="JTB230" s="36"/>
      <c r="JTC230" s="36"/>
      <c r="JTD230" s="36"/>
      <c r="JTE230" s="36"/>
      <c r="JTF230" s="36"/>
      <c r="JTG230" s="36"/>
      <c r="JTH230" s="36"/>
      <c r="JTI230" s="36"/>
      <c r="JTJ230" s="36"/>
      <c r="JTK230" s="36"/>
      <c r="JTL230" s="36"/>
      <c r="JTM230" s="36"/>
      <c r="JTN230" s="36"/>
      <c r="JTO230" s="36"/>
      <c r="JTP230" s="36"/>
      <c r="JTQ230" s="36"/>
      <c r="JTR230" s="36"/>
      <c r="JTS230" s="36"/>
      <c r="JTT230" s="36"/>
      <c r="JTU230" s="36"/>
      <c r="JTV230" s="36"/>
      <c r="JTW230" s="36"/>
      <c r="JTX230" s="36"/>
      <c r="JTY230" s="36"/>
      <c r="JTZ230" s="36"/>
      <c r="JUA230" s="36"/>
      <c r="JUB230" s="36"/>
      <c r="JUC230" s="36"/>
      <c r="JUD230" s="36"/>
      <c r="JUE230" s="36"/>
      <c r="JUF230" s="36"/>
      <c r="JUG230" s="36"/>
      <c r="JUH230" s="36"/>
      <c r="JUI230" s="36"/>
      <c r="JUJ230" s="36"/>
      <c r="JUK230" s="36"/>
      <c r="JUL230" s="36"/>
      <c r="JUM230" s="36"/>
      <c r="JUN230" s="36"/>
      <c r="JUO230" s="36"/>
      <c r="JUP230" s="36"/>
      <c r="JUQ230" s="36"/>
      <c r="JUR230" s="36"/>
      <c r="JUS230" s="36"/>
      <c r="JUT230" s="36"/>
      <c r="JUU230" s="36"/>
      <c r="JUV230" s="36"/>
      <c r="JUW230" s="36"/>
      <c r="JUX230" s="36"/>
      <c r="JUY230" s="36"/>
      <c r="JUZ230" s="36"/>
      <c r="JVA230" s="36"/>
      <c r="JVB230" s="36"/>
      <c r="JVC230" s="36"/>
      <c r="JVD230" s="36"/>
      <c r="JVE230" s="36"/>
      <c r="JVF230" s="36"/>
      <c r="JVG230" s="36"/>
      <c r="JVH230" s="36"/>
      <c r="JVI230" s="36"/>
      <c r="JVJ230" s="36"/>
      <c r="JVK230" s="36"/>
      <c r="JVL230" s="36"/>
      <c r="JVM230" s="36"/>
      <c r="JVN230" s="36"/>
      <c r="JVO230" s="36"/>
      <c r="JVP230" s="36"/>
      <c r="JVQ230" s="36"/>
      <c r="JVR230" s="36"/>
      <c r="JVS230" s="36"/>
      <c r="JVT230" s="36"/>
      <c r="JVU230" s="36"/>
      <c r="JVV230" s="36"/>
      <c r="JVW230" s="36"/>
      <c r="JVX230" s="36"/>
      <c r="JVY230" s="36"/>
      <c r="JVZ230" s="36"/>
      <c r="JWA230" s="36"/>
      <c r="JWB230" s="36"/>
      <c r="JWC230" s="36"/>
      <c r="JWD230" s="36"/>
      <c r="JWE230" s="36"/>
      <c r="JWF230" s="36"/>
      <c r="JWG230" s="36"/>
      <c r="JWH230" s="36"/>
      <c r="JWI230" s="36"/>
      <c r="JWJ230" s="36"/>
      <c r="JWK230" s="36"/>
      <c r="JWL230" s="36"/>
      <c r="JWM230" s="36"/>
      <c r="JWN230" s="36"/>
      <c r="JWO230" s="36"/>
      <c r="JWP230" s="36"/>
      <c r="JWQ230" s="36"/>
      <c r="JWR230" s="36"/>
      <c r="JWS230" s="36"/>
      <c r="JWT230" s="36"/>
      <c r="JWU230" s="36"/>
      <c r="JWV230" s="36"/>
      <c r="JWW230" s="36"/>
      <c r="JWX230" s="36"/>
      <c r="JWY230" s="36"/>
      <c r="JWZ230" s="36"/>
      <c r="JXA230" s="36"/>
      <c r="JXB230" s="36"/>
      <c r="JXC230" s="36"/>
      <c r="JXD230" s="36"/>
      <c r="JXE230" s="36"/>
      <c r="JXF230" s="36"/>
      <c r="JXG230" s="36"/>
      <c r="JXH230" s="36"/>
      <c r="JXI230" s="36"/>
      <c r="JXJ230" s="36"/>
      <c r="JXK230" s="36"/>
      <c r="JXL230" s="36"/>
      <c r="JXM230" s="36"/>
      <c r="JXN230" s="36"/>
      <c r="JXO230" s="36"/>
      <c r="JXP230" s="36"/>
      <c r="JXQ230" s="36"/>
      <c r="JXR230" s="36"/>
      <c r="JXS230" s="36"/>
      <c r="JXT230" s="36"/>
      <c r="JXU230" s="36"/>
      <c r="JXV230" s="36"/>
      <c r="JXW230" s="36"/>
      <c r="JXX230" s="36"/>
      <c r="JXY230" s="36"/>
      <c r="JXZ230" s="36"/>
      <c r="JYA230" s="36"/>
      <c r="JYB230" s="36"/>
      <c r="JYC230" s="36"/>
      <c r="JYD230" s="36"/>
      <c r="JYE230" s="36"/>
      <c r="JYF230" s="36"/>
      <c r="JYG230" s="36"/>
      <c r="JYH230" s="36"/>
      <c r="JYI230" s="36"/>
      <c r="JYJ230" s="36"/>
      <c r="JYK230" s="36"/>
      <c r="JYL230" s="36"/>
      <c r="JYM230" s="36"/>
      <c r="JYN230" s="36"/>
      <c r="JYO230" s="36"/>
      <c r="JYP230" s="36"/>
      <c r="JYQ230" s="36"/>
      <c r="JYR230" s="36"/>
      <c r="JYS230" s="36"/>
      <c r="JYT230" s="36"/>
      <c r="JYU230" s="36"/>
      <c r="JYV230" s="36"/>
      <c r="JYW230" s="36"/>
      <c r="JYX230" s="36"/>
      <c r="JYY230" s="36"/>
      <c r="JYZ230" s="36"/>
      <c r="JZA230" s="36"/>
      <c r="JZB230" s="36"/>
      <c r="JZC230" s="36"/>
      <c r="JZD230" s="36"/>
      <c r="JZE230" s="36"/>
      <c r="JZF230" s="36"/>
      <c r="JZG230" s="36"/>
      <c r="JZH230" s="36"/>
      <c r="JZI230" s="36"/>
      <c r="JZJ230" s="36"/>
      <c r="JZK230" s="36"/>
      <c r="JZL230" s="36"/>
      <c r="JZM230" s="36"/>
      <c r="JZN230" s="36"/>
      <c r="JZO230" s="36"/>
      <c r="JZP230" s="36"/>
      <c r="JZQ230" s="36"/>
      <c r="JZR230" s="36"/>
      <c r="JZS230" s="36"/>
      <c r="JZT230" s="36"/>
      <c r="JZU230" s="36"/>
      <c r="JZV230" s="36"/>
      <c r="JZW230" s="36"/>
      <c r="JZX230" s="36"/>
      <c r="JZY230" s="36"/>
      <c r="JZZ230" s="36"/>
      <c r="KAA230" s="36"/>
      <c r="KAB230" s="36"/>
      <c r="KAC230" s="36"/>
      <c r="KAD230" s="36"/>
      <c r="KAE230" s="36"/>
      <c r="KAF230" s="36"/>
      <c r="KAG230" s="36"/>
      <c r="KAH230" s="36"/>
      <c r="KAI230" s="36"/>
      <c r="KAJ230" s="36"/>
      <c r="KAK230" s="36"/>
      <c r="KAL230" s="36"/>
      <c r="KAM230" s="36"/>
      <c r="KAN230" s="36"/>
      <c r="KAO230" s="36"/>
      <c r="KAP230" s="36"/>
      <c r="KAQ230" s="36"/>
      <c r="KAR230" s="36"/>
      <c r="KAS230" s="36"/>
      <c r="KAT230" s="36"/>
      <c r="KAU230" s="36"/>
      <c r="KAV230" s="36"/>
      <c r="KAW230" s="36"/>
      <c r="KAX230" s="36"/>
      <c r="KAY230" s="36"/>
      <c r="KAZ230" s="36"/>
      <c r="KBA230" s="36"/>
      <c r="KBB230" s="36"/>
      <c r="KBC230" s="36"/>
      <c r="KBD230" s="36"/>
      <c r="KBE230" s="36"/>
      <c r="KBF230" s="36"/>
      <c r="KBG230" s="36"/>
      <c r="KBH230" s="36"/>
      <c r="KBI230" s="36"/>
      <c r="KBJ230" s="36"/>
      <c r="KBK230" s="36"/>
      <c r="KBL230" s="36"/>
      <c r="KBM230" s="36"/>
      <c r="KBN230" s="36"/>
      <c r="KBO230" s="36"/>
      <c r="KBP230" s="36"/>
      <c r="KBQ230" s="36"/>
      <c r="KBR230" s="36"/>
      <c r="KBS230" s="36"/>
      <c r="KBT230" s="36"/>
      <c r="KBU230" s="36"/>
      <c r="KBV230" s="36"/>
      <c r="KBW230" s="36"/>
      <c r="KBX230" s="36"/>
      <c r="KBY230" s="36"/>
      <c r="KBZ230" s="36"/>
      <c r="KCA230" s="36"/>
      <c r="KCB230" s="36"/>
      <c r="KCC230" s="36"/>
      <c r="KCD230" s="36"/>
      <c r="KCE230" s="36"/>
      <c r="KCF230" s="36"/>
      <c r="KCG230" s="36"/>
      <c r="KCH230" s="36"/>
      <c r="KCI230" s="36"/>
      <c r="KCJ230" s="36"/>
      <c r="KCK230" s="36"/>
      <c r="KCL230" s="36"/>
      <c r="KCM230" s="36"/>
      <c r="KCN230" s="36"/>
      <c r="KCO230" s="36"/>
      <c r="KCP230" s="36"/>
      <c r="KCQ230" s="36"/>
      <c r="KCR230" s="36"/>
      <c r="KCS230" s="36"/>
      <c r="KCT230" s="36"/>
      <c r="KCU230" s="36"/>
      <c r="KCV230" s="36"/>
      <c r="KCW230" s="36"/>
      <c r="KCX230" s="36"/>
      <c r="KCY230" s="36"/>
      <c r="KCZ230" s="36"/>
      <c r="KDA230" s="36"/>
      <c r="KDB230" s="36"/>
      <c r="KDC230" s="36"/>
      <c r="KDD230" s="36"/>
      <c r="KDE230" s="36"/>
      <c r="KDF230" s="36"/>
      <c r="KDG230" s="36"/>
      <c r="KDH230" s="36"/>
      <c r="KDI230" s="36"/>
      <c r="KDJ230" s="36"/>
      <c r="KDK230" s="36"/>
      <c r="KDL230" s="36"/>
      <c r="KDM230" s="36"/>
      <c r="KDN230" s="36"/>
      <c r="KDO230" s="36"/>
      <c r="KDP230" s="36"/>
      <c r="KDQ230" s="36"/>
      <c r="KDR230" s="36"/>
      <c r="KDS230" s="36"/>
      <c r="KDT230" s="36"/>
      <c r="KDU230" s="36"/>
      <c r="KDV230" s="36"/>
      <c r="KDW230" s="36"/>
      <c r="KDX230" s="36"/>
      <c r="KDY230" s="36"/>
      <c r="KDZ230" s="36"/>
      <c r="KEA230" s="36"/>
      <c r="KEB230" s="36"/>
      <c r="KEC230" s="36"/>
      <c r="KED230" s="36"/>
      <c r="KEE230" s="36"/>
      <c r="KEF230" s="36"/>
      <c r="KEG230" s="36"/>
      <c r="KEH230" s="36"/>
      <c r="KEI230" s="36"/>
      <c r="KEJ230" s="36"/>
      <c r="KEK230" s="36"/>
      <c r="KEL230" s="36"/>
      <c r="KEM230" s="36"/>
      <c r="KEN230" s="36"/>
      <c r="KEO230" s="36"/>
      <c r="KEP230" s="36"/>
      <c r="KEQ230" s="36"/>
      <c r="KER230" s="36"/>
      <c r="KES230" s="36"/>
      <c r="KET230" s="36"/>
      <c r="KEU230" s="36"/>
      <c r="KEV230" s="36"/>
      <c r="KEW230" s="36"/>
      <c r="KEX230" s="36"/>
      <c r="KEY230" s="36"/>
      <c r="KEZ230" s="36"/>
      <c r="KFA230" s="36"/>
      <c r="KFB230" s="36"/>
      <c r="KFC230" s="36"/>
      <c r="KFD230" s="36"/>
      <c r="KFE230" s="36"/>
      <c r="KFF230" s="36"/>
      <c r="KFG230" s="36"/>
      <c r="KFH230" s="36"/>
      <c r="KFI230" s="36"/>
      <c r="KFJ230" s="36"/>
      <c r="KFK230" s="36"/>
      <c r="KFL230" s="36"/>
      <c r="KFM230" s="36"/>
      <c r="KFN230" s="36"/>
      <c r="KFO230" s="36"/>
      <c r="KFP230" s="36"/>
      <c r="KFQ230" s="36"/>
      <c r="KFR230" s="36"/>
      <c r="KFS230" s="36"/>
      <c r="KFT230" s="36"/>
      <c r="KFU230" s="36"/>
      <c r="KFV230" s="36"/>
      <c r="KFW230" s="36"/>
      <c r="KFX230" s="36"/>
      <c r="KFY230" s="36"/>
      <c r="KFZ230" s="36"/>
      <c r="KGA230" s="36"/>
      <c r="KGB230" s="36"/>
      <c r="KGC230" s="36"/>
      <c r="KGD230" s="36"/>
      <c r="KGE230" s="36"/>
      <c r="KGF230" s="36"/>
      <c r="KGG230" s="36"/>
      <c r="KGH230" s="36"/>
      <c r="KGI230" s="36"/>
      <c r="KGJ230" s="36"/>
      <c r="KGK230" s="36"/>
      <c r="KGL230" s="36"/>
      <c r="KGM230" s="36"/>
      <c r="KGN230" s="36"/>
      <c r="KGO230" s="36"/>
      <c r="KGP230" s="36"/>
      <c r="KGQ230" s="36"/>
      <c r="KGR230" s="36"/>
      <c r="KGS230" s="36"/>
      <c r="KGT230" s="36"/>
      <c r="KGU230" s="36"/>
      <c r="KGV230" s="36"/>
      <c r="KGW230" s="36"/>
      <c r="KGX230" s="36"/>
      <c r="KGY230" s="36"/>
      <c r="KGZ230" s="36"/>
      <c r="KHA230" s="36"/>
      <c r="KHB230" s="36"/>
      <c r="KHC230" s="36"/>
      <c r="KHD230" s="36"/>
      <c r="KHE230" s="36"/>
      <c r="KHF230" s="36"/>
      <c r="KHG230" s="36"/>
      <c r="KHH230" s="36"/>
      <c r="KHI230" s="36"/>
      <c r="KHJ230" s="36"/>
      <c r="KHK230" s="36"/>
      <c r="KHL230" s="36"/>
      <c r="KHM230" s="36"/>
      <c r="KHN230" s="36"/>
      <c r="KHO230" s="36"/>
      <c r="KHP230" s="36"/>
      <c r="KHQ230" s="36"/>
      <c r="KHR230" s="36"/>
      <c r="KHS230" s="36"/>
      <c r="KHT230" s="36"/>
      <c r="KHU230" s="36"/>
      <c r="KHV230" s="36"/>
      <c r="KHW230" s="36"/>
      <c r="KHX230" s="36"/>
      <c r="KHY230" s="36"/>
      <c r="KHZ230" s="36"/>
      <c r="KIA230" s="36"/>
      <c r="KIB230" s="36"/>
      <c r="KIC230" s="36"/>
      <c r="KID230" s="36"/>
      <c r="KIE230" s="36"/>
      <c r="KIF230" s="36"/>
      <c r="KIG230" s="36"/>
      <c r="KIH230" s="36"/>
      <c r="KII230" s="36"/>
      <c r="KIJ230" s="36"/>
      <c r="KIK230" s="36"/>
      <c r="KIL230" s="36"/>
      <c r="KIM230" s="36"/>
      <c r="KIN230" s="36"/>
      <c r="KIO230" s="36"/>
      <c r="KIP230" s="36"/>
      <c r="KIQ230" s="36"/>
      <c r="KIR230" s="36"/>
      <c r="KIS230" s="36"/>
      <c r="KIT230" s="36"/>
      <c r="KIU230" s="36"/>
      <c r="KIV230" s="36"/>
      <c r="KIW230" s="36"/>
      <c r="KIX230" s="36"/>
      <c r="KIY230" s="36"/>
      <c r="KIZ230" s="36"/>
      <c r="KJA230" s="36"/>
      <c r="KJB230" s="36"/>
      <c r="KJC230" s="36"/>
      <c r="KJD230" s="36"/>
      <c r="KJE230" s="36"/>
      <c r="KJF230" s="36"/>
      <c r="KJG230" s="36"/>
      <c r="KJH230" s="36"/>
      <c r="KJI230" s="36"/>
      <c r="KJJ230" s="36"/>
      <c r="KJK230" s="36"/>
      <c r="KJL230" s="36"/>
      <c r="KJM230" s="36"/>
      <c r="KJN230" s="36"/>
      <c r="KJO230" s="36"/>
      <c r="KJP230" s="36"/>
      <c r="KJQ230" s="36"/>
      <c r="KJR230" s="36"/>
      <c r="KJS230" s="36"/>
      <c r="KJT230" s="36"/>
      <c r="KJU230" s="36"/>
      <c r="KJV230" s="36"/>
      <c r="KJW230" s="36"/>
      <c r="KJX230" s="36"/>
      <c r="KJY230" s="36"/>
      <c r="KJZ230" s="36"/>
      <c r="KKA230" s="36"/>
      <c r="KKB230" s="36"/>
      <c r="KKC230" s="36"/>
      <c r="KKD230" s="36"/>
      <c r="KKE230" s="36"/>
      <c r="KKF230" s="36"/>
      <c r="KKG230" s="36"/>
      <c r="KKH230" s="36"/>
      <c r="KKI230" s="36"/>
      <c r="KKJ230" s="36"/>
      <c r="KKK230" s="36"/>
      <c r="KKL230" s="36"/>
      <c r="KKM230" s="36"/>
      <c r="KKN230" s="36"/>
      <c r="KKO230" s="36"/>
      <c r="KKP230" s="36"/>
      <c r="KKQ230" s="36"/>
      <c r="KKR230" s="36"/>
      <c r="KKS230" s="36"/>
      <c r="KKT230" s="36"/>
      <c r="KKU230" s="36"/>
      <c r="KKV230" s="36"/>
      <c r="KKW230" s="36"/>
      <c r="KKX230" s="36"/>
      <c r="KKY230" s="36"/>
      <c r="KKZ230" s="36"/>
      <c r="KLA230" s="36"/>
      <c r="KLB230" s="36"/>
      <c r="KLC230" s="36"/>
      <c r="KLD230" s="36"/>
      <c r="KLE230" s="36"/>
      <c r="KLF230" s="36"/>
      <c r="KLG230" s="36"/>
      <c r="KLH230" s="36"/>
      <c r="KLI230" s="36"/>
      <c r="KLJ230" s="36"/>
      <c r="KLK230" s="36"/>
      <c r="KLL230" s="36"/>
      <c r="KLM230" s="36"/>
      <c r="KLN230" s="36"/>
      <c r="KLO230" s="36"/>
      <c r="KLP230" s="36"/>
      <c r="KLQ230" s="36"/>
      <c r="KLR230" s="36"/>
      <c r="KLS230" s="36"/>
      <c r="KLT230" s="36"/>
      <c r="KLU230" s="36"/>
      <c r="KLV230" s="36"/>
      <c r="KLW230" s="36"/>
      <c r="KLX230" s="36"/>
      <c r="KLY230" s="36"/>
      <c r="KLZ230" s="36"/>
      <c r="KMA230" s="36"/>
      <c r="KMB230" s="36"/>
      <c r="KMC230" s="36"/>
      <c r="KMD230" s="36"/>
      <c r="KME230" s="36"/>
      <c r="KMF230" s="36"/>
      <c r="KMG230" s="36"/>
      <c r="KMH230" s="36"/>
      <c r="KMI230" s="36"/>
      <c r="KMJ230" s="36"/>
      <c r="KMK230" s="36"/>
      <c r="KML230" s="36"/>
      <c r="KMM230" s="36"/>
      <c r="KMN230" s="36"/>
      <c r="KMO230" s="36"/>
      <c r="KMP230" s="36"/>
      <c r="KMQ230" s="36"/>
      <c r="KMR230" s="36"/>
      <c r="KMS230" s="36"/>
      <c r="KMT230" s="36"/>
      <c r="KMU230" s="36"/>
      <c r="KMV230" s="36"/>
      <c r="KMW230" s="36"/>
      <c r="KMX230" s="36"/>
      <c r="KMY230" s="36"/>
      <c r="KMZ230" s="36"/>
      <c r="KNA230" s="36"/>
      <c r="KNB230" s="36"/>
      <c r="KNC230" s="36"/>
      <c r="KND230" s="36"/>
      <c r="KNE230" s="36"/>
      <c r="KNF230" s="36"/>
      <c r="KNG230" s="36"/>
      <c r="KNH230" s="36"/>
      <c r="KNI230" s="36"/>
      <c r="KNJ230" s="36"/>
      <c r="KNK230" s="36"/>
      <c r="KNL230" s="36"/>
      <c r="KNM230" s="36"/>
      <c r="KNN230" s="36"/>
      <c r="KNO230" s="36"/>
      <c r="KNP230" s="36"/>
      <c r="KNQ230" s="36"/>
      <c r="KNR230" s="36"/>
      <c r="KNS230" s="36"/>
      <c r="KNT230" s="36"/>
      <c r="KNU230" s="36"/>
      <c r="KNV230" s="36"/>
      <c r="KNW230" s="36"/>
      <c r="KNX230" s="36"/>
      <c r="KNY230" s="36"/>
      <c r="KNZ230" s="36"/>
      <c r="KOA230" s="36"/>
      <c r="KOB230" s="36"/>
      <c r="KOC230" s="36"/>
      <c r="KOD230" s="36"/>
      <c r="KOE230" s="36"/>
      <c r="KOF230" s="36"/>
      <c r="KOG230" s="36"/>
      <c r="KOH230" s="36"/>
      <c r="KOI230" s="36"/>
      <c r="KOJ230" s="36"/>
      <c r="KOK230" s="36"/>
      <c r="KOL230" s="36"/>
      <c r="KOM230" s="36"/>
      <c r="KON230" s="36"/>
      <c r="KOO230" s="36"/>
      <c r="KOP230" s="36"/>
      <c r="KOQ230" s="36"/>
      <c r="KOR230" s="36"/>
      <c r="KOS230" s="36"/>
      <c r="KOT230" s="36"/>
      <c r="KOU230" s="36"/>
      <c r="KOV230" s="36"/>
      <c r="KOW230" s="36"/>
      <c r="KOX230" s="36"/>
      <c r="KOY230" s="36"/>
      <c r="KOZ230" s="36"/>
      <c r="KPA230" s="36"/>
      <c r="KPB230" s="36"/>
      <c r="KPC230" s="36"/>
      <c r="KPD230" s="36"/>
      <c r="KPE230" s="36"/>
      <c r="KPF230" s="36"/>
      <c r="KPG230" s="36"/>
      <c r="KPH230" s="36"/>
      <c r="KPI230" s="36"/>
      <c r="KPJ230" s="36"/>
      <c r="KPK230" s="36"/>
      <c r="KPL230" s="36"/>
      <c r="KPM230" s="36"/>
      <c r="KPN230" s="36"/>
      <c r="KPO230" s="36"/>
      <c r="KPP230" s="36"/>
      <c r="KPQ230" s="36"/>
      <c r="KPR230" s="36"/>
      <c r="KPS230" s="36"/>
      <c r="KPT230" s="36"/>
      <c r="KPU230" s="36"/>
      <c r="KPV230" s="36"/>
      <c r="KPW230" s="36"/>
      <c r="KPX230" s="36"/>
      <c r="KPY230" s="36"/>
      <c r="KPZ230" s="36"/>
      <c r="KQA230" s="36"/>
      <c r="KQB230" s="36"/>
      <c r="KQC230" s="36"/>
      <c r="KQD230" s="36"/>
      <c r="KQE230" s="36"/>
      <c r="KQF230" s="36"/>
      <c r="KQG230" s="36"/>
      <c r="KQH230" s="36"/>
      <c r="KQI230" s="36"/>
      <c r="KQJ230" s="36"/>
      <c r="KQK230" s="36"/>
      <c r="KQL230" s="36"/>
      <c r="KQM230" s="36"/>
      <c r="KQN230" s="36"/>
      <c r="KQO230" s="36"/>
      <c r="KQP230" s="36"/>
      <c r="KQQ230" s="36"/>
      <c r="KQR230" s="36"/>
      <c r="KQS230" s="36"/>
      <c r="KQT230" s="36"/>
      <c r="KQU230" s="36"/>
      <c r="KQV230" s="36"/>
      <c r="KQW230" s="36"/>
      <c r="KQX230" s="36"/>
      <c r="KQY230" s="36"/>
      <c r="KQZ230" s="36"/>
      <c r="KRA230" s="36"/>
      <c r="KRB230" s="36"/>
      <c r="KRC230" s="36"/>
      <c r="KRD230" s="36"/>
      <c r="KRE230" s="36"/>
      <c r="KRF230" s="36"/>
      <c r="KRG230" s="36"/>
      <c r="KRH230" s="36"/>
      <c r="KRI230" s="36"/>
      <c r="KRJ230" s="36"/>
      <c r="KRK230" s="36"/>
      <c r="KRL230" s="36"/>
      <c r="KRM230" s="36"/>
      <c r="KRN230" s="36"/>
      <c r="KRO230" s="36"/>
      <c r="KRP230" s="36"/>
      <c r="KRQ230" s="36"/>
      <c r="KRR230" s="36"/>
      <c r="KRS230" s="36"/>
      <c r="KRT230" s="36"/>
      <c r="KRU230" s="36"/>
      <c r="KRV230" s="36"/>
      <c r="KRW230" s="36"/>
      <c r="KRX230" s="36"/>
      <c r="KRY230" s="36"/>
      <c r="KRZ230" s="36"/>
      <c r="KSA230" s="36"/>
      <c r="KSB230" s="36"/>
      <c r="KSC230" s="36"/>
      <c r="KSD230" s="36"/>
      <c r="KSE230" s="36"/>
      <c r="KSF230" s="36"/>
      <c r="KSG230" s="36"/>
      <c r="KSH230" s="36"/>
      <c r="KSI230" s="36"/>
      <c r="KSJ230" s="36"/>
      <c r="KSK230" s="36"/>
      <c r="KSL230" s="36"/>
      <c r="KSM230" s="36"/>
      <c r="KSN230" s="36"/>
      <c r="KSO230" s="36"/>
      <c r="KSP230" s="36"/>
      <c r="KSQ230" s="36"/>
      <c r="KSR230" s="36"/>
      <c r="KSS230" s="36"/>
      <c r="KST230" s="36"/>
      <c r="KSU230" s="36"/>
      <c r="KSV230" s="36"/>
      <c r="KSW230" s="36"/>
      <c r="KSX230" s="36"/>
      <c r="KSY230" s="36"/>
      <c r="KSZ230" s="36"/>
      <c r="KTA230" s="36"/>
      <c r="KTB230" s="36"/>
      <c r="KTC230" s="36"/>
      <c r="KTD230" s="36"/>
      <c r="KTE230" s="36"/>
      <c r="KTF230" s="36"/>
      <c r="KTG230" s="36"/>
      <c r="KTH230" s="36"/>
      <c r="KTI230" s="36"/>
      <c r="KTJ230" s="36"/>
      <c r="KTK230" s="36"/>
      <c r="KTL230" s="36"/>
      <c r="KTM230" s="36"/>
      <c r="KTN230" s="36"/>
      <c r="KTO230" s="36"/>
      <c r="KTP230" s="36"/>
      <c r="KTQ230" s="36"/>
      <c r="KTR230" s="36"/>
      <c r="KTS230" s="36"/>
      <c r="KTT230" s="36"/>
      <c r="KTU230" s="36"/>
      <c r="KTV230" s="36"/>
      <c r="KTW230" s="36"/>
      <c r="KTX230" s="36"/>
      <c r="KTY230" s="36"/>
      <c r="KTZ230" s="36"/>
      <c r="KUA230" s="36"/>
      <c r="KUB230" s="36"/>
      <c r="KUC230" s="36"/>
      <c r="KUD230" s="36"/>
      <c r="KUE230" s="36"/>
      <c r="KUF230" s="36"/>
      <c r="KUG230" s="36"/>
      <c r="KUH230" s="36"/>
      <c r="KUI230" s="36"/>
      <c r="KUJ230" s="36"/>
      <c r="KUK230" s="36"/>
      <c r="KUL230" s="36"/>
      <c r="KUM230" s="36"/>
      <c r="KUN230" s="36"/>
      <c r="KUO230" s="36"/>
      <c r="KUP230" s="36"/>
      <c r="KUQ230" s="36"/>
      <c r="KUR230" s="36"/>
      <c r="KUS230" s="36"/>
      <c r="KUT230" s="36"/>
      <c r="KUU230" s="36"/>
      <c r="KUV230" s="36"/>
      <c r="KUW230" s="36"/>
      <c r="KUX230" s="36"/>
      <c r="KUY230" s="36"/>
      <c r="KUZ230" s="36"/>
      <c r="KVA230" s="36"/>
      <c r="KVB230" s="36"/>
      <c r="KVC230" s="36"/>
      <c r="KVD230" s="36"/>
      <c r="KVE230" s="36"/>
      <c r="KVF230" s="36"/>
      <c r="KVG230" s="36"/>
      <c r="KVH230" s="36"/>
      <c r="KVI230" s="36"/>
      <c r="KVJ230" s="36"/>
      <c r="KVK230" s="36"/>
      <c r="KVL230" s="36"/>
      <c r="KVM230" s="36"/>
      <c r="KVN230" s="36"/>
      <c r="KVO230" s="36"/>
      <c r="KVP230" s="36"/>
      <c r="KVQ230" s="36"/>
      <c r="KVR230" s="36"/>
      <c r="KVS230" s="36"/>
      <c r="KVT230" s="36"/>
      <c r="KVU230" s="36"/>
      <c r="KVV230" s="36"/>
      <c r="KVW230" s="36"/>
      <c r="KVX230" s="36"/>
      <c r="KVY230" s="36"/>
      <c r="KVZ230" s="36"/>
      <c r="KWA230" s="36"/>
      <c r="KWB230" s="36"/>
      <c r="KWC230" s="36"/>
      <c r="KWD230" s="36"/>
      <c r="KWE230" s="36"/>
      <c r="KWF230" s="36"/>
      <c r="KWG230" s="36"/>
      <c r="KWH230" s="36"/>
      <c r="KWI230" s="36"/>
      <c r="KWJ230" s="36"/>
      <c r="KWK230" s="36"/>
      <c r="KWL230" s="36"/>
      <c r="KWM230" s="36"/>
      <c r="KWN230" s="36"/>
      <c r="KWO230" s="36"/>
      <c r="KWP230" s="36"/>
      <c r="KWQ230" s="36"/>
      <c r="KWR230" s="36"/>
      <c r="KWS230" s="36"/>
      <c r="KWT230" s="36"/>
      <c r="KWU230" s="36"/>
      <c r="KWV230" s="36"/>
      <c r="KWW230" s="36"/>
      <c r="KWX230" s="36"/>
      <c r="KWY230" s="36"/>
      <c r="KWZ230" s="36"/>
      <c r="KXA230" s="36"/>
      <c r="KXB230" s="36"/>
      <c r="KXC230" s="36"/>
      <c r="KXD230" s="36"/>
      <c r="KXE230" s="36"/>
      <c r="KXF230" s="36"/>
      <c r="KXG230" s="36"/>
      <c r="KXH230" s="36"/>
      <c r="KXI230" s="36"/>
      <c r="KXJ230" s="36"/>
      <c r="KXK230" s="36"/>
      <c r="KXL230" s="36"/>
      <c r="KXM230" s="36"/>
      <c r="KXN230" s="36"/>
      <c r="KXO230" s="36"/>
      <c r="KXP230" s="36"/>
      <c r="KXQ230" s="36"/>
      <c r="KXR230" s="36"/>
      <c r="KXS230" s="36"/>
      <c r="KXT230" s="36"/>
      <c r="KXU230" s="36"/>
      <c r="KXV230" s="36"/>
      <c r="KXW230" s="36"/>
      <c r="KXX230" s="36"/>
      <c r="KXY230" s="36"/>
      <c r="KXZ230" s="36"/>
      <c r="KYA230" s="36"/>
      <c r="KYB230" s="36"/>
      <c r="KYC230" s="36"/>
      <c r="KYD230" s="36"/>
      <c r="KYE230" s="36"/>
      <c r="KYF230" s="36"/>
      <c r="KYG230" s="36"/>
      <c r="KYH230" s="36"/>
      <c r="KYI230" s="36"/>
      <c r="KYJ230" s="36"/>
      <c r="KYK230" s="36"/>
      <c r="KYL230" s="36"/>
      <c r="KYM230" s="36"/>
      <c r="KYN230" s="36"/>
      <c r="KYO230" s="36"/>
      <c r="KYP230" s="36"/>
      <c r="KYQ230" s="36"/>
      <c r="KYR230" s="36"/>
      <c r="KYS230" s="36"/>
      <c r="KYT230" s="36"/>
      <c r="KYU230" s="36"/>
      <c r="KYV230" s="36"/>
      <c r="KYW230" s="36"/>
      <c r="KYX230" s="36"/>
      <c r="KYY230" s="36"/>
      <c r="KYZ230" s="36"/>
      <c r="KZA230" s="36"/>
      <c r="KZB230" s="36"/>
      <c r="KZC230" s="36"/>
      <c r="KZD230" s="36"/>
      <c r="KZE230" s="36"/>
      <c r="KZF230" s="36"/>
      <c r="KZG230" s="36"/>
      <c r="KZH230" s="36"/>
      <c r="KZI230" s="36"/>
      <c r="KZJ230" s="36"/>
      <c r="KZK230" s="36"/>
      <c r="KZL230" s="36"/>
      <c r="KZM230" s="36"/>
      <c r="KZN230" s="36"/>
      <c r="KZO230" s="36"/>
      <c r="KZP230" s="36"/>
      <c r="KZQ230" s="36"/>
      <c r="KZR230" s="36"/>
      <c r="KZS230" s="36"/>
      <c r="KZT230" s="36"/>
      <c r="KZU230" s="36"/>
      <c r="KZV230" s="36"/>
      <c r="KZW230" s="36"/>
      <c r="KZX230" s="36"/>
      <c r="KZY230" s="36"/>
      <c r="KZZ230" s="36"/>
      <c r="LAA230" s="36"/>
      <c r="LAB230" s="36"/>
      <c r="LAC230" s="36"/>
      <c r="LAD230" s="36"/>
      <c r="LAE230" s="36"/>
      <c r="LAF230" s="36"/>
      <c r="LAG230" s="36"/>
      <c r="LAH230" s="36"/>
      <c r="LAI230" s="36"/>
      <c r="LAJ230" s="36"/>
      <c r="LAK230" s="36"/>
      <c r="LAL230" s="36"/>
      <c r="LAM230" s="36"/>
      <c r="LAN230" s="36"/>
      <c r="LAO230" s="36"/>
      <c r="LAP230" s="36"/>
      <c r="LAQ230" s="36"/>
      <c r="LAR230" s="36"/>
      <c r="LAS230" s="36"/>
      <c r="LAT230" s="36"/>
      <c r="LAU230" s="36"/>
      <c r="LAV230" s="36"/>
      <c r="LAW230" s="36"/>
      <c r="LAX230" s="36"/>
      <c r="LAY230" s="36"/>
      <c r="LAZ230" s="36"/>
      <c r="LBA230" s="36"/>
      <c r="LBB230" s="36"/>
      <c r="LBC230" s="36"/>
      <c r="LBD230" s="36"/>
      <c r="LBE230" s="36"/>
      <c r="LBF230" s="36"/>
      <c r="LBG230" s="36"/>
      <c r="LBH230" s="36"/>
      <c r="LBI230" s="36"/>
      <c r="LBJ230" s="36"/>
      <c r="LBK230" s="36"/>
      <c r="LBL230" s="36"/>
      <c r="LBM230" s="36"/>
      <c r="LBN230" s="36"/>
      <c r="LBO230" s="36"/>
      <c r="LBP230" s="36"/>
      <c r="LBQ230" s="36"/>
      <c r="LBR230" s="36"/>
      <c r="LBS230" s="36"/>
      <c r="LBT230" s="36"/>
      <c r="LBU230" s="36"/>
      <c r="LBV230" s="36"/>
      <c r="LBW230" s="36"/>
      <c r="LBX230" s="36"/>
      <c r="LBY230" s="36"/>
      <c r="LBZ230" s="36"/>
      <c r="LCA230" s="36"/>
      <c r="LCB230" s="36"/>
      <c r="LCC230" s="36"/>
      <c r="LCD230" s="36"/>
      <c r="LCE230" s="36"/>
      <c r="LCF230" s="36"/>
      <c r="LCG230" s="36"/>
      <c r="LCH230" s="36"/>
      <c r="LCI230" s="36"/>
      <c r="LCJ230" s="36"/>
      <c r="LCK230" s="36"/>
      <c r="LCL230" s="36"/>
      <c r="LCM230" s="36"/>
      <c r="LCN230" s="36"/>
      <c r="LCO230" s="36"/>
      <c r="LCP230" s="36"/>
      <c r="LCQ230" s="36"/>
      <c r="LCR230" s="36"/>
      <c r="LCS230" s="36"/>
      <c r="LCT230" s="36"/>
      <c r="LCU230" s="36"/>
      <c r="LCV230" s="36"/>
      <c r="LCW230" s="36"/>
      <c r="LCX230" s="36"/>
      <c r="LCY230" s="36"/>
      <c r="LCZ230" s="36"/>
      <c r="LDA230" s="36"/>
      <c r="LDB230" s="36"/>
      <c r="LDC230" s="36"/>
      <c r="LDD230" s="36"/>
      <c r="LDE230" s="36"/>
      <c r="LDF230" s="36"/>
      <c r="LDG230" s="36"/>
      <c r="LDH230" s="36"/>
      <c r="LDI230" s="36"/>
      <c r="LDJ230" s="36"/>
      <c r="LDK230" s="36"/>
      <c r="LDL230" s="36"/>
      <c r="LDM230" s="36"/>
      <c r="LDN230" s="36"/>
      <c r="LDO230" s="36"/>
      <c r="LDP230" s="36"/>
      <c r="LDQ230" s="36"/>
      <c r="LDR230" s="36"/>
      <c r="LDS230" s="36"/>
      <c r="LDT230" s="36"/>
      <c r="LDU230" s="36"/>
      <c r="LDV230" s="36"/>
      <c r="LDW230" s="36"/>
      <c r="LDX230" s="36"/>
      <c r="LDY230" s="36"/>
      <c r="LDZ230" s="36"/>
      <c r="LEA230" s="36"/>
      <c r="LEB230" s="36"/>
      <c r="LEC230" s="36"/>
      <c r="LED230" s="36"/>
      <c r="LEE230" s="36"/>
      <c r="LEF230" s="36"/>
      <c r="LEG230" s="36"/>
      <c r="LEH230" s="36"/>
      <c r="LEI230" s="36"/>
      <c r="LEJ230" s="36"/>
      <c r="LEK230" s="36"/>
      <c r="LEL230" s="36"/>
      <c r="LEM230" s="36"/>
      <c r="LEN230" s="36"/>
      <c r="LEO230" s="36"/>
      <c r="LEP230" s="36"/>
      <c r="LEQ230" s="36"/>
      <c r="LER230" s="36"/>
      <c r="LES230" s="36"/>
      <c r="LET230" s="36"/>
      <c r="LEU230" s="36"/>
      <c r="LEV230" s="36"/>
      <c r="LEW230" s="36"/>
      <c r="LEX230" s="36"/>
      <c r="LEY230" s="36"/>
      <c r="LEZ230" s="36"/>
      <c r="LFA230" s="36"/>
      <c r="LFB230" s="36"/>
      <c r="LFC230" s="36"/>
      <c r="LFD230" s="36"/>
      <c r="LFE230" s="36"/>
      <c r="LFF230" s="36"/>
      <c r="LFG230" s="36"/>
      <c r="LFH230" s="36"/>
      <c r="LFI230" s="36"/>
      <c r="LFJ230" s="36"/>
      <c r="LFK230" s="36"/>
      <c r="LFL230" s="36"/>
      <c r="LFM230" s="36"/>
      <c r="LFN230" s="36"/>
      <c r="LFO230" s="36"/>
      <c r="LFP230" s="36"/>
      <c r="LFQ230" s="36"/>
      <c r="LFR230" s="36"/>
      <c r="LFS230" s="36"/>
      <c r="LFT230" s="36"/>
      <c r="LFU230" s="36"/>
      <c r="LFV230" s="36"/>
      <c r="LFW230" s="36"/>
      <c r="LFX230" s="36"/>
      <c r="LFY230" s="36"/>
      <c r="LFZ230" s="36"/>
      <c r="LGA230" s="36"/>
      <c r="LGB230" s="36"/>
      <c r="LGC230" s="36"/>
      <c r="LGD230" s="36"/>
      <c r="LGE230" s="36"/>
      <c r="LGF230" s="36"/>
      <c r="LGG230" s="36"/>
      <c r="LGH230" s="36"/>
      <c r="LGI230" s="36"/>
      <c r="LGJ230" s="36"/>
      <c r="LGK230" s="36"/>
      <c r="LGL230" s="36"/>
      <c r="LGM230" s="36"/>
      <c r="LGN230" s="36"/>
      <c r="LGO230" s="36"/>
      <c r="LGP230" s="36"/>
      <c r="LGQ230" s="36"/>
      <c r="LGR230" s="36"/>
      <c r="LGS230" s="36"/>
      <c r="LGT230" s="36"/>
      <c r="LGU230" s="36"/>
      <c r="LGV230" s="36"/>
      <c r="LGW230" s="36"/>
      <c r="LGX230" s="36"/>
      <c r="LGY230" s="36"/>
      <c r="LGZ230" s="36"/>
      <c r="LHA230" s="36"/>
      <c r="LHB230" s="36"/>
      <c r="LHC230" s="36"/>
      <c r="LHD230" s="36"/>
      <c r="LHE230" s="36"/>
      <c r="LHF230" s="36"/>
      <c r="LHG230" s="36"/>
      <c r="LHH230" s="36"/>
      <c r="LHI230" s="36"/>
      <c r="LHJ230" s="36"/>
      <c r="LHK230" s="36"/>
      <c r="LHL230" s="36"/>
      <c r="LHM230" s="36"/>
      <c r="LHN230" s="36"/>
      <c r="LHO230" s="36"/>
      <c r="LHP230" s="36"/>
      <c r="LHQ230" s="36"/>
      <c r="LHR230" s="36"/>
      <c r="LHS230" s="36"/>
      <c r="LHT230" s="36"/>
      <c r="LHU230" s="36"/>
      <c r="LHV230" s="36"/>
      <c r="LHW230" s="36"/>
      <c r="LHX230" s="36"/>
      <c r="LHY230" s="36"/>
      <c r="LHZ230" s="36"/>
      <c r="LIA230" s="36"/>
      <c r="LIB230" s="36"/>
      <c r="LIC230" s="36"/>
      <c r="LID230" s="36"/>
      <c r="LIE230" s="36"/>
      <c r="LIF230" s="36"/>
      <c r="LIG230" s="36"/>
      <c r="LIH230" s="36"/>
      <c r="LII230" s="36"/>
      <c r="LIJ230" s="36"/>
      <c r="LIK230" s="36"/>
      <c r="LIL230" s="36"/>
      <c r="LIM230" s="36"/>
      <c r="LIN230" s="36"/>
      <c r="LIO230" s="36"/>
      <c r="LIP230" s="36"/>
      <c r="LIQ230" s="36"/>
      <c r="LIR230" s="36"/>
      <c r="LIS230" s="36"/>
      <c r="LIT230" s="36"/>
      <c r="LIU230" s="36"/>
      <c r="LIV230" s="36"/>
      <c r="LIW230" s="36"/>
      <c r="LIX230" s="36"/>
      <c r="LIY230" s="36"/>
      <c r="LIZ230" s="36"/>
      <c r="LJA230" s="36"/>
      <c r="LJB230" s="36"/>
      <c r="LJC230" s="36"/>
      <c r="LJD230" s="36"/>
      <c r="LJE230" s="36"/>
      <c r="LJF230" s="36"/>
      <c r="LJG230" s="36"/>
      <c r="LJH230" s="36"/>
      <c r="LJI230" s="36"/>
      <c r="LJJ230" s="36"/>
      <c r="LJK230" s="36"/>
      <c r="LJL230" s="36"/>
      <c r="LJM230" s="36"/>
      <c r="LJN230" s="36"/>
      <c r="LJO230" s="36"/>
      <c r="LJP230" s="36"/>
      <c r="LJQ230" s="36"/>
      <c r="LJR230" s="36"/>
      <c r="LJS230" s="36"/>
      <c r="LJT230" s="36"/>
      <c r="LJU230" s="36"/>
      <c r="LJV230" s="36"/>
      <c r="LJW230" s="36"/>
      <c r="LJX230" s="36"/>
      <c r="LJY230" s="36"/>
      <c r="LJZ230" s="36"/>
      <c r="LKA230" s="36"/>
      <c r="LKB230" s="36"/>
      <c r="LKC230" s="36"/>
      <c r="LKD230" s="36"/>
      <c r="LKE230" s="36"/>
      <c r="LKF230" s="36"/>
      <c r="LKG230" s="36"/>
      <c r="LKH230" s="36"/>
      <c r="LKI230" s="36"/>
      <c r="LKJ230" s="36"/>
      <c r="LKK230" s="36"/>
      <c r="LKL230" s="36"/>
      <c r="LKM230" s="36"/>
      <c r="LKN230" s="36"/>
      <c r="LKO230" s="36"/>
      <c r="LKP230" s="36"/>
      <c r="LKQ230" s="36"/>
      <c r="LKR230" s="36"/>
      <c r="LKS230" s="36"/>
      <c r="LKT230" s="36"/>
      <c r="LKU230" s="36"/>
      <c r="LKV230" s="36"/>
      <c r="LKW230" s="36"/>
      <c r="LKX230" s="36"/>
      <c r="LKY230" s="36"/>
      <c r="LKZ230" s="36"/>
      <c r="LLA230" s="36"/>
      <c r="LLB230" s="36"/>
      <c r="LLC230" s="36"/>
      <c r="LLD230" s="36"/>
      <c r="LLE230" s="36"/>
      <c r="LLF230" s="36"/>
      <c r="LLG230" s="36"/>
      <c r="LLH230" s="36"/>
      <c r="LLI230" s="36"/>
      <c r="LLJ230" s="36"/>
      <c r="LLK230" s="36"/>
      <c r="LLL230" s="36"/>
      <c r="LLM230" s="36"/>
      <c r="LLN230" s="36"/>
      <c r="LLO230" s="36"/>
      <c r="LLP230" s="36"/>
      <c r="LLQ230" s="36"/>
      <c r="LLR230" s="36"/>
      <c r="LLS230" s="36"/>
      <c r="LLT230" s="36"/>
      <c r="LLU230" s="36"/>
      <c r="LLV230" s="36"/>
      <c r="LLW230" s="36"/>
      <c r="LLX230" s="36"/>
      <c r="LLY230" s="36"/>
      <c r="LLZ230" s="36"/>
      <c r="LMA230" s="36"/>
      <c r="LMB230" s="36"/>
      <c r="LMC230" s="36"/>
      <c r="LMD230" s="36"/>
      <c r="LME230" s="36"/>
      <c r="LMF230" s="36"/>
      <c r="LMG230" s="36"/>
      <c r="LMH230" s="36"/>
      <c r="LMI230" s="36"/>
      <c r="LMJ230" s="36"/>
      <c r="LMK230" s="36"/>
      <c r="LML230" s="36"/>
      <c r="LMM230" s="36"/>
      <c r="LMN230" s="36"/>
      <c r="LMO230" s="36"/>
      <c r="LMP230" s="36"/>
      <c r="LMQ230" s="36"/>
      <c r="LMR230" s="36"/>
      <c r="LMS230" s="36"/>
      <c r="LMT230" s="36"/>
      <c r="LMU230" s="36"/>
      <c r="LMV230" s="36"/>
      <c r="LMW230" s="36"/>
      <c r="LMX230" s="36"/>
      <c r="LMY230" s="36"/>
      <c r="LMZ230" s="36"/>
      <c r="LNA230" s="36"/>
      <c r="LNB230" s="36"/>
      <c r="LNC230" s="36"/>
      <c r="LND230" s="36"/>
      <c r="LNE230" s="36"/>
      <c r="LNF230" s="36"/>
      <c r="LNG230" s="36"/>
      <c r="LNH230" s="36"/>
      <c r="LNI230" s="36"/>
      <c r="LNJ230" s="36"/>
      <c r="LNK230" s="36"/>
      <c r="LNL230" s="36"/>
      <c r="LNM230" s="36"/>
      <c r="LNN230" s="36"/>
      <c r="LNO230" s="36"/>
      <c r="LNP230" s="36"/>
      <c r="LNQ230" s="36"/>
      <c r="LNR230" s="36"/>
      <c r="LNS230" s="36"/>
      <c r="LNT230" s="36"/>
      <c r="LNU230" s="36"/>
      <c r="LNV230" s="36"/>
      <c r="LNW230" s="36"/>
      <c r="LNX230" s="36"/>
      <c r="LNY230" s="36"/>
      <c r="LNZ230" s="36"/>
      <c r="LOA230" s="36"/>
      <c r="LOB230" s="36"/>
      <c r="LOC230" s="36"/>
      <c r="LOD230" s="36"/>
      <c r="LOE230" s="36"/>
      <c r="LOF230" s="36"/>
      <c r="LOG230" s="36"/>
      <c r="LOH230" s="36"/>
      <c r="LOI230" s="36"/>
      <c r="LOJ230" s="36"/>
      <c r="LOK230" s="36"/>
      <c r="LOL230" s="36"/>
      <c r="LOM230" s="36"/>
      <c r="LON230" s="36"/>
      <c r="LOO230" s="36"/>
      <c r="LOP230" s="36"/>
      <c r="LOQ230" s="36"/>
      <c r="LOR230" s="36"/>
      <c r="LOS230" s="36"/>
      <c r="LOT230" s="36"/>
      <c r="LOU230" s="36"/>
      <c r="LOV230" s="36"/>
      <c r="LOW230" s="36"/>
      <c r="LOX230" s="36"/>
      <c r="LOY230" s="36"/>
      <c r="LOZ230" s="36"/>
      <c r="LPA230" s="36"/>
      <c r="LPB230" s="36"/>
      <c r="LPC230" s="36"/>
      <c r="LPD230" s="36"/>
      <c r="LPE230" s="36"/>
      <c r="LPF230" s="36"/>
      <c r="LPG230" s="36"/>
      <c r="LPH230" s="36"/>
      <c r="LPI230" s="36"/>
      <c r="LPJ230" s="36"/>
      <c r="LPK230" s="36"/>
      <c r="LPL230" s="36"/>
      <c r="LPM230" s="36"/>
      <c r="LPN230" s="36"/>
      <c r="LPO230" s="36"/>
      <c r="LPP230" s="36"/>
      <c r="LPQ230" s="36"/>
      <c r="LPR230" s="36"/>
      <c r="LPS230" s="36"/>
      <c r="LPT230" s="36"/>
      <c r="LPU230" s="36"/>
      <c r="LPV230" s="36"/>
      <c r="LPW230" s="36"/>
      <c r="LPX230" s="36"/>
      <c r="LPY230" s="36"/>
      <c r="LPZ230" s="36"/>
      <c r="LQA230" s="36"/>
      <c r="LQB230" s="36"/>
      <c r="LQC230" s="36"/>
      <c r="LQD230" s="36"/>
      <c r="LQE230" s="36"/>
      <c r="LQF230" s="36"/>
      <c r="LQG230" s="36"/>
      <c r="LQH230" s="36"/>
      <c r="LQI230" s="36"/>
      <c r="LQJ230" s="36"/>
      <c r="LQK230" s="36"/>
      <c r="LQL230" s="36"/>
      <c r="LQM230" s="36"/>
      <c r="LQN230" s="36"/>
      <c r="LQO230" s="36"/>
      <c r="LQP230" s="36"/>
      <c r="LQQ230" s="36"/>
      <c r="LQR230" s="36"/>
      <c r="LQS230" s="36"/>
      <c r="LQT230" s="36"/>
      <c r="LQU230" s="36"/>
      <c r="LQV230" s="36"/>
      <c r="LQW230" s="36"/>
      <c r="LQX230" s="36"/>
      <c r="LQY230" s="36"/>
      <c r="LQZ230" s="36"/>
      <c r="LRA230" s="36"/>
      <c r="LRB230" s="36"/>
      <c r="LRC230" s="36"/>
      <c r="LRD230" s="36"/>
      <c r="LRE230" s="36"/>
      <c r="LRF230" s="36"/>
      <c r="LRG230" s="36"/>
      <c r="LRH230" s="36"/>
      <c r="LRI230" s="36"/>
      <c r="LRJ230" s="36"/>
      <c r="LRK230" s="36"/>
      <c r="LRL230" s="36"/>
      <c r="LRM230" s="36"/>
      <c r="LRN230" s="36"/>
      <c r="LRO230" s="36"/>
      <c r="LRP230" s="36"/>
      <c r="LRQ230" s="36"/>
      <c r="LRR230" s="36"/>
      <c r="LRS230" s="36"/>
      <c r="LRT230" s="36"/>
      <c r="LRU230" s="36"/>
      <c r="LRV230" s="36"/>
      <c r="LRW230" s="36"/>
      <c r="LRX230" s="36"/>
      <c r="LRY230" s="36"/>
      <c r="LRZ230" s="36"/>
      <c r="LSA230" s="36"/>
      <c r="LSB230" s="36"/>
      <c r="LSC230" s="36"/>
      <c r="LSD230" s="36"/>
      <c r="LSE230" s="36"/>
      <c r="LSF230" s="36"/>
      <c r="LSG230" s="36"/>
      <c r="LSH230" s="36"/>
      <c r="LSI230" s="36"/>
      <c r="LSJ230" s="36"/>
      <c r="LSK230" s="36"/>
      <c r="LSL230" s="36"/>
      <c r="LSM230" s="36"/>
      <c r="LSN230" s="36"/>
      <c r="LSO230" s="36"/>
      <c r="LSP230" s="36"/>
      <c r="LSQ230" s="36"/>
      <c r="LSR230" s="36"/>
      <c r="LSS230" s="36"/>
      <c r="LST230" s="36"/>
      <c r="LSU230" s="36"/>
      <c r="LSV230" s="36"/>
      <c r="LSW230" s="36"/>
      <c r="LSX230" s="36"/>
      <c r="LSY230" s="36"/>
      <c r="LSZ230" s="36"/>
      <c r="LTA230" s="36"/>
      <c r="LTB230" s="36"/>
      <c r="LTC230" s="36"/>
      <c r="LTD230" s="36"/>
      <c r="LTE230" s="36"/>
      <c r="LTF230" s="36"/>
      <c r="LTG230" s="36"/>
      <c r="LTH230" s="36"/>
      <c r="LTI230" s="36"/>
      <c r="LTJ230" s="36"/>
      <c r="LTK230" s="36"/>
      <c r="LTL230" s="36"/>
      <c r="LTM230" s="36"/>
      <c r="LTN230" s="36"/>
      <c r="LTO230" s="36"/>
      <c r="LTP230" s="36"/>
      <c r="LTQ230" s="36"/>
      <c r="LTR230" s="36"/>
      <c r="LTS230" s="36"/>
      <c r="LTT230" s="36"/>
      <c r="LTU230" s="36"/>
      <c r="LTV230" s="36"/>
      <c r="LTW230" s="36"/>
      <c r="LTX230" s="36"/>
      <c r="LTY230" s="36"/>
      <c r="LTZ230" s="36"/>
      <c r="LUA230" s="36"/>
      <c r="LUB230" s="36"/>
      <c r="LUC230" s="36"/>
      <c r="LUD230" s="36"/>
      <c r="LUE230" s="36"/>
      <c r="LUF230" s="36"/>
      <c r="LUG230" s="36"/>
      <c r="LUH230" s="36"/>
      <c r="LUI230" s="36"/>
      <c r="LUJ230" s="36"/>
      <c r="LUK230" s="36"/>
      <c r="LUL230" s="36"/>
      <c r="LUM230" s="36"/>
      <c r="LUN230" s="36"/>
      <c r="LUO230" s="36"/>
      <c r="LUP230" s="36"/>
      <c r="LUQ230" s="36"/>
      <c r="LUR230" s="36"/>
      <c r="LUS230" s="36"/>
      <c r="LUT230" s="36"/>
      <c r="LUU230" s="36"/>
      <c r="LUV230" s="36"/>
      <c r="LUW230" s="36"/>
      <c r="LUX230" s="36"/>
      <c r="LUY230" s="36"/>
      <c r="LUZ230" s="36"/>
      <c r="LVA230" s="36"/>
      <c r="LVB230" s="36"/>
      <c r="LVC230" s="36"/>
      <c r="LVD230" s="36"/>
      <c r="LVE230" s="36"/>
      <c r="LVF230" s="36"/>
      <c r="LVG230" s="36"/>
      <c r="LVH230" s="36"/>
      <c r="LVI230" s="36"/>
      <c r="LVJ230" s="36"/>
      <c r="LVK230" s="36"/>
      <c r="LVL230" s="36"/>
      <c r="LVM230" s="36"/>
      <c r="LVN230" s="36"/>
      <c r="LVO230" s="36"/>
      <c r="LVP230" s="36"/>
      <c r="LVQ230" s="36"/>
      <c r="LVR230" s="36"/>
      <c r="LVS230" s="36"/>
      <c r="LVT230" s="36"/>
      <c r="LVU230" s="36"/>
      <c r="LVV230" s="36"/>
      <c r="LVW230" s="36"/>
      <c r="LVX230" s="36"/>
      <c r="LVY230" s="36"/>
      <c r="LVZ230" s="36"/>
      <c r="LWA230" s="36"/>
      <c r="LWB230" s="36"/>
      <c r="LWC230" s="36"/>
      <c r="LWD230" s="36"/>
      <c r="LWE230" s="36"/>
      <c r="LWF230" s="36"/>
      <c r="LWG230" s="36"/>
      <c r="LWH230" s="36"/>
      <c r="LWI230" s="36"/>
      <c r="LWJ230" s="36"/>
      <c r="LWK230" s="36"/>
      <c r="LWL230" s="36"/>
      <c r="LWM230" s="36"/>
      <c r="LWN230" s="36"/>
      <c r="LWO230" s="36"/>
      <c r="LWP230" s="36"/>
      <c r="LWQ230" s="36"/>
      <c r="LWR230" s="36"/>
      <c r="LWS230" s="36"/>
      <c r="LWT230" s="36"/>
      <c r="LWU230" s="36"/>
      <c r="LWV230" s="36"/>
      <c r="LWW230" s="36"/>
      <c r="LWX230" s="36"/>
      <c r="LWY230" s="36"/>
      <c r="LWZ230" s="36"/>
      <c r="LXA230" s="36"/>
      <c r="LXB230" s="36"/>
      <c r="LXC230" s="36"/>
      <c r="LXD230" s="36"/>
      <c r="LXE230" s="36"/>
      <c r="LXF230" s="36"/>
      <c r="LXG230" s="36"/>
      <c r="LXH230" s="36"/>
      <c r="LXI230" s="36"/>
      <c r="LXJ230" s="36"/>
      <c r="LXK230" s="36"/>
      <c r="LXL230" s="36"/>
      <c r="LXM230" s="36"/>
      <c r="LXN230" s="36"/>
      <c r="LXO230" s="36"/>
      <c r="LXP230" s="36"/>
      <c r="LXQ230" s="36"/>
      <c r="LXR230" s="36"/>
      <c r="LXS230" s="36"/>
      <c r="LXT230" s="36"/>
      <c r="LXU230" s="36"/>
      <c r="LXV230" s="36"/>
      <c r="LXW230" s="36"/>
      <c r="LXX230" s="36"/>
      <c r="LXY230" s="36"/>
      <c r="LXZ230" s="36"/>
      <c r="LYA230" s="36"/>
      <c r="LYB230" s="36"/>
      <c r="LYC230" s="36"/>
      <c r="LYD230" s="36"/>
      <c r="LYE230" s="36"/>
      <c r="LYF230" s="36"/>
      <c r="LYG230" s="36"/>
      <c r="LYH230" s="36"/>
      <c r="LYI230" s="36"/>
      <c r="LYJ230" s="36"/>
      <c r="LYK230" s="36"/>
      <c r="LYL230" s="36"/>
      <c r="LYM230" s="36"/>
      <c r="LYN230" s="36"/>
      <c r="LYO230" s="36"/>
      <c r="LYP230" s="36"/>
      <c r="LYQ230" s="36"/>
      <c r="LYR230" s="36"/>
      <c r="LYS230" s="36"/>
      <c r="LYT230" s="36"/>
      <c r="LYU230" s="36"/>
      <c r="LYV230" s="36"/>
      <c r="LYW230" s="36"/>
      <c r="LYX230" s="36"/>
      <c r="LYY230" s="36"/>
      <c r="LYZ230" s="36"/>
      <c r="LZA230" s="36"/>
      <c r="LZB230" s="36"/>
      <c r="LZC230" s="36"/>
      <c r="LZD230" s="36"/>
      <c r="LZE230" s="36"/>
      <c r="LZF230" s="36"/>
      <c r="LZG230" s="36"/>
      <c r="LZH230" s="36"/>
      <c r="LZI230" s="36"/>
      <c r="LZJ230" s="36"/>
      <c r="LZK230" s="36"/>
      <c r="LZL230" s="36"/>
      <c r="LZM230" s="36"/>
      <c r="LZN230" s="36"/>
      <c r="LZO230" s="36"/>
      <c r="LZP230" s="36"/>
      <c r="LZQ230" s="36"/>
      <c r="LZR230" s="36"/>
      <c r="LZS230" s="36"/>
      <c r="LZT230" s="36"/>
      <c r="LZU230" s="36"/>
      <c r="LZV230" s="36"/>
      <c r="LZW230" s="36"/>
      <c r="LZX230" s="36"/>
      <c r="LZY230" s="36"/>
      <c r="LZZ230" s="36"/>
      <c r="MAA230" s="36"/>
      <c r="MAB230" s="36"/>
      <c r="MAC230" s="36"/>
      <c r="MAD230" s="36"/>
      <c r="MAE230" s="36"/>
      <c r="MAF230" s="36"/>
      <c r="MAG230" s="36"/>
      <c r="MAH230" s="36"/>
      <c r="MAI230" s="36"/>
      <c r="MAJ230" s="36"/>
      <c r="MAK230" s="36"/>
      <c r="MAL230" s="36"/>
      <c r="MAM230" s="36"/>
      <c r="MAN230" s="36"/>
      <c r="MAO230" s="36"/>
      <c r="MAP230" s="36"/>
      <c r="MAQ230" s="36"/>
      <c r="MAR230" s="36"/>
      <c r="MAS230" s="36"/>
      <c r="MAT230" s="36"/>
      <c r="MAU230" s="36"/>
      <c r="MAV230" s="36"/>
      <c r="MAW230" s="36"/>
      <c r="MAX230" s="36"/>
      <c r="MAY230" s="36"/>
      <c r="MAZ230" s="36"/>
      <c r="MBA230" s="36"/>
      <c r="MBB230" s="36"/>
      <c r="MBC230" s="36"/>
      <c r="MBD230" s="36"/>
      <c r="MBE230" s="36"/>
      <c r="MBF230" s="36"/>
      <c r="MBG230" s="36"/>
      <c r="MBH230" s="36"/>
      <c r="MBI230" s="36"/>
      <c r="MBJ230" s="36"/>
      <c r="MBK230" s="36"/>
      <c r="MBL230" s="36"/>
      <c r="MBM230" s="36"/>
      <c r="MBN230" s="36"/>
      <c r="MBO230" s="36"/>
      <c r="MBP230" s="36"/>
      <c r="MBQ230" s="36"/>
      <c r="MBR230" s="36"/>
      <c r="MBS230" s="36"/>
      <c r="MBT230" s="36"/>
      <c r="MBU230" s="36"/>
      <c r="MBV230" s="36"/>
      <c r="MBW230" s="36"/>
      <c r="MBX230" s="36"/>
      <c r="MBY230" s="36"/>
      <c r="MBZ230" s="36"/>
      <c r="MCA230" s="36"/>
      <c r="MCB230" s="36"/>
      <c r="MCC230" s="36"/>
      <c r="MCD230" s="36"/>
      <c r="MCE230" s="36"/>
      <c r="MCF230" s="36"/>
      <c r="MCG230" s="36"/>
      <c r="MCH230" s="36"/>
      <c r="MCI230" s="36"/>
      <c r="MCJ230" s="36"/>
      <c r="MCK230" s="36"/>
      <c r="MCL230" s="36"/>
      <c r="MCM230" s="36"/>
      <c r="MCN230" s="36"/>
      <c r="MCO230" s="36"/>
      <c r="MCP230" s="36"/>
      <c r="MCQ230" s="36"/>
      <c r="MCR230" s="36"/>
      <c r="MCS230" s="36"/>
      <c r="MCT230" s="36"/>
      <c r="MCU230" s="36"/>
      <c r="MCV230" s="36"/>
      <c r="MCW230" s="36"/>
      <c r="MCX230" s="36"/>
      <c r="MCY230" s="36"/>
      <c r="MCZ230" s="36"/>
      <c r="MDA230" s="36"/>
      <c r="MDB230" s="36"/>
      <c r="MDC230" s="36"/>
      <c r="MDD230" s="36"/>
      <c r="MDE230" s="36"/>
      <c r="MDF230" s="36"/>
      <c r="MDG230" s="36"/>
      <c r="MDH230" s="36"/>
      <c r="MDI230" s="36"/>
      <c r="MDJ230" s="36"/>
      <c r="MDK230" s="36"/>
      <c r="MDL230" s="36"/>
      <c r="MDM230" s="36"/>
      <c r="MDN230" s="36"/>
      <c r="MDO230" s="36"/>
      <c r="MDP230" s="36"/>
      <c r="MDQ230" s="36"/>
      <c r="MDR230" s="36"/>
      <c r="MDS230" s="36"/>
      <c r="MDT230" s="36"/>
      <c r="MDU230" s="36"/>
      <c r="MDV230" s="36"/>
      <c r="MDW230" s="36"/>
      <c r="MDX230" s="36"/>
      <c r="MDY230" s="36"/>
      <c r="MDZ230" s="36"/>
      <c r="MEA230" s="36"/>
      <c r="MEB230" s="36"/>
      <c r="MEC230" s="36"/>
      <c r="MED230" s="36"/>
      <c r="MEE230" s="36"/>
      <c r="MEF230" s="36"/>
      <c r="MEG230" s="36"/>
      <c r="MEH230" s="36"/>
      <c r="MEI230" s="36"/>
      <c r="MEJ230" s="36"/>
      <c r="MEK230" s="36"/>
      <c r="MEL230" s="36"/>
      <c r="MEM230" s="36"/>
      <c r="MEN230" s="36"/>
      <c r="MEO230" s="36"/>
      <c r="MEP230" s="36"/>
      <c r="MEQ230" s="36"/>
      <c r="MER230" s="36"/>
      <c r="MES230" s="36"/>
      <c r="MET230" s="36"/>
      <c r="MEU230" s="36"/>
      <c r="MEV230" s="36"/>
      <c r="MEW230" s="36"/>
      <c r="MEX230" s="36"/>
      <c r="MEY230" s="36"/>
      <c r="MEZ230" s="36"/>
      <c r="MFA230" s="36"/>
      <c r="MFB230" s="36"/>
      <c r="MFC230" s="36"/>
      <c r="MFD230" s="36"/>
      <c r="MFE230" s="36"/>
      <c r="MFF230" s="36"/>
      <c r="MFG230" s="36"/>
      <c r="MFH230" s="36"/>
      <c r="MFI230" s="36"/>
      <c r="MFJ230" s="36"/>
      <c r="MFK230" s="36"/>
      <c r="MFL230" s="36"/>
      <c r="MFM230" s="36"/>
      <c r="MFN230" s="36"/>
      <c r="MFO230" s="36"/>
      <c r="MFP230" s="36"/>
      <c r="MFQ230" s="36"/>
      <c r="MFR230" s="36"/>
      <c r="MFS230" s="36"/>
      <c r="MFT230" s="36"/>
      <c r="MFU230" s="36"/>
      <c r="MFV230" s="36"/>
      <c r="MFW230" s="36"/>
      <c r="MFX230" s="36"/>
      <c r="MFY230" s="36"/>
      <c r="MFZ230" s="36"/>
      <c r="MGA230" s="36"/>
      <c r="MGB230" s="36"/>
      <c r="MGC230" s="36"/>
      <c r="MGD230" s="36"/>
      <c r="MGE230" s="36"/>
      <c r="MGF230" s="36"/>
      <c r="MGG230" s="36"/>
      <c r="MGH230" s="36"/>
      <c r="MGI230" s="36"/>
      <c r="MGJ230" s="36"/>
      <c r="MGK230" s="36"/>
      <c r="MGL230" s="36"/>
      <c r="MGM230" s="36"/>
      <c r="MGN230" s="36"/>
      <c r="MGO230" s="36"/>
      <c r="MGP230" s="36"/>
      <c r="MGQ230" s="36"/>
      <c r="MGR230" s="36"/>
      <c r="MGS230" s="36"/>
      <c r="MGT230" s="36"/>
      <c r="MGU230" s="36"/>
      <c r="MGV230" s="36"/>
      <c r="MGW230" s="36"/>
      <c r="MGX230" s="36"/>
      <c r="MGY230" s="36"/>
      <c r="MGZ230" s="36"/>
      <c r="MHA230" s="36"/>
      <c r="MHB230" s="36"/>
      <c r="MHC230" s="36"/>
      <c r="MHD230" s="36"/>
      <c r="MHE230" s="36"/>
      <c r="MHF230" s="36"/>
      <c r="MHG230" s="36"/>
      <c r="MHH230" s="36"/>
      <c r="MHI230" s="36"/>
      <c r="MHJ230" s="36"/>
      <c r="MHK230" s="36"/>
      <c r="MHL230" s="36"/>
      <c r="MHM230" s="36"/>
      <c r="MHN230" s="36"/>
      <c r="MHO230" s="36"/>
      <c r="MHP230" s="36"/>
      <c r="MHQ230" s="36"/>
      <c r="MHR230" s="36"/>
      <c r="MHS230" s="36"/>
      <c r="MHT230" s="36"/>
      <c r="MHU230" s="36"/>
      <c r="MHV230" s="36"/>
      <c r="MHW230" s="36"/>
      <c r="MHX230" s="36"/>
      <c r="MHY230" s="36"/>
      <c r="MHZ230" s="36"/>
      <c r="MIA230" s="36"/>
      <c r="MIB230" s="36"/>
      <c r="MIC230" s="36"/>
      <c r="MID230" s="36"/>
      <c r="MIE230" s="36"/>
      <c r="MIF230" s="36"/>
      <c r="MIG230" s="36"/>
      <c r="MIH230" s="36"/>
      <c r="MII230" s="36"/>
      <c r="MIJ230" s="36"/>
      <c r="MIK230" s="36"/>
      <c r="MIL230" s="36"/>
      <c r="MIM230" s="36"/>
      <c r="MIN230" s="36"/>
      <c r="MIO230" s="36"/>
      <c r="MIP230" s="36"/>
      <c r="MIQ230" s="36"/>
      <c r="MIR230" s="36"/>
      <c r="MIS230" s="36"/>
      <c r="MIT230" s="36"/>
      <c r="MIU230" s="36"/>
      <c r="MIV230" s="36"/>
      <c r="MIW230" s="36"/>
      <c r="MIX230" s="36"/>
      <c r="MIY230" s="36"/>
      <c r="MIZ230" s="36"/>
      <c r="MJA230" s="36"/>
      <c r="MJB230" s="36"/>
      <c r="MJC230" s="36"/>
      <c r="MJD230" s="36"/>
      <c r="MJE230" s="36"/>
      <c r="MJF230" s="36"/>
      <c r="MJG230" s="36"/>
      <c r="MJH230" s="36"/>
      <c r="MJI230" s="36"/>
      <c r="MJJ230" s="36"/>
      <c r="MJK230" s="36"/>
      <c r="MJL230" s="36"/>
      <c r="MJM230" s="36"/>
      <c r="MJN230" s="36"/>
      <c r="MJO230" s="36"/>
      <c r="MJP230" s="36"/>
      <c r="MJQ230" s="36"/>
      <c r="MJR230" s="36"/>
      <c r="MJS230" s="36"/>
      <c r="MJT230" s="36"/>
      <c r="MJU230" s="36"/>
      <c r="MJV230" s="36"/>
      <c r="MJW230" s="36"/>
      <c r="MJX230" s="36"/>
      <c r="MJY230" s="36"/>
      <c r="MJZ230" s="36"/>
      <c r="MKA230" s="36"/>
      <c r="MKB230" s="36"/>
      <c r="MKC230" s="36"/>
      <c r="MKD230" s="36"/>
      <c r="MKE230" s="36"/>
      <c r="MKF230" s="36"/>
      <c r="MKG230" s="36"/>
      <c r="MKH230" s="36"/>
      <c r="MKI230" s="36"/>
      <c r="MKJ230" s="36"/>
      <c r="MKK230" s="36"/>
      <c r="MKL230" s="36"/>
      <c r="MKM230" s="36"/>
      <c r="MKN230" s="36"/>
      <c r="MKO230" s="36"/>
      <c r="MKP230" s="36"/>
      <c r="MKQ230" s="36"/>
      <c r="MKR230" s="36"/>
      <c r="MKS230" s="36"/>
      <c r="MKT230" s="36"/>
      <c r="MKU230" s="36"/>
      <c r="MKV230" s="36"/>
      <c r="MKW230" s="36"/>
      <c r="MKX230" s="36"/>
      <c r="MKY230" s="36"/>
      <c r="MKZ230" s="36"/>
      <c r="MLA230" s="36"/>
      <c r="MLB230" s="36"/>
      <c r="MLC230" s="36"/>
      <c r="MLD230" s="36"/>
      <c r="MLE230" s="36"/>
      <c r="MLF230" s="36"/>
      <c r="MLG230" s="36"/>
      <c r="MLH230" s="36"/>
      <c r="MLI230" s="36"/>
      <c r="MLJ230" s="36"/>
      <c r="MLK230" s="36"/>
      <c r="MLL230" s="36"/>
      <c r="MLM230" s="36"/>
      <c r="MLN230" s="36"/>
      <c r="MLO230" s="36"/>
      <c r="MLP230" s="36"/>
      <c r="MLQ230" s="36"/>
      <c r="MLR230" s="36"/>
      <c r="MLS230" s="36"/>
      <c r="MLT230" s="36"/>
      <c r="MLU230" s="36"/>
      <c r="MLV230" s="36"/>
      <c r="MLW230" s="36"/>
      <c r="MLX230" s="36"/>
      <c r="MLY230" s="36"/>
      <c r="MLZ230" s="36"/>
      <c r="MMA230" s="36"/>
      <c r="MMB230" s="36"/>
      <c r="MMC230" s="36"/>
      <c r="MMD230" s="36"/>
      <c r="MME230" s="36"/>
      <c r="MMF230" s="36"/>
      <c r="MMG230" s="36"/>
      <c r="MMH230" s="36"/>
      <c r="MMI230" s="36"/>
      <c r="MMJ230" s="36"/>
      <c r="MMK230" s="36"/>
      <c r="MML230" s="36"/>
      <c r="MMM230" s="36"/>
      <c r="MMN230" s="36"/>
      <c r="MMO230" s="36"/>
      <c r="MMP230" s="36"/>
      <c r="MMQ230" s="36"/>
      <c r="MMR230" s="36"/>
      <c r="MMS230" s="36"/>
      <c r="MMT230" s="36"/>
      <c r="MMU230" s="36"/>
      <c r="MMV230" s="36"/>
      <c r="MMW230" s="36"/>
      <c r="MMX230" s="36"/>
      <c r="MMY230" s="36"/>
      <c r="MMZ230" s="36"/>
      <c r="MNA230" s="36"/>
      <c r="MNB230" s="36"/>
      <c r="MNC230" s="36"/>
      <c r="MND230" s="36"/>
      <c r="MNE230" s="36"/>
      <c r="MNF230" s="36"/>
      <c r="MNG230" s="36"/>
      <c r="MNH230" s="36"/>
      <c r="MNI230" s="36"/>
      <c r="MNJ230" s="36"/>
      <c r="MNK230" s="36"/>
      <c r="MNL230" s="36"/>
      <c r="MNM230" s="36"/>
      <c r="MNN230" s="36"/>
      <c r="MNO230" s="36"/>
      <c r="MNP230" s="36"/>
      <c r="MNQ230" s="36"/>
      <c r="MNR230" s="36"/>
      <c r="MNS230" s="36"/>
      <c r="MNT230" s="36"/>
      <c r="MNU230" s="36"/>
      <c r="MNV230" s="36"/>
      <c r="MNW230" s="36"/>
      <c r="MNX230" s="36"/>
      <c r="MNY230" s="36"/>
      <c r="MNZ230" s="36"/>
      <c r="MOA230" s="36"/>
      <c r="MOB230" s="36"/>
      <c r="MOC230" s="36"/>
      <c r="MOD230" s="36"/>
      <c r="MOE230" s="36"/>
      <c r="MOF230" s="36"/>
      <c r="MOG230" s="36"/>
      <c r="MOH230" s="36"/>
      <c r="MOI230" s="36"/>
      <c r="MOJ230" s="36"/>
      <c r="MOK230" s="36"/>
      <c r="MOL230" s="36"/>
      <c r="MOM230" s="36"/>
      <c r="MON230" s="36"/>
      <c r="MOO230" s="36"/>
      <c r="MOP230" s="36"/>
      <c r="MOQ230" s="36"/>
      <c r="MOR230" s="36"/>
      <c r="MOS230" s="36"/>
      <c r="MOT230" s="36"/>
      <c r="MOU230" s="36"/>
      <c r="MOV230" s="36"/>
      <c r="MOW230" s="36"/>
      <c r="MOX230" s="36"/>
      <c r="MOY230" s="36"/>
      <c r="MOZ230" s="36"/>
      <c r="MPA230" s="36"/>
      <c r="MPB230" s="36"/>
      <c r="MPC230" s="36"/>
      <c r="MPD230" s="36"/>
      <c r="MPE230" s="36"/>
      <c r="MPF230" s="36"/>
      <c r="MPG230" s="36"/>
      <c r="MPH230" s="36"/>
      <c r="MPI230" s="36"/>
      <c r="MPJ230" s="36"/>
      <c r="MPK230" s="36"/>
      <c r="MPL230" s="36"/>
      <c r="MPM230" s="36"/>
      <c r="MPN230" s="36"/>
      <c r="MPO230" s="36"/>
      <c r="MPP230" s="36"/>
      <c r="MPQ230" s="36"/>
      <c r="MPR230" s="36"/>
      <c r="MPS230" s="36"/>
      <c r="MPT230" s="36"/>
      <c r="MPU230" s="36"/>
      <c r="MPV230" s="36"/>
      <c r="MPW230" s="36"/>
      <c r="MPX230" s="36"/>
      <c r="MPY230" s="36"/>
      <c r="MPZ230" s="36"/>
      <c r="MQA230" s="36"/>
      <c r="MQB230" s="36"/>
      <c r="MQC230" s="36"/>
      <c r="MQD230" s="36"/>
      <c r="MQE230" s="36"/>
      <c r="MQF230" s="36"/>
      <c r="MQG230" s="36"/>
      <c r="MQH230" s="36"/>
      <c r="MQI230" s="36"/>
      <c r="MQJ230" s="36"/>
      <c r="MQK230" s="36"/>
      <c r="MQL230" s="36"/>
      <c r="MQM230" s="36"/>
      <c r="MQN230" s="36"/>
      <c r="MQO230" s="36"/>
      <c r="MQP230" s="36"/>
      <c r="MQQ230" s="36"/>
      <c r="MQR230" s="36"/>
      <c r="MQS230" s="36"/>
      <c r="MQT230" s="36"/>
      <c r="MQU230" s="36"/>
      <c r="MQV230" s="36"/>
      <c r="MQW230" s="36"/>
      <c r="MQX230" s="36"/>
      <c r="MQY230" s="36"/>
      <c r="MQZ230" s="36"/>
      <c r="MRA230" s="36"/>
      <c r="MRB230" s="36"/>
      <c r="MRC230" s="36"/>
      <c r="MRD230" s="36"/>
      <c r="MRE230" s="36"/>
      <c r="MRF230" s="36"/>
      <c r="MRG230" s="36"/>
      <c r="MRH230" s="36"/>
      <c r="MRI230" s="36"/>
      <c r="MRJ230" s="36"/>
      <c r="MRK230" s="36"/>
      <c r="MRL230" s="36"/>
      <c r="MRM230" s="36"/>
      <c r="MRN230" s="36"/>
      <c r="MRO230" s="36"/>
      <c r="MRP230" s="36"/>
      <c r="MRQ230" s="36"/>
      <c r="MRR230" s="36"/>
      <c r="MRS230" s="36"/>
      <c r="MRT230" s="36"/>
      <c r="MRU230" s="36"/>
      <c r="MRV230" s="36"/>
      <c r="MRW230" s="36"/>
      <c r="MRX230" s="36"/>
      <c r="MRY230" s="36"/>
      <c r="MRZ230" s="36"/>
      <c r="MSA230" s="36"/>
      <c r="MSB230" s="36"/>
      <c r="MSC230" s="36"/>
      <c r="MSD230" s="36"/>
      <c r="MSE230" s="36"/>
      <c r="MSF230" s="36"/>
      <c r="MSG230" s="36"/>
      <c r="MSH230" s="36"/>
      <c r="MSI230" s="36"/>
      <c r="MSJ230" s="36"/>
      <c r="MSK230" s="36"/>
      <c r="MSL230" s="36"/>
      <c r="MSM230" s="36"/>
      <c r="MSN230" s="36"/>
      <c r="MSO230" s="36"/>
      <c r="MSP230" s="36"/>
      <c r="MSQ230" s="36"/>
      <c r="MSR230" s="36"/>
      <c r="MSS230" s="36"/>
      <c r="MST230" s="36"/>
      <c r="MSU230" s="36"/>
      <c r="MSV230" s="36"/>
      <c r="MSW230" s="36"/>
      <c r="MSX230" s="36"/>
      <c r="MSY230" s="36"/>
      <c r="MSZ230" s="36"/>
      <c r="MTA230" s="36"/>
      <c r="MTB230" s="36"/>
      <c r="MTC230" s="36"/>
      <c r="MTD230" s="36"/>
      <c r="MTE230" s="36"/>
      <c r="MTF230" s="36"/>
      <c r="MTG230" s="36"/>
      <c r="MTH230" s="36"/>
      <c r="MTI230" s="36"/>
      <c r="MTJ230" s="36"/>
      <c r="MTK230" s="36"/>
      <c r="MTL230" s="36"/>
      <c r="MTM230" s="36"/>
      <c r="MTN230" s="36"/>
      <c r="MTO230" s="36"/>
      <c r="MTP230" s="36"/>
      <c r="MTQ230" s="36"/>
      <c r="MTR230" s="36"/>
      <c r="MTS230" s="36"/>
      <c r="MTT230" s="36"/>
      <c r="MTU230" s="36"/>
      <c r="MTV230" s="36"/>
      <c r="MTW230" s="36"/>
      <c r="MTX230" s="36"/>
      <c r="MTY230" s="36"/>
      <c r="MTZ230" s="36"/>
      <c r="MUA230" s="36"/>
      <c r="MUB230" s="36"/>
      <c r="MUC230" s="36"/>
      <c r="MUD230" s="36"/>
      <c r="MUE230" s="36"/>
      <c r="MUF230" s="36"/>
      <c r="MUG230" s="36"/>
      <c r="MUH230" s="36"/>
      <c r="MUI230" s="36"/>
      <c r="MUJ230" s="36"/>
      <c r="MUK230" s="36"/>
      <c r="MUL230" s="36"/>
      <c r="MUM230" s="36"/>
      <c r="MUN230" s="36"/>
      <c r="MUO230" s="36"/>
      <c r="MUP230" s="36"/>
      <c r="MUQ230" s="36"/>
      <c r="MUR230" s="36"/>
      <c r="MUS230" s="36"/>
      <c r="MUT230" s="36"/>
      <c r="MUU230" s="36"/>
      <c r="MUV230" s="36"/>
      <c r="MUW230" s="36"/>
      <c r="MUX230" s="36"/>
      <c r="MUY230" s="36"/>
      <c r="MUZ230" s="36"/>
      <c r="MVA230" s="36"/>
      <c r="MVB230" s="36"/>
      <c r="MVC230" s="36"/>
      <c r="MVD230" s="36"/>
      <c r="MVE230" s="36"/>
      <c r="MVF230" s="36"/>
      <c r="MVG230" s="36"/>
      <c r="MVH230" s="36"/>
      <c r="MVI230" s="36"/>
      <c r="MVJ230" s="36"/>
      <c r="MVK230" s="36"/>
      <c r="MVL230" s="36"/>
      <c r="MVM230" s="36"/>
      <c r="MVN230" s="36"/>
      <c r="MVO230" s="36"/>
      <c r="MVP230" s="36"/>
      <c r="MVQ230" s="36"/>
      <c r="MVR230" s="36"/>
      <c r="MVS230" s="36"/>
      <c r="MVT230" s="36"/>
      <c r="MVU230" s="36"/>
      <c r="MVV230" s="36"/>
      <c r="MVW230" s="36"/>
      <c r="MVX230" s="36"/>
      <c r="MVY230" s="36"/>
      <c r="MVZ230" s="36"/>
      <c r="MWA230" s="36"/>
      <c r="MWB230" s="36"/>
      <c r="MWC230" s="36"/>
      <c r="MWD230" s="36"/>
      <c r="MWE230" s="36"/>
      <c r="MWF230" s="36"/>
      <c r="MWG230" s="36"/>
      <c r="MWH230" s="36"/>
      <c r="MWI230" s="36"/>
      <c r="MWJ230" s="36"/>
      <c r="MWK230" s="36"/>
      <c r="MWL230" s="36"/>
      <c r="MWM230" s="36"/>
      <c r="MWN230" s="36"/>
      <c r="MWO230" s="36"/>
      <c r="MWP230" s="36"/>
      <c r="MWQ230" s="36"/>
      <c r="MWR230" s="36"/>
      <c r="MWS230" s="36"/>
      <c r="MWT230" s="36"/>
      <c r="MWU230" s="36"/>
      <c r="MWV230" s="36"/>
      <c r="MWW230" s="36"/>
      <c r="MWX230" s="36"/>
      <c r="MWY230" s="36"/>
      <c r="MWZ230" s="36"/>
      <c r="MXA230" s="36"/>
      <c r="MXB230" s="36"/>
      <c r="MXC230" s="36"/>
      <c r="MXD230" s="36"/>
      <c r="MXE230" s="36"/>
      <c r="MXF230" s="36"/>
      <c r="MXG230" s="36"/>
      <c r="MXH230" s="36"/>
      <c r="MXI230" s="36"/>
      <c r="MXJ230" s="36"/>
      <c r="MXK230" s="36"/>
      <c r="MXL230" s="36"/>
      <c r="MXM230" s="36"/>
      <c r="MXN230" s="36"/>
      <c r="MXO230" s="36"/>
      <c r="MXP230" s="36"/>
      <c r="MXQ230" s="36"/>
      <c r="MXR230" s="36"/>
      <c r="MXS230" s="36"/>
      <c r="MXT230" s="36"/>
      <c r="MXU230" s="36"/>
      <c r="MXV230" s="36"/>
      <c r="MXW230" s="36"/>
      <c r="MXX230" s="36"/>
      <c r="MXY230" s="36"/>
      <c r="MXZ230" s="36"/>
      <c r="MYA230" s="36"/>
      <c r="MYB230" s="36"/>
      <c r="MYC230" s="36"/>
      <c r="MYD230" s="36"/>
      <c r="MYE230" s="36"/>
      <c r="MYF230" s="36"/>
      <c r="MYG230" s="36"/>
      <c r="MYH230" s="36"/>
      <c r="MYI230" s="36"/>
      <c r="MYJ230" s="36"/>
      <c r="MYK230" s="36"/>
      <c r="MYL230" s="36"/>
      <c r="MYM230" s="36"/>
      <c r="MYN230" s="36"/>
      <c r="MYO230" s="36"/>
      <c r="MYP230" s="36"/>
      <c r="MYQ230" s="36"/>
      <c r="MYR230" s="36"/>
      <c r="MYS230" s="36"/>
      <c r="MYT230" s="36"/>
      <c r="MYU230" s="36"/>
      <c r="MYV230" s="36"/>
      <c r="MYW230" s="36"/>
      <c r="MYX230" s="36"/>
      <c r="MYY230" s="36"/>
      <c r="MYZ230" s="36"/>
      <c r="MZA230" s="36"/>
      <c r="MZB230" s="36"/>
      <c r="MZC230" s="36"/>
      <c r="MZD230" s="36"/>
      <c r="MZE230" s="36"/>
      <c r="MZF230" s="36"/>
      <c r="MZG230" s="36"/>
      <c r="MZH230" s="36"/>
      <c r="MZI230" s="36"/>
      <c r="MZJ230" s="36"/>
      <c r="MZK230" s="36"/>
      <c r="MZL230" s="36"/>
      <c r="MZM230" s="36"/>
      <c r="MZN230" s="36"/>
      <c r="MZO230" s="36"/>
      <c r="MZP230" s="36"/>
      <c r="MZQ230" s="36"/>
      <c r="MZR230" s="36"/>
      <c r="MZS230" s="36"/>
      <c r="MZT230" s="36"/>
      <c r="MZU230" s="36"/>
      <c r="MZV230" s="36"/>
      <c r="MZW230" s="36"/>
      <c r="MZX230" s="36"/>
      <c r="MZY230" s="36"/>
      <c r="MZZ230" s="36"/>
      <c r="NAA230" s="36"/>
      <c r="NAB230" s="36"/>
      <c r="NAC230" s="36"/>
      <c r="NAD230" s="36"/>
      <c r="NAE230" s="36"/>
      <c r="NAF230" s="36"/>
      <c r="NAG230" s="36"/>
      <c r="NAH230" s="36"/>
      <c r="NAI230" s="36"/>
      <c r="NAJ230" s="36"/>
      <c r="NAK230" s="36"/>
      <c r="NAL230" s="36"/>
      <c r="NAM230" s="36"/>
      <c r="NAN230" s="36"/>
      <c r="NAO230" s="36"/>
      <c r="NAP230" s="36"/>
      <c r="NAQ230" s="36"/>
      <c r="NAR230" s="36"/>
      <c r="NAS230" s="36"/>
      <c r="NAT230" s="36"/>
      <c r="NAU230" s="36"/>
      <c r="NAV230" s="36"/>
      <c r="NAW230" s="36"/>
      <c r="NAX230" s="36"/>
      <c r="NAY230" s="36"/>
      <c r="NAZ230" s="36"/>
      <c r="NBA230" s="36"/>
      <c r="NBB230" s="36"/>
      <c r="NBC230" s="36"/>
      <c r="NBD230" s="36"/>
      <c r="NBE230" s="36"/>
      <c r="NBF230" s="36"/>
      <c r="NBG230" s="36"/>
      <c r="NBH230" s="36"/>
      <c r="NBI230" s="36"/>
      <c r="NBJ230" s="36"/>
      <c r="NBK230" s="36"/>
      <c r="NBL230" s="36"/>
      <c r="NBM230" s="36"/>
      <c r="NBN230" s="36"/>
      <c r="NBO230" s="36"/>
      <c r="NBP230" s="36"/>
      <c r="NBQ230" s="36"/>
      <c r="NBR230" s="36"/>
      <c r="NBS230" s="36"/>
      <c r="NBT230" s="36"/>
      <c r="NBU230" s="36"/>
      <c r="NBV230" s="36"/>
      <c r="NBW230" s="36"/>
      <c r="NBX230" s="36"/>
      <c r="NBY230" s="36"/>
      <c r="NBZ230" s="36"/>
      <c r="NCA230" s="36"/>
      <c r="NCB230" s="36"/>
      <c r="NCC230" s="36"/>
      <c r="NCD230" s="36"/>
      <c r="NCE230" s="36"/>
      <c r="NCF230" s="36"/>
      <c r="NCG230" s="36"/>
      <c r="NCH230" s="36"/>
      <c r="NCI230" s="36"/>
      <c r="NCJ230" s="36"/>
      <c r="NCK230" s="36"/>
      <c r="NCL230" s="36"/>
      <c r="NCM230" s="36"/>
      <c r="NCN230" s="36"/>
      <c r="NCO230" s="36"/>
      <c r="NCP230" s="36"/>
      <c r="NCQ230" s="36"/>
      <c r="NCR230" s="36"/>
      <c r="NCS230" s="36"/>
      <c r="NCT230" s="36"/>
      <c r="NCU230" s="36"/>
      <c r="NCV230" s="36"/>
      <c r="NCW230" s="36"/>
      <c r="NCX230" s="36"/>
      <c r="NCY230" s="36"/>
      <c r="NCZ230" s="36"/>
      <c r="NDA230" s="36"/>
      <c r="NDB230" s="36"/>
      <c r="NDC230" s="36"/>
      <c r="NDD230" s="36"/>
      <c r="NDE230" s="36"/>
      <c r="NDF230" s="36"/>
      <c r="NDG230" s="36"/>
      <c r="NDH230" s="36"/>
      <c r="NDI230" s="36"/>
      <c r="NDJ230" s="36"/>
      <c r="NDK230" s="36"/>
      <c r="NDL230" s="36"/>
      <c r="NDM230" s="36"/>
      <c r="NDN230" s="36"/>
      <c r="NDO230" s="36"/>
      <c r="NDP230" s="36"/>
      <c r="NDQ230" s="36"/>
      <c r="NDR230" s="36"/>
      <c r="NDS230" s="36"/>
      <c r="NDT230" s="36"/>
      <c r="NDU230" s="36"/>
      <c r="NDV230" s="36"/>
      <c r="NDW230" s="36"/>
      <c r="NDX230" s="36"/>
      <c r="NDY230" s="36"/>
      <c r="NDZ230" s="36"/>
      <c r="NEA230" s="36"/>
      <c r="NEB230" s="36"/>
      <c r="NEC230" s="36"/>
      <c r="NED230" s="36"/>
      <c r="NEE230" s="36"/>
      <c r="NEF230" s="36"/>
      <c r="NEG230" s="36"/>
      <c r="NEH230" s="36"/>
      <c r="NEI230" s="36"/>
      <c r="NEJ230" s="36"/>
      <c r="NEK230" s="36"/>
      <c r="NEL230" s="36"/>
      <c r="NEM230" s="36"/>
      <c r="NEN230" s="36"/>
      <c r="NEO230" s="36"/>
      <c r="NEP230" s="36"/>
      <c r="NEQ230" s="36"/>
      <c r="NER230" s="36"/>
      <c r="NES230" s="36"/>
      <c r="NET230" s="36"/>
      <c r="NEU230" s="36"/>
      <c r="NEV230" s="36"/>
      <c r="NEW230" s="36"/>
      <c r="NEX230" s="36"/>
      <c r="NEY230" s="36"/>
      <c r="NEZ230" s="36"/>
      <c r="NFA230" s="36"/>
      <c r="NFB230" s="36"/>
      <c r="NFC230" s="36"/>
      <c r="NFD230" s="36"/>
      <c r="NFE230" s="36"/>
      <c r="NFF230" s="36"/>
      <c r="NFG230" s="36"/>
      <c r="NFH230" s="36"/>
      <c r="NFI230" s="36"/>
      <c r="NFJ230" s="36"/>
      <c r="NFK230" s="36"/>
      <c r="NFL230" s="36"/>
      <c r="NFM230" s="36"/>
      <c r="NFN230" s="36"/>
      <c r="NFO230" s="36"/>
      <c r="NFP230" s="36"/>
      <c r="NFQ230" s="36"/>
      <c r="NFR230" s="36"/>
      <c r="NFS230" s="36"/>
      <c r="NFT230" s="36"/>
      <c r="NFU230" s="36"/>
      <c r="NFV230" s="36"/>
      <c r="NFW230" s="36"/>
      <c r="NFX230" s="36"/>
      <c r="NFY230" s="36"/>
      <c r="NFZ230" s="36"/>
      <c r="NGA230" s="36"/>
      <c r="NGB230" s="36"/>
      <c r="NGC230" s="36"/>
      <c r="NGD230" s="36"/>
      <c r="NGE230" s="36"/>
      <c r="NGF230" s="36"/>
      <c r="NGG230" s="36"/>
      <c r="NGH230" s="36"/>
      <c r="NGI230" s="36"/>
      <c r="NGJ230" s="36"/>
      <c r="NGK230" s="36"/>
      <c r="NGL230" s="36"/>
      <c r="NGM230" s="36"/>
      <c r="NGN230" s="36"/>
      <c r="NGO230" s="36"/>
      <c r="NGP230" s="36"/>
      <c r="NGQ230" s="36"/>
      <c r="NGR230" s="36"/>
      <c r="NGS230" s="36"/>
      <c r="NGT230" s="36"/>
      <c r="NGU230" s="36"/>
      <c r="NGV230" s="36"/>
      <c r="NGW230" s="36"/>
      <c r="NGX230" s="36"/>
      <c r="NGY230" s="36"/>
      <c r="NGZ230" s="36"/>
      <c r="NHA230" s="36"/>
      <c r="NHB230" s="36"/>
      <c r="NHC230" s="36"/>
      <c r="NHD230" s="36"/>
      <c r="NHE230" s="36"/>
      <c r="NHF230" s="36"/>
      <c r="NHG230" s="36"/>
      <c r="NHH230" s="36"/>
      <c r="NHI230" s="36"/>
      <c r="NHJ230" s="36"/>
      <c r="NHK230" s="36"/>
      <c r="NHL230" s="36"/>
      <c r="NHM230" s="36"/>
      <c r="NHN230" s="36"/>
      <c r="NHO230" s="36"/>
      <c r="NHP230" s="36"/>
      <c r="NHQ230" s="36"/>
      <c r="NHR230" s="36"/>
      <c r="NHS230" s="36"/>
      <c r="NHT230" s="36"/>
      <c r="NHU230" s="36"/>
      <c r="NHV230" s="36"/>
      <c r="NHW230" s="36"/>
      <c r="NHX230" s="36"/>
      <c r="NHY230" s="36"/>
      <c r="NHZ230" s="36"/>
      <c r="NIA230" s="36"/>
      <c r="NIB230" s="36"/>
      <c r="NIC230" s="36"/>
      <c r="NID230" s="36"/>
      <c r="NIE230" s="36"/>
      <c r="NIF230" s="36"/>
      <c r="NIG230" s="36"/>
      <c r="NIH230" s="36"/>
      <c r="NII230" s="36"/>
      <c r="NIJ230" s="36"/>
      <c r="NIK230" s="36"/>
      <c r="NIL230" s="36"/>
      <c r="NIM230" s="36"/>
      <c r="NIN230" s="36"/>
      <c r="NIO230" s="36"/>
      <c r="NIP230" s="36"/>
      <c r="NIQ230" s="36"/>
      <c r="NIR230" s="36"/>
      <c r="NIS230" s="36"/>
      <c r="NIT230" s="36"/>
      <c r="NIU230" s="36"/>
      <c r="NIV230" s="36"/>
      <c r="NIW230" s="36"/>
      <c r="NIX230" s="36"/>
      <c r="NIY230" s="36"/>
      <c r="NIZ230" s="36"/>
      <c r="NJA230" s="36"/>
      <c r="NJB230" s="36"/>
      <c r="NJC230" s="36"/>
      <c r="NJD230" s="36"/>
      <c r="NJE230" s="36"/>
      <c r="NJF230" s="36"/>
      <c r="NJG230" s="36"/>
      <c r="NJH230" s="36"/>
      <c r="NJI230" s="36"/>
      <c r="NJJ230" s="36"/>
      <c r="NJK230" s="36"/>
      <c r="NJL230" s="36"/>
      <c r="NJM230" s="36"/>
      <c r="NJN230" s="36"/>
      <c r="NJO230" s="36"/>
      <c r="NJP230" s="36"/>
      <c r="NJQ230" s="36"/>
      <c r="NJR230" s="36"/>
      <c r="NJS230" s="36"/>
      <c r="NJT230" s="36"/>
      <c r="NJU230" s="36"/>
      <c r="NJV230" s="36"/>
      <c r="NJW230" s="36"/>
      <c r="NJX230" s="36"/>
      <c r="NJY230" s="36"/>
      <c r="NJZ230" s="36"/>
      <c r="NKA230" s="36"/>
      <c r="NKB230" s="36"/>
      <c r="NKC230" s="36"/>
      <c r="NKD230" s="36"/>
      <c r="NKE230" s="36"/>
      <c r="NKF230" s="36"/>
      <c r="NKG230" s="36"/>
      <c r="NKH230" s="36"/>
      <c r="NKI230" s="36"/>
      <c r="NKJ230" s="36"/>
      <c r="NKK230" s="36"/>
      <c r="NKL230" s="36"/>
      <c r="NKM230" s="36"/>
      <c r="NKN230" s="36"/>
      <c r="NKO230" s="36"/>
      <c r="NKP230" s="36"/>
      <c r="NKQ230" s="36"/>
      <c r="NKR230" s="36"/>
      <c r="NKS230" s="36"/>
      <c r="NKT230" s="36"/>
      <c r="NKU230" s="36"/>
      <c r="NKV230" s="36"/>
      <c r="NKW230" s="36"/>
      <c r="NKX230" s="36"/>
      <c r="NKY230" s="36"/>
      <c r="NKZ230" s="36"/>
      <c r="NLA230" s="36"/>
      <c r="NLB230" s="36"/>
      <c r="NLC230" s="36"/>
      <c r="NLD230" s="36"/>
      <c r="NLE230" s="36"/>
      <c r="NLF230" s="36"/>
      <c r="NLG230" s="36"/>
      <c r="NLH230" s="36"/>
      <c r="NLI230" s="36"/>
      <c r="NLJ230" s="36"/>
      <c r="NLK230" s="36"/>
      <c r="NLL230" s="36"/>
      <c r="NLM230" s="36"/>
      <c r="NLN230" s="36"/>
      <c r="NLO230" s="36"/>
      <c r="NLP230" s="36"/>
      <c r="NLQ230" s="36"/>
      <c r="NLR230" s="36"/>
      <c r="NLS230" s="36"/>
      <c r="NLT230" s="36"/>
      <c r="NLU230" s="36"/>
      <c r="NLV230" s="36"/>
      <c r="NLW230" s="36"/>
      <c r="NLX230" s="36"/>
      <c r="NLY230" s="36"/>
      <c r="NLZ230" s="36"/>
      <c r="NMA230" s="36"/>
      <c r="NMB230" s="36"/>
      <c r="NMC230" s="36"/>
      <c r="NMD230" s="36"/>
      <c r="NME230" s="36"/>
      <c r="NMF230" s="36"/>
      <c r="NMG230" s="36"/>
      <c r="NMH230" s="36"/>
      <c r="NMI230" s="36"/>
      <c r="NMJ230" s="36"/>
      <c r="NMK230" s="36"/>
      <c r="NML230" s="36"/>
      <c r="NMM230" s="36"/>
      <c r="NMN230" s="36"/>
      <c r="NMO230" s="36"/>
      <c r="NMP230" s="36"/>
      <c r="NMQ230" s="36"/>
      <c r="NMR230" s="36"/>
      <c r="NMS230" s="36"/>
      <c r="NMT230" s="36"/>
      <c r="NMU230" s="36"/>
      <c r="NMV230" s="36"/>
      <c r="NMW230" s="36"/>
      <c r="NMX230" s="36"/>
      <c r="NMY230" s="36"/>
      <c r="NMZ230" s="36"/>
      <c r="NNA230" s="36"/>
      <c r="NNB230" s="36"/>
      <c r="NNC230" s="36"/>
      <c r="NND230" s="36"/>
      <c r="NNE230" s="36"/>
      <c r="NNF230" s="36"/>
      <c r="NNG230" s="36"/>
      <c r="NNH230" s="36"/>
      <c r="NNI230" s="36"/>
      <c r="NNJ230" s="36"/>
      <c r="NNK230" s="36"/>
      <c r="NNL230" s="36"/>
      <c r="NNM230" s="36"/>
      <c r="NNN230" s="36"/>
      <c r="NNO230" s="36"/>
      <c r="NNP230" s="36"/>
      <c r="NNQ230" s="36"/>
      <c r="NNR230" s="36"/>
      <c r="NNS230" s="36"/>
      <c r="NNT230" s="36"/>
      <c r="NNU230" s="36"/>
      <c r="NNV230" s="36"/>
      <c r="NNW230" s="36"/>
      <c r="NNX230" s="36"/>
      <c r="NNY230" s="36"/>
      <c r="NNZ230" s="36"/>
      <c r="NOA230" s="36"/>
      <c r="NOB230" s="36"/>
      <c r="NOC230" s="36"/>
      <c r="NOD230" s="36"/>
      <c r="NOE230" s="36"/>
      <c r="NOF230" s="36"/>
      <c r="NOG230" s="36"/>
      <c r="NOH230" s="36"/>
      <c r="NOI230" s="36"/>
      <c r="NOJ230" s="36"/>
      <c r="NOK230" s="36"/>
      <c r="NOL230" s="36"/>
      <c r="NOM230" s="36"/>
      <c r="NON230" s="36"/>
      <c r="NOO230" s="36"/>
      <c r="NOP230" s="36"/>
      <c r="NOQ230" s="36"/>
      <c r="NOR230" s="36"/>
      <c r="NOS230" s="36"/>
      <c r="NOT230" s="36"/>
      <c r="NOU230" s="36"/>
      <c r="NOV230" s="36"/>
      <c r="NOW230" s="36"/>
      <c r="NOX230" s="36"/>
      <c r="NOY230" s="36"/>
      <c r="NOZ230" s="36"/>
      <c r="NPA230" s="36"/>
      <c r="NPB230" s="36"/>
      <c r="NPC230" s="36"/>
      <c r="NPD230" s="36"/>
      <c r="NPE230" s="36"/>
      <c r="NPF230" s="36"/>
      <c r="NPG230" s="36"/>
      <c r="NPH230" s="36"/>
      <c r="NPI230" s="36"/>
      <c r="NPJ230" s="36"/>
      <c r="NPK230" s="36"/>
      <c r="NPL230" s="36"/>
      <c r="NPM230" s="36"/>
      <c r="NPN230" s="36"/>
      <c r="NPO230" s="36"/>
      <c r="NPP230" s="36"/>
      <c r="NPQ230" s="36"/>
      <c r="NPR230" s="36"/>
      <c r="NPS230" s="36"/>
      <c r="NPT230" s="36"/>
      <c r="NPU230" s="36"/>
      <c r="NPV230" s="36"/>
      <c r="NPW230" s="36"/>
      <c r="NPX230" s="36"/>
      <c r="NPY230" s="36"/>
      <c r="NPZ230" s="36"/>
      <c r="NQA230" s="36"/>
      <c r="NQB230" s="36"/>
      <c r="NQC230" s="36"/>
      <c r="NQD230" s="36"/>
      <c r="NQE230" s="36"/>
      <c r="NQF230" s="36"/>
      <c r="NQG230" s="36"/>
      <c r="NQH230" s="36"/>
      <c r="NQI230" s="36"/>
      <c r="NQJ230" s="36"/>
      <c r="NQK230" s="36"/>
      <c r="NQL230" s="36"/>
      <c r="NQM230" s="36"/>
      <c r="NQN230" s="36"/>
      <c r="NQO230" s="36"/>
      <c r="NQP230" s="36"/>
      <c r="NQQ230" s="36"/>
      <c r="NQR230" s="36"/>
      <c r="NQS230" s="36"/>
      <c r="NQT230" s="36"/>
      <c r="NQU230" s="36"/>
      <c r="NQV230" s="36"/>
      <c r="NQW230" s="36"/>
      <c r="NQX230" s="36"/>
      <c r="NQY230" s="36"/>
      <c r="NQZ230" s="36"/>
      <c r="NRA230" s="36"/>
      <c r="NRB230" s="36"/>
      <c r="NRC230" s="36"/>
      <c r="NRD230" s="36"/>
      <c r="NRE230" s="36"/>
      <c r="NRF230" s="36"/>
      <c r="NRG230" s="36"/>
      <c r="NRH230" s="36"/>
      <c r="NRI230" s="36"/>
      <c r="NRJ230" s="36"/>
      <c r="NRK230" s="36"/>
      <c r="NRL230" s="36"/>
      <c r="NRM230" s="36"/>
      <c r="NRN230" s="36"/>
      <c r="NRO230" s="36"/>
      <c r="NRP230" s="36"/>
      <c r="NRQ230" s="36"/>
      <c r="NRR230" s="36"/>
      <c r="NRS230" s="36"/>
      <c r="NRT230" s="36"/>
      <c r="NRU230" s="36"/>
      <c r="NRV230" s="36"/>
      <c r="NRW230" s="36"/>
      <c r="NRX230" s="36"/>
      <c r="NRY230" s="36"/>
      <c r="NRZ230" s="36"/>
      <c r="NSA230" s="36"/>
      <c r="NSB230" s="36"/>
      <c r="NSC230" s="36"/>
      <c r="NSD230" s="36"/>
      <c r="NSE230" s="36"/>
      <c r="NSF230" s="36"/>
      <c r="NSG230" s="36"/>
      <c r="NSH230" s="36"/>
      <c r="NSI230" s="36"/>
      <c r="NSJ230" s="36"/>
      <c r="NSK230" s="36"/>
      <c r="NSL230" s="36"/>
      <c r="NSM230" s="36"/>
      <c r="NSN230" s="36"/>
      <c r="NSO230" s="36"/>
      <c r="NSP230" s="36"/>
      <c r="NSQ230" s="36"/>
      <c r="NSR230" s="36"/>
      <c r="NSS230" s="36"/>
      <c r="NST230" s="36"/>
      <c r="NSU230" s="36"/>
      <c r="NSV230" s="36"/>
      <c r="NSW230" s="36"/>
      <c r="NSX230" s="36"/>
      <c r="NSY230" s="36"/>
      <c r="NSZ230" s="36"/>
      <c r="NTA230" s="36"/>
      <c r="NTB230" s="36"/>
      <c r="NTC230" s="36"/>
      <c r="NTD230" s="36"/>
      <c r="NTE230" s="36"/>
      <c r="NTF230" s="36"/>
      <c r="NTG230" s="36"/>
      <c r="NTH230" s="36"/>
      <c r="NTI230" s="36"/>
      <c r="NTJ230" s="36"/>
      <c r="NTK230" s="36"/>
      <c r="NTL230" s="36"/>
      <c r="NTM230" s="36"/>
      <c r="NTN230" s="36"/>
      <c r="NTO230" s="36"/>
      <c r="NTP230" s="36"/>
      <c r="NTQ230" s="36"/>
      <c r="NTR230" s="36"/>
      <c r="NTS230" s="36"/>
      <c r="NTT230" s="36"/>
      <c r="NTU230" s="36"/>
      <c r="NTV230" s="36"/>
      <c r="NTW230" s="36"/>
      <c r="NTX230" s="36"/>
      <c r="NTY230" s="36"/>
      <c r="NTZ230" s="36"/>
      <c r="NUA230" s="36"/>
      <c r="NUB230" s="36"/>
      <c r="NUC230" s="36"/>
      <c r="NUD230" s="36"/>
      <c r="NUE230" s="36"/>
      <c r="NUF230" s="36"/>
      <c r="NUG230" s="36"/>
      <c r="NUH230" s="36"/>
      <c r="NUI230" s="36"/>
      <c r="NUJ230" s="36"/>
      <c r="NUK230" s="36"/>
      <c r="NUL230" s="36"/>
      <c r="NUM230" s="36"/>
      <c r="NUN230" s="36"/>
      <c r="NUO230" s="36"/>
      <c r="NUP230" s="36"/>
      <c r="NUQ230" s="36"/>
      <c r="NUR230" s="36"/>
      <c r="NUS230" s="36"/>
      <c r="NUT230" s="36"/>
      <c r="NUU230" s="36"/>
      <c r="NUV230" s="36"/>
      <c r="NUW230" s="36"/>
      <c r="NUX230" s="36"/>
      <c r="NUY230" s="36"/>
      <c r="NUZ230" s="36"/>
      <c r="NVA230" s="36"/>
      <c r="NVB230" s="36"/>
      <c r="NVC230" s="36"/>
      <c r="NVD230" s="36"/>
      <c r="NVE230" s="36"/>
      <c r="NVF230" s="36"/>
      <c r="NVG230" s="36"/>
      <c r="NVH230" s="36"/>
      <c r="NVI230" s="36"/>
      <c r="NVJ230" s="36"/>
      <c r="NVK230" s="36"/>
      <c r="NVL230" s="36"/>
      <c r="NVM230" s="36"/>
      <c r="NVN230" s="36"/>
      <c r="NVO230" s="36"/>
      <c r="NVP230" s="36"/>
      <c r="NVQ230" s="36"/>
      <c r="NVR230" s="36"/>
      <c r="NVS230" s="36"/>
      <c r="NVT230" s="36"/>
      <c r="NVU230" s="36"/>
      <c r="NVV230" s="36"/>
      <c r="NVW230" s="36"/>
      <c r="NVX230" s="36"/>
      <c r="NVY230" s="36"/>
      <c r="NVZ230" s="36"/>
      <c r="NWA230" s="36"/>
      <c r="NWB230" s="36"/>
      <c r="NWC230" s="36"/>
      <c r="NWD230" s="36"/>
      <c r="NWE230" s="36"/>
      <c r="NWF230" s="36"/>
      <c r="NWG230" s="36"/>
      <c r="NWH230" s="36"/>
      <c r="NWI230" s="36"/>
      <c r="NWJ230" s="36"/>
      <c r="NWK230" s="36"/>
      <c r="NWL230" s="36"/>
      <c r="NWM230" s="36"/>
      <c r="NWN230" s="36"/>
      <c r="NWO230" s="36"/>
      <c r="NWP230" s="36"/>
      <c r="NWQ230" s="36"/>
      <c r="NWR230" s="36"/>
      <c r="NWS230" s="36"/>
      <c r="NWT230" s="36"/>
      <c r="NWU230" s="36"/>
      <c r="NWV230" s="36"/>
      <c r="NWW230" s="36"/>
      <c r="NWX230" s="36"/>
      <c r="NWY230" s="36"/>
      <c r="NWZ230" s="36"/>
      <c r="NXA230" s="36"/>
      <c r="NXB230" s="36"/>
      <c r="NXC230" s="36"/>
      <c r="NXD230" s="36"/>
      <c r="NXE230" s="36"/>
      <c r="NXF230" s="36"/>
      <c r="NXG230" s="36"/>
      <c r="NXH230" s="36"/>
      <c r="NXI230" s="36"/>
      <c r="NXJ230" s="36"/>
      <c r="NXK230" s="36"/>
      <c r="NXL230" s="36"/>
      <c r="NXM230" s="36"/>
      <c r="NXN230" s="36"/>
      <c r="NXO230" s="36"/>
      <c r="NXP230" s="36"/>
      <c r="NXQ230" s="36"/>
      <c r="NXR230" s="36"/>
      <c r="NXS230" s="36"/>
      <c r="NXT230" s="36"/>
      <c r="NXU230" s="36"/>
      <c r="NXV230" s="36"/>
      <c r="NXW230" s="36"/>
      <c r="NXX230" s="36"/>
      <c r="NXY230" s="36"/>
      <c r="NXZ230" s="36"/>
      <c r="NYA230" s="36"/>
      <c r="NYB230" s="36"/>
      <c r="NYC230" s="36"/>
      <c r="NYD230" s="36"/>
      <c r="NYE230" s="36"/>
      <c r="NYF230" s="36"/>
      <c r="NYG230" s="36"/>
      <c r="NYH230" s="36"/>
      <c r="NYI230" s="36"/>
      <c r="NYJ230" s="36"/>
      <c r="NYK230" s="36"/>
      <c r="NYL230" s="36"/>
      <c r="NYM230" s="36"/>
      <c r="NYN230" s="36"/>
      <c r="NYO230" s="36"/>
      <c r="NYP230" s="36"/>
      <c r="NYQ230" s="36"/>
      <c r="NYR230" s="36"/>
      <c r="NYS230" s="36"/>
      <c r="NYT230" s="36"/>
      <c r="NYU230" s="36"/>
      <c r="NYV230" s="36"/>
      <c r="NYW230" s="36"/>
      <c r="NYX230" s="36"/>
      <c r="NYY230" s="36"/>
      <c r="NYZ230" s="36"/>
      <c r="NZA230" s="36"/>
      <c r="NZB230" s="36"/>
      <c r="NZC230" s="36"/>
      <c r="NZD230" s="36"/>
      <c r="NZE230" s="36"/>
      <c r="NZF230" s="36"/>
      <c r="NZG230" s="36"/>
      <c r="NZH230" s="36"/>
      <c r="NZI230" s="36"/>
      <c r="NZJ230" s="36"/>
      <c r="NZK230" s="36"/>
      <c r="NZL230" s="36"/>
      <c r="NZM230" s="36"/>
      <c r="NZN230" s="36"/>
      <c r="NZO230" s="36"/>
      <c r="NZP230" s="36"/>
      <c r="NZQ230" s="36"/>
      <c r="NZR230" s="36"/>
      <c r="NZS230" s="36"/>
      <c r="NZT230" s="36"/>
      <c r="NZU230" s="36"/>
      <c r="NZV230" s="36"/>
      <c r="NZW230" s="36"/>
      <c r="NZX230" s="36"/>
      <c r="NZY230" s="36"/>
      <c r="NZZ230" s="36"/>
      <c r="OAA230" s="36"/>
      <c r="OAB230" s="36"/>
      <c r="OAC230" s="36"/>
      <c r="OAD230" s="36"/>
      <c r="OAE230" s="36"/>
      <c r="OAF230" s="36"/>
      <c r="OAG230" s="36"/>
      <c r="OAH230" s="36"/>
      <c r="OAI230" s="36"/>
      <c r="OAJ230" s="36"/>
      <c r="OAK230" s="36"/>
      <c r="OAL230" s="36"/>
      <c r="OAM230" s="36"/>
      <c r="OAN230" s="36"/>
      <c r="OAO230" s="36"/>
      <c r="OAP230" s="36"/>
      <c r="OAQ230" s="36"/>
      <c r="OAR230" s="36"/>
      <c r="OAS230" s="36"/>
      <c r="OAT230" s="36"/>
      <c r="OAU230" s="36"/>
      <c r="OAV230" s="36"/>
      <c r="OAW230" s="36"/>
      <c r="OAX230" s="36"/>
      <c r="OAY230" s="36"/>
      <c r="OAZ230" s="36"/>
      <c r="OBA230" s="36"/>
      <c r="OBB230" s="36"/>
      <c r="OBC230" s="36"/>
      <c r="OBD230" s="36"/>
      <c r="OBE230" s="36"/>
      <c r="OBF230" s="36"/>
      <c r="OBG230" s="36"/>
      <c r="OBH230" s="36"/>
      <c r="OBI230" s="36"/>
      <c r="OBJ230" s="36"/>
      <c r="OBK230" s="36"/>
      <c r="OBL230" s="36"/>
      <c r="OBM230" s="36"/>
      <c r="OBN230" s="36"/>
      <c r="OBO230" s="36"/>
      <c r="OBP230" s="36"/>
      <c r="OBQ230" s="36"/>
      <c r="OBR230" s="36"/>
      <c r="OBS230" s="36"/>
      <c r="OBT230" s="36"/>
      <c r="OBU230" s="36"/>
      <c r="OBV230" s="36"/>
      <c r="OBW230" s="36"/>
      <c r="OBX230" s="36"/>
      <c r="OBY230" s="36"/>
      <c r="OBZ230" s="36"/>
      <c r="OCA230" s="36"/>
      <c r="OCB230" s="36"/>
      <c r="OCC230" s="36"/>
      <c r="OCD230" s="36"/>
      <c r="OCE230" s="36"/>
      <c r="OCF230" s="36"/>
      <c r="OCG230" s="36"/>
      <c r="OCH230" s="36"/>
      <c r="OCI230" s="36"/>
      <c r="OCJ230" s="36"/>
      <c r="OCK230" s="36"/>
      <c r="OCL230" s="36"/>
      <c r="OCM230" s="36"/>
      <c r="OCN230" s="36"/>
      <c r="OCO230" s="36"/>
      <c r="OCP230" s="36"/>
      <c r="OCQ230" s="36"/>
      <c r="OCR230" s="36"/>
      <c r="OCS230" s="36"/>
      <c r="OCT230" s="36"/>
      <c r="OCU230" s="36"/>
      <c r="OCV230" s="36"/>
      <c r="OCW230" s="36"/>
      <c r="OCX230" s="36"/>
      <c r="OCY230" s="36"/>
      <c r="OCZ230" s="36"/>
      <c r="ODA230" s="36"/>
      <c r="ODB230" s="36"/>
      <c r="ODC230" s="36"/>
      <c r="ODD230" s="36"/>
      <c r="ODE230" s="36"/>
      <c r="ODF230" s="36"/>
      <c r="ODG230" s="36"/>
      <c r="ODH230" s="36"/>
      <c r="ODI230" s="36"/>
      <c r="ODJ230" s="36"/>
      <c r="ODK230" s="36"/>
      <c r="ODL230" s="36"/>
      <c r="ODM230" s="36"/>
      <c r="ODN230" s="36"/>
      <c r="ODO230" s="36"/>
      <c r="ODP230" s="36"/>
      <c r="ODQ230" s="36"/>
      <c r="ODR230" s="36"/>
      <c r="ODS230" s="36"/>
      <c r="ODT230" s="36"/>
      <c r="ODU230" s="36"/>
      <c r="ODV230" s="36"/>
      <c r="ODW230" s="36"/>
      <c r="ODX230" s="36"/>
      <c r="ODY230" s="36"/>
      <c r="ODZ230" s="36"/>
      <c r="OEA230" s="36"/>
      <c r="OEB230" s="36"/>
      <c r="OEC230" s="36"/>
      <c r="OED230" s="36"/>
      <c r="OEE230" s="36"/>
      <c r="OEF230" s="36"/>
      <c r="OEG230" s="36"/>
      <c r="OEH230" s="36"/>
      <c r="OEI230" s="36"/>
      <c r="OEJ230" s="36"/>
      <c r="OEK230" s="36"/>
      <c r="OEL230" s="36"/>
      <c r="OEM230" s="36"/>
      <c r="OEN230" s="36"/>
      <c r="OEO230" s="36"/>
      <c r="OEP230" s="36"/>
      <c r="OEQ230" s="36"/>
      <c r="OER230" s="36"/>
      <c r="OES230" s="36"/>
      <c r="OET230" s="36"/>
      <c r="OEU230" s="36"/>
      <c r="OEV230" s="36"/>
      <c r="OEW230" s="36"/>
      <c r="OEX230" s="36"/>
      <c r="OEY230" s="36"/>
      <c r="OEZ230" s="36"/>
      <c r="OFA230" s="36"/>
      <c r="OFB230" s="36"/>
      <c r="OFC230" s="36"/>
      <c r="OFD230" s="36"/>
      <c r="OFE230" s="36"/>
      <c r="OFF230" s="36"/>
      <c r="OFG230" s="36"/>
      <c r="OFH230" s="36"/>
      <c r="OFI230" s="36"/>
      <c r="OFJ230" s="36"/>
      <c r="OFK230" s="36"/>
      <c r="OFL230" s="36"/>
      <c r="OFM230" s="36"/>
      <c r="OFN230" s="36"/>
      <c r="OFO230" s="36"/>
      <c r="OFP230" s="36"/>
      <c r="OFQ230" s="36"/>
      <c r="OFR230" s="36"/>
      <c r="OFS230" s="36"/>
      <c r="OFT230" s="36"/>
      <c r="OFU230" s="36"/>
      <c r="OFV230" s="36"/>
      <c r="OFW230" s="36"/>
      <c r="OFX230" s="36"/>
      <c r="OFY230" s="36"/>
      <c r="OFZ230" s="36"/>
      <c r="OGA230" s="36"/>
      <c r="OGB230" s="36"/>
      <c r="OGC230" s="36"/>
      <c r="OGD230" s="36"/>
      <c r="OGE230" s="36"/>
      <c r="OGF230" s="36"/>
      <c r="OGG230" s="36"/>
      <c r="OGH230" s="36"/>
      <c r="OGI230" s="36"/>
      <c r="OGJ230" s="36"/>
      <c r="OGK230" s="36"/>
      <c r="OGL230" s="36"/>
      <c r="OGM230" s="36"/>
      <c r="OGN230" s="36"/>
      <c r="OGO230" s="36"/>
      <c r="OGP230" s="36"/>
      <c r="OGQ230" s="36"/>
      <c r="OGR230" s="36"/>
      <c r="OGS230" s="36"/>
      <c r="OGT230" s="36"/>
      <c r="OGU230" s="36"/>
      <c r="OGV230" s="36"/>
      <c r="OGW230" s="36"/>
      <c r="OGX230" s="36"/>
      <c r="OGY230" s="36"/>
      <c r="OGZ230" s="36"/>
      <c r="OHA230" s="36"/>
      <c r="OHB230" s="36"/>
      <c r="OHC230" s="36"/>
      <c r="OHD230" s="36"/>
      <c r="OHE230" s="36"/>
      <c r="OHF230" s="36"/>
      <c r="OHG230" s="36"/>
      <c r="OHH230" s="36"/>
      <c r="OHI230" s="36"/>
      <c r="OHJ230" s="36"/>
      <c r="OHK230" s="36"/>
      <c r="OHL230" s="36"/>
      <c r="OHM230" s="36"/>
      <c r="OHN230" s="36"/>
      <c r="OHO230" s="36"/>
      <c r="OHP230" s="36"/>
      <c r="OHQ230" s="36"/>
      <c r="OHR230" s="36"/>
      <c r="OHS230" s="36"/>
      <c r="OHT230" s="36"/>
      <c r="OHU230" s="36"/>
      <c r="OHV230" s="36"/>
      <c r="OHW230" s="36"/>
      <c r="OHX230" s="36"/>
      <c r="OHY230" s="36"/>
      <c r="OHZ230" s="36"/>
      <c r="OIA230" s="36"/>
      <c r="OIB230" s="36"/>
      <c r="OIC230" s="36"/>
      <c r="OID230" s="36"/>
      <c r="OIE230" s="36"/>
      <c r="OIF230" s="36"/>
      <c r="OIG230" s="36"/>
      <c r="OIH230" s="36"/>
      <c r="OII230" s="36"/>
      <c r="OIJ230" s="36"/>
      <c r="OIK230" s="36"/>
      <c r="OIL230" s="36"/>
      <c r="OIM230" s="36"/>
      <c r="OIN230" s="36"/>
      <c r="OIO230" s="36"/>
      <c r="OIP230" s="36"/>
      <c r="OIQ230" s="36"/>
      <c r="OIR230" s="36"/>
      <c r="OIS230" s="36"/>
      <c r="OIT230" s="36"/>
      <c r="OIU230" s="36"/>
      <c r="OIV230" s="36"/>
      <c r="OIW230" s="36"/>
      <c r="OIX230" s="36"/>
      <c r="OIY230" s="36"/>
      <c r="OIZ230" s="36"/>
      <c r="OJA230" s="36"/>
      <c r="OJB230" s="36"/>
      <c r="OJC230" s="36"/>
      <c r="OJD230" s="36"/>
      <c r="OJE230" s="36"/>
      <c r="OJF230" s="36"/>
      <c r="OJG230" s="36"/>
      <c r="OJH230" s="36"/>
      <c r="OJI230" s="36"/>
      <c r="OJJ230" s="36"/>
      <c r="OJK230" s="36"/>
      <c r="OJL230" s="36"/>
      <c r="OJM230" s="36"/>
      <c r="OJN230" s="36"/>
      <c r="OJO230" s="36"/>
      <c r="OJP230" s="36"/>
      <c r="OJQ230" s="36"/>
      <c r="OJR230" s="36"/>
      <c r="OJS230" s="36"/>
      <c r="OJT230" s="36"/>
      <c r="OJU230" s="36"/>
      <c r="OJV230" s="36"/>
      <c r="OJW230" s="36"/>
      <c r="OJX230" s="36"/>
      <c r="OJY230" s="36"/>
      <c r="OJZ230" s="36"/>
      <c r="OKA230" s="36"/>
      <c r="OKB230" s="36"/>
      <c r="OKC230" s="36"/>
      <c r="OKD230" s="36"/>
      <c r="OKE230" s="36"/>
      <c r="OKF230" s="36"/>
      <c r="OKG230" s="36"/>
      <c r="OKH230" s="36"/>
      <c r="OKI230" s="36"/>
      <c r="OKJ230" s="36"/>
      <c r="OKK230" s="36"/>
      <c r="OKL230" s="36"/>
      <c r="OKM230" s="36"/>
      <c r="OKN230" s="36"/>
      <c r="OKO230" s="36"/>
      <c r="OKP230" s="36"/>
      <c r="OKQ230" s="36"/>
      <c r="OKR230" s="36"/>
      <c r="OKS230" s="36"/>
      <c r="OKT230" s="36"/>
      <c r="OKU230" s="36"/>
      <c r="OKV230" s="36"/>
      <c r="OKW230" s="36"/>
      <c r="OKX230" s="36"/>
      <c r="OKY230" s="36"/>
      <c r="OKZ230" s="36"/>
      <c r="OLA230" s="36"/>
      <c r="OLB230" s="36"/>
      <c r="OLC230" s="36"/>
      <c r="OLD230" s="36"/>
      <c r="OLE230" s="36"/>
      <c r="OLF230" s="36"/>
      <c r="OLG230" s="36"/>
      <c r="OLH230" s="36"/>
      <c r="OLI230" s="36"/>
      <c r="OLJ230" s="36"/>
      <c r="OLK230" s="36"/>
      <c r="OLL230" s="36"/>
      <c r="OLM230" s="36"/>
      <c r="OLN230" s="36"/>
      <c r="OLO230" s="36"/>
      <c r="OLP230" s="36"/>
      <c r="OLQ230" s="36"/>
      <c r="OLR230" s="36"/>
      <c r="OLS230" s="36"/>
      <c r="OLT230" s="36"/>
      <c r="OLU230" s="36"/>
      <c r="OLV230" s="36"/>
      <c r="OLW230" s="36"/>
      <c r="OLX230" s="36"/>
      <c r="OLY230" s="36"/>
      <c r="OLZ230" s="36"/>
      <c r="OMA230" s="36"/>
      <c r="OMB230" s="36"/>
      <c r="OMC230" s="36"/>
      <c r="OMD230" s="36"/>
      <c r="OME230" s="36"/>
      <c r="OMF230" s="36"/>
      <c r="OMG230" s="36"/>
      <c r="OMH230" s="36"/>
      <c r="OMI230" s="36"/>
      <c r="OMJ230" s="36"/>
      <c r="OMK230" s="36"/>
      <c r="OML230" s="36"/>
      <c r="OMM230" s="36"/>
      <c r="OMN230" s="36"/>
      <c r="OMO230" s="36"/>
      <c r="OMP230" s="36"/>
      <c r="OMQ230" s="36"/>
      <c r="OMR230" s="36"/>
      <c r="OMS230" s="36"/>
      <c r="OMT230" s="36"/>
      <c r="OMU230" s="36"/>
      <c r="OMV230" s="36"/>
      <c r="OMW230" s="36"/>
      <c r="OMX230" s="36"/>
      <c r="OMY230" s="36"/>
      <c r="OMZ230" s="36"/>
      <c r="ONA230" s="36"/>
      <c r="ONB230" s="36"/>
      <c r="ONC230" s="36"/>
      <c r="OND230" s="36"/>
      <c r="ONE230" s="36"/>
      <c r="ONF230" s="36"/>
      <c r="ONG230" s="36"/>
      <c r="ONH230" s="36"/>
      <c r="ONI230" s="36"/>
      <c r="ONJ230" s="36"/>
      <c r="ONK230" s="36"/>
      <c r="ONL230" s="36"/>
      <c r="ONM230" s="36"/>
      <c r="ONN230" s="36"/>
      <c r="ONO230" s="36"/>
      <c r="ONP230" s="36"/>
      <c r="ONQ230" s="36"/>
      <c r="ONR230" s="36"/>
      <c r="ONS230" s="36"/>
      <c r="ONT230" s="36"/>
      <c r="ONU230" s="36"/>
      <c r="ONV230" s="36"/>
      <c r="ONW230" s="36"/>
      <c r="ONX230" s="36"/>
      <c r="ONY230" s="36"/>
      <c r="ONZ230" s="36"/>
      <c r="OOA230" s="36"/>
      <c r="OOB230" s="36"/>
      <c r="OOC230" s="36"/>
      <c r="OOD230" s="36"/>
      <c r="OOE230" s="36"/>
      <c r="OOF230" s="36"/>
      <c r="OOG230" s="36"/>
      <c r="OOH230" s="36"/>
      <c r="OOI230" s="36"/>
      <c r="OOJ230" s="36"/>
      <c r="OOK230" s="36"/>
      <c r="OOL230" s="36"/>
      <c r="OOM230" s="36"/>
      <c r="OON230" s="36"/>
      <c r="OOO230" s="36"/>
      <c r="OOP230" s="36"/>
      <c r="OOQ230" s="36"/>
      <c r="OOR230" s="36"/>
      <c r="OOS230" s="36"/>
      <c r="OOT230" s="36"/>
      <c r="OOU230" s="36"/>
      <c r="OOV230" s="36"/>
      <c r="OOW230" s="36"/>
      <c r="OOX230" s="36"/>
      <c r="OOY230" s="36"/>
      <c r="OOZ230" s="36"/>
      <c r="OPA230" s="36"/>
      <c r="OPB230" s="36"/>
      <c r="OPC230" s="36"/>
      <c r="OPD230" s="36"/>
      <c r="OPE230" s="36"/>
      <c r="OPF230" s="36"/>
      <c r="OPG230" s="36"/>
      <c r="OPH230" s="36"/>
      <c r="OPI230" s="36"/>
      <c r="OPJ230" s="36"/>
      <c r="OPK230" s="36"/>
      <c r="OPL230" s="36"/>
      <c r="OPM230" s="36"/>
      <c r="OPN230" s="36"/>
      <c r="OPO230" s="36"/>
      <c r="OPP230" s="36"/>
      <c r="OPQ230" s="36"/>
      <c r="OPR230" s="36"/>
      <c r="OPS230" s="36"/>
      <c r="OPT230" s="36"/>
      <c r="OPU230" s="36"/>
      <c r="OPV230" s="36"/>
      <c r="OPW230" s="36"/>
      <c r="OPX230" s="36"/>
      <c r="OPY230" s="36"/>
      <c r="OPZ230" s="36"/>
      <c r="OQA230" s="36"/>
      <c r="OQB230" s="36"/>
      <c r="OQC230" s="36"/>
      <c r="OQD230" s="36"/>
      <c r="OQE230" s="36"/>
      <c r="OQF230" s="36"/>
      <c r="OQG230" s="36"/>
      <c r="OQH230" s="36"/>
      <c r="OQI230" s="36"/>
      <c r="OQJ230" s="36"/>
      <c r="OQK230" s="36"/>
      <c r="OQL230" s="36"/>
      <c r="OQM230" s="36"/>
      <c r="OQN230" s="36"/>
      <c r="OQO230" s="36"/>
      <c r="OQP230" s="36"/>
      <c r="OQQ230" s="36"/>
      <c r="OQR230" s="36"/>
      <c r="OQS230" s="36"/>
      <c r="OQT230" s="36"/>
      <c r="OQU230" s="36"/>
      <c r="OQV230" s="36"/>
      <c r="OQW230" s="36"/>
      <c r="OQX230" s="36"/>
      <c r="OQY230" s="36"/>
      <c r="OQZ230" s="36"/>
      <c r="ORA230" s="36"/>
      <c r="ORB230" s="36"/>
      <c r="ORC230" s="36"/>
      <c r="ORD230" s="36"/>
      <c r="ORE230" s="36"/>
      <c r="ORF230" s="36"/>
      <c r="ORG230" s="36"/>
      <c r="ORH230" s="36"/>
      <c r="ORI230" s="36"/>
      <c r="ORJ230" s="36"/>
      <c r="ORK230" s="36"/>
      <c r="ORL230" s="36"/>
      <c r="ORM230" s="36"/>
      <c r="ORN230" s="36"/>
      <c r="ORO230" s="36"/>
      <c r="ORP230" s="36"/>
      <c r="ORQ230" s="36"/>
      <c r="ORR230" s="36"/>
      <c r="ORS230" s="36"/>
      <c r="ORT230" s="36"/>
      <c r="ORU230" s="36"/>
      <c r="ORV230" s="36"/>
      <c r="ORW230" s="36"/>
      <c r="ORX230" s="36"/>
      <c r="ORY230" s="36"/>
      <c r="ORZ230" s="36"/>
      <c r="OSA230" s="36"/>
      <c r="OSB230" s="36"/>
      <c r="OSC230" s="36"/>
      <c r="OSD230" s="36"/>
      <c r="OSE230" s="36"/>
      <c r="OSF230" s="36"/>
      <c r="OSG230" s="36"/>
      <c r="OSH230" s="36"/>
      <c r="OSI230" s="36"/>
      <c r="OSJ230" s="36"/>
      <c r="OSK230" s="36"/>
      <c r="OSL230" s="36"/>
      <c r="OSM230" s="36"/>
      <c r="OSN230" s="36"/>
      <c r="OSO230" s="36"/>
      <c r="OSP230" s="36"/>
      <c r="OSQ230" s="36"/>
      <c r="OSR230" s="36"/>
      <c r="OSS230" s="36"/>
      <c r="OST230" s="36"/>
      <c r="OSU230" s="36"/>
      <c r="OSV230" s="36"/>
      <c r="OSW230" s="36"/>
      <c r="OSX230" s="36"/>
      <c r="OSY230" s="36"/>
      <c r="OSZ230" s="36"/>
      <c r="OTA230" s="36"/>
      <c r="OTB230" s="36"/>
      <c r="OTC230" s="36"/>
      <c r="OTD230" s="36"/>
      <c r="OTE230" s="36"/>
      <c r="OTF230" s="36"/>
      <c r="OTG230" s="36"/>
      <c r="OTH230" s="36"/>
      <c r="OTI230" s="36"/>
      <c r="OTJ230" s="36"/>
      <c r="OTK230" s="36"/>
      <c r="OTL230" s="36"/>
      <c r="OTM230" s="36"/>
      <c r="OTN230" s="36"/>
      <c r="OTO230" s="36"/>
      <c r="OTP230" s="36"/>
      <c r="OTQ230" s="36"/>
      <c r="OTR230" s="36"/>
      <c r="OTS230" s="36"/>
      <c r="OTT230" s="36"/>
      <c r="OTU230" s="36"/>
      <c r="OTV230" s="36"/>
      <c r="OTW230" s="36"/>
      <c r="OTX230" s="36"/>
      <c r="OTY230" s="36"/>
      <c r="OTZ230" s="36"/>
      <c r="OUA230" s="36"/>
      <c r="OUB230" s="36"/>
      <c r="OUC230" s="36"/>
      <c r="OUD230" s="36"/>
      <c r="OUE230" s="36"/>
      <c r="OUF230" s="36"/>
      <c r="OUG230" s="36"/>
      <c r="OUH230" s="36"/>
      <c r="OUI230" s="36"/>
      <c r="OUJ230" s="36"/>
      <c r="OUK230" s="36"/>
      <c r="OUL230" s="36"/>
      <c r="OUM230" s="36"/>
      <c r="OUN230" s="36"/>
      <c r="OUO230" s="36"/>
      <c r="OUP230" s="36"/>
      <c r="OUQ230" s="36"/>
      <c r="OUR230" s="36"/>
      <c r="OUS230" s="36"/>
      <c r="OUT230" s="36"/>
      <c r="OUU230" s="36"/>
      <c r="OUV230" s="36"/>
      <c r="OUW230" s="36"/>
      <c r="OUX230" s="36"/>
      <c r="OUY230" s="36"/>
      <c r="OUZ230" s="36"/>
      <c r="OVA230" s="36"/>
      <c r="OVB230" s="36"/>
      <c r="OVC230" s="36"/>
      <c r="OVD230" s="36"/>
      <c r="OVE230" s="36"/>
      <c r="OVF230" s="36"/>
      <c r="OVG230" s="36"/>
      <c r="OVH230" s="36"/>
      <c r="OVI230" s="36"/>
      <c r="OVJ230" s="36"/>
      <c r="OVK230" s="36"/>
      <c r="OVL230" s="36"/>
      <c r="OVM230" s="36"/>
      <c r="OVN230" s="36"/>
      <c r="OVO230" s="36"/>
      <c r="OVP230" s="36"/>
      <c r="OVQ230" s="36"/>
      <c r="OVR230" s="36"/>
      <c r="OVS230" s="36"/>
      <c r="OVT230" s="36"/>
      <c r="OVU230" s="36"/>
      <c r="OVV230" s="36"/>
      <c r="OVW230" s="36"/>
      <c r="OVX230" s="36"/>
      <c r="OVY230" s="36"/>
      <c r="OVZ230" s="36"/>
      <c r="OWA230" s="36"/>
      <c r="OWB230" s="36"/>
      <c r="OWC230" s="36"/>
      <c r="OWD230" s="36"/>
      <c r="OWE230" s="36"/>
      <c r="OWF230" s="36"/>
      <c r="OWG230" s="36"/>
      <c r="OWH230" s="36"/>
      <c r="OWI230" s="36"/>
      <c r="OWJ230" s="36"/>
      <c r="OWK230" s="36"/>
      <c r="OWL230" s="36"/>
      <c r="OWM230" s="36"/>
      <c r="OWN230" s="36"/>
      <c r="OWO230" s="36"/>
      <c r="OWP230" s="36"/>
      <c r="OWQ230" s="36"/>
      <c r="OWR230" s="36"/>
      <c r="OWS230" s="36"/>
      <c r="OWT230" s="36"/>
      <c r="OWU230" s="36"/>
      <c r="OWV230" s="36"/>
      <c r="OWW230" s="36"/>
      <c r="OWX230" s="36"/>
      <c r="OWY230" s="36"/>
      <c r="OWZ230" s="36"/>
      <c r="OXA230" s="36"/>
      <c r="OXB230" s="36"/>
      <c r="OXC230" s="36"/>
      <c r="OXD230" s="36"/>
      <c r="OXE230" s="36"/>
      <c r="OXF230" s="36"/>
      <c r="OXG230" s="36"/>
      <c r="OXH230" s="36"/>
      <c r="OXI230" s="36"/>
      <c r="OXJ230" s="36"/>
      <c r="OXK230" s="36"/>
      <c r="OXL230" s="36"/>
      <c r="OXM230" s="36"/>
      <c r="OXN230" s="36"/>
      <c r="OXO230" s="36"/>
      <c r="OXP230" s="36"/>
      <c r="OXQ230" s="36"/>
      <c r="OXR230" s="36"/>
      <c r="OXS230" s="36"/>
      <c r="OXT230" s="36"/>
      <c r="OXU230" s="36"/>
      <c r="OXV230" s="36"/>
      <c r="OXW230" s="36"/>
      <c r="OXX230" s="36"/>
      <c r="OXY230" s="36"/>
      <c r="OXZ230" s="36"/>
      <c r="OYA230" s="36"/>
      <c r="OYB230" s="36"/>
      <c r="OYC230" s="36"/>
      <c r="OYD230" s="36"/>
      <c r="OYE230" s="36"/>
      <c r="OYF230" s="36"/>
      <c r="OYG230" s="36"/>
      <c r="OYH230" s="36"/>
      <c r="OYI230" s="36"/>
      <c r="OYJ230" s="36"/>
      <c r="OYK230" s="36"/>
      <c r="OYL230" s="36"/>
      <c r="OYM230" s="36"/>
      <c r="OYN230" s="36"/>
      <c r="OYO230" s="36"/>
      <c r="OYP230" s="36"/>
      <c r="OYQ230" s="36"/>
      <c r="OYR230" s="36"/>
      <c r="OYS230" s="36"/>
      <c r="OYT230" s="36"/>
      <c r="OYU230" s="36"/>
      <c r="OYV230" s="36"/>
      <c r="OYW230" s="36"/>
      <c r="OYX230" s="36"/>
      <c r="OYY230" s="36"/>
      <c r="OYZ230" s="36"/>
      <c r="OZA230" s="36"/>
      <c r="OZB230" s="36"/>
      <c r="OZC230" s="36"/>
      <c r="OZD230" s="36"/>
      <c r="OZE230" s="36"/>
      <c r="OZF230" s="36"/>
      <c r="OZG230" s="36"/>
      <c r="OZH230" s="36"/>
      <c r="OZI230" s="36"/>
      <c r="OZJ230" s="36"/>
      <c r="OZK230" s="36"/>
      <c r="OZL230" s="36"/>
      <c r="OZM230" s="36"/>
      <c r="OZN230" s="36"/>
      <c r="OZO230" s="36"/>
      <c r="OZP230" s="36"/>
      <c r="OZQ230" s="36"/>
      <c r="OZR230" s="36"/>
      <c r="OZS230" s="36"/>
      <c r="OZT230" s="36"/>
      <c r="OZU230" s="36"/>
      <c r="OZV230" s="36"/>
      <c r="OZW230" s="36"/>
      <c r="OZX230" s="36"/>
      <c r="OZY230" s="36"/>
      <c r="OZZ230" s="36"/>
      <c r="PAA230" s="36"/>
      <c r="PAB230" s="36"/>
      <c r="PAC230" s="36"/>
      <c r="PAD230" s="36"/>
      <c r="PAE230" s="36"/>
      <c r="PAF230" s="36"/>
      <c r="PAG230" s="36"/>
      <c r="PAH230" s="36"/>
      <c r="PAI230" s="36"/>
      <c r="PAJ230" s="36"/>
      <c r="PAK230" s="36"/>
      <c r="PAL230" s="36"/>
      <c r="PAM230" s="36"/>
      <c r="PAN230" s="36"/>
      <c r="PAO230" s="36"/>
      <c r="PAP230" s="36"/>
      <c r="PAQ230" s="36"/>
      <c r="PAR230" s="36"/>
      <c r="PAS230" s="36"/>
      <c r="PAT230" s="36"/>
      <c r="PAU230" s="36"/>
      <c r="PAV230" s="36"/>
      <c r="PAW230" s="36"/>
      <c r="PAX230" s="36"/>
      <c r="PAY230" s="36"/>
      <c r="PAZ230" s="36"/>
      <c r="PBA230" s="36"/>
      <c r="PBB230" s="36"/>
      <c r="PBC230" s="36"/>
      <c r="PBD230" s="36"/>
      <c r="PBE230" s="36"/>
      <c r="PBF230" s="36"/>
      <c r="PBG230" s="36"/>
      <c r="PBH230" s="36"/>
      <c r="PBI230" s="36"/>
      <c r="PBJ230" s="36"/>
      <c r="PBK230" s="36"/>
      <c r="PBL230" s="36"/>
      <c r="PBM230" s="36"/>
      <c r="PBN230" s="36"/>
      <c r="PBO230" s="36"/>
      <c r="PBP230" s="36"/>
      <c r="PBQ230" s="36"/>
      <c r="PBR230" s="36"/>
      <c r="PBS230" s="36"/>
      <c r="PBT230" s="36"/>
      <c r="PBU230" s="36"/>
      <c r="PBV230" s="36"/>
      <c r="PBW230" s="36"/>
      <c r="PBX230" s="36"/>
      <c r="PBY230" s="36"/>
      <c r="PBZ230" s="36"/>
      <c r="PCA230" s="36"/>
      <c r="PCB230" s="36"/>
      <c r="PCC230" s="36"/>
      <c r="PCD230" s="36"/>
      <c r="PCE230" s="36"/>
      <c r="PCF230" s="36"/>
      <c r="PCG230" s="36"/>
      <c r="PCH230" s="36"/>
      <c r="PCI230" s="36"/>
      <c r="PCJ230" s="36"/>
      <c r="PCK230" s="36"/>
      <c r="PCL230" s="36"/>
      <c r="PCM230" s="36"/>
      <c r="PCN230" s="36"/>
      <c r="PCO230" s="36"/>
      <c r="PCP230" s="36"/>
      <c r="PCQ230" s="36"/>
      <c r="PCR230" s="36"/>
      <c r="PCS230" s="36"/>
      <c r="PCT230" s="36"/>
      <c r="PCU230" s="36"/>
      <c r="PCV230" s="36"/>
      <c r="PCW230" s="36"/>
      <c r="PCX230" s="36"/>
      <c r="PCY230" s="36"/>
      <c r="PCZ230" s="36"/>
      <c r="PDA230" s="36"/>
      <c r="PDB230" s="36"/>
      <c r="PDC230" s="36"/>
      <c r="PDD230" s="36"/>
      <c r="PDE230" s="36"/>
      <c r="PDF230" s="36"/>
      <c r="PDG230" s="36"/>
      <c r="PDH230" s="36"/>
      <c r="PDI230" s="36"/>
      <c r="PDJ230" s="36"/>
      <c r="PDK230" s="36"/>
      <c r="PDL230" s="36"/>
      <c r="PDM230" s="36"/>
      <c r="PDN230" s="36"/>
      <c r="PDO230" s="36"/>
      <c r="PDP230" s="36"/>
      <c r="PDQ230" s="36"/>
      <c r="PDR230" s="36"/>
      <c r="PDS230" s="36"/>
      <c r="PDT230" s="36"/>
      <c r="PDU230" s="36"/>
      <c r="PDV230" s="36"/>
      <c r="PDW230" s="36"/>
      <c r="PDX230" s="36"/>
      <c r="PDY230" s="36"/>
      <c r="PDZ230" s="36"/>
      <c r="PEA230" s="36"/>
      <c r="PEB230" s="36"/>
      <c r="PEC230" s="36"/>
      <c r="PED230" s="36"/>
      <c r="PEE230" s="36"/>
      <c r="PEF230" s="36"/>
      <c r="PEG230" s="36"/>
      <c r="PEH230" s="36"/>
      <c r="PEI230" s="36"/>
      <c r="PEJ230" s="36"/>
      <c r="PEK230" s="36"/>
      <c r="PEL230" s="36"/>
      <c r="PEM230" s="36"/>
      <c r="PEN230" s="36"/>
      <c r="PEO230" s="36"/>
      <c r="PEP230" s="36"/>
      <c r="PEQ230" s="36"/>
      <c r="PER230" s="36"/>
      <c r="PES230" s="36"/>
      <c r="PET230" s="36"/>
      <c r="PEU230" s="36"/>
      <c r="PEV230" s="36"/>
      <c r="PEW230" s="36"/>
      <c r="PEX230" s="36"/>
      <c r="PEY230" s="36"/>
      <c r="PEZ230" s="36"/>
      <c r="PFA230" s="36"/>
      <c r="PFB230" s="36"/>
      <c r="PFC230" s="36"/>
      <c r="PFD230" s="36"/>
      <c r="PFE230" s="36"/>
      <c r="PFF230" s="36"/>
      <c r="PFG230" s="36"/>
      <c r="PFH230" s="36"/>
      <c r="PFI230" s="36"/>
      <c r="PFJ230" s="36"/>
      <c r="PFK230" s="36"/>
      <c r="PFL230" s="36"/>
      <c r="PFM230" s="36"/>
      <c r="PFN230" s="36"/>
      <c r="PFO230" s="36"/>
      <c r="PFP230" s="36"/>
      <c r="PFQ230" s="36"/>
      <c r="PFR230" s="36"/>
      <c r="PFS230" s="36"/>
      <c r="PFT230" s="36"/>
      <c r="PFU230" s="36"/>
      <c r="PFV230" s="36"/>
      <c r="PFW230" s="36"/>
      <c r="PFX230" s="36"/>
      <c r="PFY230" s="36"/>
      <c r="PFZ230" s="36"/>
      <c r="PGA230" s="36"/>
      <c r="PGB230" s="36"/>
      <c r="PGC230" s="36"/>
      <c r="PGD230" s="36"/>
      <c r="PGE230" s="36"/>
      <c r="PGF230" s="36"/>
      <c r="PGG230" s="36"/>
      <c r="PGH230" s="36"/>
      <c r="PGI230" s="36"/>
      <c r="PGJ230" s="36"/>
      <c r="PGK230" s="36"/>
      <c r="PGL230" s="36"/>
      <c r="PGM230" s="36"/>
      <c r="PGN230" s="36"/>
      <c r="PGO230" s="36"/>
      <c r="PGP230" s="36"/>
      <c r="PGQ230" s="36"/>
      <c r="PGR230" s="36"/>
      <c r="PGS230" s="36"/>
      <c r="PGT230" s="36"/>
      <c r="PGU230" s="36"/>
      <c r="PGV230" s="36"/>
      <c r="PGW230" s="36"/>
      <c r="PGX230" s="36"/>
      <c r="PGY230" s="36"/>
      <c r="PGZ230" s="36"/>
      <c r="PHA230" s="36"/>
      <c r="PHB230" s="36"/>
      <c r="PHC230" s="36"/>
      <c r="PHD230" s="36"/>
      <c r="PHE230" s="36"/>
      <c r="PHF230" s="36"/>
      <c r="PHG230" s="36"/>
      <c r="PHH230" s="36"/>
      <c r="PHI230" s="36"/>
      <c r="PHJ230" s="36"/>
      <c r="PHK230" s="36"/>
      <c r="PHL230" s="36"/>
      <c r="PHM230" s="36"/>
      <c r="PHN230" s="36"/>
      <c r="PHO230" s="36"/>
      <c r="PHP230" s="36"/>
      <c r="PHQ230" s="36"/>
      <c r="PHR230" s="36"/>
      <c r="PHS230" s="36"/>
      <c r="PHT230" s="36"/>
      <c r="PHU230" s="36"/>
      <c r="PHV230" s="36"/>
      <c r="PHW230" s="36"/>
      <c r="PHX230" s="36"/>
      <c r="PHY230" s="36"/>
      <c r="PHZ230" s="36"/>
      <c r="PIA230" s="36"/>
      <c r="PIB230" s="36"/>
      <c r="PIC230" s="36"/>
      <c r="PID230" s="36"/>
      <c r="PIE230" s="36"/>
      <c r="PIF230" s="36"/>
      <c r="PIG230" s="36"/>
      <c r="PIH230" s="36"/>
      <c r="PII230" s="36"/>
      <c r="PIJ230" s="36"/>
      <c r="PIK230" s="36"/>
      <c r="PIL230" s="36"/>
      <c r="PIM230" s="36"/>
      <c r="PIN230" s="36"/>
      <c r="PIO230" s="36"/>
      <c r="PIP230" s="36"/>
      <c r="PIQ230" s="36"/>
      <c r="PIR230" s="36"/>
      <c r="PIS230" s="36"/>
      <c r="PIT230" s="36"/>
      <c r="PIU230" s="36"/>
      <c r="PIV230" s="36"/>
      <c r="PIW230" s="36"/>
      <c r="PIX230" s="36"/>
      <c r="PIY230" s="36"/>
      <c r="PIZ230" s="36"/>
      <c r="PJA230" s="36"/>
      <c r="PJB230" s="36"/>
      <c r="PJC230" s="36"/>
      <c r="PJD230" s="36"/>
      <c r="PJE230" s="36"/>
      <c r="PJF230" s="36"/>
      <c r="PJG230" s="36"/>
      <c r="PJH230" s="36"/>
      <c r="PJI230" s="36"/>
      <c r="PJJ230" s="36"/>
      <c r="PJK230" s="36"/>
      <c r="PJL230" s="36"/>
      <c r="PJM230" s="36"/>
      <c r="PJN230" s="36"/>
      <c r="PJO230" s="36"/>
      <c r="PJP230" s="36"/>
      <c r="PJQ230" s="36"/>
      <c r="PJR230" s="36"/>
      <c r="PJS230" s="36"/>
      <c r="PJT230" s="36"/>
      <c r="PJU230" s="36"/>
      <c r="PJV230" s="36"/>
      <c r="PJW230" s="36"/>
      <c r="PJX230" s="36"/>
      <c r="PJY230" s="36"/>
      <c r="PJZ230" s="36"/>
      <c r="PKA230" s="36"/>
      <c r="PKB230" s="36"/>
      <c r="PKC230" s="36"/>
      <c r="PKD230" s="36"/>
      <c r="PKE230" s="36"/>
      <c r="PKF230" s="36"/>
      <c r="PKG230" s="36"/>
      <c r="PKH230" s="36"/>
      <c r="PKI230" s="36"/>
      <c r="PKJ230" s="36"/>
      <c r="PKK230" s="36"/>
      <c r="PKL230" s="36"/>
      <c r="PKM230" s="36"/>
      <c r="PKN230" s="36"/>
      <c r="PKO230" s="36"/>
      <c r="PKP230" s="36"/>
      <c r="PKQ230" s="36"/>
      <c r="PKR230" s="36"/>
      <c r="PKS230" s="36"/>
      <c r="PKT230" s="36"/>
      <c r="PKU230" s="36"/>
      <c r="PKV230" s="36"/>
      <c r="PKW230" s="36"/>
      <c r="PKX230" s="36"/>
      <c r="PKY230" s="36"/>
      <c r="PKZ230" s="36"/>
      <c r="PLA230" s="36"/>
      <c r="PLB230" s="36"/>
      <c r="PLC230" s="36"/>
      <c r="PLD230" s="36"/>
      <c r="PLE230" s="36"/>
      <c r="PLF230" s="36"/>
      <c r="PLG230" s="36"/>
      <c r="PLH230" s="36"/>
      <c r="PLI230" s="36"/>
      <c r="PLJ230" s="36"/>
      <c r="PLK230" s="36"/>
      <c r="PLL230" s="36"/>
      <c r="PLM230" s="36"/>
      <c r="PLN230" s="36"/>
      <c r="PLO230" s="36"/>
      <c r="PLP230" s="36"/>
      <c r="PLQ230" s="36"/>
      <c r="PLR230" s="36"/>
      <c r="PLS230" s="36"/>
      <c r="PLT230" s="36"/>
      <c r="PLU230" s="36"/>
      <c r="PLV230" s="36"/>
      <c r="PLW230" s="36"/>
      <c r="PLX230" s="36"/>
      <c r="PLY230" s="36"/>
      <c r="PLZ230" s="36"/>
      <c r="PMA230" s="36"/>
      <c r="PMB230" s="36"/>
      <c r="PMC230" s="36"/>
      <c r="PMD230" s="36"/>
      <c r="PME230" s="36"/>
      <c r="PMF230" s="36"/>
      <c r="PMG230" s="36"/>
      <c r="PMH230" s="36"/>
      <c r="PMI230" s="36"/>
      <c r="PMJ230" s="36"/>
      <c r="PMK230" s="36"/>
      <c r="PML230" s="36"/>
      <c r="PMM230" s="36"/>
      <c r="PMN230" s="36"/>
      <c r="PMO230" s="36"/>
      <c r="PMP230" s="36"/>
      <c r="PMQ230" s="36"/>
      <c r="PMR230" s="36"/>
      <c r="PMS230" s="36"/>
      <c r="PMT230" s="36"/>
      <c r="PMU230" s="36"/>
      <c r="PMV230" s="36"/>
      <c r="PMW230" s="36"/>
      <c r="PMX230" s="36"/>
      <c r="PMY230" s="36"/>
      <c r="PMZ230" s="36"/>
      <c r="PNA230" s="36"/>
      <c r="PNB230" s="36"/>
      <c r="PNC230" s="36"/>
      <c r="PND230" s="36"/>
      <c r="PNE230" s="36"/>
      <c r="PNF230" s="36"/>
      <c r="PNG230" s="36"/>
      <c r="PNH230" s="36"/>
      <c r="PNI230" s="36"/>
      <c r="PNJ230" s="36"/>
      <c r="PNK230" s="36"/>
      <c r="PNL230" s="36"/>
      <c r="PNM230" s="36"/>
      <c r="PNN230" s="36"/>
      <c r="PNO230" s="36"/>
      <c r="PNP230" s="36"/>
      <c r="PNQ230" s="36"/>
      <c r="PNR230" s="36"/>
      <c r="PNS230" s="36"/>
      <c r="PNT230" s="36"/>
      <c r="PNU230" s="36"/>
      <c r="PNV230" s="36"/>
      <c r="PNW230" s="36"/>
      <c r="PNX230" s="36"/>
      <c r="PNY230" s="36"/>
      <c r="PNZ230" s="36"/>
      <c r="POA230" s="36"/>
      <c r="POB230" s="36"/>
      <c r="POC230" s="36"/>
      <c r="POD230" s="36"/>
      <c r="POE230" s="36"/>
      <c r="POF230" s="36"/>
      <c r="POG230" s="36"/>
      <c r="POH230" s="36"/>
      <c r="POI230" s="36"/>
      <c r="POJ230" s="36"/>
      <c r="POK230" s="36"/>
      <c r="POL230" s="36"/>
      <c r="POM230" s="36"/>
      <c r="PON230" s="36"/>
      <c r="POO230" s="36"/>
      <c r="POP230" s="36"/>
      <c r="POQ230" s="36"/>
      <c r="POR230" s="36"/>
      <c r="POS230" s="36"/>
      <c r="POT230" s="36"/>
      <c r="POU230" s="36"/>
      <c r="POV230" s="36"/>
      <c r="POW230" s="36"/>
      <c r="POX230" s="36"/>
      <c r="POY230" s="36"/>
      <c r="POZ230" s="36"/>
      <c r="PPA230" s="36"/>
      <c r="PPB230" s="36"/>
      <c r="PPC230" s="36"/>
      <c r="PPD230" s="36"/>
      <c r="PPE230" s="36"/>
      <c r="PPF230" s="36"/>
      <c r="PPG230" s="36"/>
      <c r="PPH230" s="36"/>
      <c r="PPI230" s="36"/>
      <c r="PPJ230" s="36"/>
      <c r="PPK230" s="36"/>
      <c r="PPL230" s="36"/>
      <c r="PPM230" s="36"/>
      <c r="PPN230" s="36"/>
      <c r="PPO230" s="36"/>
      <c r="PPP230" s="36"/>
      <c r="PPQ230" s="36"/>
      <c r="PPR230" s="36"/>
      <c r="PPS230" s="36"/>
      <c r="PPT230" s="36"/>
      <c r="PPU230" s="36"/>
      <c r="PPV230" s="36"/>
      <c r="PPW230" s="36"/>
      <c r="PPX230" s="36"/>
      <c r="PPY230" s="36"/>
      <c r="PPZ230" s="36"/>
      <c r="PQA230" s="36"/>
      <c r="PQB230" s="36"/>
      <c r="PQC230" s="36"/>
      <c r="PQD230" s="36"/>
      <c r="PQE230" s="36"/>
      <c r="PQF230" s="36"/>
      <c r="PQG230" s="36"/>
      <c r="PQH230" s="36"/>
      <c r="PQI230" s="36"/>
      <c r="PQJ230" s="36"/>
      <c r="PQK230" s="36"/>
      <c r="PQL230" s="36"/>
      <c r="PQM230" s="36"/>
      <c r="PQN230" s="36"/>
      <c r="PQO230" s="36"/>
      <c r="PQP230" s="36"/>
      <c r="PQQ230" s="36"/>
      <c r="PQR230" s="36"/>
      <c r="PQS230" s="36"/>
      <c r="PQT230" s="36"/>
      <c r="PQU230" s="36"/>
      <c r="PQV230" s="36"/>
      <c r="PQW230" s="36"/>
      <c r="PQX230" s="36"/>
      <c r="PQY230" s="36"/>
      <c r="PQZ230" s="36"/>
      <c r="PRA230" s="36"/>
      <c r="PRB230" s="36"/>
      <c r="PRC230" s="36"/>
      <c r="PRD230" s="36"/>
      <c r="PRE230" s="36"/>
      <c r="PRF230" s="36"/>
      <c r="PRG230" s="36"/>
      <c r="PRH230" s="36"/>
      <c r="PRI230" s="36"/>
      <c r="PRJ230" s="36"/>
      <c r="PRK230" s="36"/>
      <c r="PRL230" s="36"/>
      <c r="PRM230" s="36"/>
      <c r="PRN230" s="36"/>
      <c r="PRO230" s="36"/>
      <c r="PRP230" s="36"/>
      <c r="PRQ230" s="36"/>
      <c r="PRR230" s="36"/>
      <c r="PRS230" s="36"/>
      <c r="PRT230" s="36"/>
      <c r="PRU230" s="36"/>
      <c r="PRV230" s="36"/>
      <c r="PRW230" s="36"/>
      <c r="PRX230" s="36"/>
      <c r="PRY230" s="36"/>
      <c r="PRZ230" s="36"/>
      <c r="PSA230" s="36"/>
      <c r="PSB230" s="36"/>
      <c r="PSC230" s="36"/>
      <c r="PSD230" s="36"/>
      <c r="PSE230" s="36"/>
      <c r="PSF230" s="36"/>
      <c r="PSG230" s="36"/>
      <c r="PSH230" s="36"/>
      <c r="PSI230" s="36"/>
      <c r="PSJ230" s="36"/>
      <c r="PSK230" s="36"/>
      <c r="PSL230" s="36"/>
      <c r="PSM230" s="36"/>
      <c r="PSN230" s="36"/>
      <c r="PSO230" s="36"/>
      <c r="PSP230" s="36"/>
      <c r="PSQ230" s="36"/>
      <c r="PSR230" s="36"/>
      <c r="PSS230" s="36"/>
      <c r="PST230" s="36"/>
      <c r="PSU230" s="36"/>
      <c r="PSV230" s="36"/>
      <c r="PSW230" s="36"/>
      <c r="PSX230" s="36"/>
      <c r="PSY230" s="36"/>
      <c r="PSZ230" s="36"/>
      <c r="PTA230" s="36"/>
      <c r="PTB230" s="36"/>
      <c r="PTC230" s="36"/>
      <c r="PTD230" s="36"/>
      <c r="PTE230" s="36"/>
      <c r="PTF230" s="36"/>
      <c r="PTG230" s="36"/>
      <c r="PTH230" s="36"/>
      <c r="PTI230" s="36"/>
      <c r="PTJ230" s="36"/>
      <c r="PTK230" s="36"/>
      <c r="PTL230" s="36"/>
      <c r="PTM230" s="36"/>
      <c r="PTN230" s="36"/>
      <c r="PTO230" s="36"/>
      <c r="PTP230" s="36"/>
      <c r="PTQ230" s="36"/>
      <c r="PTR230" s="36"/>
      <c r="PTS230" s="36"/>
      <c r="PTT230" s="36"/>
      <c r="PTU230" s="36"/>
      <c r="PTV230" s="36"/>
      <c r="PTW230" s="36"/>
      <c r="PTX230" s="36"/>
      <c r="PTY230" s="36"/>
      <c r="PTZ230" s="36"/>
      <c r="PUA230" s="36"/>
      <c r="PUB230" s="36"/>
      <c r="PUC230" s="36"/>
      <c r="PUD230" s="36"/>
      <c r="PUE230" s="36"/>
      <c r="PUF230" s="36"/>
      <c r="PUG230" s="36"/>
      <c r="PUH230" s="36"/>
      <c r="PUI230" s="36"/>
      <c r="PUJ230" s="36"/>
      <c r="PUK230" s="36"/>
      <c r="PUL230" s="36"/>
      <c r="PUM230" s="36"/>
      <c r="PUN230" s="36"/>
      <c r="PUO230" s="36"/>
      <c r="PUP230" s="36"/>
      <c r="PUQ230" s="36"/>
      <c r="PUR230" s="36"/>
      <c r="PUS230" s="36"/>
      <c r="PUT230" s="36"/>
      <c r="PUU230" s="36"/>
      <c r="PUV230" s="36"/>
      <c r="PUW230" s="36"/>
      <c r="PUX230" s="36"/>
      <c r="PUY230" s="36"/>
      <c r="PUZ230" s="36"/>
      <c r="PVA230" s="36"/>
      <c r="PVB230" s="36"/>
      <c r="PVC230" s="36"/>
      <c r="PVD230" s="36"/>
      <c r="PVE230" s="36"/>
      <c r="PVF230" s="36"/>
      <c r="PVG230" s="36"/>
      <c r="PVH230" s="36"/>
      <c r="PVI230" s="36"/>
      <c r="PVJ230" s="36"/>
      <c r="PVK230" s="36"/>
      <c r="PVL230" s="36"/>
      <c r="PVM230" s="36"/>
      <c r="PVN230" s="36"/>
      <c r="PVO230" s="36"/>
      <c r="PVP230" s="36"/>
      <c r="PVQ230" s="36"/>
      <c r="PVR230" s="36"/>
      <c r="PVS230" s="36"/>
      <c r="PVT230" s="36"/>
      <c r="PVU230" s="36"/>
      <c r="PVV230" s="36"/>
      <c r="PVW230" s="36"/>
      <c r="PVX230" s="36"/>
      <c r="PVY230" s="36"/>
      <c r="PVZ230" s="36"/>
      <c r="PWA230" s="36"/>
      <c r="PWB230" s="36"/>
      <c r="PWC230" s="36"/>
      <c r="PWD230" s="36"/>
      <c r="PWE230" s="36"/>
      <c r="PWF230" s="36"/>
      <c r="PWG230" s="36"/>
      <c r="PWH230" s="36"/>
      <c r="PWI230" s="36"/>
      <c r="PWJ230" s="36"/>
      <c r="PWK230" s="36"/>
      <c r="PWL230" s="36"/>
      <c r="PWM230" s="36"/>
      <c r="PWN230" s="36"/>
      <c r="PWO230" s="36"/>
      <c r="PWP230" s="36"/>
      <c r="PWQ230" s="36"/>
      <c r="PWR230" s="36"/>
      <c r="PWS230" s="36"/>
      <c r="PWT230" s="36"/>
      <c r="PWU230" s="36"/>
      <c r="PWV230" s="36"/>
      <c r="PWW230" s="36"/>
      <c r="PWX230" s="36"/>
      <c r="PWY230" s="36"/>
      <c r="PWZ230" s="36"/>
      <c r="PXA230" s="36"/>
      <c r="PXB230" s="36"/>
      <c r="PXC230" s="36"/>
      <c r="PXD230" s="36"/>
      <c r="PXE230" s="36"/>
      <c r="PXF230" s="36"/>
      <c r="PXG230" s="36"/>
      <c r="PXH230" s="36"/>
      <c r="PXI230" s="36"/>
      <c r="PXJ230" s="36"/>
      <c r="PXK230" s="36"/>
      <c r="PXL230" s="36"/>
      <c r="PXM230" s="36"/>
      <c r="PXN230" s="36"/>
      <c r="PXO230" s="36"/>
      <c r="PXP230" s="36"/>
      <c r="PXQ230" s="36"/>
      <c r="PXR230" s="36"/>
      <c r="PXS230" s="36"/>
      <c r="PXT230" s="36"/>
      <c r="PXU230" s="36"/>
      <c r="PXV230" s="36"/>
      <c r="PXW230" s="36"/>
      <c r="PXX230" s="36"/>
      <c r="PXY230" s="36"/>
      <c r="PXZ230" s="36"/>
      <c r="PYA230" s="36"/>
      <c r="PYB230" s="36"/>
      <c r="PYC230" s="36"/>
      <c r="PYD230" s="36"/>
      <c r="PYE230" s="36"/>
      <c r="PYF230" s="36"/>
      <c r="PYG230" s="36"/>
      <c r="PYH230" s="36"/>
      <c r="PYI230" s="36"/>
      <c r="PYJ230" s="36"/>
      <c r="PYK230" s="36"/>
      <c r="PYL230" s="36"/>
      <c r="PYM230" s="36"/>
      <c r="PYN230" s="36"/>
      <c r="PYO230" s="36"/>
      <c r="PYP230" s="36"/>
      <c r="PYQ230" s="36"/>
      <c r="PYR230" s="36"/>
      <c r="PYS230" s="36"/>
      <c r="PYT230" s="36"/>
      <c r="PYU230" s="36"/>
      <c r="PYV230" s="36"/>
      <c r="PYW230" s="36"/>
      <c r="PYX230" s="36"/>
      <c r="PYY230" s="36"/>
      <c r="PYZ230" s="36"/>
      <c r="PZA230" s="36"/>
      <c r="PZB230" s="36"/>
      <c r="PZC230" s="36"/>
      <c r="PZD230" s="36"/>
      <c r="PZE230" s="36"/>
      <c r="PZF230" s="36"/>
      <c r="PZG230" s="36"/>
      <c r="PZH230" s="36"/>
      <c r="PZI230" s="36"/>
      <c r="PZJ230" s="36"/>
      <c r="PZK230" s="36"/>
      <c r="PZL230" s="36"/>
      <c r="PZM230" s="36"/>
      <c r="PZN230" s="36"/>
      <c r="PZO230" s="36"/>
      <c r="PZP230" s="36"/>
      <c r="PZQ230" s="36"/>
      <c r="PZR230" s="36"/>
      <c r="PZS230" s="36"/>
      <c r="PZT230" s="36"/>
      <c r="PZU230" s="36"/>
      <c r="PZV230" s="36"/>
      <c r="PZW230" s="36"/>
      <c r="PZX230" s="36"/>
      <c r="PZY230" s="36"/>
      <c r="PZZ230" s="36"/>
      <c r="QAA230" s="36"/>
      <c r="QAB230" s="36"/>
      <c r="QAC230" s="36"/>
      <c r="QAD230" s="36"/>
      <c r="QAE230" s="36"/>
      <c r="QAF230" s="36"/>
      <c r="QAG230" s="36"/>
      <c r="QAH230" s="36"/>
      <c r="QAI230" s="36"/>
      <c r="QAJ230" s="36"/>
      <c r="QAK230" s="36"/>
      <c r="QAL230" s="36"/>
      <c r="QAM230" s="36"/>
      <c r="QAN230" s="36"/>
      <c r="QAO230" s="36"/>
      <c r="QAP230" s="36"/>
      <c r="QAQ230" s="36"/>
      <c r="QAR230" s="36"/>
      <c r="QAS230" s="36"/>
      <c r="QAT230" s="36"/>
      <c r="QAU230" s="36"/>
      <c r="QAV230" s="36"/>
      <c r="QAW230" s="36"/>
      <c r="QAX230" s="36"/>
      <c r="QAY230" s="36"/>
      <c r="QAZ230" s="36"/>
      <c r="QBA230" s="36"/>
      <c r="QBB230" s="36"/>
      <c r="QBC230" s="36"/>
      <c r="QBD230" s="36"/>
      <c r="QBE230" s="36"/>
      <c r="QBF230" s="36"/>
      <c r="QBG230" s="36"/>
      <c r="QBH230" s="36"/>
      <c r="QBI230" s="36"/>
      <c r="QBJ230" s="36"/>
      <c r="QBK230" s="36"/>
      <c r="QBL230" s="36"/>
      <c r="QBM230" s="36"/>
      <c r="QBN230" s="36"/>
      <c r="QBO230" s="36"/>
      <c r="QBP230" s="36"/>
      <c r="QBQ230" s="36"/>
      <c r="QBR230" s="36"/>
      <c r="QBS230" s="36"/>
      <c r="QBT230" s="36"/>
      <c r="QBU230" s="36"/>
      <c r="QBV230" s="36"/>
      <c r="QBW230" s="36"/>
      <c r="QBX230" s="36"/>
      <c r="QBY230" s="36"/>
      <c r="QBZ230" s="36"/>
      <c r="QCA230" s="36"/>
      <c r="QCB230" s="36"/>
      <c r="QCC230" s="36"/>
      <c r="QCD230" s="36"/>
      <c r="QCE230" s="36"/>
      <c r="QCF230" s="36"/>
      <c r="QCG230" s="36"/>
      <c r="QCH230" s="36"/>
      <c r="QCI230" s="36"/>
      <c r="QCJ230" s="36"/>
      <c r="QCK230" s="36"/>
      <c r="QCL230" s="36"/>
      <c r="QCM230" s="36"/>
      <c r="QCN230" s="36"/>
      <c r="QCO230" s="36"/>
      <c r="QCP230" s="36"/>
      <c r="QCQ230" s="36"/>
      <c r="QCR230" s="36"/>
      <c r="QCS230" s="36"/>
      <c r="QCT230" s="36"/>
      <c r="QCU230" s="36"/>
      <c r="QCV230" s="36"/>
      <c r="QCW230" s="36"/>
      <c r="QCX230" s="36"/>
      <c r="QCY230" s="36"/>
      <c r="QCZ230" s="36"/>
      <c r="QDA230" s="36"/>
      <c r="QDB230" s="36"/>
      <c r="QDC230" s="36"/>
      <c r="QDD230" s="36"/>
      <c r="QDE230" s="36"/>
      <c r="QDF230" s="36"/>
      <c r="QDG230" s="36"/>
      <c r="QDH230" s="36"/>
      <c r="QDI230" s="36"/>
      <c r="QDJ230" s="36"/>
      <c r="QDK230" s="36"/>
      <c r="QDL230" s="36"/>
      <c r="QDM230" s="36"/>
      <c r="QDN230" s="36"/>
      <c r="QDO230" s="36"/>
      <c r="QDP230" s="36"/>
      <c r="QDQ230" s="36"/>
      <c r="QDR230" s="36"/>
      <c r="QDS230" s="36"/>
      <c r="QDT230" s="36"/>
      <c r="QDU230" s="36"/>
      <c r="QDV230" s="36"/>
      <c r="QDW230" s="36"/>
      <c r="QDX230" s="36"/>
      <c r="QDY230" s="36"/>
      <c r="QDZ230" s="36"/>
      <c r="QEA230" s="36"/>
      <c r="QEB230" s="36"/>
      <c r="QEC230" s="36"/>
      <c r="QED230" s="36"/>
      <c r="QEE230" s="36"/>
      <c r="QEF230" s="36"/>
      <c r="QEG230" s="36"/>
      <c r="QEH230" s="36"/>
      <c r="QEI230" s="36"/>
      <c r="QEJ230" s="36"/>
      <c r="QEK230" s="36"/>
      <c r="QEL230" s="36"/>
      <c r="QEM230" s="36"/>
      <c r="QEN230" s="36"/>
      <c r="QEO230" s="36"/>
      <c r="QEP230" s="36"/>
      <c r="QEQ230" s="36"/>
      <c r="QER230" s="36"/>
      <c r="QES230" s="36"/>
      <c r="QET230" s="36"/>
      <c r="QEU230" s="36"/>
      <c r="QEV230" s="36"/>
      <c r="QEW230" s="36"/>
      <c r="QEX230" s="36"/>
      <c r="QEY230" s="36"/>
      <c r="QEZ230" s="36"/>
      <c r="QFA230" s="36"/>
      <c r="QFB230" s="36"/>
      <c r="QFC230" s="36"/>
      <c r="QFD230" s="36"/>
      <c r="QFE230" s="36"/>
      <c r="QFF230" s="36"/>
      <c r="QFG230" s="36"/>
      <c r="QFH230" s="36"/>
      <c r="QFI230" s="36"/>
      <c r="QFJ230" s="36"/>
      <c r="QFK230" s="36"/>
      <c r="QFL230" s="36"/>
      <c r="QFM230" s="36"/>
      <c r="QFN230" s="36"/>
      <c r="QFO230" s="36"/>
      <c r="QFP230" s="36"/>
      <c r="QFQ230" s="36"/>
      <c r="QFR230" s="36"/>
      <c r="QFS230" s="36"/>
      <c r="QFT230" s="36"/>
      <c r="QFU230" s="36"/>
      <c r="QFV230" s="36"/>
      <c r="QFW230" s="36"/>
      <c r="QFX230" s="36"/>
      <c r="QFY230" s="36"/>
      <c r="QFZ230" s="36"/>
      <c r="QGA230" s="36"/>
      <c r="QGB230" s="36"/>
      <c r="QGC230" s="36"/>
      <c r="QGD230" s="36"/>
      <c r="QGE230" s="36"/>
      <c r="QGF230" s="36"/>
      <c r="QGG230" s="36"/>
      <c r="QGH230" s="36"/>
      <c r="QGI230" s="36"/>
      <c r="QGJ230" s="36"/>
      <c r="QGK230" s="36"/>
      <c r="QGL230" s="36"/>
      <c r="QGM230" s="36"/>
      <c r="QGN230" s="36"/>
      <c r="QGO230" s="36"/>
      <c r="QGP230" s="36"/>
      <c r="QGQ230" s="36"/>
      <c r="QGR230" s="36"/>
      <c r="QGS230" s="36"/>
      <c r="QGT230" s="36"/>
      <c r="QGU230" s="36"/>
      <c r="QGV230" s="36"/>
      <c r="QGW230" s="36"/>
      <c r="QGX230" s="36"/>
      <c r="QGY230" s="36"/>
      <c r="QGZ230" s="36"/>
      <c r="QHA230" s="36"/>
      <c r="QHB230" s="36"/>
      <c r="QHC230" s="36"/>
      <c r="QHD230" s="36"/>
      <c r="QHE230" s="36"/>
      <c r="QHF230" s="36"/>
      <c r="QHG230" s="36"/>
      <c r="QHH230" s="36"/>
      <c r="QHI230" s="36"/>
      <c r="QHJ230" s="36"/>
      <c r="QHK230" s="36"/>
      <c r="QHL230" s="36"/>
      <c r="QHM230" s="36"/>
      <c r="QHN230" s="36"/>
      <c r="QHO230" s="36"/>
      <c r="QHP230" s="36"/>
      <c r="QHQ230" s="36"/>
      <c r="QHR230" s="36"/>
      <c r="QHS230" s="36"/>
      <c r="QHT230" s="36"/>
      <c r="QHU230" s="36"/>
      <c r="QHV230" s="36"/>
      <c r="QHW230" s="36"/>
      <c r="QHX230" s="36"/>
      <c r="QHY230" s="36"/>
      <c r="QHZ230" s="36"/>
      <c r="QIA230" s="36"/>
      <c r="QIB230" s="36"/>
      <c r="QIC230" s="36"/>
      <c r="QID230" s="36"/>
      <c r="QIE230" s="36"/>
      <c r="QIF230" s="36"/>
      <c r="QIG230" s="36"/>
      <c r="QIH230" s="36"/>
      <c r="QII230" s="36"/>
      <c r="QIJ230" s="36"/>
      <c r="QIK230" s="36"/>
      <c r="QIL230" s="36"/>
      <c r="QIM230" s="36"/>
      <c r="QIN230" s="36"/>
      <c r="QIO230" s="36"/>
      <c r="QIP230" s="36"/>
      <c r="QIQ230" s="36"/>
      <c r="QIR230" s="36"/>
      <c r="QIS230" s="36"/>
      <c r="QIT230" s="36"/>
      <c r="QIU230" s="36"/>
      <c r="QIV230" s="36"/>
      <c r="QIW230" s="36"/>
      <c r="QIX230" s="36"/>
      <c r="QIY230" s="36"/>
      <c r="QIZ230" s="36"/>
      <c r="QJA230" s="36"/>
      <c r="QJB230" s="36"/>
      <c r="QJC230" s="36"/>
      <c r="QJD230" s="36"/>
      <c r="QJE230" s="36"/>
      <c r="QJF230" s="36"/>
      <c r="QJG230" s="36"/>
      <c r="QJH230" s="36"/>
      <c r="QJI230" s="36"/>
      <c r="QJJ230" s="36"/>
      <c r="QJK230" s="36"/>
      <c r="QJL230" s="36"/>
      <c r="QJM230" s="36"/>
      <c r="QJN230" s="36"/>
      <c r="QJO230" s="36"/>
      <c r="QJP230" s="36"/>
      <c r="QJQ230" s="36"/>
      <c r="QJR230" s="36"/>
      <c r="QJS230" s="36"/>
      <c r="QJT230" s="36"/>
      <c r="QJU230" s="36"/>
      <c r="QJV230" s="36"/>
      <c r="QJW230" s="36"/>
      <c r="QJX230" s="36"/>
      <c r="QJY230" s="36"/>
      <c r="QJZ230" s="36"/>
      <c r="QKA230" s="36"/>
      <c r="QKB230" s="36"/>
      <c r="QKC230" s="36"/>
      <c r="QKD230" s="36"/>
      <c r="QKE230" s="36"/>
      <c r="QKF230" s="36"/>
      <c r="QKG230" s="36"/>
      <c r="QKH230" s="36"/>
      <c r="QKI230" s="36"/>
      <c r="QKJ230" s="36"/>
      <c r="QKK230" s="36"/>
      <c r="QKL230" s="36"/>
      <c r="QKM230" s="36"/>
      <c r="QKN230" s="36"/>
      <c r="QKO230" s="36"/>
      <c r="QKP230" s="36"/>
      <c r="QKQ230" s="36"/>
      <c r="QKR230" s="36"/>
      <c r="QKS230" s="36"/>
      <c r="QKT230" s="36"/>
      <c r="QKU230" s="36"/>
      <c r="QKV230" s="36"/>
      <c r="QKW230" s="36"/>
      <c r="QKX230" s="36"/>
      <c r="QKY230" s="36"/>
      <c r="QKZ230" s="36"/>
      <c r="QLA230" s="36"/>
      <c r="QLB230" s="36"/>
      <c r="QLC230" s="36"/>
      <c r="QLD230" s="36"/>
      <c r="QLE230" s="36"/>
      <c r="QLF230" s="36"/>
      <c r="QLG230" s="36"/>
      <c r="QLH230" s="36"/>
      <c r="QLI230" s="36"/>
      <c r="QLJ230" s="36"/>
      <c r="QLK230" s="36"/>
      <c r="QLL230" s="36"/>
      <c r="QLM230" s="36"/>
      <c r="QLN230" s="36"/>
      <c r="QLO230" s="36"/>
      <c r="QLP230" s="36"/>
      <c r="QLQ230" s="36"/>
      <c r="QLR230" s="36"/>
      <c r="QLS230" s="36"/>
      <c r="QLT230" s="36"/>
      <c r="QLU230" s="36"/>
      <c r="QLV230" s="36"/>
      <c r="QLW230" s="36"/>
      <c r="QLX230" s="36"/>
      <c r="QLY230" s="36"/>
      <c r="QLZ230" s="36"/>
      <c r="QMA230" s="36"/>
      <c r="QMB230" s="36"/>
      <c r="QMC230" s="36"/>
      <c r="QMD230" s="36"/>
      <c r="QME230" s="36"/>
      <c r="QMF230" s="36"/>
      <c r="QMG230" s="36"/>
      <c r="QMH230" s="36"/>
      <c r="QMI230" s="36"/>
      <c r="QMJ230" s="36"/>
      <c r="QMK230" s="36"/>
      <c r="QML230" s="36"/>
      <c r="QMM230" s="36"/>
      <c r="QMN230" s="36"/>
      <c r="QMO230" s="36"/>
      <c r="QMP230" s="36"/>
      <c r="QMQ230" s="36"/>
      <c r="QMR230" s="36"/>
      <c r="QMS230" s="36"/>
      <c r="QMT230" s="36"/>
      <c r="QMU230" s="36"/>
      <c r="QMV230" s="36"/>
      <c r="QMW230" s="36"/>
      <c r="QMX230" s="36"/>
      <c r="QMY230" s="36"/>
      <c r="QMZ230" s="36"/>
      <c r="QNA230" s="36"/>
      <c r="QNB230" s="36"/>
      <c r="QNC230" s="36"/>
      <c r="QND230" s="36"/>
      <c r="QNE230" s="36"/>
      <c r="QNF230" s="36"/>
      <c r="QNG230" s="36"/>
      <c r="QNH230" s="36"/>
      <c r="QNI230" s="36"/>
      <c r="QNJ230" s="36"/>
      <c r="QNK230" s="36"/>
      <c r="QNL230" s="36"/>
      <c r="QNM230" s="36"/>
      <c r="QNN230" s="36"/>
      <c r="QNO230" s="36"/>
      <c r="QNP230" s="36"/>
      <c r="QNQ230" s="36"/>
      <c r="QNR230" s="36"/>
      <c r="QNS230" s="36"/>
      <c r="QNT230" s="36"/>
      <c r="QNU230" s="36"/>
      <c r="QNV230" s="36"/>
      <c r="QNW230" s="36"/>
      <c r="QNX230" s="36"/>
      <c r="QNY230" s="36"/>
      <c r="QNZ230" s="36"/>
      <c r="QOA230" s="36"/>
      <c r="QOB230" s="36"/>
      <c r="QOC230" s="36"/>
      <c r="QOD230" s="36"/>
      <c r="QOE230" s="36"/>
      <c r="QOF230" s="36"/>
      <c r="QOG230" s="36"/>
      <c r="QOH230" s="36"/>
      <c r="QOI230" s="36"/>
      <c r="QOJ230" s="36"/>
      <c r="QOK230" s="36"/>
      <c r="QOL230" s="36"/>
      <c r="QOM230" s="36"/>
      <c r="QON230" s="36"/>
      <c r="QOO230" s="36"/>
      <c r="QOP230" s="36"/>
      <c r="QOQ230" s="36"/>
      <c r="QOR230" s="36"/>
      <c r="QOS230" s="36"/>
      <c r="QOT230" s="36"/>
      <c r="QOU230" s="36"/>
      <c r="QOV230" s="36"/>
      <c r="QOW230" s="36"/>
      <c r="QOX230" s="36"/>
      <c r="QOY230" s="36"/>
      <c r="QOZ230" s="36"/>
      <c r="QPA230" s="36"/>
      <c r="QPB230" s="36"/>
      <c r="QPC230" s="36"/>
      <c r="QPD230" s="36"/>
      <c r="QPE230" s="36"/>
      <c r="QPF230" s="36"/>
      <c r="QPG230" s="36"/>
      <c r="QPH230" s="36"/>
      <c r="QPI230" s="36"/>
      <c r="QPJ230" s="36"/>
      <c r="QPK230" s="36"/>
      <c r="QPL230" s="36"/>
      <c r="QPM230" s="36"/>
      <c r="QPN230" s="36"/>
      <c r="QPO230" s="36"/>
      <c r="QPP230" s="36"/>
      <c r="QPQ230" s="36"/>
      <c r="QPR230" s="36"/>
      <c r="QPS230" s="36"/>
      <c r="QPT230" s="36"/>
      <c r="QPU230" s="36"/>
      <c r="QPV230" s="36"/>
      <c r="QPW230" s="36"/>
      <c r="QPX230" s="36"/>
      <c r="QPY230" s="36"/>
      <c r="QPZ230" s="36"/>
      <c r="QQA230" s="36"/>
      <c r="QQB230" s="36"/>
      <c r="QQC230" s="36"/>
      <c r="QQD230" s="36"/>
      <c r="QQE230" s="36"/>
      <c r="QQF230" s="36"/>
      <c r="QQG230" s="36"/>
      <c r="QQH230" s="36"/>
      <c r="QQI230" s="36"/>
      <c r="QQJ230" s="36"/>
      <c r="QQK230" s="36"/>
      <c r="QQL230" s="36"/>
      <c r="QQM230" s="36"/>
      <c r="QQN230" s="36"/>
      <c r="QQO230" s="36"/>
      <c r="QQP230" s="36"/>
      <c r="QQQ230" s="36"/>
      <c r="QQR230" s="36"/>
      <c r="QQS230" s="36"/>
      <c r="QQT230" s="36"/>
      <c r="QQU230" s="36"/>
      <c r="QQV230" s="36"/>
      <c r="QQW230" s="36"/>
      <c r="QQX230" s="36"/>
      <c r="QQY230" s="36"/>
      <c r="QQZ230" s="36"/>
      <c r="QRA230" s="36"/>
      <c r="QRB230" s="36"/>
      <c r="QRC230" s="36"/>
      <c r="QRD230" s="36"/>
      <c r="QRE230" s="36"/>
      <c r="QRF230" s="36"/>
      <c r="QRG230" s="36"/>
      <c r="QRH230" s="36"/>
      <c r="QRI230" s="36"/>
      <c r="QRJ230" s="36"/>
      <c r="QRK230" s="36"/>
      <c r="QRL230" s="36"/>
      <c r="QRM230" s="36"/>
      <c r="QRN230" s="36"/>
      <c r="QRO230" s="36"/>
      <c r="QRP230" s="36"/>
      <c r="QRQ230" s="36"/>
      <c r="QRR230" s="36"/>
      <c r="QRS230" s="36"/>
      <c r="QRT230" s="36"/>
      <c r="QRU230" s="36"/>
      <c r="QRV230" s="36"/>
      <c r="QRW230" s="36"/>
      <c r="QRX230" s="36"/>
      <c r="QRY230" s="36"/>
      <c r="QRZ230" s="36"/>
      <c r="QSA230" s="36"/>
      <c r="QSB230" s="36"/>
      <c r="QSC230" s="36"/>
      <c r="QSD230" s="36"/>
      <c r="QSE230" s="36"/>
      <c r="QSF230" s="36"/>
      <c r="QSG230" s="36"/>
      <c r="QSH230" s="36"/>
      <c r="QSI230" s="36"/>
      <c r="QSJ230" s="36"/>
      <c r="QSK230" s="36"/>
      <c r="QSL230" s="36"/>
      <c r="QSM230" s="36"/>
      <c r="QSN230" s="36"/>
      <c r="QSO230" s="36"/>
      <c r="QSP230" s="36"/>
      <c r="QSQ230" s="36"/>
      <c r="QSR230" s="36"/>
      <c r="QSS230" s="36"/>
      <c r="QST230" s="36"/>
      <c r="QSU230" s="36"/>
      <c r="QSV230" s="36"/>
      <c r="QSW230" s="36"/>
      <c r="QSX230" s="36"/>
      <c r="QSY230" s="36"/>
      <c r="QSZ230" s="36"/>
      <c r="QTA230" s="36"/>
      <c r="QTB230" s="36"/>
      <c r="QTC230" s="36"/>
      <c r="QTD230" s="36"/>
      <c r="QTE230" s="36"/>
      <c r="QTF230" s="36"/>
      <c r="QTG230" s="36"/>
      <c r="QTH230" s="36"/>
      <c r="QTI230" s="36"/>
      <c r="QTJ230" s="36"/>
      <c r="QTK230" s="36"/>
      <c r="QTL230" s="36"/>
      <c r="QTM230" s="36"/>
      <c r="QTN230" s="36"/>
      <c r="QTO230" s="36"/>
      <c r="QTP230" s="36"/>
      <c r="QTQ230" s="36"/>
      <c r="QTR230" s="36"/>
      <c r="QTS230" s="36"/>
      <c r="QTT230" s="36"/>
      <c r="QTU230" s="36"/>
      <c r="QTV230" s="36"/>
      <c r="QTW230" s="36"/>
      <c r="QTX230" s="36"/>
      <c r="QTY230" s="36"/>
      <c r="QTZ230" s="36"/>
      <c r="QUA230" s="36"/>
      <c r="QUB230" s="36"/>
      <c r="QUC230" s="36"/>
      <c r="QUD230" s="36"/>
      <c r="QUE230" s="36"/>
      <c r="QUF230" s="36"/>
      <c r="QUG230" s="36"/>
      <c r="QUH230" s="36"/>
      <c r="QUI230" s="36"/>
      <c r="QUJ230" s="36"/>
      <c r="QUK230" s="36"/>
      <c r="QUL230" s="36"/>
      <c r="QUM230" s="36"/>
      <c r="QUN230" s="36"/>
      <c r="QUO230" s="36"/>
      <c r="QUP230" s="36"/>
      <c r="QUQ230" s="36"/>
      <c r="QUR230" s="36"/>
      <c r="QUS230" s="36"/>
      <c r="QUT230" s="36"/>
      <c r="QUU230" s="36"/>
      <c r="QUV230" s="36"/>
      <c r="QUW230" s="36"/>
      <c r="QUX230" s="36"/>
      <c r="QUY230" s="36"/>
      <c r="QUZ230" s="36"/>
      <c r="QVA230" s="36"/>
      <c r="QVB230" s="36"/>
      <c r="QVC230" s="36"/>
      <c r="QVD230" s="36"/>
      <c r="QVE230" s="36"/>
      <c r="QVF230" s="36"/>
      <c r="QVG230" s="36"/>
      <c r="QVH230" s="36"/>
      <c r="QVI230" s="36"/>
      <c r="QVJ230" s="36"/>
      <c r="QVK230" s="36"/>
      <c r="QVL230" s="36"/>
      <c r="QVM230" s="36"/>
      <c r="QVN230" s="36"/>
      <c r="QVO230" s="36"/>
      <c r="QVP230" s="36"/>
      <c r="QVQ230" s="36"/>
      <c r="QVR230" s="36"/>
      <c r="QVS230" s="36"/>
      <c r="QVT230" s="36"/>
      <c r="QVU230" s="36"/>
      <c r="QVV230" s="36"/>
      <c r="QVW230" s="36"/>
      <c r="QVX230" s="36"/>
      <c r="QVY230" s="36"/>
      <c r="QVZ230" s="36"/>
      <c r="QWA230" s="36"/>
      <c r="QWB230" s="36"/>
      <c r="QWC230" s="36"/>
      <c r="QWD230" s="36"/>
      <c r="QWE230" s="36"/>
      <c r="QWF230" s="36"/>
      <c r="QWG230" s="36"/>
      <c r="QWH230" s="36"/>
      <c r="QWI230" s="36"/>
      <c r="QWJ230" s="36"/>
      <c r="QWK230" s="36"/>
      <c r="QWL230" s="36"/>
      <c r="QWM230" s="36"/>
      <c r="QWN230" s="36"/>
      <c r="QWO230" s="36"/>
      <c r="QWP230" s="36"/>
      <c r="QWQ230" s="36"/>
      <c r="QWR230" s="36"/>
      <c r="QWS230" s="36"/>
      <c r="QWT230" s="36"/>
      <c r="QWU230" s="36"/>
      <c r="QWV230" s="36"/>
      <c r="QWW230" s="36"/>
      <c r="QWX230" s="36"/>
      <c r="QWY230" s="36"/>
      <c r="QWZ230" s="36"/>
      <c r="QXA230" s="36"/>
      <c r="QXB230" s="36"/>
      <c r="QXC230" s="36"/>
      <c r="QXD230" s="36"/>
      <c r="QXE230" s="36"/>
      <c r="QXF230" s="36"/>
      <c r="QXG230" s="36"/>
      <c r="QXH230" s="36"/>
      <c r="QXI230" s="36"/>
      <c r="QXJ230" s="36"/>
      <c r="QXK230" s="36"/>
      <c r="QXL230" s="36"/>
      <c r="QXM230" s="36"/>
      <c r="QXN230" s="36"/>
      <c r="QXO230" s="36"/>
      <c r="QXP230" s="36"/>
      <c r="QXQ230" s="36"/>
      <c r="QXR230" s="36"/>
      <c r="QXS230" s="36"/>
      <c r="QXT230" s="36"/>
      <c r="QXU230" s="36"/>
      <c r="QXV230" s="36"/>
      <c r="QXW230" s="36"/>
      <c r="QXX230" s="36"/>
      <c r="QXY230" s="36"/>
      <c r="QXZ230" s="36"/>
      <c r="QYA230" s="36"/>
      <c r="QYB230" s="36"/>
      <c r="QYC230" s="36"/>
      <c r="QYD230" s="36"/>
      <c r="QYE230" s="36"/>
      <c r="QYF230" s="36"/>
      <c r="QYG230" s="36"/>
      <c r="QYH230" s="36"/>
      <c r="QYI230" s="36"/>
      <c r="QYJ230" s="36"/>
      <c r="QYK230" s="36"/>
      <c r="QYL230" s="36"/>
      <c r="QYM230" s="36"/>
      <c r="QYN230" s="36"/>
      <c r="QYO230" s="36"/>
      <c r="QYP230" s="36"/>
      <c r="QYQ230" s="36"/>
      <c r="QYR230" s="36"/>
      <c r="QYS230" s="36"/>
      <c r="QYT230" s="36"/>
      <c r="QYU230" s="36"/>
      <c r="QYV230" s="36"/>
      <c r="QYW230" s="36"/>
      <c r="QYX230" s="36"/>
      <c r="QYY230" s="36"/>
      <c r="QYZ230" s="36"/>
      <c r="QZA230" s="36"/>
      <c r="QZB230" s="36"/>
      <c r="QZC230" s="36"/>
      <c r="QZD230" s="36"/>
      <c r="QZE230" s="36"/>
      <c r="QZF230" s="36"/>
      <c r="QZG230" s="36"/>
      <c r="QZH230" s="36"/>
      <c r="QZI230" s="36"/>
      <c r="QZJ230" s="36"/>
      <c r="QZK230" s="36"/>
      <c r="QZL230" s="36"/>
      <c r="QZM230" s="36"/>
      <c r="QZN230" s="36"/>
      <c r="QZO230" s="36"/>
      <c r="QZP230" s="36"/>
      <c r="QZQ230" s="36"/>
      <c r="QZR230" s="36"/>
      <c r="QZS230" s="36"/>
      <c r="QZT230" s="36"/>
      <c r="QZU230" s="36"/>
      <c r="QZV230" s="36"/>
      <c r="QZW230" s="36"/>
      <c r="QZX230" s="36"/>
      <c r="QZY230" s="36"/>
      <c r="QZZ230" s="36"/>
      <c r="RAA230" s="36"/>
      <c r="RAB230" s="36"/>
      <c r="RAC230" s="36"/>
      <c r="RAD230" s="36"/>
      <c r="RAE230" s="36"/>
      <c r="RAF230" s="36"/>
      <c r="RAG230" s="36"/>
      <c r="RAH230" s="36"/>
      <c r="RAI230" s="36"/>
      <c r="RAJ230" s="36"/>
      <c r="RAK230" s="36"/>
      <c r="RAL230" s="36"/>
      <c r="RAM230" s="36"/>
      <c r="RAN230" s="36"/>
      <c r="RAO230" s="36"/>
      <c r="RAP230" s="36"/>
      <c r="RAQ230" s="36"/>
      <c r="RAR230" s="36"/>
      <c r="RAS230" s="36"/>
      <c r="RAT230" s="36"/>
      <c r="RAU230" s="36"/>
      <c r="RAV230" s="36"/>
      <c r="RAW230" s="36"/>
      <c r="RAX230" s="36"/>
      <c r="RAY230" s="36"/>
      <c r="RAZ230" s="36"/>
      <c r="RBA230" s="36"/>
      <c r="RBB230" s="36"/>
      <c r="RBC230" s="36"/>
      <c r="RBD230" s="36"/>
      <c r="RBE230" s="36"/>
      <c r="RBF230" s="36"/>
      <c r="RBG230" s="36"/>
      <c r="RBH230" s="36"/>
      <c r="RBI230" s="36"/>
      <c r="RBJ230" s="36"/>
      <c r="RBK230" s="36"/>
      <c r="RBL230" s="36"/>
      <c r="RBM230" s="36"/>
      <c r="RBN230" s="36"/>
      <c r="RBO230" s="36"/>
      <c r="RBP230" s="36"/>
      <c r="RBQ230" s="36"/>
      <c r="RBR230" s="36"/>
      <c r="RBS230" s="36"/>
      <c r="RBT230" s="36"/>
      <c r="RBU230" s="36"/>
      <c r="RBV230" s="36"/>
      <c r="RBW230" s="36"/>
      <c r="RBX230" s="36"/>
      <c r="RBY230" s="36"/>
      <c r="RBZ230" s="36"/>
      <c r="RCA230" s="36"/>
      <c r="RCB230" s="36"/>
      <c r="RCC230" s="36"/>
      <c r="RCD230" s="36"/>
      <c r="RCE230" s="36"/>
      <c r="RCF230" s="36"/>
      <c r="RCG230" s="36"/>
      <c r="RCH230" s="36"/>
      <c r="RCI230" s="36"/>
      <c r="RCJ230" s="36"/>
      <c r="RCK230" s="36"/>
      <c r="RCL230" s="36"/>
      <c r="RCM230" s="36"/>
      <c r="RCN230" s="36"/>
      <c r="RCO230" s="36"/>
      <c r="RCP230" s="36"/>
      <c r="RCQ230" s="36"/>
      <c r="RCR230" s="36"/>
      <c r="RCS230" s="36"/>
      <c r="RCT230" s="36"/>
      <c r="RCU230" s="36"/>
      <c r="RCV230" s="36"/>
      <c r="RCW230" s="36"/>
      <c r="RCX230" s="36"/>
      <c r="RCY230" s="36"/>
      <c r="RCZ230" s="36"/>
      <c r="RDA230" s="36"/>
      <c r="RDB230" s="36"/>
      <c r="RDC230" s="36"/>
      <c r="RDD230" s="36"/>
      <c r="RDE230" s="36"/>
      <c r="RDF230" s="36"/>
      <c r="RDG230" s="36"/>
      <c r="RDH230" s="36"/>
      <c r="RDI230" s="36"/>
      <c r="RDJ230" s="36"/>
      <c r="RDK230" s="36"/>
      <c r="RDL230" s="36"/>
      <c r="RDM230" s="36"/>
      <c r="RDN230" s="36"/>
      <c r="RDO230" s="36"/>
      <c r="RDP230" s="36"/>
      <c r="RDQ230" s="36"/>
      <c r="RDR230" s="36"/>
      <c r="RDS230" s="36"/>
      <c r="RDT230" s="36"/>
      <c r="RDU230" s="36"/>
      <c r="RDV230" s="36"/>
      <c r="RDW230" s="36"/>
      <c r="RDX230" s="36"/>
      <c r="RDY230" s="36"/>
      <c r="RDZ230" s="36"/>
      <c r="REA230" s="36"/>
      <c r="REB230" s="36"/>
      <c r="REC230" s="36"/>
      <c r="RED230" s="36"/>
      <c r="REE230" s="36"/>
      <c r="REF230" s="36"/>
      <c r="REG230" s="36"/>
      <c r="REH230" s="36"/>
      <c r="REI230" s="36"/>
      <c r="REJ230" s="36"/>
      <c r="REK230" s="36"/>
      <c r="REL230" s="36"/>
      <c r="REM230" s="36"/>
      <c r="REN230" s="36"/>
      <c r="REO230" s="36"/>
      <c r="REP230" s="36"/>
      <c r="REQ230" s="36"/>
      <c r="RER230" s="36"/>
      <c r="RES230" s="36"/>
      <c r="RET230" s="36"/>
      <c r="REU230" s="36"/>
      <c r="REV230" s="36"/>
      <c r="REW230" s="36"/>
      <c r="REX230" s="36"/>
      <c r="REY230" s="36"/>
      <c r="REZ230" s="36"/>
      <c r="RFA230" s="36"/>
      <c r="RFB230" s="36"/>
      <c r="RFC230" s="36"/>
      <c r="RFD230" s="36"/>
      <c r="RFE230" s="36"/>
      <c r="RFF230" s="36"/>
      <c r="RFG230" s="36"/>
      <c r="RFH230" s="36"/>
      <c r="RFI230" s="36"/>
      <c r="RFJ230" s="36"/>
      <c r="RFK230" s="36"/>
      <c r="RFL230" s="36"/>
      <c r="RFM230" s="36"/>
      <c r="RFN230" s="36"/>
      <c r="RFO230" s="36"/>
      <c r="RFP230" s="36"/>
      <c r="RFQ230" s="36"/>
      <c r="RFR230" s="36"/>
      <c r="RFS230" s="36"/>
      <c r="RFT230" s="36"/>
      <c r="RFU230" s="36"/>
      <c r="RFV230" s="36"/>
      <c r="RFW230" s="36"/>
      <c r="RFX230" s="36"/>
      <c r="RFY230" s="36"/>
      <c r="RFZ230" s="36"/>
      <c r="RGA230" s="36"/>
      <c r="RGB230" s="36"/>
      <c r="RGC230" s="36"/>
      <c r="RGD230" s="36"/>
      <c r="RGE230" s="36"/>
      <c r="RGF230" s="36"/>
      <c r="RGG230" s="36"/>
      <c r="RGH230" s="36"/>
      <c r="RGI230" s="36"/>
      <c r="RGJ230" s="36"/>
      <c r="RGK230" s="36"/>
      <c r="RGL230" s="36"/>
      <c r="RGM230" s="36"/>
      <c r="RGN230" s="36"/>
      <c r="RGO230" s="36"/>
      <c r="RGP230" s="36"/>
      <c r="RGQ230" s="36"/>
      <c r="RGR230" s="36"/>
      <c r="RGS230" s="36"/>
      <c r="RGT230" s="36"/>
      <c r="RGU230" s="36"/>
      <c r="RGV230" s="36"/>
      <c r="RGW230" s="36"/>
      <c r="RGX230" s="36"/>
      <c r="RGY230" s="36"/>
      <c r="RGZ230" s="36"/>
      <c r="RHA230" s="36"/>
      <c r="RHB230" s="36"/>
      <c r="RHC230" s="36"/>
      <c r="RHD230" s="36"/>
      <c r="RHE230" s="36"/>
      <c r="RHF230" s="36"/>
      <c r="RHG230" s="36"/>
      <c r="RHH230" s="36"/>
      <c r="RHI230" s="36"/>
      <c r="RHJ230" s="36"/>
      <c r="RHK230" s="36"/>
      <c r="RHL230" s="36"/>
      <c r="RHM230" s="36"/>
      <c r="RHN230" s="36"/>
      <c r="RHO230" s="36"/>
      <c r="RHP230" s="36"/>
      <c r="RHQ230" s="36"/>
      <c r="RHR230" s="36"/>
      <c r="RHS230" s="36"/>
      <c r="RHT230" s="36"/>
      <c r="RHU230" s="36"/>
      <c r="RHV230" s="36"/>
      <c r="RHW230" s="36"/>
      <c r="RHX230" s="36"/>
      <c r="RHY230" s="36"/>
      <c r="RHZ230" s="36"/>
      <c r="RIA230" s="36"/>
      <c r="RIB230" s="36"/>
      <c r="RIC230" s="36"/>
      <c r="RID230" s="36"/>
      <c r="RIE230" s="36"/>
      <c r="RIF230" s="36"/>
      <c r="RIG230" s="36"/>
      <c r="RIH230" s="36"/>
      <c r="RII230" s="36"/>
      <c r="RIJ230" s="36"/>
      <c r="RIK230" s="36"/>
      <c r="RIL230" s="36"/>
      <c r="RIM230" s="36"/>
      <c r="RIN230" s="36"/>
      <c r="RIO230" s="36"/>
      <c r="RIP230" s="36"/>
      <c r="RIQ230" s="36"/>
      <c r="RIR230" s="36"/>
      <c r="RIS230" s="36"/>
      <c r="RIT230" s="36"/>
      <c r="RIU230" s="36"/>
      <c r="RIV230" s="36"/>
      <c r="RIW230" s="36"/>
      <c r="RIX230" s="36"/>
      <c r="RIY230" s="36"/>
      <c r="RIZ230" s="36"/>
      <c r="RJA230" s="36"/>
      <c r="RJB230" s="36"/>
      <c r="RJC230" s="36"/>
      <c r="RJD230" s="36"/>
      <c r="RJE230" s="36"/>
      <c r="RJF230" s="36"/>
      <c r="RJG230" s="36"/>
      <c r="RJH230" s="36"/>
      <c r="RJI230" s="36"/>
      <c r="RJJ230" s="36"/>
      <c r="RJK230" s="36"/>
      <c r="RJL230" s="36"/>
      <c r="RJM230" s="36"/>
      <c r="RJN230" s="36"/>
      <c r="RJO230" s="36"/>
      <c r="RJP230" s="36"/>
      <c r="RJQ230" s="36"/>
      <c r="RJR230" s="36"/>
      <c r="RJS230" s="36"/>
      <c r="RJT230" s="36"/>
      <c r="RJU230" s="36"/>
      <c r="RJV230" s="36"/>
      <c r="RJW230" s="36"/>
      <c r="RJX230" s="36"/>
      <c r="RJY230" s="36"/>
      <c r="RJZ230" s="36"/>
      <c r="RKA230" s="36"/>
      <c r="RKB230" s="36"/>
      <c r="RKC230" s="36"/>
      <c r="RKD230" s="36"/>
      <c r="RKE230" s="36"/>
      <c r="RKF230" s="36"/>
      <c r="RKG230" s="36"/>
      <c r="RKH230" s="36"/>
      <c r="RKI230" s="36"/>
      <c r="RKJ230" s="36"/>
      <c r="RKK230" s="36"/>
      <c r="RKL230" s="36"/>
      <c r="RKM230" s="36"/>
      <c r="RKN230" s="36"/>
      <c r="RKO230" s="36"/>
      <c r="RKP230" s="36"/>
      <c r="RKQ230" s="36"/>
      <c r="RKR230" s="36"/>
      <c r="RKS230" s="36"/>
      <c r="RKT230" s="36"/>
      <c r="RKU230" s="36"/>
      <c r="RKV230" s="36"/>
      <c r="RKW230" s="36"/>
      <c r="RKX230" s="36"/>
      <c r="RKY230" s="36"/>
      <c r="RKZ230" s="36"/>
      <c r="RLA230" s="36"/>
      <c r="RLB230" s="36"/>
      <c r="RLC230" s="36"/>
      <c r="RLD230" s="36"/>
      <c r="RLE230" s="36"/>
      <c r="RLF230" s="36"/>
      <c r="RLG230" s="36"/>
      <c r="RLH230" s="36"/>
      <c r="RLI230" s="36"/>
      <c r="RLJ230" s="36"/>
      <c r="RLK230" s="36"/>
      <c r="RLL230" s="36"/>
      <c r="RLM230" s="36"/>
      <c r="RLN230" s="36"/>
      <c r="RLO230" s="36"/>
      <c r="RLP230" s="36"/>
      <c r="RLQ230" s="36"/>
      <c r="RLR230" s="36"/>
      <c r="RLS230" s="36"/>
      <c r="RLT230" s="36"/>
      <c r="RLU230" s="36"/>
      <c r="RLV230" s="36"/>
      <c r="RLW230" s="36"/>
      <c r="RLX230" s="36"/>
      <c r="RLY230" s="36"/>
      <c r="RLZ230" s="36"/>
      <c r="RMA230" s="36"/>
      <c r="RMB230" s="36"/>
      <c r="RMC230" s="36"/>
      <c r="RMD230" s="36"/>
      <c r="RME230" s="36"/>
      <c r="RMF230" s="36"/>
      <c r="RMG230" s="36"/>
      <c r="RMH230" s="36"/>
      <c r="RMI230" s="36"/>
      <c r="RMJ230" s="36"/>
      <c r="RMK230" s="36"/>
      <c r="RML230" s="36"/>
      <c r="RMM230" s="36"/>
      <c r="RMN230" s="36"/>
      <c r="RMO230" s="36"/>
      <c r="RMP230" s="36"/>
      <c r="RMQ230" s="36"/>
      <c r="RMR230" s="36"/>
      <c r="RMS230" s="36"/>
      <c r="RMT230" s="36"/>
      <c r="RMU230" s="36"/>
      <c r="RMV230" s="36"/>
      <c r="RMW230" s="36"/>
      <c r="RMX230" s="36"/>
      <c r="RMY230" s="36"/>
      <c r="RMZ230" s="36"/>
      <c r="RNA230" s="36"/>
      <c r="RNB230" s="36"/>
      <c r="RNC230" s="36"/>
      <c r="RND230" s="36"/>
      <c r="RNE230" s="36"/>
      <c r="RNF230" s="36"/>
      <c r="RNG230" s="36"/>
      <c r="RNH230" s="36"/>
      <c r="RNI230" s="36"/>
      <c r="RNJ230" s="36"/>
      <c r="RNK230" s="36"/>
      <c r="RNL230" s="36"/>
      <c r="RNM230" s="36"/>
      <c r="RNN230" s="36"/>
      <c r="RNO230" s="36"/>
      <c r="RNP230" s="36"/>
      <c r="RNQ230" s="36"/>
      <c r="RNR230" s="36"/>
      <c r="RNS230" s="36"/>
      <c r="RNT230" s="36"/>
      <c r="RNU230" s="36"/>
      <c r="RNV230" s="36"/>
      <c r="RNW230" s="36"/>
      <c r="RNX230" s="36"/>
      <c r="RNY230" s="36"/>
      <c r="RNZ230" s="36"/>
      <c r="ROA230" s="36"/>
      <c r="ROB230" s="36"/>
      <c r="ROC230" s="36"/>
      <c r="ROD230" s="36"/>
      <c r="ROE230" s="36"/>
      <c r="ROF230" s="36"/>
      <c r="ROG230" s="36"/>
      <c r="ROH230" s="36"/>
      <c r="ROI230" s="36"/>
      <c r="ROJ230" s="36"/>
      <c r="ROK230" s="36"/>
      <c r="ROL230" s="36"/>
      <c r="ROM230" s="36"/>
      <c r="RON230" s="36"/>
      <c r="ROO230" s="36"/>
      <c r="ROP230" s="36"/>
      <c r="ROQ230" s="36"/>
      <c r="ROR230" s="36"/>
      <c r="ROS230" s="36"/>
      <c r="ROT230" s="36"/>
      <c r="ROU230" s="36"/>
      <c r="ROV230" s="36"/>
      <c r="ROW230" s="36"/>
      <c r="ROX230" s="36"/>
      <c r="ROY230" s="36"/>
      <c r="ROZ230" s="36"/>
      <c r="RPA230" s="36"/>
      <c r="RPB230" s="36"/>
      <c r="RPC230" s="36"/>
      <c r="RPD230" s="36"/>
      <c r="RPE230" s="36"/>
      <c r="RPF230" s="36"/>
      <c r="RPG230" s="36"/>
      <c r="RPH230" s="36"/>
      <c r="RPI230" s="36"/>
      <c r="RPJ230" s="36"/>
      <c r="RPK230" s="36"/>
      <c r="RPL230" s="36"/>
      <c r="RPM230" s="36"/>
      <c r="RPN230" s="36"/>
      <c r="RPO230" s="36"/>
      <c r="RPP230" s="36"/>
      <c r="RPQ230" s="36"/>
      <c r="RPR230" s="36"/>
      <c r="RPS230" s="36"/>
      <c r="RPT230" s="36"/>
      <c r="RPU230" s="36"/>
      <c r="RPV230" s="36"/>
      <c r="RPW230" s="36"/>
      <c r="RPX230" s="36"/>
      <c r="RPY230" s="36"/>
      <c r="RPZ230" s="36"/>
      <c r="RQA230" s="36"/>
      <c r="RQB230" s="36"/>
      <c r="RQC230" s="36"/>
      <c r="RQD230" s="36"/>
      <c r="RQE230" s="36"/>
      <c r="RQF230" s="36"/>
      <c r="RQG230" s="36"/>
      <c r="RQH230" s="36"/>
      <c r="RQI230" s="36"/>
      <c r="RQJ230" s="36"/>
      <c r="RQK230" s="36"/>
      <c r="RQL230" s="36"/>
      <c r="RQM230" s="36"/>
      <c r="RQN230" s="36"/>
      <c r="RQO230" s="36"/>
      <c r="RQP230" s="36"/>
      <c r="RQQ230" s="36"/>
      <c r="RQR230" s="36"/>
      <c r="RQS230" s="36"/>
      <c r="RQT230" s="36"/>
      <c r="RQU230" s="36"/>
      <c r="RQV230" s="36"/>
      <c r="RQW230" s="36"/>
      <c r="RQX230" s="36"/>
      <c r="RQY230" s="36"/>
      <c r="RQZ230" s="36"/>
      <c r="RRA230" s="36"/>
      <c r="RRB230" s="36"/>
      <c r="RRC230" s="36"/>
      <c r="RRD230" s="36"/>
      <c r="RRE230" s="36"/>
      <c r="RRF230" s="36"/>
      <c r="RRG230" s="36"/>
      <c r="RRH230" s="36"/>
      <c r="RRI230" s="36"/>
      <c r="RRJ230" s="36"/>
      <c r="RRK230" s="36"/>
      <c r="RRL230" s="36"/>
      <c r="RRM230" s="36"/>
      <c r="RRN230" s="36"/>
      <c r="RRO230" s="36"/>
      <c r="RRP230" s="36"/>
      <c r="RRQ230" s="36"/>
      <c r="RRR230" s="36"/>
      <c r="RRS230" s="36"/>
      <c r="RRT230" s="36"/>
      <c r="RRU230" s="36"/>
      <c r="RRV230" s="36"/>
      <c r="RRW230" s="36"/>
      <c r="RRX230" s="36"/>
      <c r="RRY230" s="36"/>
      <c r="RRZ230" s="36"/>
      <c r="RSA230" s="36"/>
      <c r="RSB230" s="36"/>
      <c r="RSC230" s="36"/>
      <c r="RSD230" s="36"/>
      <c r="RSE230" s="36"/>
      <c r="RSF230" s="36"/>
      <c r="RSG230" s="36"/>
      <c r="RSH230" s="36"/>
      <c r="RSI230" s="36"/>
      <c r="RSJ230" s="36"/>
      <c r="RSK230" s="36"/>
      <c r="RSL230" s="36"/>
      <c r="RSM230" s="36"/>
      <c r="RSN230" s="36"/>
      <c r="RSO230" s="36"/>
      <c r="RSP230" s="36"/>
      <c r="RSQ230" s="36"/>
      <c r="RSR230" s="36"/>
      <c r="RSS230" s="36"/>
      <c r="RST230" s="36"/>
      <c r="RSU230" s="36"/>
      <c r="RSV230" s="36"/>
      <c r="RSW230" s="36"/>
      <c r="RSX230" s="36"/>
      <c r="RSY230" s="36"/>
      <c r="RSZ230" s="36"/>
      <c r="RTA230" s="36"/>
      <c r="RTB230" s="36"/>
      <c r="RTC230" s="36"/>
      <c r="RTD230" s="36"/>
      <c r="RTE230" s="36"/>
      <c r="RTF230" s="36"/>
      <c r="RTG230" s="36"/>
      <c r="RTH230" s="36"/>
      <c r="RTI230" s="36"/>
      <c r="RTJ230" s="36"/>
      <c r="RTK230" s="36"/>
      <c r="RTL230" s="36"/>
      <c r="RTM230" s="36"/>
      <c r="RTN230" s="36"/>
      <c r="RTO230" s="36"/>
      <c r="RTP230" s="36"/>
      <c r="RTQ230" s="36"/>
      <c r="RTR230" s="36"/>
      <c r="RTS230" s="36"/>
      <c r="RTT230" s="36"/>
      <c r="RTU230" s="36"/>
      <c r="RTV230" s="36"/>
      <c r="RTW230" s="36"/>
      <c r="RTX230" s="36"/>
      <c r="RTY230" s="36"/>
      <c r="RTZ230" s="36"/>
      <c r="RUA230" s="36"/>
      <c r="RUB230" s="36"/>
      <c r="RUC230" s="36"/>
      <c r="RUD230" s="36"/>
      <c r="RUE230" s="36"/>
      <c r="RUF230" s="36"/>
      <c r="RUG230" s="36"/>
      <c r="RUH230" s="36"/>
      <c r="RUI230" s="36"/>
      <c r="RUJ230" s="36"/>
      <c r="RUK230" s="36"/>
      <c r="RUL230" s="36"/>
      <c r="RUM230" s="36"/>
      <c r="RUN230" s="36"/>
      <c r="RUO230" s="36"/>
      <c r="RUP230" s="36"/>
      <c r="RUQ230" s="36"/>
      <c r="RUR230" s="36"/>
      <c r="RUS230" s="36"/>
      <c r="RUT230" s="36"/>
      <c r="RUU230" s="36"/>
      <c r="RUV230" s="36"/>
      <c r="RUW230" s="36"/>
      <c r="RUX230" s="36"/>
      <c r="RUY230" s="36"/>
      <c r="RUZ230" s="36"/>
      <c r="RVA230" s="36"/>
      <c r="RVB230" s="36"/>
      <c r="RVC230" s="36"/>
      <c r="RVD230" s="36"/>
      <c r="RVE230" s="36"/>
      <c r="RVF230" s="36"/>
      <c r="RVG230" s="36"/>
      <c r="RVH230" s="36"/>
      <c r="RVI230" s="36"/>
      <c r="RVJ230" s="36"/>
      <c r="RVK230" s="36"/>
      <c r="RVL230" s="36"/>
      <c r="RVM230" s="36"/>
      <c r="RVN230" s="36"/>
      <c r="RVO230" s="36"/>
      <c r="RVP230" s="36"/>
      <c r="RVQ230" s="36"/>
      <c r="RVR230" s="36"/>
      <c r="RVS230" s="36"/>
      <c r="RVT230" s="36"/>
      <c r="RVU230" s="36"/>
      <c r="RVV230" s="36"/>
      <c r="RVW230" s="36"/>
      <c r="RVX230" s="36"/>
      <c r="RVY230" s="36"/>
      <c r="RVZ230" s="36"/>
      <c r="RWA230" s="36"/>
      <c r="RWB230" s="36"/>
      <c r="RWC230" s="36"/>
      <c r="RWD230" s="36"/>
      <c r="RWE230" s="36"/>
      <c r="RWF230" s="36"/>
      <c r="RWG230" s="36"/>
      <c r="RWH230" s="36"/>
      <c r="RWI230" s="36"/>
      <c r="RWJ230" s="36"/>
      <c r="RWK230" s="36"/>
      <c r="RWL230" s="36"/>
      <c r="RWM230" s="36"/>
      <c r="RWN230" s="36"/>
      <c r="RWO230" s="36"/>
      <c r="RWP230" s="36"/>
      <c r="RWQ230" s="36"/>
      <c r="RWR230" s="36"/>
      <c r="RWS230" s="36"/>
      <c r="RWT230" s="36"/>
      <c r="RWU230" s="36"/>
      <c r="RWV230" s="36"/>
      <c r="RWW230" s="36"/>
      <c r="RWX230" s="36"/>
      <c r="RWY230" s="36"/>
      <c r="RWZ230" s="36"/>
      <c r="RXA230" s="36"/>
      <c r="RXB230" s="36"/>
      <c r="RXC230" s="36"/>
      <c r="RXD230" s="36"/>
      <c r="RXE230" s="36"/>
      <c r="RXF230" s="36"/>
      <c r="RXG230" s="36"/>
      <c r="RXH230" s="36"/>
      <c r="RXI230" s="36"/>
      <c r="RXJ230" s="36"/>
      <c r="RXK230" s="36"/>
      <c r="RXL230" s="36"/>
      <c r="RXM230" s="36"/>
      <c r="RXN230" s="36"/>
      <c r="RXO230" s="36"/>
      <c r="RXP230" s="36"/>
      <c r="RXQ230" s="36"/>
      <c r="RXR230" s="36"/>
      <c r="RXS230" s="36"/>
      <c r="RXT230" s="36"/>
      <c r="RXU230" s="36"/>
      <c r="RXV230" s="36"/>
      <c r="RXW230" s="36"/>
      <c r="RXX230" s="36"/>
      <c r="RXY230" s="36"/>
      <c r="RXZ230" s="36"/>
      <c r="RYA230" s="36"/>
      <c r="RYB230" s="36"/>
      <c r="RYC230" s="36"/>
      <c r="RYD230" s="36"/>
      <c r="RYE230" s="36"/>
      <c r="RYF230" s="36"/>
      <c r="RYG230" s="36"/>
      <c r="RYH230" s="36"/>
      <c r="RYI230" s="36"/>
      <c r="RYJ230" s="36"/>
      <c r="RYK230" s="36"/>
      <c r="RYL230" s="36"/>
      <c r="RYM230" s="36"/>
      <c r="RYN230" s="36"/>
      <c r="RYO230" s="36"/>
      <c r="RYP230" s="36"/>
      <c r="RYQ230" s="36"/>
      <c r="RYR230" s="36"/>
      <c r="RYS230" s="36"/>
      <c r="RYT230" s="36"/>
      <c r="RYU230" s="36"/>
      <c r="RYV230" s="36"/>
      <c r="RYW230" s="36"/>
      <c r="RYX230" s="36"/>
      <c r="RYY230" s="36"/>
      <c r="RYZ230" s="36"/>
      <c r="RZA230" s="36"/>
      <c r="RZB230" s="36"/>
      <c r="RZC230" s="36"/>
      <c r="RZD230" s="36"/>
      <c r="RZE230" s="36"/>
      <c r="RZF230" s="36"/>
      <c r="RZG230" s="36"/>
      <c r="RZH230" s="36"/>
      <c r="RZI230" s="36"/>
      <c r="RZJ230" s="36"/>
      <c r="RZK230" s="36"/>
      <c r="RZL230" s="36"/>
      <c r="RZM230" s="36"/>
      <c r="RZN230" s="36"/>
      <c r="RZO230" s="36"/>
      <c r="RZP230" s="36"/>
      <c r="RZQ230" s="36"/>
      <c r="RZR230" s="36"/>
      <c r="RZS230" s="36"/>
      <c r="RZT230" s="36"/>
      <c r="RZU230" s="36"/>
      <c r="RZV230" s="36"/>
      <c r="RZW230" s="36"/>
      <c r="RZX230" s="36"/>
      <c r="RZY230" s="36"/>
      <c r="RZZ230" s="36"/>
      <c r="SAA230" s="36"/>
      <c r="SAB230" s="36"/>
      <c r="SAC230" s="36"/>
      <c r="SAD230" s="36"/>
      <c r="SAE230" s="36"/>
      <c r="SAF230" s="36"/>
      <c r="SAG230" s="36"/>
      <c r="SAH230" s="36"/>
      <c r="SAI230" s="36"/>
      <c r="SAJ230" s="36"/>
      <c r="SAK230" s="36"/>
      <c r="SAL230" s="36"/>
      <c r="SAM230" s="36"/>
      <c r="SAN230" s="36"/>
      <c r="SAO230" s="36"/>
      <c r="SAP230" s="36"/>
      <c r="SAQ230" s="36"/>
      <c r="SAR230" s="36"/>
      <c r="SAS230" s="36"/>
      <c r="SAT230" s="36"/>
      <c r="SAU230" s="36"/>
      <c r="SAV230" s="36"/>
      <c r="SAW230" s="36"/>
      <c r="SAX230" s="36"/>
      <c r="SAY230" s="36"/>
      <c r="SAZ230" s="36"/>
      <c r="SBA230" s="36"/>
      <c r="SBB230" s="36"/>
      <c r="SBC230" s="36"/>
      <c r="SBD230" s="36"/>
      <c r="SBE230" s="36"/>
      <c r="SBF230" s="36"/>
      <c r="SBG230" s="36"/>
      <c r="SBH230" s="36"/>
      <c r="SBI230" s="36"/>
      <c r="SBJ230" s="36"/>
      <c r="SBK230" s="36"/>
      <c r="SBL230" s="36"/>
      <c r="SBM230" s="36"/>
      <c r="SBN230" s="36"/>
      <c r="SBO230" s="36"/>
      <c r="SBP230" s="36"/>
      <c r="SBQ230" s="36"/>
      <c r="SBR230" s="36"/>
      <c r="SBS230" s="36"/>
      <c r="SBT230" s="36"/>
      <c r="SBU230" s="36"/>
      <c r="SBV230" s="36"/>
      <c r="SBW230" s="36"/>
      <c r="SBX230" s="36"/>
      <c r="SBY230" s="36"/>
      <c r="SBZ230" s="36"/>
      <c r="SCA230" s="36"/>
      <c r="SCB230" s="36"/>
      <c r="SCC230" s="36"/>
      <c r="SCD230" s="36"/>
      <c r="SCE230" s="36"/>
      <c r="SCF230" s="36"/>
      <c r="SCG230" s="36"/>
      <c r="SCH230" s="36"/>
      <c r="SCI230" s="36"/>
      <c r="SCJ230" s="36"/>
      <c r="SCK230" s="36"/>
      <c r="SCL230" s="36"/>
      <c r="SCM230" s="36"/>
      <c r="SCN230" s="36"/>
      <c r="SCO230" s="36"/>
      <c r="SCP230" s="36"/>
      <c r="SCQ230" s="36"/>
      <c r="SCR230" s="36"/>
      <c r="SCS230" s="36"/>
      <c r="SCT230" s="36"/>
      <c r="SCU230" s="36"/>
      <c r="SCV230" s="36"/>
      <c r="SCW230" s="36"/>
      <c r="SCX230" s="36"/>
      <c r="SCY230" s="36"/>
      <c r="SCZ230" s="36"/>
      <c r="SDA230" s="36"/>
      <c r="SDB230" s="36"/>
      <c r="SDC230" s="36"/>
      <c r="SDD230" s="36"/>
      <c r="SDE230" s="36"/>
      <c r="SDF230" s="36"/>
      <c r="SDG230" s="36"/>
      <c r="SDH230" s="36"/>
      <c r="SDI230" s="36"/>
      <c r="SDJ230" s="36"/>
      <c r="SDK230" s="36"/>
      <c r="SDL230" s="36"/>
      <c r="SDM230" s="36"/>
      <c r="SDN230" s="36"/>
      <c r="SDO230" s="36"/>
      <c r="SDP230" s="36"/>
      <c r="SDQ230" s="36"/>
      <c r="SDR230" s="36"/>
      <c r="SDS230" s="36"/>
      <c r="SDT230" s="36"/>
      <c r="SDU230" s="36"/>
      <c r="SDV230" s="36"/>
      <c r="SDW230" s="36"/>
      <c r="SDX230" s="36"/>
      <c r="SDY230" s="36"/>
      <c r="SDZ230" s="36"/>
      <c r="SEA230" s="36"/>
      <c r="SEB230" s="36"/>
      <c r="SEC230" s="36"/>
      <c r="SED230" s="36"/>
      <c r="SEE230" s="36"/>
      <c r="SEF230" s="36"/>
      <c r="SEG230" s="36"/>
      <c r="SEH230" s="36"/>
      <c r="SEI230" s="36"/>
      <c r="SEJ230" s="36"/>
      <c r="SEK230" s="36"/>
      <c r="SEL230" s="36"/>
      <c r="SEM230" s="36"/>
      <c r="SEN230" s="36"/>
      <c r="SEO230" s="36"/>
      <c r="SEP230" s="36"/>
      <c r="SEQ230" s="36"/>
      <c r="SER230" s="36"/>
      <c r="SES230" s="36"/>
      <c r="SET230" s="36"/>
      <c r="SEU230" s="36"/>
      <c r="SEV230" s="36"/>
      <c r="SEW230" s="36"/>
      <c r="SEX230" s="36"/>
      <c r="SEY230" s="36"/>
      <c r="SEZ230" s="36"/>
      <c r="SFA230" s="36"/>
      <c r="SFB230" s="36"/>
      <c r="SFC230" s="36"/>
      <c r="SFD230" s="36"/>
      <c r="SFE230" s="36"/>
      <c r="SFF230" s="36"/>
      <c r="SFG230" s="36"/>
      <c r="SFH230" s="36"/>
      <c r="SFI230" s="36"/>
      <c r="SFJ230" s="36"/>
      <c r="SFK230" s="36"/>
      <c r="SFL230" s="36"/>
      <c r="SFM230" s="36"/>
      <c r="SFN230" s="36"/>
      <c r="SFO230" s="36"/>
      <c r="SFP230" s="36"/>
      <c r="SFQ230" s="36"/>
      <c r="SFR230" s="36"/>
      <c r="SFS230" s="36"/>
      <c r="SFT230" s="36"/>
      <c r="SFU230" s="36"/>
      <c r="SFV230" s="36"/>
      <c r="SFW230" s="36"/>
      <c r="SFX230" s="36"/>
      <c r="SFY230" s="36"/>
      <c r="SFZ230" s="36"/>
      <c r="SGA230" s="36"/>
      <c r="SGB230" s="36"/>
      <c r="SGC230" s="36"/>
      <c r="SGD230" s="36"/>
      <c r="SGE230" s="36"/>
      <c r="SGF230" s="36"/>
      <c r="SGG230" s="36"/>
      <c r="SGH230" s="36"/>
      <c r="SGI230" s="36"/>
      <c r="SGJ230" s="36"/>
      <c r="SGK230" s="36"/>
      <c r="SGL230" s="36"/>
      <c r="SGM230" s="36"/>
      <c r="SGN230" s="36"/>
      <c r="SGO230" s="36"/>
      <c r="SGP230" s="36"/>
      <c r="SGQ230" s="36"/>
      <c r="SGR230" s="36"/>
      <c r="SGS230" s="36"/>
      <c r="SGT230" s="36"/>
      <c r="SGU230" s="36"/>
      <c r="SGV230" s="36"/>
      <c r="SGW230" s="36"/>
      <c r="SGX230" s="36"/>
      <c r="SGY230" s="36"/>
      <c r="SGZ230" s="36"/>
      <c r="SHA230" s="36"/>
      <c r="SHB230" s="36"/>
      <c r="SHC230" s="36"/>
      <c r="SHD230" s="36"/>
      <c r="SHE230" s="36"/>
      <c r="SHF230" s="36"/>
      <c r="SHG230" s="36"/>
      <c r="SHH230" s="36"/>
      <c r="SHI230" s="36"/>
      <c r="SHJ230" s="36"/>
      <c r="SHK230" s="36"/>
      <c r="SHL230" s="36"/>
      <c r="SHM230" s="36"/>
      <c r="SHN230" s="36"/>
      <c r="SHO230" s="36"/>
      <c r="SHP230" s="36"/>
      <c r="SHQ230" s="36"/>
      <c r="SHR230" s="36"/>
      <c r="SHS230" s="36"/>
      <c r="SHT230" s="36"/>
      <c r="SHU230" s="36"/>
      <c r="SHV230" s="36"/>
      <c r="SHW230" s="36"/>
      <c r="SHX230" s="36"/>
      <c r="SHY230" s="36"/>
      <c r="SHZ230" s="36"/>
      <c r="SIA230" s="36"/>
      <c r="SIB230" s="36"/>
      <c r="SIC230" s="36"/>
      <c r="SID230" s="36"/>
      <c r="SIE230" s="36"/>
      <c r="SIF230" s="36"/>
      <c r="SIG230" s="36"/>
      <c r="SIH230" s="36"/>
      <c r="SII230" s="36"/>
      <c r="SIJ230" s="36"/>
      <c r="SIK230" s="36"/>
      <c r="SIL230" s="36"/>
      <c r="SIM230" s="36"/>
      <c r="SIN230" s="36"/>
      <c r="SIO230" s="36"/>
      <c r="SIP230" s="36"/>
      <c r="SIQ230" s="36"/>
      <c r="SIR230" s="36"/>
      <c r="SIS230" s="36"/>
      <c r="SIT230" s="36"/>
      <c r="SIU230" s="36"/>
      <c r="SIV230" s="36"/>
      <c r="SIW230" s="36"/>
      <c r="SIX230" s="36"/>
      <c r="SIY230" s="36"/>
      <c r="SIZ230" s="36"/>
      <c r="SJA230" s="36"/>
      <c r="SJB230" s="36"/>
      <c r="SJC230" s="36"/>
      <c r="SJD230" s="36"/>
      <c r="SJE230" s="36"/>
      <c r="SJF230" s="36"/>
      <c r="SJG230" s="36"/>
      <c r="SJH230" s="36"/>
      <c r="SJI230" s="36"/>
      <c r="SJJ230" s="36"/>
      <c r="SJK230" s="36"/>
      <c r="SJL230" s="36"/>
      <c r="SJM230" s="36"/>
      <c r="SJN230" s="36"/>
      <c r="SJO230" s="36"/>
      <c r="SJP230" s="36"/>
      <c r="SJQ230" s="36"/>
      <c r="SJR230" s="36"/>
      <c r="SJS230" s="36"/>
      <c r="SJT230" s="36"/>
      <c r="SJU230" s="36"/>
      <c r="SJV230" s="36"/>
      <c r="SJW230" s="36"/>
      <c r="SJX230" s="36"/>
      <c r="SJY230" s="36"/>
      <c r="SJZ230" s="36"/>
      <c r="SKA230" s="36"/>
      <c r="SKB230" s="36"/>
      <c r="SKC230" s="36"/>
      <c r="SKD230" s="36"/>
      <c r="SKE230" s="36"/>
      <c r="SKF230" s="36"/>
      <c r="SKG230" s="36"/>
      <c r="SKH230" s="36"/>
      <c r="SKI230" s="36"/>
      <c r="SKJ230" s="36"/>
      <c r="SKK230" s="36"/>
      <c r="SKL230" s="36"/>
      <c r="SKM230" s="36"/>
      <c r="SKN230" s="36"/>
      <c r="SKO230" s="36"/>
      <c r="SKP230" s="36"/>
      <c r="SKQ230" s="36"/>
      <c r="SKR230" s="36"/>
      <c r="SKS230" s="36"/>
      <c r="SKT230" s="36"/>
      <c r="SKU230" s="36"/>
      <c r="SKV230" s="36"/>
      <c r="SKW230" s="36"/>
      <c r="SKX230" s="36"/>
      <c r="SKY230" s="36"/>
      <c r="SKZ230" s="36"/>
      <c r="SLA230" s="36"/>
      <c r="SLB230" s="36"/>
      <c r="SLC230" s="36"/>
      <c r="SLD230" s="36"/>
      <c r="SLE230" s="36"/>
      <c r="SLF230" s="36"/>
      <c r="SLG230" s="36"/>
      <c r="SLH230" s="36"/>
      <c r="SLI230" s="36"/>
      <c r="SLJ230" s="36"/>
      <c r="SLK230" s="36"/>
      <c r="SLL230" s="36"/>
      <c r="SLM230" s="36"/>
      <c r="SLN230" s="36"/>
      <c r="SLO230" s="36"/>
      <c r="SLP230" s="36"/>
      <c r="SLQ230" s="36"/>
      <c r="SLR230" s="36"/>
      <c r="SLS230" s="36"/>
      <c r="SLT230" s="36"/>
      <c r="SLU230" s="36"/>
      <c r="SLV230" s="36"/>
      <c r="SLW230" s="36"/>
      <c r="SLX230" s="36"/>
      <c r="SLY230" s="36"/>
      <c r="SLZ230" s="36"/>
      <c r="SMA230" s="36"/>
      <c r="SMB230" s="36"/>
      <c r="SMC230" s="36"/>
      <c r="SMD230" s="36"/>
      <c r="SME230" s="36"/>
      <c r="SMF230" s="36"/>
      <c r="SMG230" s="36"/>
      <c r="SMH230" s="36"/>
      <c r="SMI230" s="36"/>
      <c r="SMJ230" s="36"/>
      <c r="SMK230" s="36"/>
      <c r="SML230" s="36"/>
      <c r="SMM230" s="36"/>
      <c r="SMN230" s="36"/>
      <c r="SMO230" s="36"/>
      <c r="SMP230" s="36"/>
      <c r="SMQ230" s="36"/>
      <c r="SMR230" s="36"/>
      <c r="SMS230" s="36"/>
      <c r="SMT230" s="36"/>
      <c r="SMU230" s="36"/>
      <c r="SMV230" s="36"/>
      <c r="SMW230" s="36"/>
      <c r="SMX230" s="36"/>
      <c r="SMY230" s="36"/>
      <c r="SMZ230" s="36"/>
      <c r="SNA230" s="36"/>
      <c r="SNB230" s="36"/>
      <c r="SNC230" s="36"/>
      <c r="SND230" s="36"/>
      <c r="SNE230" s="36"/>
      <c r="SNF230" s="36"/>
      <c r="SNG230" s="36"/>
      <c r="SNH230" s="36"/>
      <c r="SNI230" s="36"/>
      <c r="SNJ230" s="36"/>
      <c r="SNK230" s="36"/>
      <c r="SNL230" s="36"/>
      <c r="SNM230" s="36"/>
      <c r="SNN230" s="36"/>
      <c r="SNO230" s="36"/>
      <c r="SNP230" s="36"/>
      <c r="SNQ230" s="36"/>
      <c r="SNR230" s="36"/>
      <c r="SNS230" s="36"/>
      <c r="SNT230" s="36"/>
      <c r="SNU230" s="36"/>
      <c r="SNV230" s="36"/>
      <c r="SNW230" s="36"/>
      <c r="SNX230" s="36"/>
      <c r="SNY230" s="36"/>
      <c r="SNZ230" s="36"/>
      <c r="SOA230" s="36"/>
      <c r="SOB230" s="36"/>
      <c r="SOC230" s="36"/>
      <c r="SOD230" s="36"/>
      <c r="SOE230" s="36"/>
      <c r="SOF230" s="36"/>
      <c r="SOG230" s="36"/>
      <c r="SOH230" s="36"/>
      <c r="SOI230" s="36"/>
      <c r="SOJ230" s="36"/>
      <c r="SOK230" s="36"/>
      <c r="SOL230" s="36"/>
      <c r="SOM230" s="36"/>
      <c r="SON230" s="36"/>
      <c r="SOO230" s="36"/>
      <c r="SOP230" s="36"/>
      <c r="SOQ230" s="36"/>
      <c r="SOR230" s="36"/>
      <c r="SOS230" s="36"/>
      <c r="SOT230" s="36"/>
      <c r="SOU230" s="36"/>
      <c r="SOV230" s="36"/>
      <c r="SOW230" s="36"/>
      <c r="SOX230" s="36"/>
      <c r="SOY230" s="36"/>
      <c r="SOZ230" s="36"/>
      <c r="SPA230" s="36"/>
      <c r="SPB230" s="36"/>
      <c r="SPC230" s="36"/>
      <c r="SPD230" s="36"/>
      <c r="SPE230" s="36"/>
      <c r="SPF230" s="36"/>
      <c r="SPG230" s="36"/>
      <c r="SPH230" s="36"/>
      <c r="SPI230" s="36"/>
      <c r="SPJ230" s="36"/>
      <c r="SPK230" s="36"/>
      <c r="SPL230" s="36"/>
      <c r="SPM230" s="36"/>
      <c r="SPN230" s="36"/>
      <c r="SPO230" s="36"/>
      <c r="SPP230" s="36"/>
      <c r="SPQ230" s="36"/>
      <c r="SPR230" s="36"/>
      <c r="SPS230" s="36"/>
      <c r="SPT230" s="36"/>
      <c r="SPU230" s="36"/>
      <c r="SPV230" s="36"/>
      <c r="SPW230" s="36"/>
      <c r="SPX230" s="36"/>
      <c r="SPY230" s="36"/>
      <c r="SPZ230" s="36"/>
      <c r="SQA230" s="36"/>
      <c r="SQB230" s="36"/>
      <c r="SQC230" s="36"/>
      <c r="SQD230" s="36"/>
      <c r="SQE230" s="36"/>
      <c r="SQF230" s="36"/>
      <c r="SQG230" s="36"/>
      <c r="SQH230" s="36"/>
      <c r="SQI230" s="36"/>
      <c r="SQJ230" s="36"/>
      <c r="SQK230" s="36"/>
      <c r="SQL230" s="36"/>
      <c r="SQM230" s="36"/>
      <c r="SQN230" s="36"/>
      <c r="SQO230" s="36"/>
      <c r="SQP230" s="36"/>
      <c r="SQQ230" s="36"/>
      <c r="SQR230" s="36"/>
      <c r="SQS230" s="36"/>
      <c r="SQT230" s="36"/>
      <c r="SQU230" s="36"/>
      <c r="SQV230" s="36"/>
      <c r="SQW230" s="36"/>
      <c r="SQX230" s="36"/>
      <c r="SQY230" s="36"/>
      <c r="SQZ230" s="36"/>
      <c r="SRA230" s="36"/>
      <c r="SRB230" s="36"/>
      <c r="SRC230" s="36"/>
      <c r="SRD230" s="36"/>
      <c r="SRE230" s="36"/>
      <c r="SRF230" s="36"/>
      <c r="SRG230" s="36"/>
      <c r="SRH230" s="36"/>
      <c r="SRI230" s="36"/>
      <c r="SRJ230" s="36"/>
      <c r="SRK230" s="36"/>
      <c r="SRL230" s="36"/>
      <c r="SRM230" s="36"/>
      <c r="SRN230" s="36"/>
      <c r="SRO230" s="36"/>
      <c r="SRP230" s="36"/>
      <c r="SRQ230" s="36"/>
      <c r="SRR230" s="36"/>
      <c r="SRS230" s="36"/>
      <c r="SRT230" s="36"/>
      <c r="SRU230" s="36"/>
      <c r="SRV230" s="36"/>
      <c r="SRW230" s="36"/>
      <c r="SRX230" s="36"/>
      <c r="SRY230" s="36"/>
      <c r="SRZ230" s="36"/>
      <c r="SSA230" s="36"/>
      <c r="SSB230" s="36"/>
      <c r="SSC230" s="36"/>
      <c r="SSD230" s="36"/>
      <c r="SSE230" s="36"/>
      <c r="SSF230" s="36"/>
      <c r="SSG230" s="36"/>
      <c r="SSH230" s="36"/>
      <c r="SSI230" s="36"/>
      <c r="SSJ230" s="36"/>
      <c r="SSK230" s="36"/>
      <c r="SSL230" s="36"/>
      <c r="SSM230" s="36"/>
      <c r="SSN230" s="36"/>
      <c r="SSO230" s="36"/>
      <c r="SSP230" s="36"/>
      <c r="SSQ230" s="36"/>
      <c r="SSR230" s="36"/>
      <c r="SSS230" s="36"/>
      <c r="SST230" s="36"/>
      <c r="SSU230" s="36"/>
      <c r="SSV230" s="36"/>
      <c r="SSW230" s="36"/>
      <c r="SSX230" s="36"/>
      <c r="SSY230" s="36"/>
      <c r="SSZ230" s="36"/>
      <c r="STA230" s="36"/>
      <c r="STB230" s="36"/>
      <c r="STC230" s="36"/>
      <c r="STD230" s="36"/>
      <c r="STE230" s="36"/>
      <c r="STF230" s="36"/>
      <c r="STG230" s="36"/>
      <c r="STH230" s="36"/>
      <c r="STI230" s="36"/>
      <c r="STJ230" s="36"/>
      <c r="STK230" s="36"/>
      <c r="STL230" s="36"/>
      <c r="STM230" s="36"/>
      <c r="STN230" s="36"/>
      <c r="STO230" s="36"/>
      <c r="STP230" s="36"/>
      <c r="STQ230" s="36"/>
      <c r="STR230" s="36"/>
      <c r="STS230" s="36"/>
      <c r="STT230" s="36"/>
      <c r="STU230" s="36"/>
      <c r="STV230" s="36"/>
      <c r="STW230" s="36"/>
      <c r="STX230" s="36"/>
      <c r="STY230" s="36"/>
      <c r="STZ230" s="36"/>
      <c r="SUA230" s="36"/>
      <c r="SUB230" s="36"/>
      <c r="SUC230" s="36"/>
      <c r="SUD230" s="36"/>
      <c r="SUE230" s="36"/>
      <c r="SUF230" s="36"/>
      <c r="SUG230" s="36"/>
      <c r="SUH230" s="36"/>
      <c r="SUI230" s="36"/>
      <c r="SUJ230" s="36"/>
      <c r="SUK230" s="36"/>
      <c r="SUL230" s="36"/>
      <c r="SUM230" s="36"/>
      <c r="SUN230" s="36"/>
      <c r="SUO230" s="36"/>
      <c r="SUP230" s="36"/>
      <c r="SUQ230" s="36"/>
      <c r="SUR230" s="36"/>
      <c r="SUS230" s="36"/>
      <c r="SUT230" s="36"/>
      <c r="SUU230" s="36"/>
      <c r="SUV230" s="36"/>
      <c r="SUW230" s="36"/>
      <c r="SUX230" s="36"/>
      <c r="SUY230" s="36"/>
      <c r="SUZ230" s="36"/>
      <c r="SVA230" s="36"/>
      <c r="SVB230" s="36"/>
      <c r="SVC230" s="36"/>
      <c r="SVD230" s="36"/>
      <c r="SVE230" s="36"/>
      <c r="SVF230" s="36"/>
      <c r="SVG230" s="36"/>
      <c r="SVH230" s="36"/>
      <c r="SVI230" s="36"/>
      <c r="SVJ230" s="36"/>
      <c r="SVK230" s="36"/>
      <c r="SVL230" s="36"/>
      <c r="SVM230" s="36"/>
      <c r="SVN230" s="36"/>
      <c r="SVO230" s="36"/>
      <c r="SVP230" s="36"/>
      <c r="SVQ230" s="36"/>
      <c r="SVR230" s="36"/>
      <c r="SVS230" s="36"/>
      <c r="SVT230" s="36"/>
      <c r="SVU230" s="36"/>
      <c r="SVV230" s="36"/>
      <c r="SVW230" s="36"/>
      <c r="SVX230" s="36"/>
      <c r="SVY230" s="36"/>
      <c r="SVZ230" s="36"/>
      <c r="SWA230" s="36"/>
      <c r="SWB230" s="36"/>
      <c r="SWC230" s="36"/>
      <c r="SWD230" s="36"/>
      <c r="SWE230" s="36"/>
      <c r="SWF230" s="36"/>
      <c r="SWG230" s="36"/>
      <c r="SWH230" s="36"/>
      <c r="SWI230" s="36"/>
      <c r="SWJ230" s="36"/>
      <c r="SWK230" s="36"/>
      <c r="SWL230" s="36"/>
      <c r="SWM230" s="36"/>
      <c r="SWN230" s="36"/>
      <c r="SWO230" s="36"/>
      <c r="SWP230" s="36"/>
      <c r="SWQ230" s="36"/>
      <c r="SWR230" s="36"/>
      <c r="SWS230" s="36"/>
      <c r="SWT230" s="36"/>
      <c r="SWU230" s="36"/>
      <c r="SWV230" s="36"/>
      <c r="SWW230" s="36"/>
      <c r="SWX230" s="36"/>
      <c r="SWY230" s="36"/>
      <c r="SWZ230" s="36"/>
      <c r="SXA230" s="36"/>
      <c r="SXB230" s="36"/>
      <c r="SXC230" s="36"/>
      <c r="SXD230" s="36"/>
      <c r="SXE230" s="36"/>
      <c r="SXF230" s="36"/>
      <c r="SXG230" s="36"/>
      <c r="SXH230" s="36"/>
      <c r="SXI230" s="36"/>
      <c r="SXJ230" s="36"/>
      <c r="SXK230" s="36"/>
      <c r="SXL230" s="36"/>
      <c r="SXM230" s="36"/>
      <c r="SXN230" s="36"/>
      <c r="SXO230" s="36"/>
      <c r="SXP230" s="36"/>
      <c r="SXQ230" s="36"/>
      <c r="SXR230" s="36"/>
      <c r="SXS230" s="36"/>
      <c r="SXT230" s="36"/>
      <c r="SXU230" s="36"/>
      <c r="SXV230" s="36"/>
      <c r="SXW230" s="36"/>
      <c r="SXX230" s="36"/>
      <c r="SXY230" s="36"/>
      <c r="SXZ230" s="36"/>
      <c r="SYA230" s="36"/>
      <c r="SYB230" s="36"/>
      <c r="SYC230" s="36"/>
      <c r="SYD230" s="36"/>
      <c r="SYE230" s="36"/>
      <c r="SYF230" s="36"/>
      <c r="SYG230" s="36"/>
      <c r="SYH230" s="36"/>
      <c r="SYI230" s="36"/>
      <c r="SYJ230" s="36"/>
      <c r="SYK230" s="36"/>
      <c r="SYL230" s="36"/>
      <c r="SYM230" s="36"/>
      <c r="SYN230" s="36"/>
      <c r="SYO230" s="36"/>
      <c r="SYP230" s="36"/>
      <c r="SYQ230" s="36"/>
      <c r="SYR230" s="36"/>
      <c r="SYS230" s="36"/>
      <c r="SYT230" s="36"/>
      <c r="SYU230" s="36"/>
      <c r="SYV230" s="36"/>
      <c r="SYW230" s="36"/>
      <c r="SYX230" s="36"/>
      <c r="SYY230" s="36"/>
      <c r="SYZ230" s="36"/>
      <c r="SZA230" s="36"/>
      <c r="SZB230" s="36"/>
      <c r="SZC230" s="36"/>
      <c r="SZD230" s="36"/>
      <c r="SZE230" s="36"/>
      <c r="SZF230" s="36"/>
      <c r="SZG230" s="36"/>
      <c r="SZH230" s="36"/>
      <c r="SZI230" s="36"/>
      <c r="SZJ230" s="36"/>
      <c r="SZK230" s="36"/>
      <c r="SZL230" s="36"/>
      <c r="SZM230" s="36"/>
      <c r="SZN230" s="36"/>
      <c r="SZO230" s="36"/>
      <c r="SZP230" s="36"/>
      <c r="SZQ230" s="36"/>
      <c r="SZR230" s="36"/>
      <c r="SZS230" s="36"/>
      <c r="SZT230" s="36"/>
      <c r="SZU230" s="36"/>
      <c r="SZV230" s="36"/>
      <c r="SZW230" s="36"/>
      <c r="SZX230" s="36"/>
      <c r="SZY230" s="36"/>
      <c r="SZZ230" s="36"/>
      <c r="TAA230" s="36"/>
      <c r="TAB230" s="36"/>
      <c r="TAC230" s="36"/>
      <c r="TAD230" s="36"/>
      <c r="TAE230" s="36"/>
      <c r="TAF230" s="36"/>
      <c r="TAG230" s="36"/>
      <c r="TAH230" s="36"/>
      <c r="TAI230" s="36"/>
      <c r="TAJ230" s="36"/>
      <c r="TAK230" s="36"/>
      <c r="TAL230" s="36"/>
      <c r="TAM230" s="36"/>
      <c r="TAN230" s="36"/>
      <c r="TAO230" s="36"/>
      <c r="TAP230" s="36"/>
      <c r="TAQ230" s="36"/>
      <c r="TAR230" s="36"/>
      <c r="TAS230" s="36"/>
      <c r="TAT230" s="36"/>
      <c r="TAU230" s="36"/>
      <c r="TAV230" s="36"/>
      <c r="TAW230" s="36"/>
      <c r="TAX230" s="36"/>
      <c r="TAY230" s="36"/>
      <c r="TAZ230" s="36"/>
      <c r="TBA230" s="36"/>
      <c r="TBB230" s="36"/>
      <c r="TBC230" s="36"/>
      <c r="TBD230" s="36"/>
      <c r="TBE230" s="36"/>
      <c r="TBF230" s="36"/>
      <c r="TBG230" s="36"/>
      <c r="TBH230" s="36"/>
      <c r="TBI230" s="36"/>
      <c r="TBJ230" s="36"/>
      <c r="TBK230" s="36"/>
      <c r="TBL230" s="36"/>
      <c r="TBM230" s="36"/>
      <c r="TBN230" s="36"/>
      <c r="TBO230" s="36"/>
      <c r="TBP230" s="36"/>
      <c r="TBQ230" s="36"/>
      <c r="TBR230" s="36"/>
      <c r="TBS230" s="36"/>
      <c r="TBT230" s="36"/>
      <c r="TBU230" s="36"/>
      <c r="TBV230" s="36"/>
      <c r="TBW230" s="36"/>
      <c r="TBX230" s="36"/>
      <c r="TBY230" s="36"/>
      <c r="TBZ230" s="36"/>
      <c r="TCA230" s="36"/>
      <c r="TCB230" s="36"/>
      <c r="TCC230" s="36"/>
      <c r="TCD230" s="36"/>
      <c r="TCE230" s="36"/>
      <c r="TCF230" s="36"/>
      <c r="TCG230" s="36"/>
      <c r="TCH230" s="36"/>
      <c r="TCI230" s="36"/>
      <c r="TCJ230" s="36"/>
      <c r="TCK230" s="36"/>
      <c r="TCL230" s="36"/>
      <c r="TCM230" s="36"/>
      <c r="TCN230" s="36"/>
      <c r="TCO230" s="36"/>
      <c r="TCP230" s="36"/>
      <c r="TCQ230" s="36"/>
      <c r="TCR230" s="36"/>
      <c r="TCS230" s="36"/>
      <c r="TCT230" s="36"/>
      <c r="TCU230" s="36"/>
      <c r="TCV230" s="36"/>
      <c r="TCW230" s="36"/>
      <c r="TCX230" s="36"/>
      <c r="TCY230" s="36"/>
      <c r="TCZ230" s="36"/>
      <c r="TDA230" s="36"/>
      <c r="TDB230" s="36"/>
      <c r="TDC230" s="36"/>
      <c r="TDD230" s="36"/>
      <c r="TDE230" s="36"/>
      <c r="TDF230" s="36"/>
      <c r="TDG230" s="36"/>
      <c r="TDH230" s="36"/>
      <c r="TDI230" s="36"/>
      <c r="TDJ230" s="36"/>
      <c r="TDK230" s="36"/>
      <c r="TDL230" s="36"/>
      <c r="TDM230" s="36"/>
      <c r="TDN230" s="36"/>
      <c r="TDO230" s="36"/>
      <c r="TDP230" s="36"/>
      <c r="TDQ230" s="36"/>
      <c r="TDR230" s="36"/>
      <c r="TDS230" s="36"/>
      <c r="TDT230" s="36"/>
      <c r="TDU230" s="36"/>
      <c r="TDV230" s="36"/>
      <c r="TDW230" s="36"/>
      <c r="TDX230" s="36"/>
      <c r="TDY230" s="36"/>
      <c r="TDZ230" s="36"/>
      <c r="TEA230" s="36"/>
      <c r="TEB230" s="36"/>
      <c r="TEC230" s="36"/>
      <c r="TED230" s="36"/>
      <c r="TEE230" s="36"/>
      <c r="TEF230" s="36"/>
      <c r="TEG230" s="36"/>
      <c r="TEH230" s="36"/>
      <c r="TEI230" s="36"/>
      <c r="TEJ230" s="36"/>
      <c r="TEK230" s="36"/>
      <c r="TEL230" s="36"/>
      <c r="TEM230" s="36"/>
      <c r="TEN230" s="36"/>
      <c r="TEO230" s="36"/>
      <c r="TEP230" s="36"/>
      <c r="TEQ230" s="36"/>
      <c r="TER230" s="36"/>
      <c r="TES230" s="36"/>
      <c r="TET230" s="36"/>
      <c r="TEU230" s="36"/>
      <c r="TEV230" s="36"/>
      <c r="TEW230" s="36"/>
      <c r="TEX230" s="36"/>
      <c r="TEY230" s="36"/>
      <c r="TEZ230" s="36"/>
      <c r="TFA230" s="36"/>
      <c r="TFB230" s="36"/>
      <c r="TFC230" s="36"/>
      <c r="TFD230" s="36"/>
      <c r="TFE230" s="36"/>
      <c r="TFF230" s="36"/>
      <c r="TFG230" s="36"/>
      <c r="TFH230" s="36"/>
      <c r="TFI230" s="36"/>
      <c r="TFJ230" s="36"/>
      <c r="TFK230" s="36"/>
      <c r="TFL230" s="36"/>
      <c r="TFM230" s="36"/>
      <c r="TFN230" s="36"/>
      <c r="TFO230" s="36"/>
      <c r="TFP230" s="36"/>
      <c r="TFQ230" s="36"/>
      <c r="TFR230" s="36"/>
      <c r="TFS230" s="36"/>
      <c r="TFT230" s="36"/>
      <c r="TFU230" s="36"/>
      <c r="TFV230" s="36"/>
      <c r="TFW230" s="36"/>
      <c r="TFX230" s="36"/>
      <c r="TFY230" s="36"/>
      <c r="TFZ230" s="36"/>
      <c r="TGA230" s="36"/>
      <c r="TGB230" s="36"/>
      <c r="TGC230" s="36"/>
      <c r="TGD230" s="36"/>
      <c r="TGE230" s="36"/>
      <c r="TGF230" s="36"/>
      <c r="TGG230" s="36"/>
      <c r="TGH230" s="36"/>
      <c r="TGI230" s="36"/>
      <c r="TGJ230" s="36"/>
      <c r="TGK230" s="36"/>
      <c r="TGL230" s="36"/>
      <c r="TGM230" s="36"/>
      <c r="TGN230" s="36"/>
      <c r="TGO230" s="36"/>
      <c r="TGP230" s="36"/>
      <c r="TGQ230" s="36"/>
      <c r="TGR230" s="36"/>
      <c r="TGS230" s="36"/>
      <c r="TGT230" s="36"/>
      <c r="TGU230" s="36"/>
      <c r="TGV230" s="36"/>
      <c r="TGW230" s="36"/>
      <c r="TGX230" s="36"/>
      <c r="TGY230" s="36"/>
      <c r="TGZ230" s="36"/>
      <c r="THA230" s="36"/>
      <c r="THB230" s="36"/>
      <c r="THC230" s="36"/>
      <c r="THD230" s="36"/>
      <c r="THE230" s="36"/>
      <c r="THF230" s="36"/>
      <c r="THG230" s="36"/>
      <c r="THH230" s="36"/>
      <c r="THI230" s="36"/>
      <c r="THJ230" s="36"/>
      <c r="THK230" s="36"/>
      <c r="THL230" s="36"/>
      <c r="THM230" s="36"/>
      <c r="THN230" s="36"/>
      <c r="THO230" s="36"/>
      <c r="THP230" s="36"/>
      <c r="THQ230" s="36"/>
      <c r="THR230" s="36"/>
      <c r="THS230" s="36"/>
      <c r="THT230" s="36"/>
      <c r="THU230" s="36"/>
      <c r="THV230" s="36"/>
      <c r="THW230" s="36"/>
      <c r="THX230" s="36"/>
      <c r="THY230" s="36"/>
      <c r="THZ230" s="36"/>
      <c r="TIA230" s="36"/>
      <c r="TIB230" s="36"/>
      <c r="TIC230" s="36"/>
      <c r="TID230" s="36"/>
      <c r="TIE230" s="36"/>
      <c r="TIF230" s="36"/>
      <c r="TIG230" s="36"/>
      <c r="TIH230" s="36"/>
      <c r="TII230" s="36"/>
      <c r="TIJ230" s="36"/>
      <c r="TIK230" s="36"/>
      <c r="TIL230" s="36"/>
      <c r="TIM230" s="36"/>
      <c r="TIN230" s="36"/>
      <c r="TIO230" s="36"/>
      <c r="TIP230" s="36"/>
      <c r="TIQ230" s="36"/>
      <c r="TIR230" s="36"/>
      <c r="TIS230" s="36"/>
      <c r="TIT230" s="36"/>
      <c r="TIU230" s="36"/>
      <c r="TIV230" s="36"/>
      <c r="TIW230" s="36"/>
      <c r="TIX230" s="36"/>
      <c r="TIY230" s="36"/>
      <c r="TIZ230" s="36"/>
      <c r="TJA230" s="36"/>
      <c r="TJB230" s="36"/>
      <c r="TJC230" s="36"/>
      <c r="TJD230" s="36"/>
      <c r="TJE230" s="36"/>
      <c r="TJF230" s="36"/>
      <c r="TJG230" s="36"/>
      <c r="TJH230" s="36"/>
      <c r="TJI230" s="36"/>
      <c r="TJJ230" s="36"/>
      <c r="TJK230" s="36"/>
      <c r="TJL230" s="36"/>
      <c r="TJM230" s="36"/>
      <c r="TJN230" s="36"/>
      <c r="TJO230" s="36"/>
      <c r="TJP230" s="36"/>
      <c r="TJQ230" s="36"/>
      <c r="TJR230" s="36"/>
      <c r="TJS230" s="36"/>
      <c r="TJT230" s="36"/>
      <c r="TJU230" s="36"/>
      <c r="TJV230" s="36"/>
      <c r="TJW230" s="36"/>
      <c r="TJX230" s="36"/>
      <c r="TJY230" s="36"/>
      <c r="TJZ230" s="36"/>
      <c r="TKA230" s="36"/>
      <c r="TKB230" s="36"/>
      <c r="TKC230" s="36"/>
      <c r="TKD230" s="36"/>
      <c r="TKE230" s="36"/>
      <c r="TKF230" s="36"/>
      <c r="TKG230" s="36"/>
      <c r="TKH230" s="36"/>
      <c r="TKI230" s="36"/>
      <c r="TKJ230" s="36"/>
      <c r="TKK230" s="36"/>
      <c r="TKL230" s="36"/>
      <c r="TKM230" s="36"/>
      <c r="TKN230" s="36"/>
      <c r="TKO230" s="36"/>
      <c r="TKP230" s="36"/>
      <c r="TKQ230" s="36"/>
      <c r="TKR230" s="36"/>
      <c r="TKS230" s="36"/>
      <c r="TKT230" s="36"/>
      <c r="TKU230" s="36"/>
      <c r="TKV230" s="36"/>
      <c r="TKW230" s="36"/>
      <c r="TKX230" s="36"/>
      <c r="TKY230" s="36"/>
      <c r="TKZ230" s="36"/>
      <c r="TLA230" s="36"/>
      <c r="TLB230" s="36"/>
      <c r="TLC230" s="36"/>
      <c r="TLD230" s="36"/>
      <c r="TLE230" s="36"/>
      <c r="TLF230" s="36"/>
      <c r="TLG230" s="36"/>
      <c r="TLH230" s="36"/>
      <c r="TLI230" s="36"/>
      <c r="TLJ230" s="36"/>
      <c r="TLK230" s="36"/>
      <c r="TLL230" s="36"/>
      <c r="TLM230" s="36"/>
      <c r="TLN230" s="36"/>
      <c r="TLO230" s="36"/>
      <c r="TLP230" s="36"/>
      <c r="TLQ230" s="36"/>
      <c r="TLR230" s="36"/>
      <c r="TLS230" s="36"/>
      <c r="TLT230" s="36"/>
      <c r="TLU230" s="36"/>
      <c r="TLV230" s="36"/>
      <c r="TLW230" s="36"/>
      <c r="TLX230" s="36"/>
      <c r="TLY230" s="36"/>
      <c r="TLZ230" s="36"/>
      <c r="TMA230" s="36"/>
      <c r="TMB230" s="36"/>
      <c r="TMC230" s="36"/>
      <c r="TMD230" s="36"/>
      <c r="TME230" s="36"/>
      <c r="TMF230" s="36"/>
      <c r="TMG230" s="36"/>
      <c r="TMH230" s="36"/>
      <c r="TMI230" s="36"/>
      <c r="TMJ230" s="36"/>
      <c r="TMK230" s="36"/>
      <c r="TML230" s="36"/>
      <c r="TMM230" s="36"/>
      <c r="TMN230" s="36"/>
      <c r="TMO230" s="36"/>
      <c r="TMP230" s="36"/>
      <c r="TMQ230" s="36"/>
      <c r="TMR230" s="36"/>
      <c r="TMS230" s="36"/>
      <c r="TMT230" s="36"/>
      <c r="TMU230" s="36"/>
      <c r="TMV230" s="36"/>
      <c r="TMW230" s="36"/>
      <c r="TMX230" s="36"/>
      <c r="TMY230" s="36"/>
      <c r="TMZ230" s="36"/>
      <c r="TNA230" s="36"/>
      <c r="TNB230" s="36"/>
      <c r="TNC230" s="36"/>
      <c r="TND230" s="36"/>
      <c r="TNE230" s="36"/>
      <c r="TNF230" s="36"/>
      <c r="TNG230" s="36"/>
      <c r="TNH230" s="36"/>
      <c r="TNI230" s="36"/>
      <c r="TNJ230" s="36"/>
      <c r="TNK230" s="36"/>
      <c r="TNL230" s="36"/>
      <c r="TNM230" s="36"/>
      <c r="TNN230" s="36"/>
      <c r="TNO230" s="36"/>
      <c r="TNP230" s="36"/>
      <c r="TNQ230" s="36"/>
      <c r="TNR230" s="36"/>
      <c r="TNS230" s="36"/>
      <c r="TNT230" s="36"/>
      <c r="TNU230" s="36"/>
      <c r="TNV230" s="36"/>
      <c r="TNW230" s="36"/>
      <c r="TNX230" s="36"/>
      <c r="TNY230" s="36"/>
      <c r="TNZ230" s="36"/>
      <c r="TOA230" s="36"/>
      <c r="TOB230" s="36"/>
      <c r="TOC230" s="36"/>
      <c r="TOD230" s="36"/>
      <c r="TOE230" s="36"/>
      <c r="TOF230" s="36"/>
      <c r="TOG230" s="36"/>
      <c r="TOH230" s="36"/>
      <c r="TOI230" s="36"/>
      <c r="TOJ230" s="36"/>
      <c r="TOK230" s="36"/>
      <c r="TOL230" s="36"/>
      <c r="TOM230" s="36"/>
      <c r="TON230" s="36"/>
      <c r="TOO230" s="36"/>
      <c r="TOP230" s="36"/>
      <c r="TOQ230" s="36"/>
      <c r="TOR230" s="36"/>
      <c r="TOS230" s="36"/>
      <c r="TOT230" s="36"/>
      <c r="TOU230" s="36"/>
      <c r="TOV230" s="36"/>
      <c r="TOW230" s="36"/>
      <c r="TOX230" s="36"/>
      <c r="TOY230" s="36"/>
      <c r="TOZ230" s="36"/>
      <c r="TPA230" s="36"/>
      <c r="TPB230" s="36"/>
      <c r="TPC230" s="36"/>
      <c r="TPD230" s="36"/>
      <c r="TPE230" s="36"/>
      <c r="TPF230" s="36"/>
      <c r="TPG230" s="36"/>
      <c r="TPH230" s="36"/>
      <c r="TPI230" s="36"/>
      <c r="TPJ230" s="36"/>
      <c r="TPK230" s="36"/>
      <c r="TPL230" s="36"/>
      <c r="TPM230" s="36"/>
      <c r="TPN230" s="36"/>
      <c r="TPO230" s="36"/>
      <c r="TPP230" s="36"/>
      <c r="TPQ230" s="36"/>
      <c r="TPR230" s="36"/>
      <c r="TPS230" s="36"/>
      <c r="TPT230" s="36"/>
      <c r="TPU230" s="36"/>
      <c r="TPV230" s="36"/>
      <c r="TPW230" s="36"/>
      <c r="TPX230" s="36"/>
      <c r="TPY230" s="36"/>
      <c r="TPZ230" s="36"/>
      <c r="TQA230" s="36"/>
      <c r="TQB230" s="36"/>
      <c r="TQC230" s="36"/>
      <c r="TQD230" s="36"/>
      <c r="TQE230" s="36"/>
      <c r="TQF230" s="36"/>
      <c r="TQG230" s="36"/>
      <c r="TQH230" s="36"/>
      <c r="TQI230" s="36"/>
      <c r="TQJ230" s="36"/>
      <c r="TQK230" s="36"/>
      <c r="TQL230" s="36"/>
      <c r="TQM230" s="36"/>
      <c r="TQN230" s="36"/>
      <c r="TQO230" s="36"/>
      <c r="TQP230" s="36"/>
      <c r="TQQ230" s="36"/>
      <c r="TQR230" s="36"/>
      <c r="TQS230" s="36"/>
      <c r="TQT230" s="36"/>
      <c r="TQU230" s="36"/>
      <c r="TQV230" s="36"/>
      <c r="TQW230" s="36"/>
      <c r="TQX230" s="36"/>
      <c r="TQY230" s="36"/>
      <c r="TQZ230" s="36"/>
      <c r="TRA230" s="36"/>
      <c r="TRB230" s="36"/>
      <c r="TRC230" s="36"/>
      <c r="TRD230" s="36"/>
      <c r="TRE230" s="36"/>
      <c r="TRF230" s="36"/>
      <c r="TRG230" s="36"/>
      <c r="TRH230" s="36"/>
      <c r="TRI230" s="36"/>
      <c r="TRJ230" s="36"/>
      <c r="TRK230" s="36"/>
      <c r="TRL230" s="36"/>
      <c r="TRM230" s="36"/>
      <c r="TRN230" s="36"/>
      <c r="TRO230" s="36"/>
      <c r="TRP230" s="36"/>
      <c r="TRQ230" s="36"/>
      <c r="TRR230" s="36"/>
      <c r="TRS230" s="36"/>
      <c r="TRT230" s="36"/>
      <c r="TRU230" s="36"/>
      <c r="TRV230" s="36"/>
      <c r="TRW230" s="36"/>
      <c r="TRX230" s="36"/>
      <c r="TRY230" s="36"/>
      <c r="TRZ230" s="36"/>
      <c r="TSA230" s="36"/>
      <c r="TSB230" s="36"/>
      <c r="TSC230" s="36"/>
      <c r="TSD230" s="36"/>
      <c r="TSE230" s="36"/>
      <c r="TSF230" s="36"/>
      <c r="TSG230" s="36"/>
      <c r="TSH230" s="36"/>
      <c r="TSI230" s="36"/>
      <c r="TSJ230" s="36"/>
      <c r="TSK230" s="36"/>
      <c r="TSL230" s="36"/>
      <c r="TSM230" s="36"/>
      <c r="TSN230" s="36"/>
      <c r="TSO230" s="36"/>
      <c r="TSP230" s="36"/>
      <c r="TSQ230" s="36"/>
      <c r="TSR230" s="36"/>
      <c r="TSS230" s="36"/>
      <c r="TST230" s="36"/>
      <c r="TSU230" s="36"/>
      <c r="TSV230" s="36"/>
      <c r="TSW230" s="36"/>
      <c r="TSX230" s="36"/>
      <c r="TSY230" s="36"/>
      <c r="TSZ230" s="36"/>
      <c r="TTA230" s="36"/>
      <c r="TTB230" s="36"/>
      <c r="TTC230" s="36"/>
      <c r="TTD230" s="36"/>
      <c r="TTE230" s="36"/>
      <c r="TTF230" s="36"/>
      <c r="TTG230" s="36"/>
      <c r="TTH230" s="36"/>
      <c r="TTI230" s="36"/>
      <c r="TTJ230" s="36"/>
      <c r="TTK230" s="36"/>
      <c r="TTL230" s="36"/>
      <c r="TTM230" s="36"/>
      <c r="TTN230" s="36"/>
      <c r="TTO230" s="36"/>
      <c r="TTP230" s="36"/>
      <c r="TTQ230" s="36"/>
      <c r="TTR230" s="36"/>
      <c r="TTS230" s="36"/>
      <c r="TTT230" s="36"/>
      <c r="TTU230" s="36"/>
      <c r="TTV230" s="36"/>
      <c r="TTW230" s="36"/>
      <c r="TTX230" s="36"/>
      <c r="TTY230" s="36"/>
      <c r="TTZ230" s="36"/>
      <c r="TUA230" s="36"/>
      <c r="TUB230" s="36"/>
      <c r="TUC230" s="36"/>
      <c r="TUD230" s="36"/>
      <c r="TUE230" s="36"/>
      <c r="TUF230" s="36"/>
      <c r="TUG230" s="36"/>
      <c r="TUH230" s="36"/>
      <c r="TUI230" s="36"/>
      <c r="TUJ230" s="36"/>
      <c r="TUK230" s="36"/>
      <c r="TUL230" s="36"/>
      <c r="TUM230" s="36"/>
      <c r="TUN230" s="36"/>
      <c r="TUO230" s="36"/>
      <c r="TUP230" s="36"/>
      <c r="TUQ230" s="36"/>
      <c r="TUR230" s="36"/>
      <c r="TUS230" s="36"/>
      <c r="TUT230" s="36"/>
      <c r="TUU230" s="36"/>
      <c r="TUV230" s="36"/>
      <c r="TUW230" s="36"/>
      <c r="TUX230" s="36"/>
      <c r="TUY230" s="36"/>
      <c r="TUZ230" s="36"/>
      <c r="TVA230" s="36"/>
      <c r="TVB230" s="36"/>
      <c r="TVC230" s="36"/>
      <c r="TVD230" s="36"/>
      <c r="TVE230" s="36"/>
      <c r="TVF230" s="36"/>
      <c r="TVG230" s="36"/>
      <c r="TVH230" s="36"/>
      <c r="TVI230" s="36"/>
      <c r="TVJ230" s="36"/>
      <c r="TVK230" s="36"/>
      <c r="TVL230" s="36"/>
      <c r="TVM230" s="36"/>
      <c r="TVN230" s="36"/>
      <c r="TVO230" s="36"/>
      <c r="TVP230" s="36"/>
      <c r="TVQ230" s="36"/>
      <c r="TVR230" s="36"/>
      <c r="TVS230" s="36"/>
      <c r="TVT230" s="36"/>
      <c r="TVU230" s="36"/>
      <c r="TVV230" s="36"/>
      <c r="TVW230" s="36"/>
      <c r="TVX230" s="36"/>
      <c r="TVY230" s="36"/>
      <c r="TVZ230" s="36"/>
      <c r="TWA230" s="36"/>
      <c r="TWB230" s="36"/>
      <c r="TWC230" s="36"/>
      <c r="TWD230" s="36"/>
      <c r="TWE230" s="36"/>
      <c r="TWF230" s="36"/>
      <c r="TWG230" s="36"/>
      <c r="TWH230" s="36"/>
      <c r="TWI230" s="36"/>
      <c r="TWJ230" s="36"/>
      <c r="TWK230" s="36"/>
      <c r="TWL230" s="36"/>
      <c r="TWM230" s="36"/>
      <c r="TWN230" s="36"/>
      <c r="TWO230" s="36"/>
      <c r="TWP230" s="36"/>
      <c r="TWQ230" s="36"/>
      <c r="TWR230" s="36"/>
      <c r="TWS230" s="36"/>
      <c r="TWT230" s="36"/>
      <c r="TWU230" s="36"/>
      <c r="TWV230" s="36"/>
      <c r="TWW230" s="36"/>
      <c r="TWX230" s="36"/>
      <c r="TWY230" s="36"/>
      <c r="TWZ230" s="36"/>
      <c r="TXA230" s="36"/>
      <c r="TXB230" s="36"/>
      <c r="TXC230" s="36"/>
      <c r="TXD230" s="36"/>
      <c r="TXE230" s="36"/>
      <c r="TXF230" s="36"/>
      <c r="TXG230" s="36"/>
      <c r="TXH230" s="36"/>
      <c r="TXI230" s="36"/>
      <c r="TXJ230" s="36"/>
      <c r="TXK230" s="36"/>
      <c r="TXL230" s="36"/>
      <c r="TXM230" s="36"/>
      <c r="TXN230" s="36"/>
      <c r="TXO230" s="36"/>
      <c r="TXP230" s="36"/>
      <c r="TXQ230" s="36"/>
      <c r="TXR230" s="36"/>
      <c r="TXS230" s="36"/>
      <c r="TXT230" s="36"/>
      <c r="TXU230" s="36"/>
      <c r="TXV230" s="36"/>
      <c r="TXW230" s="36"/>
      <c r="TXX230" s="36"/>
      <c r="TXY230" s="36"/>
      <c r="TXZ230" s="36"/>
      <c r="TYA230" s="36"/>
      <c r="TYB230" s="36"/>
      <c r="TYC230" s="36"/>
      <c r="TYD230" s="36"/>
      <c r="TYE230" s="36"/>
      <c r="TYF230" s="36"/>
      <c r="TYG230" s="36"/>
      <c r="TYH230" s="36"/>
      <c r="TYI230" s="36"/>
      <c r="TYJ230" s="36"/>
      <c r="TYK230" s="36"/>
      <c r="TYL230" s="36"/>
      <c r="TYM230" s="36"/>
      <c r="TYN230" s="36"/>
      <c r="TYO230" s="36"/>
      <c r="TYP230" s="36"/>
      <c r="TYQ230" s="36"/>
      <c r="TYR230" s="36"/>
      <c r="TYS230" s="36"/>
      <c r="TYT230" s="36"/>
      <c r="TYU230" s="36"/>
      <c r="TYV230" s="36"/>
      <c r="TYW230" s="36"/>
      <c r="TYX230" s="36"/>
      <c r="TYY230" s="36"/>
      <c r="TYZ230" s="36"/>
      <c r="TZA230" s="36"/>
      <c r="TZB230" s="36"/>
      <c r="TZC230" s="36"/>
      <c r="TZD230" s="36"/>
      <c r="TZE230" s="36"/>
      <c r="TZF230" s="36"/>
      <c r="TZG230" s="36"/>
      <c r="TZH230" s="36"/>
      <c r="TZI230" s="36"/>
      <c r="TZJ230" s="36"/>
      <c r="TZK230" s="36"/>
      <c r="TZL230" s="36"/>
      <c r="TZM230" s="36"/>
      <c r="TZN230" s="36"/>
      <c r="TZO230" s="36"/>
      <c r="TZP230" s="36"/>
      <c r="TZQ230" s="36"/>
      <c r="TZR230" s="36"/>
      <c r="TZS230" s="36"/>
      <c r="TZT230" s="36"/>
      <c r="TZU230" s="36"/>
      <c r="TZV230" s="36"/>
      <c r="TZW230" s="36"/>
      <c r="TZX230" s="36"/>
      <c r="TZY230" s="36"/>
      <c r="TZZ230" s="36"/>
      <c r="UAA230" s="36"/>
      <c r="UAB230" s="36"/>
      <c r="UAC230" s="36"/>
      <c r="UAD230" s="36"/>
      <c r="UAE230" s="36"/>
      <c r="UAF230" s="36"/>
      <c r="UAG230" s="36"/>
      <c r="UAH230" s="36"/>
      <c r="UAI230" s="36"/>
      <c r="UAJ230" s="36"/>
      <c r="UAK230" s="36"/>
      <c r="UAL230" s="36"/>
      <c r="UAM230" s="36"/>
      <c r="UAN230" s="36"/>
      <c r="UAO230" s="36"/>
      <c r="UAP230" s="36"/>
      <c r="UAQ230" s="36"/>
      <c r="UAR230" s="36"/>
      <c r="UAS230" s="36"/>
      <c r="UAT230" s="36"/>
      <c r="UAU230" s="36"/>
      <c r="UAV230" s="36"/>
      <c r="UAW230" s="36"/>
      <c r="UAX230" s="36"/>
      <c r="UAY230" s="36"/>
      <c r="UAZ230" s="36"/>
      <c r="UBA230" s="36"/>
      <c r="UBB230" s="36"/>
      <c r="UBC230" s="36"/>
      <c r="UBD230" s="36"/>
      <c r="UBE230" s="36"/>
      <c r="UBF230" s="36"/>
      <c r="UBG230" s="36"/>
      <c r="UBH230" s="36"/>
      <c r="UBI230" s="36"/>
      <c r="UBJ230" s="36"/>
      <c r="UBK230" s="36"/>
      <c r="UBL230" s="36"/>
      <c r="UBM230" s="36"/>
      <c r="UBN230" s="36"/>
      <c r="UBO230" s="36"/>
      <c r="UBP230" s="36"/>
      <c r="UBQ230" s="36"/>
      <c r="UBR230" s="36"/>
      <c r="UBS230" s="36"/>
      <c r="UBT230" s="36"/>
      <c r="UBU230" s="36"/>
      <c r="UBV230" s="36"/>
      <c r="UBW230" s="36"/>
      <c r="UBX230" s="36"/>
      <c r="UBY230" s="36"/>
      <c r="UBZ230" s="36"/>
      <c r="UCA230" s="36"/>
      <c r="UCB230" s="36"/>
      <c r="UCC230" s="36"/>
      <c r="UCD230" s="36"/>
      <c r="UCE230" s="36"/>
      <c r="UCF230" s="36"/>
      <c r="UCG230" s="36"/>
      <c r="UCH230" s="36"/>
      <c r="UCI230" s="36"/>
      <c r="UCJ230" s="36"/>
      <c r="UCK230" s="36"/>
      <c r="UCL230" s="36"/>
      <c r="UCM230" s="36"/>
      <c r="UCN230" s="36"/>
      <c r="UCO230" s="36"/>
      <c r="UCP230" s="36"/>
      <c r="UCQ230" s="36"/>
      <c r="UCR230" s="36"/>
      <c r="UCS230" s="36"/>
      <c r="UCT230" s="36"/>
      <c r="UCU230" s="36"/>
      <c r="UCV230" s="36"/>
      <c r="UCW230" s="36"/>
      <c r="UCX230" s="36"/>
      <c r="UCY230" s="36"/>
      <c r="UCZ230" s="36"/>
      <c r="UDA230" s="36"/>
      <c r="UDB230" s="36"/>
      <c r="UDC230" s="36"/>
      <c r="UDD230" s="36"/>
      <c r="UDE230" s="36"/>
      <c r="UDF230" s="36"/>
      <c r="UDG230" s="36"/>
      <c r="UDH230" s="36"/>
      <c r="UDI230" s="36"/>
      <c r="UDJ230" s="36"/>
      <c r="UDK230" s="36"/>
      <c r="UDL230" s="36"/>
      <c r="UDM230" s="36"/>
      <c r="UDN230" s="36"/>
      <c r="UDO230" s="36"/>
      <c r="UDP230" s="36"/>
      <c r="UDQ230" s="36"/>
      <c r="UDR230" s="36"/>
      <c r="UDS230" s="36"/>
      <c r="UDT230" s="36"/>
      <c r="UDU230" s="36"/>
      <c r="UDV230" s="36"/>
      <c r="UDW230" s="36"/>
      <c r="UDX230" s="36"/>
      <c r="UDY230" s="36"/>
      <c r="UDZ230" s="36"/>
      <c r="UEA230" s="36"/>
      <c r="UEB230" s="36"/>
      <c r="UEC230" s="36"/>
      <c r="UED230" s="36"/>
      <c r="UEE230" s="36"/>
      <c r="UEF230" s="36"/>
      <c r="UEG230" s="36"/>
      <c r="UEH230" s="36"/>
      <c r="UEI230" s="36"/>
      <c r="UEJ230" s="36"/>
      <c r="UEK230" s="36"/>
      <c r="UEL230" s="36"/>
      <c r="UEM230" s="36"/>
      <c r="UEN230" s="36"/>
      <c r="UEO230" s="36"/>
      <c r="UEP230" s="36"/>
      <c r="UEQ230" s="36"/>
      <c r="UER230" s="36"/>
      <c r="UES230" s="36"/>
      <c r="UET230" s="36"/>
      <c r="UEU230" s="36"/>
      <c r="UEV230" s="36"/>
      <c r="UEW230" s="36"/>
      <c r="UEX230" s="36"/>
      <c r="UEY230" s="36"/>
      <c r="UEZ230" s="36"/>
      <c r="UFA230" s="36"/>
      <c r="UFB230" s="36"/>
      <c r="UFC230" s="36"/>
      <c r="UFD230" s="36"/>
      <c r="UFE230" s="36"/>
      <c r="UFF230" s="36"/>
      <c r="UFG230" s="36"/>
      <c r="UFH230" s="36"/>
      <c r="UFI230" s="36"/>
      <c r="UFJ230" s="36"/>
      <c r="UFK230" s="36"/>
      <c r="UFL230" s="36"/>
      <c r="UFM230" s="36"/>
      <c r="UFN230" s="36"/>
      <c r="UFO230" s="36"/>
      <c r="UFP230" s="36"/>
      <c r="UFQ230" s="36"/>
      <c r="UFR230" s="36"/>
      <c r="UFS230" s="36"/>
      <c r="UFT230" s="36"/>
      <c r="UFU230" s="36"/>
      <c r="UFV230" s="36"/>
      <c r="UFW230" s="36"/>
      <c r="UFX230" s="36"/>
      <c r="UFY230" s="36"/>
      <c r="UFZ230" s="36"/>
      <c r="UGA230" s="36"/>
      <c r="UGB230" s="36"/>
      <c r="UGC230" s="36"/>
      <c r="UGD230" s="36"/>
      <c r="UGE230" s="36"/>
      <c r="UGF230" s="36"/>
      <c r="UGG230" s="36"/>
      <c r="UGH230" s="36"/>
      <c r="UGI230" s="36"/>
      <c r="UGJ230" s="36"/>
      <c r="UGK230" s="36"/>
      <c r="UGL230" s="36"/>
      <c r="UGM230" s="36"/>
      <c r="UGN230" s="36"/>
      <c r="UGO230" s="36"/>
      <c r="UGP230" s="36"/>
      <c r="UGQ230" s="36"/>
      <c r="UGR230" s="36"/>
      <c r="UGS230" s="36"/>
      <c r="UGT230" s="36"/>
      <c r="UGU230" s="36"/>
      <c r="UGV230" s="36"/>
      <c r="UGW230" s="36"/>
      <c r="UGX230" s="36"/>
      <c r="UGY230" s="36"/>
      <c r="UGZ230" s="36"/>
      <c r="UHA230" s="36"/>
      <c r="UHB230" s="36"/>
      <c r="UHC230" s="36"/>
      <c r="UHD230" s="36"/>
      <c r="UHE230" s="36"/>
      <c r="UHF230" s="36"/>
      <c r="UHG230" s="36"/>
      <c r="UHH230" s="36"/>
      <c r="UHI230" s="36"/>
      <c r="UHJ230" s="36"/>
      <c r="UHK230" s="36"/>
      <c r="UHL230" s="36"/>
      <c r="UHM230" s="36"/>
      <c r="UHN230" s="36"/>
      <c r="UHO230" s="36"/>
      <c r="UHP230" s="36"/>
      <c r="UHQ230" s="36"/>
      <c r="UHR230" s="36"/>
      <c r="UHS230" s="36"/>
      <c r="UHT230" s="36"/>
      <c r="UHU230" s="36"/>
      <c r="UHV230" s="36"/>
      <c r="UHW230" s="36"/>
      <c r="UHX230" s="36"/>
      <c r="UHY230" s="36"/>
      <c r="UHZ230" s="36"/>
      <c r="UIA230" s="36"/>
      <c r="UIB230" s="36"/>
      <c r="UIC230" s="36"/>
      <c r="UID230" s="36"/>
      <c r="UIE230" s="36"/>
      <c r="UIF230" s="36"/>
      <c r="UIG230" s="36"/>
      <c r="UIH230" s="36"/>
      <c r="UII230" s="36"/>
      <c r="UIJ230" s="36"/>
      <c r="UIK230" s="36"/>
      <c r="UIL230" s="36"/>
      <c r="UIM230" s="36"/>
      <c r="UIN230" s="36"/>
      <c r="UIO230" s="36"/>
      <c r="UIP230" s="36"/>
      <c r="UIQ230" s="36"/>
      <c r="UIR230" s="36"/>
      <c r="UIS230" s="36"/>
      <c r="UIT230" s="36"/>
      <c r="UIU230" s="36"/>
      <c r="UIV230" s="36"/>
      <c r="UIW230" s="36"/>
      <c r="UIX230" s="36"/>
      <c r="UIY230" s="36"/>
      <c r="UIZ230" s="36"/>
      <c r="UJA230" s="36"/>
      <c r="UJB230" s="36"/>
      <c r="UJC230" s="36"/>
      <c r="UJD230" s="36"/>
      <c r="UJE230" s="36"/>
      <c r="UJF230" s="36"/>
      <c r="UJG230" s="36"/>
      <c r="UJH230" s="36"/>
      <c r="UJI230" s="36"/>
      <c r="UJJ230" s="36"/>
      <c r="UJK230" s="36"/>
      <c r="UJL230" s="36"/>
      <c r="UJM230" s="36"/>
      <c r="UJN230" s="36"/>
      <c r="UJO230" s="36"/>
      <c r="UJP230" s="36"/>
      <c r="UJQ230" s="36"/>
      <c r="UJR230" s="36"/>
      <c r="UJS230" s="36"/>
      <c r="UJT230" s="36"/>
      <c r="UJU230" s="36"/>
      <c r="UJV230" s="36"/>
      <c r="UJW230" s="36"/>
      <c r="UJX230" s="36"/>
      <c r="UJY230" s="36"/>
      <c r="UJZ230" s="36"/>
      <c r="UKA230" s="36"/>
      <c r="UKB230" s="36"/>
      <c r="UKC230" s="36"/>
      <c r="UKD230" s="36"/>
      <c r="UKE230" s="36"/>
      <c r="UKF230" s="36"/>
      <c r="UKG230" s="36"/>
      <c r="UKH230" s="36"/>
      <c r="UKI230" s="36"/>
      <c r="UKJ230" s="36"/>
      <c r="UKK230" s="36"/>
      <c r="UKL230" s="36"/>
      <c r="UKM230" s="36"/>
      <c r="UKN230" s="36"/>
      <c r="UKO230" s="36"/>
      <c r="UKP230" s="36"/>
      <c r="UKQ230" s="36"/>
      <c r="UKR230" s="36"/>
      <c r="UKS230" s="36"/>
      <c r="UKT230" s="36"/>
      <c r="UKU230" s="36"/>
      <c r="UKV230" s="36"/>
      <c r="UKW230" s="36"/>
      <c r="UKX230" s="36"/>
      <c r="UKY230" s="36"/>
      <c r="UKZ230" s="36"/>
      <c r="ULA230" s="36"/>
      <c r="ULB230" s="36"/>
      <c r="ULC230" s="36"/>
      <c r="ULD230" s="36"/>
      <c r="ULE230" s="36"/>
      <c r="ULF230" s="36"/>
      <c r="ULG230" s="36"/>
      <c r="ULH230" s="36"/>
      <c r="ULI230" s="36"/>
      <c r="ULJ230" s="36"/>
      <c r="ULK230" s="36"/>
      <c r="ULL230" s="36"/>
      <c r="ULM230" s="36"/>
      <c r="ULN230" s="36"/>
      <c r="ULO230" s="36"/>
      <c r="ULP230" s="36"/>
      <c r="ULQ230" s="36"/>
      <c r="ULR230" s="36"/>
      <c r="ULS230" s="36"/>
      <c r="ULT230" s="36"/>
      <c r="ULU230" s="36"/>
      <c r="ULV230" s="36"/>
      <c r="ULW230" s="36"/>
      <c r="ULX230" s="36"/>
      <c r="ULY230" s="36"/>
      <c r="ULZ230" s="36"/>
      <c r="UMA230" s="36"/>
      <c r="UMB230" s="36"/>
      <c r="UMC230" s="36"/>
      <c r="UMD230" s="36"/>
      <c r="UME230" s="36"/>
      <c r="UMF230" s="36"/>
      <c r="UMG230" s="36"/>
      <c r="UMH230" s="36"/>
      <c r="UMI230" s="36"/>
      <c r="UMJ230" s="36"/>
      <c r="UMK230" s="36"/>
      <c r="UML230" s="36"/>
      <c r="UMM230" s="36"/>
      <c r="UMN230" s="36"/>
      <c r="UMO230" s="36"/>
      <c r="UMP230" s="36"/>
      <c r="UMQ230" s="36"/>
      <c r="UMR230" s="36"/>
      <c r="UMS230" s="36"/>
      <c r="UMT230" s="36"/>
      <c r="UMU230" s="36"/>
      <c r="UMV230" s="36"/>
      <c r="UMW230" s="36"/>
      <c r="UMX230" s="36"/>
      <c r="UMY230" s="36"/>
      <c r="UMZ230" s="36"/>
      <c r="UNA230" s="36"/>
      <c r="UNB230" s="36"/>
      <c r="UNC230" s="36"/>
      <c r="UND230" s="36"/>
      <c r="UNE230" s="36"/>
      <c r="UNF230" s="36"/>
      <c r="UNG230" s="36"/>
      <c r="UNH230" s="36"/>
      <c r="UNI230" s="36"/>
      <c r="UNJ230" s="36"/>
      <c r="UNK230" s="36"/>
      <c r="UNL230" s="36"/>
      <c r="UNM230" s="36"/>
      <c r="UNN230" s="36"/>
      <c r="UNO230" s="36"/>
      <c r="UNP230" s="36"/>
      <c r="UNQ230" s="36"/>
      <c r="UNR230" s="36"/>
      <c r="UNS230" s="36"/>
      <c r="UNT230" s="36"/>
      <c r="UNU230" s="36"/>
      <c r="UNV230" s="36"/>
      <c r="UNW230" s="36"/>
      <c r="UNX230" s="36"/>
      <c r="UNY230" s="36"/>
      <c r="UNZ230" s="36"/>
      <c r="UOA230" s="36"/>
      <c r="UOB230" s="36"/>
      <c r="UOC230" s="36"/>
      <c r="UOD230" s="36"/>
      <c r="UOE230" s="36"/>
      <c r="UOF230" s="36"/>
      <c r="UOG230" s="36"/>
      <c r="UOH230" s="36"/>
      <c r="UOI230" s="36"/>
      <c r="UOJ230" s="36"/>
      <c r="UOK230" s="36"/>
      <c r="UOL230" s="36"/>
      <c r="UOM230" s="36"/>
      <c r="UON230" s="36"/>
      <c r="UOO230" s="36"/>
      <c r="UOP230" s="36"/>
      <c r="UOQ230" s="36"/>
      <c r="UOR230" s="36"/>
      <c r="UOS230" s="36"/>
      <c r="UOT230" s="36"/>
      <c r="UOU230" s="36"/>
      <c r="UOV230" s="36"/>
      <c r="UOW230" s="36"/>
      <c r="UOX230" s="36"/>
      <c r="UOY230" s="36"/>
      <c r="UOZ230" s="36"/>
      <c r="UPA230" s="36"/>
      <c r="UPB230" s="36"/>
      <c r="UPC230" s="36"/>
      <c r="UPD230" s="36"/>
      <c r="UPE230" s="36"/>
      <c r="UPF230" s="36"/>
      <c r="UPG230" s="36"/>
      <c r="UPH230" s="36"/>
      <c r="UPI230" s="36"/>
      <c r="UPJ230" s="36"/>
      <c r="UPK230" s="36"/>
      <c r="UPL230" s="36"/>
      <c r="UPM230" s="36"/>
      <c r="UPN230" s="36"/>
      <c r="UPO230" s="36"/>
      <c r="UPP230" s="36"/>
      <c r="UPQ230" s="36"/>
      <c r="UPR230" s="36"/>
      <c r="UPS230" s="36"/>
      <c r="UPT230" s="36"/>
      <c r="UPU230" s="36"/>
      <c r="UPV230" s="36"/>
      <c r="UPW230" s="36"/>
      <c r="UPX230" s="36"/>
      <c r="UPY230" s="36"/>
      <c r="UPZ230" s="36"/>
      <c r="UQA230" s="36"/>
      <c r="UQB230" s="36"/>
      <c r="UQC230" s="36"/>
      <c r="UQD230" s="36"/>
      <c r="UQE230" s="36"/>
      <c r="UQF230" s="36"/>
      <c r="UQG230" s="36"/>
      <c r="UQH230" s="36"/>
      <c r="UQI230" s="36"/>
      <c r="UQJ230" s="36"/>
      <c r="UQK230" s="36"/>
      <c r="UQL230" s="36"/>
      <c r="UQM230" s="36"/>
      <c r="UQN230" s="36"/>
      <c r="UQO230" s="36"/>
      <c r="UQP230" s="36"/>
      <c r="UQQ230" s="36"/>
      <c r="UQR230" s="36"/>
      <c r="UQS230" s="36"/>
      <c r="UQT230" s="36"/>
      <c r="UQU230" s="36"/>
      <c r="UQV230" s="36"/>
      <c r="UQW230" s="36"/>
      <c r="UQX230" s="36"/>
      <c r="UQY230" s="36"/>
      <c r="UQZ230" s="36"/>
      <c r="URA230" s="36"/>
      <c r="URB230" s="36"/>
      <c r="URC230" s="36"/>
      <c r="URD230" s="36"/>
      <c r="URE230" s="36"/>
      <c r="URF230" s="36"/>
      <c r="URG230" s="36"/>
      <c r="URH230" s="36"/>
      <c r="URI230" s="36"/>
      <c r="URJ230" s="36"/>
      <c r="URK230" s="36"/>
      <c r="URL230" s="36"/>
      <c r="URM230" s="36"/>
      <c r="URN230" s="36"/>
      <c r="URO230" s="36"/>
      <c r="URP230" s="36"/>
      <c r="URQ230" s="36"/>
      <c r="URR230" s="36"/>
      <c r="URS230" s="36"/>
      <c r="URT230" s="36"/>
      <c r="URU230" s="36"/>
      <c r="URV230" s="36"/>
      <c r="URW230" s="36"/>
      <c r="URX230" s="36"/>
      <c r="URY230" s="36"/>
      <c r="URZ230" s="36"/>
      <c r="USA230" s="36"/>
      <c r="USB230" s="36"/>
      <c r="USC230" s="36"/>
      <c r="USD230" s="36"/>
      <c r="USE230" s="36"/>
      <c r="USF230" s="36"/>
      <c r="USG230" s="36"/>
      <c r="USH230" s="36"/>
      <c r="USI230" s="36"/>
      <c r="USJ230" s="36"/>
      <c r="USK230" s="36"/>
      <c r="USL230" s="36"/>
      <c r="USM230" s="36"/>
      <c r="USN230" s="36"/>
      <c r="USO230" s="36"/>
      <c r="USP230" s="36"/>
      <c r="USQ230" s="36"/>
      <c r="USR230" s="36"/>
      <c r="USS230" s="36"/>
      <c r="UST230" s="36"/>
      <c r="USU230" s="36"/>
      <c r="USV230" s="36"/>
      <c r="USW230" s="36"/>
      <c r="USX230" s="36"/>
      <c r="USY230" s="36"/>
      <c r="USZ230" s="36"/>
      <c r="UTA230" s="36"/>
      <c r="UTB230" s="36"/>
      <c r="UTC230" s="36"/>
      <c r="UTD230" s="36"/>
      <c r="UTE230" s="36"/>
      <c r="UTF230" s="36"/>
      <c r="UTG230" s="36"/>
      <c r="UTH230" s="36"/>
      <c r="UTI230" s="36"/>
      <c r="UTJ230" s="36"/>
      <c r="UTK230" s="36"/>
      <c r="UTL230" s="36"/>
      <c r="UTM230" s="36"/>
      <c r="UTN230" s="36"/>
      <c r="UTO230" s="36"/>
      <c r="UTP230" s="36"/>
      <c r="UTQ230" s="36"/>
      <c r="UTR230" s="36"/>
      <c r="UTS230" s="36"/>
      <c r="UTT230" s="36"/>
      <c r="UTU230" s="36"/>
      <c r="UTV230" s="36"/>
      <c r="UTW230" s="36"/>
      <c r="UTX230" s="36"/>
      <c r="UTY230" s="36"/>
      <c r="UTZ230" s="36"/>
      <c r="UUA230" s="36"/>
      <c r="UUB230" s="36"/>
      <c r="UUC230" s="36"/>
      <c r="UUD230" s="36"/>
      <c r="UUE230" s="36"/>
      <c r="UUF230" s="36"/>
      <c r="UUG230" s="36"/>
      <c r="UUH230" s="36"/>
      <c r="UUI230" s="36"/>
      <c r="UUJ230" s="36"/>
      <c r="UUK230" s="36"/>
      <c r="UUL230" s="36"/>
      <c r="UUM230" s="36"/>
      <c r="UUN230" s="36"/>
      <c r="UUO230" s="36"/>
      <c r="UUP230" s="36"/>
      <c r="UUQ230" s="36"/>
      <c r="UUR230" s="36"/>
      <c r="UUS230" s="36"/>
      <c r="UUT230" s="36"/>
      <c r="UUU230" s="36"/>
      <c r="UUV230" s="36"/>
      <c r="UUW230" s="36"/>
      <c r="UUX230" s="36"/>
      <c r="UUY230" s="36"/>
      <c r="UUZ230" s="36"/>
      <c r="UVA230" s="36"/>
      <c r="UVB230" s="36"/>
      <c r="UVC230" s="36"/>
      <c r="UVD230" s="36"/>
      <c r="UVE230" s="36"/>
      <c r="UVF230" s="36"/>
      <c r="UVG230" s="36"/>
      <c r="UVH230" s="36"/>
      <c r="UVI230" s="36"/>
      <c r="UVJ230" s="36"/>
      <c r="UVK230" s="36"/>
      <c r="UVL230" s="36"/>
      <c r="UVM230" s="36"/>
      <c r="UVN230" s="36"/>
      <c r="UVO230" s="36"/>
      <c r="UVP230" s="36"/>
      <c r="UVQ230" s="36"/>
      <c r="UVR230" s="36"/>
      <c r="UVS230" s="36"/>
      <c r="UVT230" s="36"/>
      <c r="UVU230" s="36"/>
      <c r="UVV230" s="36"/>
      <c r="UVW230" s="36"/>
      <c r="UVX230" s="36"/>
      <c r="UVY230" s="36"/>
      <c r="UVZ230" s="36"/>
      <c r="UWA230" s="36"/>
      <c r="UWB230" s="36"/>
      <c r="UWC230" s="36"/>
      <c r="UWD230" s="36"/>
      <c r="UWE230" s="36"/>
      <c r="UWF230" s="36"/>
      <c r="UWG230" s="36"/>
      <c r="UWH230" s="36"/>
      <c r="UWI230" s="36"/>
      <c r="UWJ230" s="36"/>
      <c r="UWK230" s="36"/>
      <c r="UWL230" s="36"/>
      <c r="UWM230" s="36"/>
      <c r="UWN230" s="36"/>
      <c r="UWO230" s="36"/>
      <c r="UWP230" s="36"/>
      <c r="UWQ230" s="36"/>
      <c r="UWR230" s="36"/>
      <c r="UWS230" s="36"/>
      <c r="UWT230" s="36"/>
      <c r="UWU230" s="36"/>
      <c r="UWV230" s="36"/>
      <c r="UWW230" s="36"/>
      <c r="UWX230" s="36"/>
      <c r="UWY230" s="36"/>
      <c r="UWZ230" s="36"/>
      <c r="UXA230" s="36"/>
      <c r="UXB230" s="36"/>
      <c r="UXC230" s="36"/>
      <c r="UXD230" s="36"/>
      <c r="UXE230" s="36"/>
      <c r="UXF230" s="36"/>
      <c r="UXG230" s="36"/>
      <c r="UXH230" s="36"/>
      <c r="UXI230" s="36"/>
      <c r="UXJ230" s="36"/>
      <c r="UXK230" s="36"/>
      <c r="UXL230" s="36"/>
      <c r="UXM230" s="36"/>
      <c r="UXN230" s="36"/>
      <c r="UXO230" s="36"/>
      <c r="UXP230" s="36"/>
      <c r="UXQ230" s="36"/>
      <c r="UXR230" s="36"/>
      <c r="UXS230" s="36"/>
      <c r="UXT230" s="36"/>
      <c r="UXU230" s="36"/>
      <c r="UXV230" s="36"/>
      <c r="UXW230" s="36"/>
      <c r="UXX230" s="36"/>
      <c r="UXY230" s="36"/>
      <c r="UXZ230" s="36"/>
      <c r="UYA230" s="36"/>
      <c r="UYB230" s="36"/>
      <c r="UYC230" s="36"/>
      <c r="UYD230" s="36"/>
      <c r="UYE230" s="36"/>
      <c r="UYF230" s="36"/>
      <c r="UYG230" s="36"/>
      <c r="UYH230" s="36"/>
      <c r="UYI230" s="36"/>
      <c r="UYJ230" s="36"/>
      <c r="UYK230" s="36"/>
      <c r="UYL230" s="36"/>
      <c r="UYM230" s="36"/>
      <c r="UYN230" s="36"/>
      <c r="UYO230" s="36"/>
      <c r="UYP230" s="36"/>
      <c r="UYQ230" s="36"/>
      <c r="UYR230" s="36"/>
      <c r="UYS230" s="36"/>
      <c r="UYT230" s="36"/>
      <c r="UYU230" s="36"/>
      <c r="UYV230" s="36"/>
      <c r="UYW230" s="36"/>
      <c r="UYX230" s="36"/>
      <c r="UYY230" s="36"/>
      <c r="UYZ230" s="36"/>
      <c r="UZA230" s="36"/>
      <c r="UZB230" s="36"/>
      <c r="UZC230" s="36"/>
      <c r="UZD230" s="36"/>
      <c r="UZE230" s="36"/>
      <c r="UZF230" s="36"/>
      <c r="UZG230" s="36"/>
      <c r="UZH230" s="36"/>
      <c r="UZI230" s="36"/>
      <c r="UZJ230" s="36"/>
      <c r="UZK230" s="36"/>
      <c r="UZL230" s="36"/>
      <c r="UZM230" s="36"/>
      <c r="UZN230" s="36"/>
      <c r="UZO230" s="36"/>
      <c r="UZP230" s="36"/>
      <c r="UZQ230" s="36"/>
      <c r="UZR230" s="36"/>
      <c r="UZS230" s="36"/>
      <c r="UZT230" s="36"/>
      <c r="UZU230" s="36"/>
      <c r="UZV230" s="36"/>
      <c r="UZW230" s="36"/>
      <c r="UZX230" s="36"/>
      <c r="UZY230" s="36"/>
      <c r="UZZ230" s="36"/>
      <c r="VAA230" s="36"/>
      <c r="VAB230" s="36"/>
      <c r="VAC230" s="36"/>
      <c r="VAD230" s="36"/>
      <c r="VAE230" s="36"/>
      <c r="VAF230" s="36"/>
      <c r="VAG230" s="36"/>
      <c r="VAH230" s="36"/>
      <c r="VAI230" s="36"/>
      <c r="VAJ230" s="36"/>
      <c r="VAK230" s="36"/>
      <c r="VAL230" s="36"/>
      <c r="VAM230" s="36"/>
      <c r="VAN230" s="36"/>
      <c r="VAO230" s="36"/>
      <c r="VAP230" s="36"/>
      <c r="VAQ230" s="36"/>
      <c r="VAR230" s="36"/>
      <c r="VAS230" s="36"/>
      <c r="VAT230" s="36"/>
      <c r="VAU230" s="36"/>
      <c r="VAV230" s="36"/>
      <c r="VAW230" s="36"/>
      <c r="VAX230" s="36"/>
      <c r="VAY230" s="36"/>
      <c r="VAZ230" s="36"/>
      <c r="VBA230" s="36"/>
      <c r="VBB230" s="36"/>
      <c r="VBC230" s="36"/>
      <c r="VBD230" s="36"/>
      <c r="VBE230" s="36"/>
      <c r="VBF230" s="36"/>
      <c r="VBG230" s="36"/>
      <c r="VBH230" s="36"/>
      <c r="VBI230" s="36"/>
      <c r="VBJ230" s="36"/>
      <c r="VBK230" s="36"/>
      <c r="VBL230" s="36"/>
      <c r="VBM230" s="36"/>
      <c r="VBN230" s="36"/>
      <c r="VBO230" s="36"/>
      <c r="VBP230" s="36"/>
      <c r="VBQ230" s="36"/>
      <c r="VBR230" s="36"/>
      <c r="VBS230" s="36"/>
      <c r="VBT230" s="36"/>
      <c r="VBU230" s="36"/>
      <c r="VBV230" s="36"/>
      <c r="VBW230" s="36"/>
      <c r="VBX230" s="36"/>
      <c r="VBY230" s="36"/>
      <c r="VBZ230" s="36"/>
      <c r="VCA230" s="36"/>
      <c r="VCB230" s="36"/>
      <c r="VCC230" s="36"/>
      <c r="VCD230" s="36"/>
      <c r="VCE230" s="36"/>
      <c r="VCF230" s="36"/>
      <c r="VCG230" s="36"/>
      <c r="VCH230" s="36"/>
      <c r="VCI230" s="36"/>
      <c r="VCJ230" s="36"/>
      <c r="VCK230" s="36"/>
      <c r="VCL230" s="36"/>
      <c r="VCM230" s="36"/>
      <c r="VCN230" s="36"/>
      <c r="VCO230" s="36"/>
      <c r="VCP230" s="36"/>
      <c r="VCQ230" s="36"/>
      <c r="VCR230" s="36"/>
      <c r="VCS230" s="36"/>
      <c r="VCT230" s="36"/>
      <c r="VCU230" s="36"/>
      <c r="VCV230" s="36"/>
      <c r="VCW230" s="36"/>
      <c r="VCX230" s="36"/>
      <c r="VCY230" s="36"/>
      <c r="VCZ230" s="36"/>
      <c r="VDA230" s="36"/>
      <c r="VDB230" s="36"/>
      <c r="VDC230" s="36"/>
      <c r="VDD230" s="36"/>
      <c r="VDE230" s="36"/>
      <c r="VDF230" s="36"/>
      <c r="VDG230" s="36"/>
      <c r="VDH230" s="36"/>
      <c r="VDI230" s="36"/>
      <c r="VDJ230" s="36"/>
      <c r="VDK230" s="36"/>
      <c r="VDL230" s="36"/>
      <c r="VDM230" s="36"/>
      <c r="VDN230" s="36"/>
      <c r="VDO230" s="36"/>
      <c r="VDP230" s="36"/>
      <c r="VDQ230" s="36"/>
      <c r="VDR230" s="36"/>
      <c r="VDS230" s="36"/>
      <c r="VDT230" s="36"/>
      <c r="VDU230" s="36"/>
      <c r="VDV230" s="36"/>
      <c r="VDW230" s="36"/>
      <c r="VDX230" s="36"/>
      <c r="VDY230" s="36"/>
      <c r="VDZ230" s="36"/>
      <c r="VEA230" s="36"/>
      <c r="VEB230" s="36"/>
      <c r="VEC230" s="36"/>
      <c r="VED230" s="36"/>
      <c r="VEE230" s="36"/>
      <c r="VEF230" s="36"/>
      <c r="VEG230" s="36"/>
      <c r="VEH230" s="36"/>
      <c r="VEI230" s="36"/>
      <c r="VEJ230" s="36"/>
      <c r="VEK230" s="36"/>
      <c r="VEL230" s="36"/>
      <c r="VEM230" s="36"/>
      <c r="VEN230" s="36"/>
      <c r="VEO230" s="36"/>
      <c r="VEP230" s="36"/>
      <c r="VEQ230" s="36"/>
      <c r="VER230" s="36"/>
      <c r="VES230" s="36"/>
      <c r="VET230" s="36"/>
      <c r="VEU230" s="36"/>
      <c r="VEV230" s="36"/>
      <c r="VEW230" s="36"/>
      <c r="VEX230" s="36"/>
      <c r="VEY230" s="36"/>
      <c r="VEZ230" s="36"/>
      <c r="VFA230" s="36"/>
      <c r="VFB230" s="36"/>
      <c r="VFC230" s="36"/>
      <c r="VFD230" s="36"/>
      <c r="VFE230" s="36"/>
      <c r="VFF230" s="36"/>
      <c r="VFG230" s="36"/>
      <c r="VFH230" s="36"/>
      <c r="VFI230" s="36"/>
      <c r="VFJ230" s="36"/>
      <c r="VFK230" s="36"/>
      <c r="VFL230" s="36"/>
      <c r="VFM230" s="36"/>
      <c r="VFN230" s="36"/>
      <c r="VFO230" s="36"/>
      <c r="VFP230" s="36"/>
      <c r="VFQ230" s="36"/>
      <c r="VFR230" s="36"/>
      <c r="VFS230" s="36"/>
      <c r="VFT230" s="36"/>
      <c r="VFU230" s="36"/>
      <c r="VFV230" s="36"/>
      <c r="VFW230" s="36"/>
      <c r="VFX230" s="36"/>
      <c r="VFY230" s="36"/>
      <c r="VFZ230" s="36"/>
      <c r="VGA230" s="36"/>
      <c r="VGB230" s="36"/>
      <c r="VGC230" s="36"/>
      <c r="VGD230" s="36"/>
      <c r="VGE230" s="36"/>
      <c r="VGF230" s="36"/>
      <c r="VGG230" s="36"/>
      <c r="VGH230" s="36"/>
      <c r="VGI230" s="36"/>
      <c r="VGJ230" s="36"/>
      <c r="VGK230" s="36"/>
      <c r="VGL230" s="36"/>
      <c r="VGM230" s="36"/>
      <c r="VGN230" s="36"/>
      <c r="VGO230" s="36"/>
      <c r="VGP230" s="36"/>
      <c r="VGQ230" s="36"/>
      <c r="VGR230" s="36"/>
      <c r="VGS230" s="36"/>
      <c r="VGT230" s="36"/>
      <c r="VGU230" s="36"/>
      <c r="VGV230" s="36"/>
      <c r="VGW230" s="36"/>
      <c r="VGX230" s="36"/>
      <c r="VGY230" s="36"/>
      <c r="VGZ230" s="36"/>
      <c r="VHA230" s="36"/>
      <c r="VHB230" s="36"/>
      <c r="VHC230" s="36"/>
      <c r="VHD230" s="36"/>
      <c r="VHE230" s="36"/>
      <c r="VHF230" s="36"/>
      <c r="VHG230" s="36"/>
      <c r="VHH230" s="36"/>
      <c r="VHI230" s="36"/>
      <c r="VHJ230" s="36"/>
      <c r="VHK230" s="36"/>
      <c r="VHL230" s="36"/>
      <c r="VHM230" s="36"/>
      <c r="VHN230" s="36"/>
      <c r="VHO230" s="36"/>
      <c r="VHP230" s="36"/>
      <c r="VHQ230" s="36"/>
      <c r="VHR230" s="36"/>
      <c r="VHS230" s="36"/>
      <c r="VHT230" s="36"/>
      <c r="VHU230" s="36"/>
      <c r="VHV230" s="36"/>
      <c r="VHW230" s="36"/>
      <c r="VHX230" s="36"/>
      <c r="VHY230" s="36"/>
      <c r="VHZ230" s="36"/>
      <c r="VIA230" s="36"/>
      <c r="VIB230" s="36"/>
      <c r="VIC230" s="36"/>
      <c r="VID230" s="36"/>
      <c r="VIE230" s="36"/>
      <c r="VIF230" s="36"/>
      <c r="VIG230" s="36"/>
      <c r="VIH230" s="36"/>
      <c r="VII230" s="36"/>
      <c r="VIJ230" s="36"/>
      <c r="VIK230" s="36"/>
      <c r="VIL230" s="36"/>
      <c r="VIM230" s="36"/>
      <c r="VIN230" s="36"/>
      <c r="VIO230" s="36"/>
      <c r="VIP230" s="36"/>
      <c r="VIQ230" s="36"/>
      <c r="VIR230" s="36"/>
      <c r="VIS230" s="36"/>
      <c r="VIT230" s="36"/>
      <c r="VIU230" s="36"/>
      <c r="VIV230" s="36"/>
      <c r="VIW230" s="36"/>
      <c r="VIX230" s="36"/>
      <c r="VIY230" s="36"/>
      <c r="VIZ230" s="36"/>
      <c r="VJA230" s="36"/>
      <c r="VJB230" s="36"/>
      <c r="VJC230" s="36"/>
      <c r="VJD230" s="36"/>
      <c r="VJE230" s="36"/>
      <c r="VJF230" s="36"/>
      <c r="VJG230" s="36"/>
      <c r="VJH230" s="36"/>
      <c r="VJI230" s="36"/>
      <c r="VJJ230" s="36"/>
      <c r="VJK230" s="36"/>
      <c r="VJL230" s="36"/>
      <c r="VJM230" s="36"/>
      <c r="VJN230" s="36"/>
      <c r="VJO230" s="36"/>
      <c r="VJP230" s="36"/>
      <c r="VJQ230" s="36"/>
      <c r="VJR230" s="36"/>
      <c r="VJS230" s="36"/>
      <c r="VJT230" s="36"/>
      <c r="VJU230" s="36"/>
      <c r="VJV230" s="36"/>
      <c r="VJW230" s="36"/>
      <c r="VJX230" s="36"/>
      <c r="VJY230" s="36"/>
      <c r="VJZ230" s="36"/>
      <c r="VKA230" s="36"/>
      <c r="VKB230" s="36"/>
      <c r="VKC230" s="36"/>
      <c r="VKD230" s="36"/>
      <c r="VKE230" s="36"/>
      <c r="VKF230" s="36"/>
      <c r="VKG230" s="36"/>
      <c r="VKH230" s="36"/>
      <c r="VKI230" s="36"/>
      <c r="VKJ230" s="36"/>
      <c r="VKK230" s="36"/>
      <c r="VKL230" s="36"/>
      <c r="VKM230" s="36"/>
      <c r="VKN230" s="36"/>
      <c r="VKO230" s="36"/>
      <c r="VKP230" s="36"/>
      <c r="VKQ230" s="36"/>
      <c r="VKR230" s="36"/>
      <c r="VKS230" s="36"/>
      <c r="VKT230" s="36"/>
      <c r="VKU230" s="36"/>
      <c r="VKV230" s="36"/>
      <c r="VKW230" s="36"/>
      <c r="VKX230" s="36"/>
      <c r="VKY230" s="36"/>
      <c r="VKZ230" s="36"/>
      <c r="VLA230" s="36"/>
      <c r="VLB230" s="36"/>
      <c r="VLC230" s="36"/>
      <c r="VLD230" s="36"/>
      <c r="VLE230" s="36"/>
      <c r="VLF230" s="36"/>
      <c r="VLG230" s="36"/>
      <c r="VLH230" s="36"/>
      <c r="VLI230" s="36"/>
      <c r="VLJ230" s="36"/>
      <c r="VLK230" s="36"/>
      <c r="VLL230" s="36"/>
      <c r="VLM230" s="36"/>
      <c r="VLN230" s="36"/>
      <c r="VLO230" s="36"/>
      <c r="VLP230" s="36"/>
      <c r="VLQ230" s="36"/>
      <c r="VLR230" s="36"/>
      <c r="VLS230" s="36"/>
      <c r="VLT230" s="36"/>
      <c r="VLU230" s="36"/>
      <c r="VLV230" s="36"/>
      <c r="VLW230" s="36"/>
      <c r="VLX230" s="36"/>
      <c r="VLY230" s="36"/>
      <c r="VLZ230" s="36"/>
      <c r="VMA230" s="36"/>
      <c r="VMB230" s="36"/>
      <c r="VMC230" s="36"/>
      <c r="VMD230" s="36"/>
      <c r="VME230" s="36"/>
      <c r="VMF230" s="36"/>
      <c r="VMG230" s="36"/>
      <c r="VMH230" s="36"/>
      <c r="VMI230" s="36"/>
      <c r="VMJ230" s="36"/>
      <c r="VMK230" s="36"/>
      <c r="VML230" s="36"/>
      <c r="VMM230" s="36"/>
      <c r="VMN230" s="36"/>
      <c r="VMO230" s="36"/>
      <c r="VMP230" s="36"/>
      <c r="VMQ230" s="36"/>
      <c r="VMR230" s="36"/>
      <c r="VMS230" s="36"/>
      <c r="VMT230" s="36"/>
      <c r="VMU230" s="36"/>
      <c r="VMV230" s="36"/>
      <c r="VMW230" s="36"/>
      <c r="VMX230" s="36"/>
      <c r="VMY230" s="36"/>
      <c r="VMZ230" s="36"/>
      <c r="VNA230" s="36"/>
      <c r="VNB230" s="36"/>
      <c r="VNC230" s="36"/>
      <c r="VND230" s="36"/>
      <c r="VNE230" s="36"/>
      <c r="VNF230" s="36"/>
      <c r="VNG230" s="36"/>
      <c r="VNH230" s="36"/>
      <c r="VNI230" s="36"/>
      <c r="VNJ230" s="36"/>
      <c r="VNK230" s="36"/>
      <c r="VNL230" s="36"/>
      <c r="VNM230" s="36"/>
      <c r="VNN230" s="36"/>
      <c r="VNO230" s="36"/>
      <c r="VNP230" s="36"/>
      <c r="VNQ230" s="36"/>
      <c r="VNR230" s="36"/>
      <c r="VNS230" s="36"/>
      <c r="VNT230" s="36"/>
      <c r="VNU230" s="36"/>
      <c r="VNV230" s="36"/>
      <c r="VNW230" s="36"/>
      <c r="VNX230" s="36"/>
      <c r="VNY230" s="36"/>
      <c r="VNZ230" s="36"/>
      <c r="VOA230" s="36"/>
      <c r="VOB230" s="36"/>
      <c r="VOC230" s="36"/>
      <c r="VOD230" s="36"/>
      <c r="VOE230" s="36"/>
      <c r="VOF230" s="36"/>
      <c r="VOG230" s="36"/>
      <c r="VOH230" s="36"/>
      <c r="VOI230" s="36"/>
      <c r="VOJ230" s="36"/>
      <c r="VOK230" s="36"/>
      <c r="VOL230" s="36"/>
      <c r="VOM230" s="36"/>
      <c r="VON230" s="36"/>
      <c r="VOO230" s="36"/>
      <c r="VOP230" s="36"/>
      <c r="VOQ230" s="36"/>
      <c r="VOR230" s="36"/>
      <c r="VOS230" s="36"/>
      <c r="VOT230" s="36"/>
      <c r="VOU230" s="36"/>
      <c r="VOV230" s="36"/>
      <c r="VOW230" s="36"/>
      <c r="VOX230" s="36"/>
      <c r="VOY230" s="36"/>
      <c r="VOZ230" s="36"/>
      <c r="VPA230" s="36"/>
      <c r="VPB230" s="36"/>
      <c r="VPC230" s="36"/>
      <c r="VPD230" s="36"/>
      <c r="VPE230" s="36"/>
      <c r="VPF230" s="36"/>
      <c r="VPG230" s="36"/>
      <c r="VPH230" s="36"/>
      <c r="VPI230" s="36"/>
      <c r="VPJ230" s="36"/>
      <c r="VPK230" s="36"/>
      <c r="VPL230" s="36"/>
      <c r="VPM230" s="36"/>
      <c r="VPN230" s="36"/>
      <c r="VPO230" s="36"/>
      <c r="VPP230" s="36"/>
      <c r="VPQ230" s="36"/>
      <c r="VPR230" s="36"/>
      <c r="VPS230" s="36"/>
      <c r="VPT230" s="36"/>
      <c r="VPU230" s="36"/>
      <c r="VPV230" s="36"/>
      <c r="VPW230" s="36"/>
      <c r="VPX230" s="36"/>
      <c r="VPY230" s="36"/>
      <c r="VPZ230" s="36"/>
      <c r="VQA230" s="36"/>
      <c r="VQB230" s="36"/>
      <c r="VQC230" s="36"/>
      <c r="VQD230" s="36"/>
      <c r="VQE230" s="36"/>
      <c r="VQF230" s="36"/>
      <c r="VQG230" s="36"/>
      <c r="VQH230" s="36"/>
      <c r="VQI230" s="36"/>
      <c r="VQJ230" s="36"/>
      <c r="VQK230" s="36"/>
      <c r="VQL230" s="36"/>
      <c r="VQM230" s="36"/>
      <c r="VQN230" s="36"/>
      <c r="VQO230" s="36"/>
      <c r="VQP230" s="36"/>
      <c r="VQQ230" s="36"/>
      <c r="VQR230" s="36"/>
      <c r="VQS230" s="36"/>
      <c r="VQT230" s="36"/>
      <c r="VQU230" s="36"/>
      <c r="VQV230" s="36"/>
      <c r="VQW230" s="36"/>
      <c r="VQX230" s="36"/>
      <c r="VQY230" s="36"/>
      <c r="VQZ230" s="36"/>
      <c r="VRA230" s="36"/>
      <c r="VRB230" s="36"/>
      <c r="VRC230" s="36"/>
      <c r="VRD230" s="36"/>
      <c r="VRE230" s="36"/>
      <c r="VRF230" s="36"/>
      <c r="VRG230" s="36"/>
      <c r="VRH230" s="36"/>
      <c r="VRI230" s="36"/>
      <c r="VRJ230" s="36"/>
      <c r="VRK230" s="36"/>
      <c r="VRL230" s="36"/>
      <c r="VRM230" s="36"/>
      <c r="VRN230" s="36"/>
      <c r="VRO230" s="36"/>
      <c r="VRP230" s="36"/>
      <c r="VRQ230" s="36"/>
      <c r="VRR230" s="36"/>
      <c r="VRS230" s="36"/>
      <c r="VRT230" s="36"/>
      <c r="VRU230" s="36"/>
      <c r="VRV230" s="36"/>
      <c r="VRW230" s="36"/>
      <c r="VRX230" s="36"/>
      <c r="VRY230" s="36"/>
      <c r="VRZ230" s="36"/>
      <c r="VSA230" s="36"/>
      <c r="VSB230" s="36"/>
      <c r="VSC230" s="36"/>
      <c r="VSD230" s="36"/>
      <c r="VSE230" s="36"/>
      <c r="VSF230" s="36"/>
      <c r="VSG230" s="36"/>
      <c r="VSH230" s="36"/>
      <c r="VSI230" s="36"/>
      <c r="VSJ230" s="36"/>
      <c r="VSK230" s="36"/>
      <c r="VSL230" s="36"/>
      <c r="VSM230" s="36"/>
      <c r="VSN230" s="36"/>
      <c r="VSO230" s="36"/>
      <c r="VSP230" s="36"/>
      <c r="VSQ230" s="36"/>
      <c r="VSR230" s="36"/>
      <c r="VSS230" s="36"/>
      <c r="VST230" s="36"/>
      <c r="VSU230" s="36"/>
      <c r="VSV230" s="36"/>
      <c r="VSW230" s="36"/>
      <c r="VSX230" s="36"/>
      <c r="VSY230" s="36"/>
      <c r="VSZ230" s="36"/>
      <c r="VTA230" s="36"/>
      <c r="VTB230" s="36"/>
      <c r="VTC230" s="36"/>
      <c r="VTD230" s="36"/>
      <c r="VTE230" s="36"/>
      <c r="VTF230" s="36"/>
      <c r="VTG230" s="36"/>
      <c r="VTH230" s="36"/>
      <c r="VTI230" s="36"/>
      <c r="VTJ230" s="36"/>
      <c r="VTK230" s="36"/>
      <c r="VTL230" s="36"/>
      <c r="VTM230" s="36"/>
      <c r="VTN230" s="36"/>
      <c r="VTO230" s="36"/>
      <c r="VTP230" s="36"/>
      <c r="VTQ230" s="36"/>
      <c r="VTR230" s="36"/>
      <c r="VTS230" s="36"/>
      <c r="VTT230" s="36"/>
      <c r="VTU230" s="36"/>
      <c r="VTV230" s="36"/>
      <c r="VTW230" s="36"/>
      <c r="VTX230" s="36"/>
      <c r="VTY230" s="36"/>
      <c r="VTZ230" s="36"/>
      <c r="VUA230" s="36"/>
      <c r="VUB230" s="36"/>
      <c r="VUC230" s="36"/>
      <c r="VUD230" s="36"/>
      <c r="VUE230" s="36"/>
      <c r="VUF230" s="36"/>
      <c r="VUG230" s="36"/>
      <c r="VUH230" s="36"/>
      <c r="VUI230" s="36"/>
      <c r="VUJ230" s="36"/>
      <c r="VUK230" s="36"/>
      <c r="VUL230" s="36"/>
      <c r="VUM230" s="36"/>
      <c r="VUN230" s="36"/>
      <c r="VUO230" s="36"/>
      <c r="VUP230" s="36"/>
      <c r="VUQ230" s="36"/>
      <c r="VUR230" s="36"/>
      <c r="VUS230" s="36"/>
      <c r="VUT230" s="36"/>
      <c r="VUU230" s="36"/>
      <c r="VUV230" s="36"/>
      <c r="VUW230" s="36"/>
      <c r="VUX230" s="36"/>
      <c r="VUY230" s="36"/>
      <c r="VUZ230" s="36"/>
      <c r="VVA230" s="36"/>
      <c r="VVB230" s="36"/>
      <c r="VVC230" s="36"/>
      <c r="VVD230" s="36"/>
      <c r="VVE230" s="36"/>
      <c r="VVF230" s="36"/>
      <c r="VVG230" s="36"/>
      <c r="VVH230" s="36"/>
      <c r="VVI230" s="36"/>
      <c r="VVJ230" s="36"/>
      <c r="VVK230" s="36"/>
      <c r="VVL230" s="36"/>
      <c r="VVM230" s="36"/>
      <c r="VVN230" s="36"/>
      <c r="VVO230" s="36"/>
      <c r="VVP230" s="36"/>
      <c r="VVQ230" s="36"/>
      <c r="VVR230" s="36"/>
      <c r="VVS230" s="36"/>
      <c r="VVT230" s="36"/>
      <c r="VVU230" s="36"/>
      <c r="VVV230" s="36"/>
      <c r="VVW230" s="36"/>
      <c r="VVX230" s="36"/>
      <c r="VVY230" s="36"/>
      <c r="VVZ230" s="36"/>
      <c r="VWA230" s="36"/>
      <c r="VWB230" s="36"/>
      <c r="VWC230" s="36"/>
      <c r="VWD230" s="36"/>
      <c r="VWE230" s="36"/>
      <c r="VWF230" s="36"/>
      <c r="VWG230" s="36"/>
      <c r="VWH230" s="36"/>
      <c r="VWI230" s="36"/>
      <c r="VWJ230" s="36"/>
      <c r="VWK230" s="36"/>
      <c r="VWL230" s="36"/>
      <c r="VWM230" s="36"/>
      <c r="VWN230" s="36"/>
      <c r="VWO230" s="36"/>
      <c r="VWP230" s="36"/>
      <c r="VWQ230" s="36"/>
      <c r="VWR230" s="36"/>
      <c r="VWS230" s="36"/>
      <c r="VWT230" s="36"/>
      <c r="VWU230" s="36"/>
      <c r="VWV230" s="36"/>
      <c r="VWW230" s="36"/>
      <c r="VWX230" s="36"/>
      <c r="VWY230" s="36"/>
      <c r="VWZ230" s="36"/>
      <c r="VXA230" s="36"/>
      <c r="VXB230" s="36"/>
      <c r="VXC230" s="36"/>
      <c r="VXD230" s="36"/>
      <c r="VXE230" s="36"/>
      <c r="VXF230" s="36"/>
      <c r="VXG230" s="36"/>
      <c r="VXH230" s="36"/>
      <c r="VXI230" s="36"/>
      <c r="VXJ230" s="36"/>
      <c r="VXK230" s="36"/>
      <c r="VXL230" s="36"/>
      <c r="VXM230" s="36"/>
      <c r="VXN230" s="36"/>
      <c r="VXO230" s="36"/>
      <c r="VXP230" s="36"/>
      <c r="VXQ230" s="36"/>
      <c r="VXR230" s="36"/>
      <c r="VXS230" s="36"/>
      <c r="VXT230" s="36"/>
      <c r="VXU230" s="36"/>
      <c r="VXV230" s="36"/>
      <c r="VXW230" s="36"/>
      <c r="VXX230" s="36"/>
      <c r="VXY230" s="36"/>
      <c r="VXZ230" s="36"/>
      <c r="VYA230" s="36"/>
      <c r="VYB230" s="36"/>
      <c r="VYC230" s="36"/>
      <c r="VYD230" s="36"/>
      <c r="VYE230" s="36"/>
      <c r="VYF230" s="36"/>
      <c r="VYG230" s="36"/>
      <c r="VYH230" s="36"/>
      <c r="VYI230" s="36"/>
      <c r="VYJ230" s="36"/>
      <c r="VYK230" s="36"/>
      <c r="VYL230" s="36"/>
      <c r="VYM230" s="36"/>
      <c r="VYN230" s="36"/>
      <c r="VYO230" s="36"/>
      <c r="VYP230" s="36"/>
      <c r="VYQ230" s="36"/>
      <c r="VYR230" s="36"/>
      <c r="VYS230" s="36"/>
      <c r="VYT230" s="36"/>
      <c r="VYU230" s="36"/>
      <c r="VYV230" s="36"/>
      <c r="VYW230" s="36"/>
      <c r="VYX230" s="36"/>
      <c r="VYY230" s="36"/>
      <c r="VYZ230" s="36"/>
      <c r="VZA230" s="36"/>
      <c r="VZB230" s="36"/>
      <c r="VZC230" s="36"/>
      <c r="VZD230" s="36"/>
      <c r="VZE230" s="36"/>
      <c r="VZF230" s="36"/>
      <c r="VZG230" s="36"/>
      <c r="VZH230" s="36"/>
      <c r="VZI230" s="36"/>
      <c r="VZJ230" s="36"/>
      <c r="VZK230" s="36"/>
      <c r="VZL230" s="36"/>
      <c r="VZM230" s="36"/>
      <c r="VZN230" s="36"/>
      <c r="VZO230" s="36"/>
      <c r="VZP230" s="36"/>
      <c r="VZQ230" s="36"/>
      <c r="VZR230" s="36"/>
      <c r="VZS230" s="36"/>
      <c r="VZT230" s="36"/>
      <c r="VZU230" s="36"/>
      <c r="VZV230" s="36"/>
      <c r="VZW230" s="36"/>
      <c r="VZX230" s="36"/>
      <c r="VZY230" s="36"/>
      <c r="VZZ230" s="36"/>
      <c r="WAA230" s="36"/>
      <c r="WAB230" s="36"/>
      <c r="WAC230" s="36"/>
      <c r="WAD230" s="36"/>
      <c r="WAE230" s="36"/>
      <c r="WAF230" s="36"/>
      <c r="WAG230" s="36"/>
      <c r="WAH230" s="36"/>
      <c r="WAI230" s="36"/>
      <c r="WAJ230" s="36"/>
      <c r="WAK230" s="36"/>
      <c r="WAL230" s="36"/>
      <c r="WAM230" s="36"/>
      <c r="WAN230" s="36"/>
      <c r="WAO230" s="36"/>
      <c r="WAP230" s="36"/>
      <c r="WAQ230" s="36"/>
      <c r="WAR230" s="36"/>
      <c r="WAS230" s="36"/>
      <c r="WAT230" s="36"/>
      <c r="WAU230" s="36"/>
      <c r="WAV230" s="36"/>
      <c r="WAW230" s="36"/>
      <c r="WAX230" s="36"/>
      <c r="WAY230" s="36"/>
      <c r="WAZ230" s="36"/>
      <c r="WBA230" s="36"/>
      <c r="WBB230" s="36"/>
      <c r="WBC230" s="36"/>
      <c r="WBD230" s="36"/>
      <c r="WBE230" s="36"/>
      <c r="WBF230" s="36"/>
      <c r="WBG230" s="36"/>
      <c r="WBH230" s="36"/>
      <c r="WBI230" s="36"/>
      <c r="WBJ230" s="36"/>
      <c r="WBK230" s="36"/>
      <c r="WBL230" s="36"/>
      <c r="WBM230" s="36"/>
      <c r="WBN230" s="36"/>
      <c r="WBO230" s="36"/>
      <c r="WBP230" s="36"/>
      <c r="WBQ230" s="36"/>
      <c r="WBR230" s="36"/>
      <c r="WBS230" s="36"/>
      <c r="WBT230" s="36"/>
      <c r="WBU230" s="36"/>
      <c r="WBV230" s="36"/>
      <c r="WBW230" s="36"/>
      <c r="WBX230" s="36"/>
      <c r="WBY230" s="36"/>
      <c r="WBZ230" s="36"/>
      <c r="WCA230" s="36"/>
      <c r="WCB230" s="36"/>
      <c r="WCC230" s="36"/>
      <c r="WCD230" s="36"/>
      <c r="WCE230" s="36"/>
      <c r="WCF230" s="36"/>
      <c r="WCG230" s="36"/>
      <c r="WCH230" s="36"/>
      <c r="WCI230" s="36"/>
      <c r="WCJ230" s="36"/>
      <c r="WCK230" s="36"/>
      <c r="WCL230" s="36"/>
      <c r="WCM230" s="36"/>
      <c r="WCN230" s="36"/>
      <c r="WCO230" s="36"/>
      <c r="WCP230" s="36"/>
      <c r="WCQ230" s="36"/>
      <c r="WCR230" s="36"/>
      <c r="WCS230" s="36"/>
      <c r="WCT230" s="36"/>
      <c r="WCU230" s="36"/>
      <c r="WCV230" s="36"/>
      <c r="WCW230" s="36"/>
      <c r="WCX230" s="36"/>
      <c r="WCY230" s="36"/>
      <c r="WCZ230" s="36"/>
      <c r="WDA230" s="36"/>
      <c r="WDB230" s="36"/>
      <c r="WDC230" s="36"/>
      <c r="WDD230" s="36"/>
      <c r="WDE230" s="36"/>
      <c r="WDF230" s="36"/>
      <c r="WDG230" s="36"/>
      <c r="WDH230" s="36"/>
      <c r="WDI230" s="36"/>
      <c r="WDJ230" s="36"/>
      <c r="WDK230" s="36"/>
      <c r="WDL230" s="36"/>
      <c r="WDM230" s="36"/>
      <c r="WDN230" s="36"/>
      <c r="WDO230" s="36"/>
      <c r="WDP230" s="36"/>
      <c r="WDQ230" s="36"/>
      <c r="WDR230" s="36"/>
      <c r="WDS230" s="36"/>
      <c r="WDT230" s="36"/>
      <c r="WDU230" s="36"/>
      <c r="WDV230" s="36"/>
      <c r="WDW230" s="36"/>
      <c r="WDX230" s="36"/>
      <c r="WDY230" s="36"/>
      <c r="WDZ230" s="36"/>
      <c r="WEA230" s="36"/>
      <c r="WEB230" s="36"/>
      <c r="WEC230" s="36"/>
      <c r="WED230" s="36"/>
      <c r="WEE230" s="36"/>
      <c r="WEF230" s="36"/>
      <c r="WEG230" s="36"/>
      <c r="WEH230" s="36"/>
      <c r="WEI230" s="36"/>
      <c r="WEJ230" s="36"/>
      <c r="WEK230" s="36"/>
      <c r="WEL230" s="36"/>
      <c r="WEM230" s="36"/>
      <c r="WEN230" s="36"/>
      <c r="WEO230" s="36"/>
      <c r="WEP230" s="36"/>
      <c r="WEQ230" s="36"/>
      <c r="WER230" s="36"/>
      <c r="WES230" s="36"/>
      <c r="WET230" s="36"/>
      <c r="WEU230" s="36"/>
      <c r="WEV230" s="36"/>
      <c r="WEW230" s="36"/>
      <c r="WEX230" s="36"/>
      <c r="WEY230" s="36"/>
      <c r="WEZ230" s="36"/>
      <c r="WFA230" s="36"/>
      <c r="WFB230" s="36"/>
      <c r="WFC230" s="36"/>
      <c r="WFD230" s="36"/>
      <c r="WFE230" s="36"/>
      <c r="WFF230" s="36"/>
      <c r="WFG230" s="36"/>
      <c r="WFH230" s="36"/>
      <c r="WFI230" s="36"/>
      <c r="WFJ230" s="36"/>
      <c r="WFK230" s="36"/>
      <c r="WFL230" s="36"/>
      <c r="WFM230" s="36"/>
      <c r="WFN230" s="36"/>
      <c r="WFO230" s="36"/>
      <c r="WFP230" s="36"/>
      <c r="WFQ230" s="36"/>
      <c r="WFR230" s="36"/>
      <c r="WFS230" s="36"/>
      <c r="WFT230" s="36"/>
      <c r="WFU230" s="36"/>
      <c r="WFV230" s="36"/>
      <c r="WFW230" s="36"/>
      <c r="WFX230" s="36"/>
      <c r="WFY230" s="36"/>
      <c r="WFZ230" s="36"/>
      <c r="WGA230" s="36"/>
      <c r="WGB230" s="36"/>
      <c r="WGC230" s="36"/>
      <c r="WGD230" s="36"/>
      <c r="WGE230" s="36"/>
      <c r="WGF230" s="36"/>
      <c r="WGG230" s="36"/>
      <c r="WGH230" s="36"/>
      <c r="WGI230" s="36"/>
      <c r="WGJ230" s="36"/>
      <c r="WGK230" s="36"/>
      <c r="WGL230" s="36"/>
      <c r="WGM230" s="36"/>
      <c r="WGN230" s="36"/>
      <c r="WGO230" s="36"/>
      <c r="WGP230" s="36"/>
      <c r="WGQ230" s="36"/>
      <c r="WGR230" s="36"/>
      <c r="WGS230" s="36"/>
      <c r="WGT230" s="36"/>
      <c r="WGU230" s="36"/>
      <c r="WGV230" s="36"/>
      <c r="WGW230" s="36"/>
      <c r="WGX230" s="36"/>
      <c r="WGY230" s="36"/>
      <c r="WGZ230" s="36"/>
      <c r="WHA230" s="36"/>
      <c r="WHB230" s="36"/>
      <c r="WHC230" s="36"/>
      <c r="WHD230" s="36"/>
      <c r="WHE230" s="36"/>
      <c r="WHF230" s="36"/>
      <c r="WHG230" s="36"/>
      <c r="WHH230" s="36"/>
      <c r="WHI230" s="36"/>
      <c r="WHJ230" s="36"/>
      <c r="WHK230" s="36"/>
      <c r="WHL230" s="36"/>
      <c r="WHM230" s="36"/>
      <c r="WHN230" s="36"/>
      <c r="WHO230" s="36"/>
      <c r="WHP230" s="36"/>
      <c r="WHQ230" s="36"/>
      <c r="WHR230" s="36"/>
      <c r="WHS230" s="36"/>
      <c r="WHT230" s="36"/>
      <c r="WHU230" s="36"/>
      <c r="WHV230" s="36"/>
      <c r="WHW230" s="36"/>
      <c r="WHX230" s="36"/>
      <c r="WHY230" s="36"/>
      <c r="WHZ230" s="36"/>
      <c r="WIA230" s="36"/>
      <c r="WIB230" s="36"/>
      <c r="WIC230" s="36"/>
      <c r="WID230" s="36"/>
      <c r="WIE230" s="36"/>
      <c r="WIF230" s="36"/>
      <c r="WIG230" s="36"/>
      <c r="WIH230" s="36"/>
      <c r="WII230" s="36"/>
      <c r="WIJ230" s="36"/>
      <c r="WIK230" s="36"/>
      <c r="WIL230" s="36"/>
      <c r="WIM230" s="36"/>
      <c r="WIN230" s="36"/>
      <c r="WIO230" s="36"/>
      <c r="WIP230" s="36"/>
      <c r="WIQ230" s="36"/>
      <c r="WIR230" s="36"/>
      <c r="WIS230" s="36"/>
      <c r="WIT230" s="36"/>
      <c r="WIU230" s="36"/>
      <c r="WIV230" s="36"/>
      <c r="WIW230" s="36"/>
      <c r="WIX230" s="36"/>
      <c r="WIY230" s="36"/>
      <c r="WIZ230" s="36"/>
      <c r="WJA230" s="36"/>
      <c r="WJB230" s="36"/>
      <c r="WJC230" s="36"/>
      <c r="WJD230" s="36"/>
      <c r="WJE230" s="36"/>
      <c r="WJF230" s="36"/>
      <c r="WJG230" s="36"/>
      <c r="WJH230" s="36"/>
      <c r="WJI230" s="36"/>
      <c r="WJJ230" s="36"/>
      <c r="WJK230" s="36"/>
      <c r="WJL230" s="36"/>
      <c r="WJM230" s="36"/>
      <c r="WJN230" s="36"/>
      <c r="WJO230" s="36"/>
      <c r="WJP230" s="36"/>
      <c r="WJQ230" s="36"/>
      <c r="WJR230" s="36"/>
      <c r="WJS230" s="36"/>
      <c r="WJT230" s="36"/>
      <c r="WJU230" s="36"/>
      <c r="WJV230" s="36"/>
      <c r="WJW230" s="36"/>
      <c r="WJX230" s="36"/>
      <c r="WJY230" s="36"/>
      <c r="WJZ230" s="36"/>
      <c r="WKA230" s="36"/>
      <c r="WKB230" s="36"/>
      <c r="WKC230" s="36"/>
      <c r="WKD230" s="36"/>
      <c r="WKE230" s="36"/>
      <c r="WKF230" s="36"/>
      <c r="WKG230" s="36"/>
      <c r="WKH230" s="36"/>
      <c r="WKI230" s="36"/>
      <c r="WKJ230" s="36"/>
      <c r="WKK230" s="36"/>
      <c r="WKL230" s="36"/>
      <c r="WKM230" s="36"/>
      <c r="WKN230" s="36"/>
      <c r="WKO230" s="36"/>
      <c r="WKP230" s="36"/>
      <c r="WKQ230" s="36"/>
      <c r="WKR230" s="36"/>
      <c r="WKS230" s="36"/>
      <c r="WKT230" s="36"/>
      <c r="WKU230" s="36"/>
      <c r="WKV230" s="36"/>
      <c r="WKW230" s="36"/>
      <c r="WKX230" s="36"/>
      <c r="WKY230" s="36"/>
      <c r="WKZ230" s="36"/>
      <c r="WLA230" s="36"/>
      <c r="WLB230" s="36"/>
      <c r="WLC230" s="36"/>
      <c r="WLD230" s="36"/>
      <c r="WLE230" s="36"/>
      <c r="WLF230" s="36"/>
      <c r="WLG230" s="36"/>
      <c r="WLH230" s="36"/>
      <c r="WLI230" s="36"/>
      <c r="WLJ230" s="36"/>
      <c r="WLK230" s="36"/>
      <c r="WLL230" s="36"/>
      <c r="WLM230" s="36"/>
      <c r="WLN230" s="36"/>
      <c r="WLO230" s="36"/>
      <c r="WLP230" s="36"/>
      <c r="WLQ230" s="36"/>
      <c r="WLR230" s="36"/>
      <c r="WLS230" s="36"/>
      <c r="WLT230" s="36"/>
      <c r="WLU230" s="36"/>
      <c r="WLV230" s="36"/>
      <c r="WLW230" s="36"/>
      <c r="WLX230" s="36"/>
      <c r="WLY230" s="36"/>
      <c r="WLZ230" s="36"/>
      <c r="WMA230" s="36"/>
      <c r="WMB230" s="36"/>
      <c r="WMC230" s="36"/>
      <c r="WMD230" s="36"/>
      <c r="WME230" s="36"/>
      <c r="WMF230" s="36"/>
      <c r="WMG230" s="36"/>
      <c r="WMH230" s="36"/>
      <c r="WMI230" s="36"/>
      <c r="WMJ230" s="36"/>
      <c r="WMK230" s="36"/>
      <c r="WML230" s="36"/>
      <c r="WMM230" s="36"/>
      <c r="WMN230" s="36"/>
      <c r="WMO230" s="36"/>
      <c r="WMP230" s="36"/>
      <c r="WMQ230" s="36"/>
      <c r="WMR230" s="36"/>
      <c r="WMS230" s="36"/>
      <c r="WMT230" s="36"/>
      <c r="WMU230" s="36"/>
      <c r="WMV230" s="36"/>
      <c r="WMW230" s="36"/>
      <c r="WMX230" s="36"/>
      <c r="WMY230" s="36"/>
      <c r="WMZ230" s="36"/>
      <c r="WNA230" s="36"/>
      <c r="WNB230" s="36"/>
      <c r="WNC230" s="36"/>
      <c r="WND230" s="36"/>
      <c r="WNE230" s="36"/>
      <c r="WNF230" s="36"/>
      <c r="WNG230" s="36"/>
      <c r="WNH230" s="36"/>
      <c r="WNI230" s="36"/>
      <c r="WNJ230" s="36"/>
      <c r="WNK230" s="36"/>
      <c r="WNL230" s="36"/>
      <c r="WNM230" s="36"/>
      <c r="WNN230" s="36"/>
      <c r="WNO230" s="36"/>
      <c r="WNP230" s="36"/>
      <c r="WNQ230" s="36"/>
      <c r="WNR230" s="36"/>
      <c r="WNS230" s="36"/>
      <c r="WNT230" s="36"/>
      <c r="WNU230" s="36"/>
      <c r="WNV230" s="36"/>
      <c r="WNW230" s="36"/>
      <c r="WNX230" s="36"/>
      <c r="WNY230" s="36"/>
      <c r="WNZ230" s="36"/>
      <c r="WOA230" s="36"/>
      <c r="WOB230" s="36"/>
      <c r="WOC230" s="36"/>
      <c r="WOD230" s="36"/>
      <c r="WOE230" s="36"/>
      <c r="WOF230" s="36"/>
      <c r="WOG230" s="36"/>
      <c r="WOH230" s="36"/>
      <c r="WOI230" s="36"/>
      <c r="WOJ230" s="36"/>
      <c r="WOK230" s="36"/>
      <c r="WOL230" s="36"/>
      <c r="WOM230" s="36"/>
      <c r="WON230" s="36"/>
      <c r="WOO230" s="36"/>
      <c r="WOP230" s="36"/>
      <c r="WOQ230" s="36"/>
      <c r="WOR230" s="36"/>
      <c r="WOS230" s="36"/>
      <c r="WOT230" s="36"/>
      <c r="WOU230" s="36"/>
      <c r="WOV230" s="36"/>
      <c r="WOW230" s="36"/>
      <c r="WOX230" s="36"/>
      <c r="WOY230" s="36"/>
      <c r="WOZ230" s="36"/>
      <c r="WPA230" s="36"/>
      <c r="WPB230" s="36"/>
      <c r="WPC230" s="36"/>
      <c r="WPD230" s="36"/>
      <c r="WPE230" s="36"/>
      <c r="WPF230" s="36"/>
      <c r="WPG230" s="36"/>
      <c r="WPH230" s="36"/>
      <c r="WPI230" s="36"/>
      <c r="WPJ230" s="36"/>
      <c r="WPK230" s="36"/>
      <c r="WPL230" s="36"/>
      <c r="WPM230" s="36"/>
      <c r="WPN230" s="36"/>
      <c r="WPO230" s="36"/>
      <c r="WPP230" s="36"/>
      <c r="WPQ230" s="36"/>
      <c r="WPR230" s="36"/>
      <c r="WPS230" s="36"/>
      <c r="WPT230" s="36"/>
      <c r="WPU230" s="36"/>
      <c r="WPV230" s="36"/>
      <c r="WPW230" s="36"/>
      <c r="WPX230" s="36"/>
      <c r="WPY230" s="36"/>
      <c r="WPZ230" s="36"/>
      <c r="WQA230" s="36"/>
      <c r="WQB230" s="36"/>
      <c r="WQC230" s="36"/>
      <c r="WQD230" s="36"/>
      <c r="WQE230" s="36"/>
      <c r="WQF230" s="36"/>
      <c r="WQG230" s="36"/>
      <c r="WQH230" s="36"/>
      <c r="WQI230" s="36"/>
      <c r="WQJ230" s="36"/>
      <c r="WQK230" s="36"/>
      <c r="WQL230" s="36"/>
      <c r="WQM230" s="36"/>
      <c r="WQN230" s="36"/>
      <c r="WQO230" s="36"/>
      <c r="WQP230" s="36"/>
      <c r="WQQ230" s="36"/>
      <c r="WQR230" s="36"/>
      <c r="WQS230" s="36"/>
      <c r="WQT230" s="36"/>
      <c r="WQU230" s="36"/>
      <c r="WQV230" s="36"/>
      <c r="WQW230" s="36"/>
      <c r="WQX230" s="36"/>
      <c r="WQY230" s="36"/>
      <c r="WQZ230" s="36"/>
      <c r="WRA230" s="36"/>
      <c r="WRB230" s="36"/>
      <c r="WRC230" s="36"/>
      <c r="WRD230" s="36"/>
      <c r="WRE230" s="36"/>
      <c r="WRF230" s="36"/>
      <c r="WRG230" s="36"/>
      <c r="WRH230" s="36"/>
      <c r="WRI230" s="36"/>
      <c r="WRJ230" s="36"/>
      <c r="WRK230" s="36"/>
      <c r="WRL230" s="36"/>
      <c r="WRM230" s="36"/>
      <c r="WRN230" s="36"/>
      <c r="WRO230" s="36"/>
      <c r="WRP230" s="36"/>
      <c r="WRQ230" s="36"/>
      <c r="WRR230" s="36"/>
      <c r="WRS230" s="36"/>
      <c r="WRT230" s="36"/>
      <c r="WRU230" s="36"/>
      <c r="WRV230" s="36"/>
      <c r="WRW230" s="36"/>
      <c r="WRX230" s="36"/>
      <c r="WRY230" s="36"/>
      <c r="WRZ230" s="36"/>
      <c r="WSA230" s="36"/>
      <c r="WSB230" s="36"/>
      <c r="WSC230" s="36"/>
      <c r="WSD230" s="36"/>
      <c r="WSE230" s="36"/>
      <c r="WSF230" s="36"/>
      <c r="WSG230" s="36"/>
      <c r="WSH230" s="36"/>
      <c r="WSI230" s="36"/>
      <c r="WSJ230" s="36"/>
      <c r="WSK230" s="36"/>
      <c r="WSL230" s="36"/>
      <c r="WSM230" s="36"/>
      <c r="WSN230" s="36"/>
      <c r="WSO230" s="36"/>
      <c r="WSP230" s="36"/>
      <c r="WSQ230" s="36"/>
      <c r="WSR230" s="36"/>
      <c r="WSS230" s="36"/>
      <c r="WST230" s="36"/>
      <c r="WSU230" s="36"/>
      <c r="WSV230" s="36"/>
      <c r="WSW230" s="36"/>
      <c r="WSX230" s="36"/>
      <c r="WSY230" s="36"/>
      <c r="WSZ230" s="36"/>
      <c r="WTA230" s="36"/>
      <c r="WTB230" s="36"/>
      <c r="WTC230" s="36"/>
      <c r="WTD230" s="36"/>
      <c r="WTE230" s="36"/>
      <c r="WTF230" s="36"/>
      <c r="WTG230" s="36"/>
      <c r="WTH230" s="36"/>
      <c r="WTI230" s="36"/>
      <c r="WTJ230" s="36"/>
      <c r="WTK230" s="36"/>
      <c r="WTL230" s="36"/>
      <c r="WTM230" s="36"/>
      <c r="WTN230" s="36"/>
      <c r="WTO230" s="36"/>
      <c r="WTP230" s="36"/>
      <c r="WTQ230" s="36"/>
      <c r="WTR230" s="36"/>
      <c r="WTS230" s="36"/>
      <c r="WTT230" s="36"/>
      <c r="WTU230" s="36"/>
      <c r="WTV230" s="36"/>
      <c r="WTW230" s="36"/>
      <c r="WTX230" s="36"/>
      <c r="WTY230" s="36"/>
      <c r="WTZ230" s="36"/>
      <c r="WUA230" s="36"/>
      <c r="WUB230" s="36"/>
      <c r="WUC230" s="36"/>
      <c r="WUD230" s="36"/>
      <c r="WUE230" s="36"/>
      <c r="WUF230" s="36"/>
      <c r="WUG230" s="36"/>
      <c r="WUH230" s="36"/>
      <c r="WUI230" s="36"/>
      <c r="WUJ230" s="36"/>
      <c r="WUK230" s="36"/>
      <c r="WUL230" s="36"/>
      <c r="WUM230" s="36"/>
      <c r="WUN230" s="36"/>
      <c r="WUO230" s="36"/>
      <c r="WUP230" s="36"/>
      <c r="WUQ230" s="36"/>
      <c r="WUR230" s="36"/>
      <c r="WUS230" s="36"/>
      <c r="WUT230" s="36"/>
      <c r="WUU230" s="36"/>
      <c r="WUV230" s="36"/>
      <c r="WUW230" s="36"/>
      <c r="WUX230" s="36"/>
      <c r="WUY230" s="36"/>
      <c r="WUZ230" s="36"/>
      <c r="WVA230" s="36"/>
      <c r="WVB230" s="36"/>
      <c r="WVC230" s="36"/>
      <c r="WVD230" s="36"/>
      <c r="WVE230" s="36"/>
      <c r="WVF230" s="36"/>
      <c r="WVG230" s="36"/>
      <c r="WVH230" s="36"/>
      <c r="WVI230" s="36"/>
      <c r="WVJ230" s="36"/>
      <c r="WVK230" s="36"/>
      <c r="WVL230" s="36"/>
      <c r="WVM230" s="36"/>
      <c r="WVN230" s="36"/>
      <c r="WVO230" s="36"/>
      <c r="WVP230" s="36"/>
      <c r="WVQ230" s="36"/>
      <c r="WVR230" s="36"/>
      <c r="WVS230" s="36"/>
      <c r="WVT230" s="36"/>
      <c r="WVU230" s="36"/>
      <c r="WVV230" s="36"/>
      <c r="WVW230" s="36"/>
      <c r="WVX230" s="36"/>
      <c r="WVY230" s="36"/>
      <c r="WVZ230" s="36"/>
      <c r="WWA230" s="36"/>
      <c r="WWB230" s="36"/>
      <c r="WWC230" s="36"/>
      <c r="WWD230" s="36"/>
      <c r="WWE230" s="36"/>
      <c r="WWF230" s="36"/>
      <c r="WWG230" s="36"/>
      <c r="WWH230" s="36"/>
      <c r="WWI230" s="36"/>
      <c r="WWJ230" s="36"/>
      <c r="WWK230" s="36"/>
      <c r="WWL230" s="36"/>
      <c r="WWM230" s="36"/>
      <c r="WWN230" s="36"/>
      <c r="WWO230" s="36"/>
      <c r="WWP230" s="36"/>
      <c r="WWQ230" s="36"/>
      <c r="WWR230" s="36"/>
      <c r="WWS230" s="36"/>
      <c r="WWT230" s="36"/>
      <c r="WWU230" s="36"/>
      <c r="WWV230" s="36"/>
      <c r="WWW230" s="36"/>
      <c r="WWX230" s="36"/>
      <c r="WWY230" s="36"/>
      <c r="WWZ230" s="36"/>
      <c r="WXA230" s="36"/>
      <c r="WXB230" s="36"/>
      <c r="WXC230" s="36"/>
      <c r="WXD230" s="36"/>
      <c r="WXE230" s="36"/>
      <c r="WXF230" s="36"/>
      <c r="WXG230" s="36"/>
      <c r="WXH230" s="36"/>
      <c r="WXI230" s="36"/>
      <c r="WXJ230" s="36"/>
      <c r="WXK230" s="36"/>
      <c r="WXL230" s="36"/>
      <c r="WXM230" s="36"/>
      <c r="WXN230" s="36"/>
      <c r="WXO230" s="36"/>
      <c r="WXP230" s="36"/>
      <c r="WXQ230" s="36"/>
      <c r="WXR230" s="36"/>
      <c r="WXS230" s="36"/>
      <c r="WXT230" s="36"/>
      <c r="WXU230" s="36"/>
      <c r="WXV230" s="36"/>
      <c r="WXW230" s="36"/>
      <c r="WXX230" s="36"/>
      <c r="WXY230" s="36"/>
      <c r="WXZ230" s="36"/>
      <c r="WYA230" s="36"/>
      <c r="WYB230" s="36"/>
      <c r="WYC230" s="36"/>
      <c r="WYD230" s="36"/>
      <c r="WYE230" s="36"/>
      <c r="WYF230" s="36"/>
      <c r="WYG230" s="36"/>
      <c r="WYH230" s="36"/>
      <c r="WYI230" s="36"/>
      <c r="WYJ230" s="36"/>
      <c r="WYK230" s="36"/>
      <c r="WYL230" s="36"/>
      <c r="WYM230" s="36"/>
      <c r="WYN230" s="36"/>
      <c r="WYO230" s="36"/>
      <c r="WYP230" s="36"/>
      <c r="WYQ230" s="36"/>
      <c r="WYR230" s="36"/>
      <c r="WYS230" s="36"/>
      <c r="WYT230" s="36"/>
      <c r="WYU230" s="36"/>
      <c r="WYV230" s="36"/>
      <c r="WYW230" s="36"/>
      <c r="WYX230" s="36"/>
      <c r="WYY230" s="36"/>
      <c r="WYZ230" s="36"/>
      <c r="WZA230" s="36"/>
      <c r="WZB230" s="36"/>
      <c r="WZC230" s="36"/>
      <c r="WZD230" s="36"/>
      <c r="WZE230" s="36"/>
      <c r="WZF230" s="36"/>
      <c r="WZG230" s="36"/>
      <c r="WZH230" s="36"/>
      <c r="WZI230" s="36"/>
      <c r="WZJ230" s="36"/>
      <c r="WZK230" s="36"/>
      <c r="WZL230" s="36"/>
      <c r="WZM230" s="36"/>
      <c r="WZN230" s="36"/>
      <c r="WZO230" s="36"/>
      <c r="WZP230" s="36"/>
      <c r="WZQ230" s="36"/>
      <c r="WZR230" s="36"/>
      <c r="WZS230" s="36"/>
      <c r="WZT230" s="36"/>
      <c r="WZU230" s="36"/>
      <c r="WZV230" s="36"/>
      <c r="WZW230" s="36"/>
      <c r="WZX230" s="36"/>
      <c r="WZY230" s="36"/>
      <c r="WZZ230" s="36"/>
      <c r="XAA230" s="36"/>
      <c r="XAB230" s="36"/>
      <c r="XAC230" s="36"/>
      <c r="XAD230" s="36"/>
      <c r="XAE230" s="36"/>
      <c r="XAF230" s="36"/>
      <c r="XAG230" s="36"/>
      <c r="XAH230" s="36"/>
      <c r="XAI230" s="36"/>
      <c r="XAJ230" s="36"/>
      <c r="XAK230" s="36"/>
      <c r="XAL230" s="36"/>
      <c r="XAM230" s="36"/>
      <c r="XAN230" s="36"/>
      <c r="XAO230" s="36"/>
      <c r="XAP230" s="36"/>
      <c r="XAQ230" s="36"/>
      <c r="XAR230" s="36"/>
      <c r="XAS230" s="36"/>
      <c r="XAT230" s="36"/>
      <c r="XAU230" s="36"/>
      <c r="XAV230" s="36"/>
      <c r="XAW230" s="36"/>
      <c r="XAX230" s="36"/>
      <c r="XAY230" s="36"/>
      <c r="XAZ230" s="36"/>
      <c r="XBA230" s="36"/>
      <c r="XBB230" s="36"/>
      <c r="XBC230" s="36"/>
      <c r="XBD230" s="36"/>
      <c r="XBE230" s="36"/>
      <c r="XBF230" s="36"/>
      <c r="XBG230" s="36"/>
      <c r="XBH230" s="36"/>
      <c r="XBI230" s="36"/>
      <c r="XBJ230" s="36"/>
      <c r="XBK230" s="36"/>
      <c r="XBL230" s="36"/>
      <c r="XBM230" s="36"/>
      <c r="XBN230" s="36"/>
      <c r="XBO230" s="36"/>
      <c r="XBP230" s="36"/>
      <c r="XBQ230" s="36"/>
      <c r="XBR230" s="36"/>
      <c r="XBS230" s="36"/>
      <c r="XBT230" s="36"/>
      <c r="XBU230" s="36"/>
      <c r="XBV230" s="36"/>
      <c r="XBW230" s="36"/>
      <c r="XBX230" s="36"/>
      <c r="XBY230" s="36"/>
      <c r="XBZ230" s="36"/>
      <c r="XCA230" s="36"/>
      <c r="XCB230" s="36"/>
      <c r="XCC230" s="36"/>
      <c r="XCD230" s="36"/>
      <c r="XCE230" s="36"/>
      <c r="XCF230" s="36"/>
      <c r="XCG230" s="36"/>
      <c r="XCH230" s="36"/>
      <c r="XCI230" s="36"/>
      <c r="XCJ230" s="36"/>
      <c r="XCK230" s="36"/>
      <c r="XCL230" s="36"/>
      <c r="XCM230" s="36"/>
      <c r="XCN230" s="36"/>
      <c r="XCO230" s="36"/>
      <c r="XCP230" s="36"/>
      <c r="XCQ230" s="36"/>
      <c r="XCR230" s="36"/>
      <c r="XCS230" s="36"/>
      <c r="XCT230" s="36"/>
      <c r="XCU230" s="36"/>
      <c r="XCV230" s="36"/>
      <c r="XCW230" s="36"/>
      <c r="XCX230" s="36"/>
      <c r="XCY230" s="36"/>
      <c r="XCZ230" s="36"/>
      <c r="XDA230" s="36"/>
      <c r="XDB230" s="36"/>
      <c r="XDC230" s="36"/>
      <c r="XDD230" s="36"/>
      <c r="XDE230" s="36"/>
      <c r="XDF230" s="36"/>
      <c r="XDG230" s="36"/>
      <c r="XDH230" s="36"/>
      <c r="XDI230" s="36"/>
      <c r="XDJ230" s="36"/>
      <c r="XDK230" s="36"/>
      <c r="XDL230" s="36"/>
      <c r="XDM230" s="36"/>
      <c r="XDN230" s="36"/>
      <c r="XDO230" s="36"/>
      <c r="XDP230" s="36"/>
      <c r="XDQ230" s="36"/>
      <c r="XDR230" s="36"/>
      <c r="XDS230" s="36"/>
      <c r="XDT230" s="36"/>
      <c r="XDU230" s="36"/>
      <c r="XDV230" s="36"/>
      <c r="XDW230" s="36"/>
      <c r="XDX230" s="36"/>
      <c r="XDY230" s="36"/>
      <c r="XDZ230" s="36"/>
      <c r="XEA230" s="36"/>
      <c r="XEB230" s="36"/>
      <c r="XEC230" s="36"/>
      <c r="XED230" s="36"/>
      <c r="XEE230" s="36"/>
      <c r="XEF230" s="36"/>
      <c r="XEG230" s="36"/>
      <c r="XEH230" s="36"/>
      <c r="XEI230" s="36"/>
      <c r="XEJ230" s="36"/>
      <c r="XEK230" s="36"/>
      <c r="XEL230" s="36"/>
      <c r="XEM230" s="36"/>
      <c r="XEN230" s="36"/>
      <c r="XEO230" s="36"/>
      <c r="XEP230" s="36"/>
      <c r="XEQ230" s="36"/>
      <c r="XER230" s="36"/>
      <c r="XES230" s="36"/>
      <c r="XET230" s="36"/>
      <c r="XEU230" s="36"/>
      <c r="XEV230" s="36"/>
      <c r="XEW230" s="36"/>
      <c r="XEX230" s="36"/>
      <c r="XEY230" s="36"/>
      <c r="XEZ230" s="36"/>
      <c r="XFA230" s="36"/>
      <c r="XFB230" s="36"/>
      <c r="XFC230" s="36"/>
    </row>
    <row r="231" spans="1:16383" ht="15" hidden="1" thickTop="1">
      <c r="B231" s="412" t="str">
        <f t="shared" ref="B231:B237" si="16">D$231</f>
        <v>Autre #2</v>
      </c>
      <c r="C231" s="2086" t="s">
        <v>275</v>
      </c>
      <c r="D231" s="832" t="str">
        <f>nAutre2</f>
        <v>Autre #2</v>
      </c>
      <c r="E231" s="1370" t="s">
        <v>224</v>
      </c>
      <c r="F231" s="1945" t="str">
        <f>IFERROR(G231/G$248,"")</f>
        <v/>
      </c>
      <c r="G231" s="1946">
        <f>SUMIFS(F$92:F$101,PlanRotationPaturageS0,$B231)+SUMIFS(F$78:F$87,PlanRotationS0,$B231)</f>
        <v>0</v>
      </c>
      <c r="H231" s="837" t="str">
        <f>IFERROR(I231/I$248,"")</f>
        <v/>
      </c>
      <c r="I231" s="845">
        <f>SUMIFS(H$92:H$101,PlanRotationPaturageS1,$B231)+SUMIFS(H$78:H$87,PlanRotationS1,$B231)</f>
        <v>0</v>
      </c>
      <c r="J231" s="839" t="str">
        <f>IFERROR(K231/K$248,"")</f>
        <v/>
      </c>
      <c r="K231" s="845">
        <f>SUMIFS(J$92:J$101,PlanRotationPaturageS2,$B231)+SUMIFS(J$78:J$87,PlanRotationS2,$B231)</f>
        <v>0</v>
      </c>
      <c r="L231" s="842" t="str">
        <f>IFERROR(M231/M$248,"")</f>
        <v/>
      </c>
      <c r="M231" s="845">
        <f>SUMIFS(L$92:L$101,PlanRotationPaturageS3,$B231)+SUMIFS(L$78:L$87,PlanRotationS3,$B231)</f>
        <v>0</v>
      </c>
      <c r="N231" s="842" t="str">
        <f>IFERROR(O231/O$248,"")</f>
        <v/>
      </c>
      <c r="O231" s="845">
        <f>SUMIFS(N$92:N$101,PlanRotationPaturageS4,$B231)+SUMIFS(N$78:N$87,PlanRotationS4,$B231)</f>
        <v>0</v>
      </c>
      <c r="P231" s="842" t="str">
        <f>IFERROR(Q231/Q$248,"")</f>
        <v/>
      </c>
      <c r="Q231" s="845">
        <f>SUMIFS(P$92:P$101,PlanRotationPaturageS5,$B231)+SUMIFS(P$78:P$87,PlanRotationS5,$B231)</f>
        <v>0</v>
      </c>
    </row>
    <row r="232" spans="1:16383" hidden="1">
      <c r="B232" s="412" t="str">
        <f t="shared" si="16"/>
        <v>Autre #2</v>
      </c>
      <c r="D232" s="765" t="s">
        <v>281</v>
      </c>
      <c r="E232" s="1371" t="s">
        <v>254</v>
      </c>
      <c r="F232" s="1953"/>
      <c r="G232" s="1946">
        <f ca="1">OFFSET(RéfChamps!$DL$55,0,IF(ProdS0="Biologique",0,3))</f>
        <v>0</v>
      </c>
      <c r="H232" s="469"/>
      <c r="I232" s="834">
        <f ca="1">OFFSET(RéfChamps!$DL$55,0,IF(ProdS1="Biologique",0,3))</f>
        <v>0</v>
      </c>
      <c r="J232" s="996"/>
      <c r="K232" s="834">
        <f ca="1">OFFSET(RéfChamps!$DL$55,0,IF(ProdS2="Biologique",0,3))</f>
        <v>0</v>
      </c>
      <c r="L232" s="999"/>
      <c r="M232" s="834">
        <f ca="1">OFFSET(RéfChamps!$DL$55,0,IF(ProdS3="Biologique",0,3))</f>
        <v>0</v>
      </c>
      <c r="N232" s="999"/>
      <c r="O232" s="834">
        <f ca="1">OFFSET(RéfChamps!$DL$55,0,IF(ProdS4="Biologique",0,3))</f>
        <v>0</v>
      </c>
      <c r="P232" s="999"/>
      <c r="Q232" s="834">
        <f ca="1">OFFSET(RéfChamps!$DL$55,0,IF(ProdS5="Biologique",0,3))</f>
        <v>0</v>
      </c>
      <c r="S232" s="14"/>
    </row>
    <row r="233" spans="1:16383" hidden="1">
      <c r="B233" s="412" t="str">
        <f t="shared" si="16"/>
        <v>Autre #2</v>
      </c>
      <c r="D233" s="765" t="s">
        <v>252</v>
      </c>
      <c r="E233" s="1371" t="s">
        <v>937</v>
      </c>
      <c r="F233" s="1945"/>
      <c r="G233" s="1946">
        <f ca="1">OFFSET(RéfChamps!$DJ$5,0,IF(ProdS0="Biologique",0,3))</f>
        <v>0</v>
      </c>
      <c r="H233" s="469"/>
      <c r="I233" s="1468">
        <f ca="1">OFFSET(RéfChamps!$DJ$5,0,IF(ProdS1="Biologique",0,3))</f>
        <v>0</v>
      </c>
      <c r="J233" s="996"/>
      <c r="K233" s="1072">
        <f ca="1">OFFSET(RéfChamps!$DJ$5,0,IF(ProdS2="Biologique",0,3))</f>
        <v>0</v>
      </c>
      <c r="L233" s="1073"/>
      <c r="M233" s="1072">
        <f ca="1">OFFSET(RéfChamps!$DJ$5,0,IF(ProdS3="Biologique",0,3))</f>
        <v>0</v>
      </c>
      <c r="N233" s="1073"/>
      <c r="O233" s="1072">
        <f ca="1">OFFSET(RéfChamps!$DJ$5,0,IF(ProdS4="Biologique",0,3))</f>
        <v>0</v>
      </c>
      <c r="P233" s="1073"/>
      <c r="Q233" s="1072">
        <f ca="1">OFFSET(RéfChamps!$DJ$5,0,IF(ProdS5="Biologique",0,3))</f>
        <v>0</v>
      </c>
    </row>
    <row r="234" spans="1:16383" hidden="1">
      <c r="B234" s="412" t="str">
        <f t="shared" si="16"/>
        <v>Autre #2</v>
      </c>
      <c r="D234" s="765" t="s">
        <v>253</v>
      </c>
      <c r="E234" s="1371" t="s">
        <v>225</v>
      </c>
      <c r="F234" s="1945"/>
      <c r="G234" s="1946">
        <f ca="1">OFFSET(RéfChamps!$DK$5,0,IF(PrixS0="Biologique",0,3))</f>
        <v>0</v>
      </c>
      <c r="H234" s="469"/>
      <c r="I234" s="835">
        <f ca="1">OFFSET(RéfChamps!$DK$5,0,IF(PrixS1="Biologique",0,3))</f>
        <v>0</v>
      </c>
      <c r="J234" s="996"/>
      <c r="K234" s="835">
        <f ca="1">OFFSET(RéfChamps!$DK$5,0,IF(PrixS2="Biologique",0,3))</f>
        <v>0</v>
      </c>
      <c r="L234" s="1000"/>
      <c r="M234" s="835">
        <f ca="1">OFFSET(RéfChamps!$DK$5,0,IF(PrixS3="Biologique",0,3))</f>
        <v>0</v>
      </c>
      <c r="N234" s="1000"/>
      <c r="O234" s="835">
        <f ca="1">OFFSET(RéfChamps!$DK$5,0,IF(PrixS4="Biologique",0,3))</f>
        <v>0</v>
      </c>
      <c r="P234" s="1000"/>
      <c r="Q234" s="835">
        <f ca="1">OFFSET(RéfChamps!$DK$5,0,IF(PrixS5="Biologique",0,3))</f>
        <v>0</v>
      </c>
    </row>
    <row r="235" spans="1:16383" hidden="1">
      <c r="B235" s="412" t="str">
        <f t="shared" si="16"/>
        <v>Autre #2</v>
      </c>
      <c r="D235" s="765" t="s">
        <v>282</v>
      </c>
      <c r="E235" s="1371" t="s">
        <v>254</v>
      </c>
      <c r="F235" s="1945"/>
      <c r="G235" s="1946">
        <f ca="1">SUMPRODUCT(OFFSET(RéfChamps!$DJ$5:$DJ$9,0,IF(ProdS0="Biologique",0,3)),OFFSET(RéfChamps!$DK$5:$DK$9,0,IF(PrixS0="Biologique",0,3)))</f>
        <v>0</v>
      </c>
      <c r="H235" s="469"/>
      <c r="I235" s="835">
        <f ca="1">SUMPRODUCT(OFFSET(RéfChamps!$DJ$5:$DJ$9,0,IF(ProdS1="Biologique",0,3)),OFFSET(RéfChamps!$DK$5:$DK$9,0,IF(PrixS1="Biologique",0,3)))</f>
        <v>0</v>
      </c>
      <c r="J235" s="997"/>
      <c r="K235" s="835">
        <f ca="1">SUMPRODUCT(OFFSET(RéfChamps!$DJ$5:$DJ$9,0,IF(ProdS2="Biologique",0,3)),OFFSET(RéfChamps!$DK$5:$DK$9,0,IF(PrixS2="Biologique",0,3)))</f>
        <v>0</v>
      </c>
      <c r="L235" s="1000"/>
      <c r="M235" s="835">
        <f ca="1">SUMPRODUCT(OFFSET(RéfChamps!$DJ$5:$DJ$9,0,IF(ProdS3="Biologique",0,3)),OFFSET(RéfChamps!$DK$5:$DK$9,0,IF(PrixS3="Biologique",0,3)))</f>
        <v>0</v>
      </c>
      <c r="N235" s="1000"/>
      <c r="O235" s="835">
        <f ca="1">SUMPRODUCT(OFFSET(RéfChamps!$DJ$5:$DJ$9,0,IF(ProdS4="Biologique",0,3)),OFFSET(RéfChamps!$DK$5:$DK$9,0,IF(PrixS4="Biologique",0,3)))</f>
        <v>0</v>
      </c>
      <c r="P235" s="1000"/>
      <c r="Q235" s="835">
        <f ca="1">SUMPRODUCT(OFFSET(RéfChamps!$DJ$5:$DJ$9,0,IF(ProdS5="Biologique",0,3)),OFFSET(RéfChamps!$DK$5:$DK$9,0,IF(PrixS5="Biologique",0,3)))</f>
        <v>0</v>
      </c>
    </row>
    <row r="236" spans="1:16383" s="346" customFormat="1" ht="15" hidden="1" thickBot="1">
      <c r="A236" s="413"/>
      <c r="B236" s="428" t="str">
        <f t="shared" si="16"/>
        <v>Autre #2</v>
      </c>
      <c r="D236" s="765" t="s">
        <v>1457</v>
      </c>
      <c r="E236" s="1371" t="s">
        <v>254</v>
      </c>
      <c r="F236" s="1945"/>
      <c r="G236" s="1951">
        <f ca="1">IFERROR(G235-G232,"Erreur")</f>
        <v>0</v>
      </c>
      <c r="H236" s="469"/>
      <c r="I236" s="846">
        <f ca="1">IFERROR(I235-I232,"Erreur")</f>
        <v>0</v>
      </c>
      <c r="J236" s="998"/>
      <c r="K236" s="846">
        <f ca="1">IFERROR(K235-K232,"Erreur")</f>
        <v>0</v>
      </c>
      <c r="L236" s="1001"/>
      <c r="M236" s="846">
        <f ca="1">IFERROR(M235-M232,"Erreur")</f>
        <v>0</v>
      </c>
      <c r="N236" s="1001"/>
      <c r="O236" s="846">
        <f ca="1">IFERROR(O235-O232,"Erreur")</f>
        <v>0</v>
      </c>
      <c r="P236" s="1001"/>
      <c r="Q236" s="846">
        <f ca="1">IFERROR(Q235-Q232,"Erreur")</f>
        <v>0</v>
      </c>
      <c r="R236" s="1698"/>
    </row>
    <row r="237" spans="1:16383" s="28" customFormat="1" ht="15.75" hidden="1" thickTop="1" thickBot="1">
      <c r="A237" s="411"/>
      <c r="B237" s="428" t="str">
        <f t="shared" si="16"/>
        <v>Autre #2</v>
      </c>
      <c r="C237" s="36"/>
      <c r="D237" s="2085" t="str">
        <f>"Détails pour """&amp;LOWER(D231)&amp;""""</f>
        <v>Détails pour "autre #2"</v>
      </c>
      <c r="E237" s="1371"/>
      <c r="F237" s="1952"/>
      <c r="G237" s="1946"/>
      <c r="H237" s="994"/>
      <c r="I237" s="1612"/>
      <c r="J237" s="1002"/>
      <c r="K237" s="1612"/>
      <c r="L237" s="1002"/>
      <c r="M237" s="1612"/>
      <c r="N237" s="1002"/>
      <c r="O237" s="1612"/>
      <c r="P237" s="1002"/>
      <c r="Q237" s="1612"/>
      <c r="R237" s="1701"/>
      <c r="S237" s="36"/>
      <c r="T237" s="36"/>
      <c r="U237" s="36"/>
      <c r="V237" s="36"/>
      <c r="W237" s="36"/>
      <c r="X237" s="36"/>
      <c r="Y237" s="36"/>
      <c r="Z237" s="36"/>
      <c r="AA237" s="36"/>
      <c r="AB237" s="36"/>
      <c r="AC237" s="36"/>
      <c r="AD237" s="36"/>
      <c r="AE237" s="36"/>
      <c r="AF237" s="36"/>
      <c r="AG237" s="36"/>
      <c r="AH237" s="36"/>
      <c r="AI237" s="36"/>
      <c r="AJ237" s="36"/>
      <c r="AK237" s="36"/>
      <c r="AL237" s="36"/>
      <c r="AM237" s="36"/>
      <c r="AN237" s="36"/>
      <c r="AO237" s="36"/>
      <c r="AP237" s="36"/>
      <c r="AQ237" s="36"/>
      <c r="AR237" s="36"/>
      <c r="AS237" s="36"/>
      <c r="AT237" s="36"/>
      <c r="AU237" s="36"/>
      <c r="AV237" s="36"/>
      <c r="AW237" s="36"/>
      <c r="AX237" s="36"/>
      <c r="AY237" s="36"/>
      <c r="AZ237" s="36"/>
      <c r="BA237" s="36"/>
      <c r="BB237" s="36"/>
      <c r="BC237" s="36"/>
      <c r="BD237" s="36"/>
      <c r="BE237" s="36"/>
      <c r="BF237" s="36"/>
      <c r="BG237" s="36"/>
      <c r="BH237" s="36"/>
      <c r="BI237" s="36"/>
      <c r="BJ237" s="36"/>
      <c r="BK237" s="36"/>
      <c r="BL237" s="36"/>
      <c r="BM237" s="36"/>
      <c r="BN237" s="36"/>
      <c r="BO237" s="36"/>
      <c r="BP237" s="36"/>
      <c r="BQ237" s="36"/>
      <c r="BR237" s="36"/>
      <c r="BS237" s="36"/>
      <c r="BT237" s="36"/>
      <c r="BU237" s="36"/>
      <c r="BV237" s="36"/>
      <c r="BW237" s="36"/>
      <c r="BX237" s="36"/>
      <c r="BY237" s="36"/>
      <c r="BZ237" s="36"/>
      <c r="CA237" s="36"/>
      <c r="CB237" s="36"/>
      <c r="CC237" s="36"/>
      <c r="CD237" s="36"/>
      <c r="CE237" s="36"/>
      <c r="CF237" s="36"/>
      <c r="CG237" s="36"/>
      <c r="CH237" s="36"/>
      <c r="CI237" s="36"/>
      <c r="CJ237" s="36"/>
      <c r="CK237" s="36"/>
      <c r="CL237" s="36"/>
      <c r="CM237" s="36"/>
      <c r="CN237" s="36"/>
      <c r="CO237" s="36"/>
      <c r="CP237" s="36"/>
      <c r="CQ237" s="36"/>
      <c r="CR237" s="36"/>
      <c r="CS237" s="36"/>
      <c r="CT237" s="36"/>
      <c r="CU237" s="36"/>
      <c r="CV237" s="36"/>
      <c r="CW237" s="36"/>
      <c r="CX237" s="36"/>
      <c r="CY237" s="36"/>
      <c r="CZ237" s="36"/>
      <c r="DA237" s="36"/>
      <c r="DB237" s="36"/>
      <c r="DC237" s="36"/>
      <c r="DD237" s="36"/>
      <c r="DE237" s="36"/>
      <c r="DF237" s="36"/>
      <c r="DG237" s="36"/>
      <c r="DH237" s="36"/>
      <c r="DI237" s="36"/>
      <c r="DJ237" s="36"/>
      <c r="DK237" s="36"/>
      <c r="DL237" s="36"/>
      <c r="DM237" s="36"/>
      <c r="DN237" s="36"/>
      <c r="DO237" s="36"/>
      <c r="DP237" s="36"/>
      <c r="DQ237" s="36"/>
      <c r="DR237" s="36"/>
      <c r="DS237" s="36"/>
      <c r="DT237" s="36"/>
      <c r="DU237" s="36"/>
      <c r="DV237" s="36"/>
      <c r="DW237" s="36"/>
      <c r="DX237" s="36"/>
      <c r="DY237" s="36"/>
      <c r="DZ237" s="36"/>
      <c r="EA237" s="36"/>
      <c r="EB237" s="36"/>
      <c r="EC237" s="36"/>
      <c r="ED237" s="36"/>
      <c r="EE237" s="36"/>
      <c r="EF237" s="36"/>
      <c r="EG237" s="36"/>
      <c r="EH237" s="36"/>
      <c r="EI237" s="36"/>
      <c r="EJ237" s="36"/>
      <c r="EK237" s="36"/>
      <c r="EL237" s="36"/>
      <c r="EM237" s="36"/>
      <c r="EN237" s="36"/>
      <c r="EO237" s="36"/>
      <c r="EP237" s="36"/>
      <c r="EQ237" s="36"/>
      <c r="ER237" s="36"/>
      <c r="ES237" s="36"/>
      <c r="ET237" s="36"/>
      <c r="EU237" s="36"/>
      <c r="EV237" s="36"/>
      <c r="EW237" s="36"/>
      <c r="EX237" s="36"/>
      <c r="EY237" s="36"/>
      <c r="EZ237" s="36"/>
      <c r="FA237" s="36"/>
      <c r="FB237" s="36"/>
      <c r="FC237" s="36"/>
      <c r="FD237" s="36"/>
      <c r="FE237" s="36"/>
      <c r="FF237" s="36"/>
      <c r="FG237" s="36"/>
      <c r="FH237" s="36"/>
      <c r="FI237" s="36"/>
      <c r="FJ237" s="36"/>
      <c r="FK237" s="36"/>
      <c r="FL237" s="36"/>
      <c r="FM237" s="36"/>
      <c r="FN237" s="36"/>
      <c r="FO237" s="36"/>
      <c r="FP237" s="36"/>
      <c r="FQ237" s="36"/>
      <c r="FR237" s="36"/>
      <c r="FS237" s="36"/>
      <c r="FT237" s="36"/>
      <c r="FU237" s="36"/>
      <c r="FV237" s="36"/>
      <c r="FW237" s="36"/>
      <c r="FX237" s="36"/>
      <c r="FY237" s="36"/>
      <c r="FZ237" s="36"/>
      <c r="GA237" s="36"/>
      <c r="GB237" s="36"/>
      <c r="GC237" s="36"/>
      <c r="GD237" s="36"/>
      <c r="GE237" s="36"/>
      <c r="GF237" s="36"/>
      <c r="GG237" s="36"/>
      <c r="GH237" s="36"/>
      <c r="GI237" s="36"/>
      <c r="GJ237" s="36"/>
      <c r="GK237" s="36"/>
      <c r="GL237" s="36"/>
      <c r="GM237" s="36"/>
      <c r="GN237" s="36"/>
      <c r="GO237" s="36"/>
      <c r="GP237" s="36"/>
      <c r="GQ237" s="36"/>
      <c r="GR237" s="36"/>
      <c r="GS237" s="36"/>
      <c r="GT237" s="36"/>
      <c r="GU237" s="36"/>
      <c r="GV237" s="36"/>
      <c r="GW237" s="36"/>
      <c r="GX237" s="36"/>
      <c r="GY237" s="36"/>
      <c r="GZ237" s="36"/>
      <c r="HA237" s="36"/>
      <c r="HB237" s="36"/>
      <c r="HC237" s="36"/>
      <c r="HD237" s="36"/>
      <c r="HE237" s="36"/>
      <c r="HF237" s="36"/>
      <c r="HG237" s="36"/>
      <c r="HH237" s="36"/>
      <c r="HI237" s="36"/>
      <c r="HJ237" s="36"/>
      <c r="HK237" s="36"/>
      <c r="HL237" s="36"/>
      <c r="HM237" s="36"/>
      <c r="HN237" s="36"/>
      <c r="HO237" s="36"/>
      <c r="HP237" s="36"/>
      <c r="HQ237" s="36"/>
      <c r="HR237" s="36"/>
      <c r="HS237" s="36"/>
      <c r="HT237" s="36"/>
      <c r="HU237" s="36"/>
      <c r="HV237" s="36"/>
      <c r="HW237" s="36"/>
      <c r="HX237" s="36"/>
      <c r="HY237" s="36"/>
      <c r="HZ237" s="36"/>
      <c r="IA237" s="36"/>
      <c r="IB237" s="36"/>
      <c r="IC237" s="36"/>
      <c r="ID237" s="36"/>
      <c r="IE237" s="36"/>
      <c r="IF237" s="36"/>
      <c r="IG237" s="36"/>
      <c r="IH237" s="36"/>
      <c r="II237" s="36"/>
      <c r="IJ237" s="36"/>
      <c r="IK237" s="36"/>
      <c r="IL237" s="36"/>
      <c r="IM237" s="36"/>
      <c r="IN237" s="36"/>
      <c r="IO237" s="36"/>
      <c r="IP237" s="36"/>
      <c r="IQ237" s="36"/>
      <c r="IR237" s="36"/>
      <c r="IS237" s="36"/>
      <c r="IT237" s="36"/>
      <c r="IU237" s="36"/>
      <c r="IV237" s="36"/>
      <c r="IW237" s="36"/>
      <c r="IX237" s="36"/>
      <c r="IY237" s="36"/>
      <c r="IZ237" s="36"/>
      <c r="JA237" s="36"/>
      <c r="JB237" s="36"/>
      <c r="JC237" s="36"/>
      <c r="JD237" s="36"/>
      <c r="JE237" s="36"/>
      <c r="JF237" s="36"/>
      <c r="JG237" s="36"/>
      <c r="JH237" s="36"/>
      <c r="JI237" s="36"/>
      <c r="JJ237" s="36"/>
      <c r="JK237" s="36"/>
      <c r="JL237" s="36"/>
      <c r="JM237" s="36"/>
      <c r="JN237" s="36"/>
      <c r="JO237" s="36"/>
      <c r="JP237" s="36"/>
      <c r="JQ237" s="36"/>
      <c r="JR237" s="36"/>
      <c r="JS237" s="36"/>
      <c r="JT237" s="36"/>
      <c r="JU237" s="36"/>
      <c r="JV237" s="36"/>
      <c r="JW237" s="36"/>
      <c r="JX237" s="36"/>
      <c r="JY237" s="36"/>
      <c r="JZ237" s="36"/>
      <c r="KA237" s="36"/>
      <c r="KB237" s="36"/>
      <c r="KC237" s="36"/>
      <c r="KD237" s="36"/>
      <c r="KE237" s="36"/>
      <c r="KF237" s="36"/>
      <c r="KG237" s="36"/>
      <c r="KH237" s="36"/>
      <c r="KI237" s="36"/>
      <c r="KJ237" s="36"/>
      <c r="KK237" s="36"/>
      <c r="KL237" s="36"/>
      <c r="KM237" s="36"/>
      <c r="KN237" s="36"/>
      <c r="KO237" s="36"/>
      <c r="KP237" s="36"/>
      <c r="KQ237" s="36"/>
      <c r="KR237" s="36"/>
      <c r="KS237" s="36"/>
      <c r="KT237" s="36"/>
      <c r="KU237" s="36"/>
      <c r="KV237" s="36"/>
      <c r="KW237" s="36"/>
      <c r="KX237" s="36"/>
      <c r="KY237" s="36"/>
      <c r="KZ237" s="36"/>
      <c r="LA237" s="36"/>
      <c r="LB237" s="36"/>
      <c r="LC237" s="36"/>
      <c r="LD237" s="36"/>
      <c r="LE237" s="36"/>
      <c r="LF237" s="36"/>
      <c r="LG237" s="36"/>
      <c r="LH237" s="36"/>
      <c r="LI237" s="36"/>
      <c r="LJ237" s="36"/>
      <c r="LK237" s="36"/>
      <c r="LL237" s="36"/>
      <c r="LM237" s="36"/>
      <c r="LN237" s="36"/>
      <c r="LO237" s="36"/>
      <c r="LP237" s="36"/>
      <c r="LQ237" s="36"/>
      <c r="LR237" s="36"/>
      <c r="LS237" s="36"/>
      <c r="LT237" s="36"/>
      <c r="LU237" s="36"/>
      <c r="LV237" s="36"/>
      <c r="LW237" s="36"/>
      <c r="LX237" s="36"/>
      <c r="LY237" s="36"/>
      <c r="LZ237" s="36"/>
      <c r="MA237" s="36"/>
      <c r="MB237" s="36"/>
      <c r="MC237" s="36"/>
      <c r="MD237" s="36"/>
      <c r="ME237" s="36"/>
      <c r="MF237" s="36"/>
      <c r="MG237" s="36"/>
      <c r="MH237" s="36"/>
      <c r="MI237" s="36"/>
      <c r="MJ237" s="36"/>
      <c r="MK237" s="36"/>
      <c r="ML237" s="36"/>
      <c r="MM237" s="36"/>
      <c r="MN237" s="36"/>
      <c r="MO237" s="36"/>
      <c r="MP237" s="36"/>
      <c r="MQ237" s="36"/>
      <c r="MR237" s="36"/>
      <c r="MS237" s="36"/>
      <c r="MT237" s="36"/>
      <c r="MU237" s="36"/>
      <c r="MV237" s="36"/>
      <c r="MW237" s="36"/>
      <c r="MX237" s="36"/>
      <c r="MY237" s="36"/>
      <c r="MZ237" s="36"/>
      <c r="NA237" s="36"/>
      <c r="NB237" s="36"/>
      <c r="NC237" s="36"/>
      <c r="ND237" s="36"/>
      <c r="NE237" s="36"/>
      <c r="NF237" s="36"/>
      <c r="NG237" s="36"/>
      <c r="NH237" s="36"/>
      <c r="NI237" s="36"/>
      <c r="NJ237" s="36"/>
      <c r="NK237" s="36"/>
      <c r="NL237" s="36"/>
      <c r="NM237" s="36"/>
      <c r="NN237" s="36"/>
      <c r="NO237" s="36"/>
      <c r="NP237" s="36"/>
      <c r="NQ237" s="36"/>
      <c r="NR237" s="36"/>
      <c r="NS237" s="36"/>
      <c r="NT237" s="36"/>
      <c r="NU237" s="36"/>
      <c r="NV237" s="36"/>
      <c r="NW237" s="36"/>
      <c r="NX237" s="36"/>
      <c r="NY237" s="36"/>
      <c r="NZ237" s="36"/>
      <c r="OA237" s="36"/>
      <c r="OB237" s="36"/>
      <c r="OC237" s="36"/>
      <c r="OD237" s="36"/>
      <c r="OE237" s="36"/>
      <c r="OF237" s="36"/>
      <c r="OG237" s="36"/>
      <c r="OH237" s="36"/>
      <c r="OI237" s="36"/>
      <c r="OJ237" s="36"/>
      <c r="OK237" s="36"/>
      <c r="OL237" s="36"/>
      <c r="OM237" s="36"/>
      <c r="ON237" s="36"/>
      <c r="OO237" s="36"/>
      <c r="OP237" s="36"/>
      <c r="OQ237" s="36"/>
      <c r="OR237" s="36"/>
      <c r="OS237" s="36"/>
      <c r="OT237" s="36"/>
      <c r="OU237" s="36"/>
      <c r="OV237" s="36"/>
      <c r="OW237" s="36"/>
      <c r="OX237" s="36"/>
      <c r="OY237" s="36"/>
      <c r="OZ237" s="36"/>
      <c r="PA237" s="36"/>
      <c r="PB237" s="36"/>
      <c r="PC237" s="36"/>
      <c r="PD237" s="36"/>
      <c r="PE237" s="36"/>
      <c r="PF237" s="36"/>
      <c r="PG237" s="36"/>
      <c r="PH237" s="36"/>
      <c r="PI237" s="36"/>
      <c r="PJ237" s="36"/>
      <c r="PK237" s="36"/>
      <c r="PL237" s="36"/>
      <c r="PM237" s="36"/>
      <c r="PN237" s="36"/>
      <c r="PO237" s="36"/>
      <c r="PP237" s="36"/>
      <c r="PQ237" s="36"/>
      <c r="PR237" s="36"/>
      <c r="PS237" s="36"/>
      <c r="PT237" s="36"/>
      <c r="PU237" s="36"/>
      <c r="PV237" s="36"/>
      <c r="PW237" s="36"/>
      <c r="PX237" s="36"/>
      <c r="PY237" s="36"/>
      <c r="PZ237" s="36"/>
      <c r="QA237" s="36"/>
      <c r="QB237" s="36"/>
      <c r="QC237" s="36"/>
      <c r="QD237" s="36"/>
      <c r="QE237" s="36"/>
      <c r="QF237" s="36"/>
      <c r="QG237" s="36"/>
      <c r="QH237" s="36"/>
      <c r="QI237" s="36"/>
      <c r="QJ237" s="36"/>
      <c r="QK237" s="36"/>
      <c r="QL237" s="36"/>
      <c r="QM237" s="36"/>
      <c r="QN237" s="36"/>
      <c r="QO237" s="36"/>
      <c r="QP237" s="36"/>
      <c r="QQ237" s="36"/>
      <c r="QR237" s="36"/>
      <c r="QS237" s="36"/>
      <c r="QT237" s="36"/>
      <c r="QU237" s="36"/>
      <c r="QV237" s="36"/>
      <c r="QW237" s="36"/>
      <c r="QX237" s="36"/>
      <c r="QY237" s="36"/>
      <c r="QZ237" s="36"/>
      <c r="RA237" s="36"/>
      <c r="RB237" s="36"/>
      <c r="RC237" s="36"/>
      <c r="RD237" s="36"/>
      <c r="RE237" s="36"/>
      <c r="RF237" s="36"/>
      <c r="RG237" s="36"/>
      <c r="RH237" s="36"/>
      <c r="RI237" s="36"/>
      <c r="RJ237" s="36"/>
      <c r="RK237" s="36"/>
      <c r="RL237" s="36"/>
      <c r="RM237" s="36"/>
      <c r="RN237" s="36"/>
      <c r="RO237" s="36"/>
      <c r="RP237" s="36"/>
      <c r="RQ237" s="36"/>
      <c r="RR237" s="36"/>
      <c r="RS237" s="36"/>
      <c r="RT237" s="36"/>
      <c r="RU237" s="36"/>
      <c r="RV237" s="36"/>
      <c r="RW237" s="36"/>
      <c r="RX237" s="36"/>
      <c r="RY237" s="36"/>
      <c r="RZ237" s="36"/>
      <c r="SA237" s="36"/>
      <c r="SB237" s="36"/>
      <c r="SC237" s="36"/>
      <c r="SD237" s="36"/>
      <c r="SE237" s="36"/>
      <c r="SF237" s="36"/>
      <c r="SG237" s="36"/>
      <c r="SH237" s="36"/>
      <c r="SI237" s="36"/>
      <c r="SJ237" s="36"/>
      <c r="SK237" s="36"/>
      <c r="SL237" s="36"/>
      <c r="SM237" s="36"/>
      <c r="SN237" s="36"/>
      <c r="SO237" s="36"/>
      <c r="SP237" s="36"/>
      <c r="SQ237" s="36"/>
      <c r="SR237" s="36"/>
      <c r="SS237" s="36"/>
      <c r="ST237" s="36"/>
      <c r="SU237" s="36"/>
      <c r="SV237" s="36"/>
      <c r="SW237" s="36"/>
      <c r="SX237" s="36"/>
      <c r="SY237" s="36"/>
      <c r="SZ237" s="36"/>
      <c r="TA237" s="36"/>
      <c r="TB237" s="36"/>
      <c r="TC237" s="36"/>
      <c r="TD237" s="36"/>
      <c r="TE237" s="36"/>
      <c r="TF237" s="36"/>
      <c r="TG237" s="36"/>
      <c r="TH237" s="36"/>
      <c r="TI237" s="36"/>
      <c r="TJ237" s="36"/>
      <c r="TK237" s="36"/>
      <c r="TL237" s="36"/>
      <c r="TM237" s="36"/>
      <c r="TN237" s="36"/>
      <c r="TO237" s="36"/>
      <c r="TP237" s="36"/>
      <c r="TQ237" s="36"/>
      <c r="TR237" s="36"/>
      <c r="TS237" s="36"/>
      <c r="TT237" s="36"/>
      <c r="TU237" s="36"/>
      <c r="TV237" s="36"/>
      <c r="TW237" s="36"/>
      <c r="TX237" s="36"/>
      <c r="TY237" s="36"/>
      <c r="TZ237" s="36"/>
      <c r="UA237" s="36"/>
      <c r="UB237" s="36"/>
      <c r="UC237" s="36"/>
      <c r="UD237" s="36"/>
      <c r="UE237" s="36"/>
      <c r="UF237" s="36"/>
      <c r="UG237" s="36"/>
      <c r="UH237" s="36"/>
      <c r="UI237" s="36"/>
      <c r="UJ237" s="36"/>
      <c r="UK237" s="36"/>
      <c r="UL237" s="36"/>
      <c r="UM237" s="36"/>
      <c r="UN237" s="36"/>
      <c r="UO237" s="36"/>
      <c r="UP237" s="36"/>
      <c r="UQ237" s="36"/>
      <c r="UR237" s="36"/>
      <c r="US237" s="36"/>
      <c r="UT237" s="36"/>
      <c r="UU237" s="36"/>
      <c r="UV237" s="36"/>
      <c r="UW237" s="36"/>
      <c r="UX237" s="36"/>
      <c r="UY237" s="36"/>
      <c r="UZ237" s="36"/>
      <c r="VA237" s="36"/>
      <c r="VB237" s="36"/>
      <c r="VC237" s="36"/>
      <c r="VD237" s="36"/>
      <c r="VE237" s="36"/>
      <c r="VF237" s="36"/>
      <c r="VG237" s="36"/>
      <c r="VH237" s="36"/>
      <c r="VI237" s="36"/>
      <c r="VJ237" s="36"/>
      <c r="VK237" s="36"/>
      <c r="VL237" s="36"/>
      <c r="VM237" s="36"/>
      <c r="VN237" s="36"/>
      <c r="VO237" s="36"/>
      <c r="VP237" s="36"/>
      <c r="VQ237" s="36"/>
      <c r="VR237" s="36"/>
      <c r="VS237" s="36"/>
      <c r="VT237" s="36"/>
      <c r="VU237" s="36"/>
      <c r="VV237" s="36"/>
      <c r="VW237" s="36"/>
      <c r="VX237" s="36"/>
      <c r="VY237" s="36"/>
      <c r="VZ237" s="36"/>
      <c r="WA237" s="36"/>
      <c r="WB237" s="36"/>
      <c r="WC237" s="36"/>
      <c r="WD237" s="36"/>
      <c r="WE237" s="36"/>
      <c r="WF237" s="36"/>
      <c r="WG237" s="36"/>
      <c r="WH237" s="36"/>
      <c r="WI237" s="36"/>
      <c r="WJ237" s="36"/>
      <c r="WK237" s="36"/>
      <c r="WL237" s="36"/>
      <c r="WM237" s="36"/>
      <c r="WN237" s="36"/>
      <c r="WO237" s="36"/>
      <c r="WP237" s="36"/>
      <c r="WQ237" s="36"/>
      <c r="WR237" s="36"/>
      <c r="WS237" s="36"/>
      <c r="WT237" s="36"/>
      <c r="WU237" s="36"/>
      <c r="WV237" s="36"/>
      <c r="WW237" s="36"/>
      <c r="WX237" s="36"/>
      <c r="WY237" s="36"/>
      <c r="WZ237" s="36"/>
      <c r="XA237" s="36"/>
      <c r="XB237" s="36"/>
      <c r="XC237" s="36"/>
      <c r="XD237" s="36"/>
      <c r="XE237" s="36"/>
      <c r="XF237" s="36"/>
      <c r="XG237" s="36"/>
      <c r="XH237" s="36"/>
      <c r="XI237" s="36"/>
      <c r="XJ237" s="36"/>
      <c r="XK237" s="36"/>
      <c r="XL237" s="36"/>
      <c r="XM237" s="36"/>
      <c r="XN237" s="36"/>
      <c r="XO237" s="36"/>
      <c r="XP237" s="36"/>
      <c r="XQ237" s="36"/>
      <c r="XR237" s="36"/>
      <c r="XS237" s="36"/>
      <c r="XT237" s="36"/>
      <c r="XU237" s="36"/>
      <c r="XV237" s="36"/>
      <c r="XW237" s="36"/>
      <c r="XX237" s="36"/>
      <c r="XY237" s="36"/>
      <c r="XZ237" s="36"/>
      <c r="YA237" s="36"/>
      <c r="YB237" s="36"/>
      <c r="YC237" s="36"/>
      <c r="YD237" s="36"/>
      <c r="YE237" s="36"/>
      <c r="YF237" s="36"/>
      <c r="YG237" s="36"/>
      <c r="YH237" s="36"/>
      <c r="YI237" s="36"/>
      <c r="YJ237" s="36"/>
      <c r="YK237" s="36"/>
      <c r="YL237" s="36"/>
      <c r="YM237" s="36"/>
      <c r="YN237" s="36"/>
      <c r="YO237" s="36"/>
      <c r="YP237" s="36"/>
      <c r="YQ237" s="36"/>
      <c r="YR237" s="36"/>
      <c r="YS237" s="36"/>
      <c r="YT237" s="36"/>
      <c r="YU237" s="36"/>
      <c r="YV237" s="36"/>
      <c r="YW237" s="36"/>
      <c r="YX237" s="36"/>
      <c r="YY237" s="36"/>
      <c r="YZ237" s="36"/>
      <c r="ZA237" s="36"/>
      <c r="ZB237" s="36"/>
      <c r="ZC237" s="36"/>
      <c r="ZD237" s="36"/>
      <c r="ZE237" s="36"/>
      <c r="ZF237" s="36"/>
      <c r="ZG237" s="36"/>
      <c r="ZH237" s="36"/>
      <c r="ZI237" s="36"/>
      <c r="ZJ237" s="36"/>
      <c r="ZK237" s="36"/>
      <c r="ZL237" s="36"/>
      <c r="ZM237" s="36"/>
      <c r="ZN237" s="36"/>
      <c r="ZO237" s="36"/>
      <c r="ZP237" s="36"/>
      <c r="ZQ237" s="36"/>
      <c r="ZR237" s="36"/>
      <c r="ZS237" s="36"/>
      <c r="ZT237" s="36"/>
      <c r="ZU237" s="36"/>
      <c r="ZV237" s="36"/>
      <c r="ZW237" s="36"/>
      <c r="ZX237" s="36"/>
      <c r="ZY237" s="36"/>
      <c r="ZZ237" s="36"/>
      <c r="AAA237" s="36"/>
      <c r="AAB237" s="36"/>
      <c r="AAC237" s="36"/>
      <c r="AAD237" s="36"/>
      <c r="AAE237" s="36"/>
      <c r="AAF237" s="36"/>
      <c r="AAG237" s="36"/>
      <c r="AAH237" s="36"/>
      <c r="AAI237" s="36"/>
      <c r="AAJ237" s="36"/>
      <c r="AAK237" s="36"/>
      <c r="AAL237" s="36"/>
      <c r="AAM237" s="36"/>
      <c r="AAN237" s="36"/>
      <c r="AAO237" s="36"/>
      <c r="AAP237" s="36"/>
      <c r="AAQ237" s="36"/>
      <c r="AAR237" s="36"/>
      <c r="AAS237" s="36"/>
      <c r="AAT237" s="36"/>
      <c r="AAU237" s="36"/>
      <c r="AAV237" s="36"/>
      <c r="AAW237" s="36"/>
      <c r="AAX237" s="36"/>
      <c r="AAY237" s="36"/>
      <c r="AAZ237" s="36"/>
      <c r="ABA237" s="36"/>
      <c r="ABB237" s="36"/>
      <c r="ABC237" s="36"/>
      <c r="ABD237" s="36"/>
      <c r="ABE237" s="36"/>
      <c r="ABF237" s="36"/>
      <c r="ABG237" s="36"/>
      <c r="ABH237" s="36"/>
      <c r="ABI237" s="36"/>
      <c r="ABJ237" s="36"/>
      <c r="ABK237" s="36"/>
      <c r="ABL237" s="36"/>
      <c r="ABM237" s="36"/>
      <c r="ABN237" s="36"/>
      <c r="ABO237" s="36"/>
      <c r="ABP237" s="36"/>
      <c r="ABQ237" s="36"/>
      <c r="ABR237" s="36"/>
      <c r="ABS237" s="36"/>
      <c r="ABT237" s="36"/>
      <c r="ABU237" s="36"/>
      <c r="ABV237" s="36"/>
      <c r="ABW237" s="36"/>
      <c r="ABX237" s="36"/>
      <c r="ABY237" s="36"/>
      <c r="ABZ237" s="36"/>
      <c r="ACA237" s="36"/>
      <c r="ACB237" s="36"/>
      <c r="ACC237" s="36"/>
      <c r="ACD237" s="36"/>
      <c r="ACE237" s="36"/>
      <c r="ACF237" s="36"/>
      <c r="ACG237" s="36"/>
      <c r="ACH237" s="36"/>
      <c r="ACI237" s="36"/>
      <c r="ACJ237" s="36"/>
      <c r="ACK237" s="36"/>
      <c r="ACL237" s="36"/>
      <c r="ACM237" s="36"/>
      <c r="ACN237" s="36"/>
      <c r="ACO237" s="36"/>
      <c r="ACP237" s="36"/>
      <c r="ACQ237" s="36"/>
      <c r="ACR237" s="36"/>
      <c r="ACS237" s="36"/>
      <c r="ACT237" s="36"/>
      <c r="ACU237" s="36"/>
      <c r="ACV237" s="36"/>
      <c r="ACW237" s="36"/>
      <c r="ACX237" s="36"/>
      <c r="ACY237" s="36"/>
      <c r="ACZ237" s="36"/>
      <c r="ADA237" s="36"/>
      <c r="ADB237" s="36"/>
      <c r="ADC237" s="36"/>
      <c r="ADD237" s="36"/>
      <c r="ADE237" s="36"/>
      <c r="ADF237" s="36"/>
      <c r="ADG237" s="36"/>
      <c r="ADH237" s="36"/>
      <c r="ADI237" s="36"/>
      <c r="ADJ237" s="36"/>
      <c r="ADK237" s="36"/>
      <c r="ADL237" s="36"/>
      <c r="ADM237" s="36"/>
      <c r="ADN237" s="36"/>
      <c r="ADO237" s="36"/>
      <c r="ADP237" s="36"/>
      <c r="ADQ237" s="36"/>
      <c r="ADR237" s="36"/>
      <c r="ADS237" s="36"/>
      <c r="ADT237" s="36"/>
      <c r="ADU237" s="36"/>
      <c r="ADV237" s="36"/>
      <c r="ADW237" s="36"/>
      <c r="ADX237" s="36"/>
      <c r="ADY237" s="36"/>
      <c r="ADZ237" s="36"/>
      <c r="AEA237" s="36"/>
      <c r="AEB237" s="36"/>
      <c r="AEC237" s="36"/>
      <c r="AED237" s="36"/>
      <c r="AEE237" s="36"/>
      <c r="AEF237" s="36"/>
      <c r="AEG237" s="36"/>
      <c r="AEH237" s="36"/>
      <c r="AEI237" s="36"/>
      <c r="AEJ237" s="36"/>
      <c r="AEK237" s="36"/>
      <c r="AEL237" s="36"/>
      <c r="AEM237" s="36"/>
      <c r="AEN237" s="36"/>
      <c r="AEO237" s="36"/>
      <c r="AEP237" s="36"/>
      <c r="AEQ237" s="36"/>
      <c r="AER237" s="36"/>
      <c r="AES237" s="36"/>
      <c r="AET237" s="36"/>
      <c r="AEU237" s="36"/>
      <c r="AEV237" s="36"/>
      <c r="AEW237" s="36"/>
      <c r="AEX237" s="36"/>
      <c r="AEY237" s="36"/>
      <c r="AEZ237" s="36"/>
      <c r="AFA237" s="36"/>
      <c r="AFB237" s="36"/>
      <c r="AFC237" s="36"/>
      <c r="AFD237" s="36"/>
      <c r="AFE237" s="36"/>
      <c r="AFF237" s="36"/>
      <c r="AFG237" s="36"/>
      <c r="AFH237" s="36"/>
      <c r="AFI237" s="36"/>
      <c r="AFJ237" s="36"/>
      <c r="AFK237" s="36"/>
      <c r="AFL237" s="36"/>
      <c r="AFM237" s="36"/>
      <c r="AFN237" s="36"/>
      <c r="AFO237" s="36"/>
      <c r="AFP237" s="36"/>
      <c r="AFQ237" s="36"/>
      <c r="AFR237" s="36"/>
      <c r="AFS237" s="36"/>
      <c r="AFT237" s="36"/>
      <c r="AFU237" s="36"/>
      <c r="AFV237" s="36"/>
      <c r="AFW237" s="36"/>
      <c r="AFX237" s="36"/>
      <c r="AFY237" s="36"/>
      <c r="AFZ237" s="36"/>
      <c r="AGA237" s="36"/>
      <c r="AGB237" s="36"/>
      <c r="AGC237" s="36"/>
      <c r="AGD237" s="36"/>
      <c r="AGE237" s="36"/>
      <c r="AGF237" s="36"/>
      <c r="AGG237" s="36"/>
      <c r="AGH237" s="36"/>
      <c r="AGI237" s="36"/>
      <c r="AGJ237" s="36"/>
      <c r="AGK237" s="36"/>
      <c r="AGL237" s="36"/>
      <c r="AGM237" s="36"/>
      <c r="AGN237" s="36"/>
      <c r="AGO237" s="36"/>
      <c r="AGP237" s="36"/>
      <c r="AGQ237" s="36"/>
      <c r="AGR237" s="36"/>
      <c r="AGS237" s="36"/>
      <c r="AGT237" s="36"/>
      <c r="AGU237" s="36"/>
      <c r="AGV237" s="36"/>
      <c r="AGW237" s="36"/>
      <c r="AGX237" s="36"/>
      <c r="AGY237" s="36"/>
      <c r="AGZ237" s="36"/>
      <c r="AHA237" s="36"/>
      <c r="AHB237" s="36"/>
      <c r="AHC237" s="36"/>
      <c r="AHD237" s="36"/>
      <c r="AHE237" s="36"/>
      <c r="AHF237" s="36"/>
      <c r="AHG237" s="36"/>
      <c r="AHH237" s="36"/>
      <c r="AHI237" s="36"/>
      <c r="AHJ237" s="36"/>
      <c r="AHK237" s="36"/>
      <c r="AHL237" s="36"/>
      <c r="AHM237" s="36"/>
      <c r="AHN237" s="36"/>
      <c r="AHO237" s="36"/>
      <c r="AHP237" s="36"/>
      <c r="AHQ237" s="36"/>
      <c r="AHR237" s="36"/>
      <c r="AHS237" s="36"/>
      <c r="AHT237" s="36"/>
      <c r="AHU237" s="36"/>
      <c r="AHV237" s="36"/>
      <c r="AHW237" s="36"/>
      <c r="AHX237" s="36"/>
      <c r="AHY237" s="36"/>
      <c r="AHZ237" s="36"/>
      <c r="AIA237" s="36"/>
      <c r="AIB237" s="36"/>
      <c r="AIC237" s="36"/>
      <c r="AID237" s="36"/>
      <c r="AIE237" s="36"/>
      <c r="AIF237" s="36"/>
      <c r="AIG237" s="36"/>
      <c r="AIH237" s="36"/>
      <c r="AII237" s="36"/>
      <c r="AIJ237" s="36"/>
      <c r="AIK237" s="36"/>
      <c r="AIL237" s="36"/>
      <c r="AIM237" s="36"/>
      <c r="AIN237" s="36"/>
      <c r="AIO237" s="36"/>
      <c r="AIP237" s="36"/>
      <c r="AIQ237" s="36"/>
      <c r="AIR237" s="36"/>
      <c r="AIS237" s="36"/>
      <c r="AIT237" s="36"/>
      <c r="AIU237" s="36"/>
      <c r="AIV237" s="36"/>
      <c r="AIW237" s="36"/>
      <c r="AIX237" s="36"/>
      <c r="AIY237" s="36"/>
      <c r="AIZ237" s="36"/>
      <c r="AJA237" s="36"/>
      <c r="AJB237" s="36"/>
      <c r="AJC237" s="36"/>
      <c r="AJD237" s="36"/>
      <c r="AJE237" s="36"/>
      <c r="AJF237" s="36"/>
      <c r="AJG237" s="36"/>
      <c r="AJH237" s="36"/>
      <c r="AJI237" s="36"/>
      <c r="AJJ237" s="36"/>
      <c r="AJK237" s="36"/>
      <c r="AJL237" s="36"/>
      <c r="AJM237" s="36"/>
      <c r="AJN237" s="36"/>
      <c r="AJO237" s="36"/>
      <c r="AJP237" s="36"/>
      <c r="AJQ237" s="36"/>
      <c r="AJR237" s="36"/>
      <c r="AJS237" s="36"/>
      <c r="AJT237" s="36"/>
      <c r="AJU237" s="36"/>
      <c r="AJV237" s="36"/>
      <c r="AJW237" s="36"/>
      <c r="AJX237" s="36"/>
      <c r="AJY237" s="36"/>
      <c r="AJZ237" s="36"/>
      <c r="AKA237" s="36"/>
      <c r="AKB237" s="36"/>
      <c r="AKC237" s="36"/>
      <c r="AKD237" s="36"/>
      <c r="AKE237" s="36"/>
      <c r="AKF237" s="36"/>
      <c r="AKG237" s="36"/>
      <c r="AKH237" s="36"/>
      <c r="AKI237" s="36"/>
      <c r="AKJ237" s="36"/>
      <c r="AKK237" s="36"/>
      <c r="AKL237" s="36"/>
      <c r="AKM237" s="36"/>
      <c r="AKN237" s="36"/>
      <c r="AKO237" s="36"/>
      <c r="AKP237" s="36"/>
      <c r="AKQ237" s="36"/>
      <c r="AKR237" s="36"/>
      <c r="AKS237" s="36"/>
      <c r="AKT237" s="36"/>
      <c r="AKU237" s="36"/>
      <c r="AKV237" s="36"/>
      <c r="AKW237" s="36"/>
      <c r="AKX237" s="36"/>
      <c r="AKY237" s="36"/>
      <c r="AKZ237" s="36"/>
      <c r="ALA237" s="36"/>
      <c r="ALB237" s="36"/>
      <c r="ALC237" s="36"/>
      <c r="ALD237" s="36"/>
      <c r="ALE237" s="36"/>
      <c r="ALF237" s="36"/>
      <c r="ALG237" s="36"/>
      <c r="ALH237" s="36"/>
      <c r="ALI237" s="36"/>
      <c r="ALJ237" s="36"/>
      <c r="ALK237" s="36"/>
      <c r="ALL237" s="36"/>
      <c r="ALM237" s="36"/>
      <c r="ALN237" s="36"/>
      <c r="ALO237" s="36"/>
      <c r="ALP237" s="36"/>
      <c r="ALQ237" s="36"/>
      <c r="ALR237" s="36"/>
      <c r="ALS237" s="36"/>
      <c r="ALT237" s="36"/>
      <c r="ALU237" s="36"/>
      <c r="ALV237" s="36"/>
      <c r="ALW237" s="36"/>
      <c r="ALX237" s="36"/>
      <c r="ALY237" s="36"/>
      <c r="ALZ237" s="36"/>
      <c r="AMA237" s="36"/>
      <c r="AMB237" s="36"/>
      <c r="AMC237" s="36"/>
      <c r="AMD237" s="36"/>
      <c r="AME237" s="36"/>
      <c r="AMF237" s="36"/>
      <c r="AMG237" s="36"/>
      <c r="AMH237" s="36"/>
      <c r="AMI237" s="36"/>
      <c r="AMJ237" s="36"/>
      <c r="AMK237" s="36"/>
      <c r="AML237" s="36"/>
      <c r="AMM237" s="36"/>
      <c r="AMN237" s="36"/>
      <c r="AMO237" s="36"/>
      <c r="AMP237" s="36"/>
      <c r="AMQ237" s="36"/>
      <c r="AMR237" s="36"/>
      <c r="AMS237" s="36"/>
      <c r="AMT237" s="36"/>
      <c r="AMU237" s="36"/>
      <c r="AMV237" s="36"/>
      <c r="AMW237" s="36"/>
      <c r="AMX237" s="36"/>
      <c r="AMY237" s="36"/>
      <c r="AMZ237" s="36"/>
      <c r="ANA237" s="36"/>
      <c r="ANB237" s="36"/>
      <c r="ANC237" s="36"/>
      <c r="AND237" s="36"/>
      <c r="ANE237" s="36"/>
      <c r="ANF237" s="36"/>
      <c r="ANG237" s="36"/>
      <c r="ANH237" s="36"/>
      <c r="ANI237" s="36"/>
      <c r="ANJ237" s="36"/>
      <c r="ANK237" s="36"/>
      <c r="ANL237" s="36"/>
      <c r="ANM237" s="36"/>
      <c r="ANN237" s="36"/>
      <c r="ANO237" s="36"/>
      <c r="ANP237" s="36"/>
      <c r="ANQ237" s="36"/>
      <c r="ANR237" s="36"/>
      <c r="ANS237" s="36"/>
      <c r="ANT237" s="36"/>
      <c r="ANU237" s="36"/>
      <c r="ANV237" s="36"/>
      <c r="ANW237" s="36"/>
      <c r="ANX237" s="36"/>
      <c r="ANY237" s="36"/>
      <c r="ANZ237" s="36"/>
      <c r="AOA237" s="36"/>
      <c r="AOB237" s="36"/>
      <c r="AOC237" s="36"/>
      <c r="AOD237" s="36"/>
      <c r="AOE237" s="36"/>
      <c r="AOF237" s="36"/>
      <c r="AOG237" s="36"/>
      <c r="AOH237" s="36"/>
      <c r="AOI237" s="36"/>
      <c r="AOJ237" s="36"/>
      <c r="AOK237" s="36"/>
      <c r="AOL237" s="36"/>
      <c r="AOM237" s="36"/>
      <c r="AON237" s="36"/>
      <c r="AOO237" s="36"/>
      <c r="AOP237" s="36"/>
      <c r="AOQ237" s="36"/>
      <c r="AOR237" s="36"/>
      <c r="AOS237" s="36"/>
      <c r="AOT237" s="36"/>
      <c r="AOU237" s="36"/>
      <c r="AOV237" s="36"/>
      <c r="AOW237" s="36"/>
      <c r="AOX237" s="36"/>
      <c r="AOY237" s="36"/>
      <c r="AOZ237" s="36"/>
      <c r="APA237" s="36"/>
      <c r="APB237" s="36"/>
      <c r="APC237" s="36"/>
      <c r="APD237" s="36"/>
      <c r="APE237" s="36"/>
      <c r="APF237" s="36"/>
      <c r="APG237" s="36"/>
      <c r="APH237" s="36"/>
      <c r="API237" s="36"/>
      <c r="APJ237" s="36"/>
      <c r="APK237" s="36"/>
      <c r="APL237" s="36"/>
      <c r="APM237" s="36"/>
      <c r="APN237" s="36"/>
      <c r="APO237" s="36"/>
      <c r="APP237" s="36"/>
      <c r="APQ237" s="36"/>
      <c r="APR237" s="36"/>
      <c r="APS237" s="36"/>
      <c r="APT237" s="36"/>
      <c r="APU237" s="36"/>
      <c r="APV237" s="36"/>
      <c r="APW237" s="36"/>
      <c r="APX237" s="36"/>
      <c r="APY237" s="36"/>
      <c r="APZ237" s="36"/>
      <c r="AQA237" s="36"/>
      <c r="AQB237" s="36"/>
      <c r="AQC237" s="36"/>
      <c r="AQD237" s="36"/>
      <c r="AQE237" s="36"/>
      <c r="AQF237" s="36"/>
      <c r="AQG237" s="36"/>
      <c r="AQH237" s="36"/>
      <c r="AQI237" s="36"/>
      <c r="AQJ237" s="36"/>
      <c r="AQK237" s="36"/>
      <c r="AQL237" s="36"/>
      <c r="AQM237" s="36"/>
      <c r="AQN237" s="36"/>
      <c r="AQO237" s="36"/>
      <c r="AQP237" s="36"/>
      <c r="AQQ237" s="36"/>
      <c r="AQR237" s="36"/>
      <c r="AQS237" s="36"/>
      <c r="AQT237" s="36"/>
      <c r="AQU237" s="36"/>
      <c r="AQV237" s="36"/>
      <c r="AQW237" s="36"/>
      <c r="AQX237" s="36"/>
      <c r="AQY237" s="36"/>
      <c r="AQZ237" s="36"/>
      <c r="ARA237" s="36"/>
      <c r="ARB237" s="36"/>
      <c r="ARC237" s="36"/>
      <c r="ARD237" s="36"/>
      <c r="ARE237" s="36"/>
      <c r="ARF237" s="36"/>
      <c r="ARG237" s="36"/>
      <c r="ARH237" s="36"/>
      <c r="ARI237" s="36"/>
      <c r="ARJ237" s="36"/>
      <c r="ARK237" s="36"/>
      <c r="ARL237" s="36"/>
      <c r="ARM237" s="36"/>
      <c r="ARN237" s="36"/>
      <c r="ARO237" s="36"/>
      <c r="ARP237" s="36"/>
      <c r="ARQ237" s="36"/>
      <c r="ARR237" s="36"/>
      <c r="ARS237" s="36"/>
      <c r="ART237" s="36"/>
      <c r="ARU237" s="36"/>
      <c r="ARV237" s="36"/>
      <c r="ARW237" s="36"/>
      <c r="ARX237" s="36"/>
      <c r="ARY237" s="36"/>
      <c r="ARZ237" s="36"/>
      <c r="ASA237" s="36"/>
      <c r="ASB237" s="36"/>
      <c r="ASC237" s="36"/>
      <c r="ASD237" s="36"/>
      <c r="ASE237" s="36"/>
      <c r="ASF237" s="36"/>
      <c r="ASG237" s="36"/>
      <c r="ASH237" s="36"/>
      <c r="ASI237" s="36"/>
      <c r="ASJ237" s="36"/>
      <c r="ASK237" s="36"/>
      <c r="ASL237" s="36"/>
      <c r="ASM237" s="36"/>
      <c r="ASN237" s="36"/>
      <c r="ASO237" s="36"/>
      <c r="ASP237" s="36"/>
      <c r="ASQ237" s="36"/>
      <c r="ASR237" s="36"/>
      <c r="ASS237" s="36"/>
      <c r="AST237" s="36"/>
      <c r="ASU237" s="36"/>
      <c r="ASV237" s="36"/>
      <c r="ASW237" s="36"/>
      <c r="ASX237" s="36"/>
      <c r="ASY237" s="36"/>
      <c r="ASZ237" s="36"/>
      <c r="ATA237" s="36"/>
      <c r="ATB237" s="36"/>
      <c r="ATC237" s="36"/>
      <c r="ATD237" s="36"/>
      <c r="ATE237" s="36"/>
      <c r="ATF237" s="36"/>
      <c r="ATG237" s="36"/>
      <c r="ATH237" s="36"/>
      <c r="ATI237" s="36"/>
      <c r="ATJ237" s="36"/>
      <c r="ATK237" s="36"/>
      <c r="ATL237" s="36"/>
      <c r="ATM237" s="36"/>
      <c r="ATN237" s="36"/>
      <c r="ATO237" s="36"/>
      <c r="ATP237" s="36"/>
      <c r="ATQ237" s="36"/>
      <c r="ATR237" s="36"/>
      <c r="ATS237" s="36"/>
      <c r="ATT237" s="36"/>
      <c r="ATU237" s="36"/>
      <c r="ATV237" s="36"/>
      <c r="ATW237" s="36"/>
      <c r="ATX237" s="36"/>
      <c r="ATY237" s="36"/>
      <c r="ATZ237" s="36"/>
      <c r="AUA237" s="36"/>
      <c r="AUB237" s="36"/>
      <c r="AUC237" s="36"/>
      <c r="AUD237" s="36"/>
      <c r="AUE237" s="36"/>
      <c r="AUF237" s="36"/>
      <c r="AUG237" s="36"/>
      <c r="AUH237" s="36"/>
      <c r="AUI237" s="36"/>
      <c r="AUJ237" s="36"/>
      <c r="AUK237" s="36"/>
      <c r="AUL237" s="36"/>
      <c r="AUM237" s="36"/>
      <c r="AUN237" s="36"/>
      <c r="AUO237" s="36"/>
      <c r="AUP237" s="36"/>
      <c r="AUQ237" s="36"/>
      <c r="AUR237" s="36"/>
      <c r="AUS237" s="36"/>
      <c r="AUT237" s="36"/>
      <c r="AUU237" s="36"/>
      <c r="AUV237" s="36"/>
      <c r="AUW237" s="36"/>
      <c r="AUX237" s="36"/>
      <c r="AUY237" s="36"/>
      <c r="AUZ237" s="36"/>
      <c r="AVA237" s="36"/>
      <c r="AVB237" s="36"/>
      <c r="AVC237" s="36"/>
      <c r="AVD237" s="36"/>
      <c r="AVE237" s="36"/>
      <c r="AVF237" s="36"/>
      <c r="AVG237" s="36"/>
      <c r="AVH237" s="36"/>
      <c r="AVI237" s="36"/>
      <c r="AVJ237" s="36"/>
      <c r="AVK237" s="36"/>
      <c r="AVL237" s="36"/>
      <c r="AVM237" s="36"/>
      <c r="AVN237" s="36"/>
      <c r="AVO237" s="36"/>
      <c r="AVP237" s="36"/>
      <c r="AVQ237" s="36"/>
      <c r="AVR237" s="36"/>
      <c r="AVS237" s="36"/>
      <c r="AVT237" s="36"/>
      <c r="AVU237" s="36"/>
      <c r="AVV237" s="36"/>
      <c r="AVW237" s="36"/>
      <c r="AVX237" s="36"/>
      <c r="AVY237" s="36"/>
      <c r="AVZ237" s="36"/>
      <c r="AWA237" s="36"/>
      <c r="AWB237" s="36"/>
      <c r="AWC237" s="36"/>
      <c r="AWD237" s="36"/>
      <c r="AWE237" s="36"/>
      <c r="AWF237" s="36"/>
      <c r="AWG237" s="36"/>
      <c r="AWH237" s="36"/>
      <c r="AWI237" s="36"/>
      <c r="AWJ237" s="36"/>
      <c r="AWK237" s="36"/>
      <c r="AWL237" s="36"/>
      <c r="AWM237" s="36"/>
      <c r="AWN237" s="36"/>
      <c r="AWO237" s="36"/>
      <c r="AWP237" s="36"/>
      <c r="AWQ237" s="36"/>
      <c r="AWR237" s="36"/>
      <c r="AWS237" s="36"/>
      <c r="AWT237" s="36"/>
      <c r="AWU237" s="36"/>
      <c r="AWV237" s="36"/>
      <c r="AWW237" s="36"/>
      <c r="AWX237" s="36"/>
      <c r="AWY237" s="36"/>
      <c r="AWZ237" s="36"/>
      <c r="AXA237" s="36"/>
      <c r="AXB237" s="36"/>
      <c r="AXC237" s="36"/>
      <c r="AXD237" s="36"/>
      <c r="AXE237" s="36"/>
      <c r="AXF237" s="36"/>
      <c r="AXG237" s="36"/>
      <c r="AXH237" s="36"/>
      <c r="AXI237" s="36"/>
      <c r="AXJ237" s="36"/>
      <c r="AXK237" s="36"/>
      <c r="AXL237" s="36"/>
      <c r="AXM237" s="36"/>
      <c r="AXN237" s="36"/>
      <c r="AXO237" s="36"/>
      <c r="AXP237" s="36"/>
      <c r="AXQ237" s="36"/>
      <c r="AXR237" s="36"/>
      <c r="AXS237" s="36"/>
      <c r="AXT237" s="36"/>
      <c r="AXU237" s="36"/>
      <c r="AXV237" s="36"/>
      <c r="AXW237" s="36"/>
      <c r="AXX237" s="36"/>
      <c r="AXY237" s="36"/>
      <c r="AXZ237" s="36"/>
      <c r="AYA237" s="36"/>
      <c r="AYB237" s="36"/>
      <c r="AYC237" s="36"/>
      <c r="AYD237" s="36"/>
      <c r="AYE237" s="36"/>
      <c r="AYF237" s="36"/>
      <c r="AYG237" s="36"/>
      <c r="AYH237" s="36"/>
      <c r="AYI237" s="36"/>
      <c r="AYJ237" s="36"/>
      <c r="AYK237" s="36"/>
      <c r="AYL237" s="36"/>
      <c r="AYM237" s="36"/>
      <c r="AYN237" s="36"/>
      <c r="AYO237" s="36"/>
      <c r="AYP237" s="36"/>
      <c r="AYQ237" s="36"/>
      <c r="AYR237" s="36"/>
      <c r="AYS237" s="36"/>
      <c r="AYT237" s="36"/>
      <c r="AYU237" s="36"/>
      <c r="AYV237" s="36"/>
      <c r="AYW237" s="36"/>
      <c r="AYX237" s="36"/>
      <c r="AYY237" s="36"/>
      <c r="AYZ237" s="36"/>
      <c r="AZA237" s="36"/>
      <c r="AZB237" s="36"/>
      <c r="AZC237" s="36"/>
      <c r="AZD237" s="36"/>
      <c r="AZE237" s="36"/>
      <c r="AZF237" s="36"/>
      <c r="AZG237" s="36"/>
      <c r="AZH237" s="36"/>
      <c r="AZI237" s="36"/>
      <c r="AZJ237" s="36"/>
      <c r="AZK237" s="36"/>
      <c r="AZL237" s="36"/>
      <c r="AZM237" s="36"/>
      <c r="AZN237" s="36"/>
      <c r="AZO237" s="36"/>
      <c r="AZP237" s="36"/>
      <c r="AZQ237" s="36"/>
      <c r="AZR237" s="36"/>
      <c r="AZS237" s="36"/>
      <c r="AZT237" s="36"/>
      <c r="AZU237" s="36"/>
      <c r="AZV237" s="36"/>
      <c r="AZW237" s="36"/>
      <c r="AZX237" s="36"/>
      <c r="AZY237" s="36"/>
      <c r="AZZ237" s="36"/>
      <c r="BAA237" s="36"/>
      <c r="BAB237" s="36"/>
      <c r="BAC237" s="36"/>
      <c r="BAD237" s="36"/>
      <c r="BAE237" s="36"/>
      <c r="BAF237" s="36"/>
      <c r="BAG237" s="36"/>
      <c r="BAH237" s="36"/>
      <c r="BAI237" s="36"/>
      <c r="BAJ237" s="36"/>
      <c r="BAK237" s="36"/>
      <c r="BAL237" s="36"/>
      <c r="BAM237" s="36"/>
      <c r="BAN237" s="36"/>
      <c r="BAO237" s="36"/>
      <c r="BAP237" s="36"/>
      <c r="BAQ237" s="36"/>
      <c r="BAR237" s="36"/>
      <c r="BAS237" s="36"/>
      <c r="BAT237" s="36"/>
      <c r="BAU237" s="36"/>
      <c r="BAV237" s="36"/>
      <c r="BAW237" s="36"/>
      <c r="BAX237" s="36"/>
      <c r="BAY237" s="36"/>
      <c r="BAZ237" s="36"/>
      <c r="BBA237" s="36"/>
      <c r="BBB237" s="36"/>
      <c r="BBC237" s="36"/>
      <c r="BBD237" s="36"/>
      <c r="BBE237" s="36"/>
      <c r="BBF237" s="36"/>
      <c r="BBG237" s="36"/>
      <c r="BBH237" s="36"/>
      <c r="BBI237" s="36"/>
      <c r="BBJ237" s="36"/>
      <c r="BBK237" s="36"/>
      <c r="BBL237" s="36"/>
      <c r="BBM237" s="36"/>
      <c r="BBN237" s="36"/>
      <c r="BBO237" s="36"/>
      <c r="BBP237" s="36"/>
      <c r="BBQ237" s="36"/>
      <c r="BBR237" s="36"/>
      <c r="BBS237" s="36"/>
      <c r="BBT237" s="36"/>
      <c r="BBU237" s="36"/>
      <c r="BBV237" s="36"/>
      <c r="BBW237" s="36"/>
      <c r="BBX237" s="36"/>
      <c r="BBY237" s="36"/>
      <c r="BBZ237" s="36"/>
      <c r="BCA237" s="36"/>
      <c r="BCB237" s="36"/>
      <c r="BCC237" s="36"/>
      <c r="BCD237" s="36"/>
      <c r="BCE237" s="36"/>
      <c r="BCF237" s="36"/>
      <c r="BCG237" s="36"/>
      <c r="BCH237" s="36"/>
      <c r="BCI237" s="36"/>
      <c r="BCJ237" s="36"/>
      <c r="BCK237" s="36"/>
      <c r="BCL237" s="36"/>
      <c r="BCM237" s="36"/>
      <c r="BCN237" s="36"/>
      <c r="BCO237" s="36"/>
      <c r="BCP237" s="36"/>
      <c r="BCQ237" s="36"/>
      <c r="BCR237" s="36"/>
      <c r="BCS237" s="36"/>
      <c r="BCT237" s="36"/>
      <c r="BCU237" s="36"/>
      <c r="BCV237" s="36"/>
      <c r="BCW237" s="36"/>
      <c r="BCX237" s="36"/>
      <c r="BCY237" s="36"/>
      <c r="BCZ237" s="36"/>
      <c r="BDA237" s="36"/>
      <c r="BDB237" s="36"/>
      <c r="BDC237" s="36"/>
      <c r="BDD237" s="36"/>
      <c r="BDE237" s="36"/>
      <c r="BDF237" s="36"/>
      <c r="BDG237" s="36"/>
      <c r="BDH237" s="36"/>
      <c r="BDI237" s="36"/>
      <c r="BDJ237" s="36"/>
      <c r="BDK237" s="36"/>
      <c r="BDL237" s="36"/>
      <c r="BDM237" s="36"/>
      <c r="BDN237" s="36"/>
      <c r="BDO237" s="36"/>
      <c r="BDP237" s="36"/>
      <c r="BDQ237" s="36"/>
      <c r="BDR237" s="36"/>
      <c r="BDS237" s="36"/>
      <c r="BDT237" s="36"/>
      <c r="BDU237" s="36"/>
      <c r="BDV237" s="36"/>
      <c r="BDW237" s="36"/>
      <c r="BDX237" s="36"/>
      <c r="BDY237" s="36"/>
      <c r="BDZ237" s="36"/>
      <c r="BEA237" s="36"/>
      <c r="BEB237" s="36"/>
      <c r="BEC237" s="36"/>
      <c r="BED237" s="36"/>
      <c r="BEE237" s="36"/>
      <c r="BEF237" s="36"/>
      <c r="BEG237" s="36"/>
      <c r="BEH237" s="36"/>
      <c r="BEI237" s="36"/>
      <c r="BEJ237" s="36"/>
      <c r="BEK237" s="36"/>
      <c r="BEL237" s="36"/>
      <c r="BEM237" s="36"/>
      <c r="BEN237" s="36"/>
      <c r="BEO237" s="36"/>
      <c r="BEP237" s="36"/>
      <c r="BEQ237" s="36"/>
      <c r="BER237" s="36"/>
      <c r="BES237" s="36"/>
      <c r="BET237" s="36"/>
      <c r="BEU237" s="36"/>
      <c r="BEV237" s="36"/>
      <c r="BEW237" s="36"/>
      <c r="BEX237" s="36"/>
      <c r="BEY237" s="36"/>
      <c r="BEZ237" s="36"/>
      <c r="BFA237" s="36"/>
      <c r="BFB237" s="36"/>
      <c r="BFC237" s="36"/>
      <c r="BFD237" s="36"/>
      <c r="BFE237" s="36"/>
      <c r="BFF237" s="36"/>
      <c r="BFG237" s="36"/>
      <c r="BFH237" s="36"/>
      <c r="BFI237" s="36"/>
      <c r="BFJ237" s="36"/>
      <c r="BFK237" s="36"/>
      <c r="BFL237" s="36"/>
      <c r="BFM237" s="36"/>
      <c r="BFN237" s="36"/>
      <c r="BFO237" s="36"/>
      <c r="BFP237" s="36"/>
      <c r="BFQ237" s="36"/>
      <c r="BFR237" s="36"/>
      <c r="BFS237" s="36"/>
      <c r="BFT237" s="36"/>
      <c r="BFU237" s="36"/>
      <c r="BFV237" s="36"/>
      <c r="BFW237" s="36"/>
      <c r="BFX237" s="36"/>
      <c r="BFY237" s="36"/>
      <c r="BFZ237" s="36"/>
      <c r="BGA237" s="36"/>
      <c r="BGB237" s="36"/>
      <c r="BGC237" s="36"/>
      <c r="BGD237" s="36"/>
      <c r="BGE237" s="36"/>
      <c r="BGF237" s="36"/>
      <c r="BGG237" s="36"/>
      <c r="BGH237" s="36"/>
      <c r="BGI237" s="36"/>
      <c r="BGJ237" s="36"/>
      <c r="BGK237" s="36"/>
      <c r="BGL237" s="36"/>
      <c r="BGM237" s="36"/>
      <c r="BGN237" s="36"/>
      <c r="BGO237" s="36"/>
      <c r="BGP237" s="36"/>
      <c r="BGQ237" s="36"/>
      <c r="BGR237" s="36"/>
      <c r="BGS237" s="36"/>
      <c r="BGT237" s="36"/>
      <c r="BGU237" s="36"/>
      <c r="BGV237" s="36"/>
      <c r="BGW237" s="36"/>
      <c r="BGX237" s="36"/>
      <c r="BGY237" s="36"/>
      <c r="BGZ237" s="36"/>
      <c r="BHA237" s="36"/>
      <c r="BHB237" s="36"/>
      <c r="BHC237" s="36"/>
      <c r="BHD237" s="36"/>
      <c r="BHE237" s="36"/>
      <c r="BHF237" s="36"/>
      <c r="BHG237" s="36"/>
      <c r="BHH237" s="36"/>
      <c r="BHI237" s="36"/>
      <c r="BHJ237" s="36"/>
      <c r="BHK237" s="36"/>
      <c r="BHL237" s="36"/>
      <c r="BHM237" s="36"/>
      <c r="BHN237" s="36"/>
      <c r="BHO237" s="36"/>
      <c r="BHP237" s="36"/>
      <c r="BHQ237" s="36"/>
      <c r="BHR237" s="36"/>
      <c r="BHS237" s="36"/>
      <c r="BHT237" s="36"/>
      <c r="BHU237" s="36"/>
      <c r="BHV237" s="36"/>
      <c r="BHW237" s="36"/>
      <c r="BHX237" s="36"/>
      <c r="BHY237" s="36"/>
      <c r="BHZ237" s="36"/>
      <c r="BIA237" s="36"/>
      <c r="BIB237" s="36"/>
      <c r="BIC237" s="36"/>
      <c r="BID237" s="36"/>
      <c r="BIE237" s="36"/>
      <c r="BIF237" s="36"/>
      <c r="BIG237" s="36"/>
      <c r="BIH237" s="36"/>
      <c r="BII237" s="36"/>
      <c r="BIJ237" s="36"/>
      <c r="BIK237" s="36"/>
      <c r="BIL237" s="36"/>
      <c r="BIM237" s="36"/>
      <c r="BIN237" s="36"/>
      <c r="BIO237" s="36"/>
      <c r="BIP237" s="36"/>
      <c r="BIQ237" s="36"/>
      <c r="BIR237" s="36"/>
      <c r="BIS237" s="36"/>
      <c r="BIT237" s="36"/>
      <c r="BIU237" s="36"/>
      <c r="BIV237" s="36"/>
      <c r="BIW237" s="36"/>
      <c r="BIX237" s="36"/>
      <c r="BIY237" s="36"/>
      <c r="BIZ237" s="36"/>
      <c r="BJA237" s="36"/>
      <c r="BJB237" s="36"/>
      <c r="BJC237" s="36"/>
      <c r="BJD237" s="36"/>
      <c r="BJE237" s="36"/>
      <c r="BJF237" s="36"/>
      <c r="BJG237" s="36"/>
      <c r="BJH237" s="36"/>
      <c r="BJI237" s="36"/>
      <c r="BJJ237" s="36"/>
      <c r="BJK237" s="36"/>
      <c r="BJL237" s="36"/>
      <c r="BJM237" s="36"/>
      <c r="BJN237" s="36"/>
      <c r="BJO237" s="36"/>
      <c r="BJP237" s="36"/>
      <c r="BJQ237" s="36"/>
      <c r="BJR237" s="36"/>
      <c r="BJS237" s="36"/>
      <c r="BJT237" s="36"/>
      <c r="BJU237" s="36"/>
      <c r="BJV237" s="36"/>
      <c r="BJW237" s="36"/>
      <c r="BJX237" s="36"/>
      <c r="BJY237" s="36"/>
      <c r="BJZ237" s="36"/>
      <c r="BKA237" s="36"/>
      <c r="BKB237" s="36"/>
      <c r="BKC237" s="36"/>
      <c r="BKD237" s="36"/>
      <c r="BKE237" s="36"/>
      <c r="BKF237" s="36"/>
      <c r="BKG237" s="36"/>
      <c r="BKH237" s="36"/>
      <c r="BKI237" s="36"/>
      <c r="BKJ237" s="36"/>
      <c r="BKK237" s="36"/>
      <c r="BKL237" s="36"/>
      <c r="BKM237" s="36"/>
      <c r="BKN237" s="36"/>
      <c r="BKO237" s="36"/>
      <c r="BKP237" s="36"/>
      <c r="BKQ237" s="36"/>
      <c r="BKR237" s="36"/>
      <c r="BKS237" s="36"/>
      <c r="BKT237" s="36"/>
      <c r="BKU237" s="36"/>
      <c r="BKV237" s="36"/>
      <c r="BKW237" s="36"/>
      <c r="BKX237" s="36"/>
      <c r="BKY237" s="36"/>
      <c r="BKZ237" s="36"/>
      <c r="BLA237" s="36"/>
      <c r="BLB237" s="36"/>
      <c r="BLC237" s="36"/>
      <c r="BLD237" s="36"/>
      <c r="BLE237" s="36"/>
      <c r="BLF237" s="36"/>
      <c r="BLG237" s="36"/>
      <c r="BLH237" s="36"/>
      <c r="BLI237" s="36"/>
      <c r="BLJ237" s="36"/>
      <c r="BLK237" s="36"/>
      <c r="BLL237" s="36"/>
      <c r="BLM237" s="36"/>
      <c r="BLN237" s="36"/>
      <c r="BLO237" s="36"/>
      <c r="BLP237" s="36"/>
      <c r="BLQ237" s="36"/>
      <c r="BLR237" s="36"/>
      <c r="BLS237" s="36"/>
      <c r="BLT237" s="36"/>
      <c r="BLU237" s="36"/>
      <c r="BLV237" s="36"/>
      <c r="BLW237" s="36"/>
      <c r="BLX237" s="36"/>
      <c r="BLY237" s="36"/>
      <c r="BLZ237" s="36"/>
      <c r="BMA237" s="36"/>
      <c r="BMB237" s="36"/>
      <c r="BMC237" s="36"/>
      <c r="BMD237" s="36"/>
      <c r="BME237" s="36"/>
      <c r="BMF237" s="36"/>
      <c r="BMG237" s="36"/>
      <c r="BMH237" s="36"/>
      <c r="BMI237" s="36"/>
      <c r="BMJ237" s="36"/>
      <c r="BMK237" s="36"/>
      <c r="BML237" s="36"/>
      <c r="BMM237" s="36"/>
      <c r="BMN237" s="36"/>
      <c r="BMO237" s="36"/>
      <c r="BMP237" s="36"/>
      <c r="BMQ237" s="36"/>
      <c r="BMR237" s="36"/>
      <c r="BMS237" s="36"/>
      <c r="BMT237" s="36"/>
      <c r="BMU237" s="36"/>
      <c r="BMV237" s="36"/>
      <c r="BMW237" s="36"/>
      <c r="BMX237" s="36"/>
      <c r="BMY237" s="36"/>
      <c r="BMZ237" s="36"/>
      <c r="BNA237" s="36"/>
      <c r="BNB237" s="36"/>
      <c r="BNC237" s="36"/>
      <c r="BND237" s="36"/>
      <c r="BNE237" s="36"/>
      <c r="BNF237" s="36"/>
      <c r="BNG237" s="36"/>
      <c r="BNH237" s="36"/>
      <c r="BNI237" s="36"/>
      <c r="BNJ237" s="36"/>
      <c r="BNK237" s="36"/>
      <c r="BNL237" s="36"/>
      <c r="BNM237" s="36"/>
      <c r="BNN237" s="36"/>
      <c r="BNO237" s="36"/>
      <c r="BNP237" s="36"/>
      <c r="BNQ237" s="36"/>
      <c r="BNR237" s="36"/>
      <c r="BNS237" s="36"/>
      <c r="BNT237" s="36"/>
      <c r="BNU237" s="36"/>
      <c r="BNV237" s="36"/>
      <c r="BNW237" s="36"/>
      <c r="BNX237" s="36"/>
      <c r="BNY237" s="36"/>
      <c r="BNZ237" s="36"/>
      <c r="BOA237" s="36"/>
      <c r="BOB237" s="36"/>
      <c r="BOC237" s="36"/>
      <c r="BOD237" s="36"/>
      <c r="BOE237" s="36"/>
      <c r="BOF237" s="36"/>
      <c r="BOG237" s="36"/>
      <c r="BOH237" s="36"/>
      <c r="BOI237" s="36"/>
      <c r="BOJ237" s="36"/>
      <c r="BOK237" s="36"/>
      <c r="BOL237" s="36"/>
      <c r="BOM237" s="36"/>
      <c r="BON237" s="36"/>
      <c r="BOO237" s="36"/>
      <c r="BOP237" s="36"/>
      <c r="BOQ237" s="36"/>
      <c r="BOR237" s="36"/>
      <c r="BOS237" s="36"/>
      <c r="BOT237" s="36"/>
      <c r="BOU237" s="36"/>
      <c r="BOV237" s="36"/>
      <c r="BOW237" s="36"/>
      <c r="BOX237" s="36"/>
      <c r="BOY237" s="36"/>
      <c r="BOZ237" s="36"/>
      <c r="BPA237" s="36"/>
      <c r="BPB237" s="36"/>
      <c r="BPC237" s="36"/>
      <c r="BPD237" s="36"/>
      <c r="BPE237" s="36"/>
      <c r="BPF237" s="36"/>
      <c r="BPG237" s="36"/>
      <c r="BPH237" s="36"/>
      <c r="BPI237" s="36"/>
      <c r="BPJ237" s="36"/>
      <c r="BPK237" s="36"/>
      <c r="BPL237" s="36"/>
      <c r="BPM237" s="36"/>
      <c r="BPN237" s="36"/>
      <c r="BPO237" s="36"/>
      <c r="BPP237" s="36"/>
      <c r="BPQ237" s="36"/>
      <c r="BPR237" s="36"/>
      <c r="BPS237" s="36"/>
      <c r="BPT237" s="36"/>
      <c r="BPU237" s="36"/>
      <c r="BPV237" s="36"/>
      <c r="BPW237" s="36"/>
      <c r="BPX237" s="36"/>
      <c r="BPY237" s="36"/>
      <c r="BPZ237" s="36"/>
      <c r="BQA237" s="36"/>
      <c r="BQB237" s="36"/>
      <c r="BQC237" s="36"/>
      <c r="BQD237" s="36"/>
      <c r="BQE237" s="36"/>
      <c r="BQF237" s="36"/>
      <c r="BQG237" s="36"/>
      <c r="BQH237" s="36"/>
      <c r="BQI237" s="36"/>
      <c r="BQJ237" s="36"/>
      <c r="BQK237" s="36"/>
      <c r="BQL237" s="36"/>
      <c r="BQM237" s="36"/>
      <c r="BQN237" s="36"/>
      <c r="BQO237" s="36"/>
      <c r="BQP237" s="36"/>
      <c r="BQQ237" s="36"/>
      <c r="BQR237" s="36"/>
      <c r="BQS237" s="36"/>
      <c r="BQT237" s="36"/>
      <c r="BQU237" s="36"/>
      <c r="BQV237" s="36"/>
      <c r="BQW237" s="36"/>
      <c r="BQX237" s="36"/>
      <c r="BQY237" s="36"/>
      <c r="BQZ237" s="36"/>
      <c r="BRA237" s="36"/>
      <c r="BRB237" s="36"/>
      <c r="BRC237" s="36"/>
      <c r="BRD237" s="36"/>
      <c r="BRE237" s="36"/>
      <c r="BRF237" s="36"/>
      <c r="BRG237" s="36"/>
      <c r="BRH237" s="36"/>
      <c r="BRI237" s="36"/>
      <c r="BRJ237" s="36"/>
      <c r="BRK237" s="36"/>
      <c r="BRL237" s="36"/>
      <c r="BRM237" s="36"/>
      <c r="BRN237" s="36"/>
      <c r="BRO237" s="36"/>
      <c r="BRP237" s="36"/>
      <c r="BRQ237" s="36"/>
      <c r="BRR237" s="36"/>
      <c r="BRS237" s="36"/>
      <c r="BRT237" s="36"/>
      <c r="BRU237" s="36"/>
      <c r="BRV237" s="36"/>
      <c r="BRW237" s="36"/>
      <c r="BRX237" s="36"/>
      <c r="BRY237" s="36"/>
      <c r="BRZ237" s="36"/>
      <c r="BSA237" s="36"/>
      <c r="BSB237" s="36"/>
      <c r="BSC237" s="36"/>
      <c r="BSD237" s="36"/>
      <c r="BSE237" s="36"/>
      <c r="BSF237" s="36"/>
      <c r="BSG237" s="36"/>
      <c r="BSH237" s="36"/>
      <c r="BSI237" s="36"/>
      <c r="BSJ237" s="36"/>
      <c r="BSK237" s="36"/>
      <c r="BSL237" s="36"/>
      <c r="BSM237" s="36"/>
      <c r="BSN237" s="36"/>
      <c r="BSO237" s="36"/>
      <c r="BSP237" s="36"/>
      <c r="BSQ237" s="36"/>
      <c r="BSR237" s="36"/>
      <c r="BSS237" s="36"/>
      <c r="BST237" s="36"/>
      <c r="BSU237" s="36"/>
      <c r="BSV237" s="36"/>
      <c r="BSW237" s="36"/>
      <c r="BSX237" s="36"/>
      <c r="BSY237" s="36"/>
      <c r="BSZ237" s="36"/>
      <c r="BTA237" s="36"/>
      <c r="BTB237" s="36"/>
      <c r="BTC237" s="36"/>
      <c r="BTD237" s="36"/>
      <c r="BTE237" s="36"/>
      <c r="BTF237" s="36"/>
      <c r="BTG237" s="36"/>
      <c r="BTH237" s="36"/>
      <c r="BTI237" s="36"/>
      <c r="BTJ237" s="36"/>
      <c r="BTK237" s="36"/>
      <c r="BTL237" s="36"/>
      <c r="BTM237" s="36"/>
      <c r="BTN237" s="36"/>
      <c r="BTO237" s="36"/>
      <c r="BTP237" s="36"/>
      <c r="BTQ237" s="36"/>
      <c r="BTR237" s="36"/>
      <c r="BTS237" s="36"/>
      <c r="BTT237" s="36"/>
      <c r="BTU237" s="36"/>
      <c r="BTV237" s="36"/>
      <c r="BTW237" s="36"/>
      <c r="BTX237" s="36"/>
      <c r="BTY237" s="36"/>
      <c r="BTZ237" s="36"/>
      <c r="BUA237" s="36"/>
      <c r="BUB237" s="36"/>
      <c r="BUC237" s="36"/>
      <c r="BUD237" s="36"/>
      <c r="BUE237" s="36"/>
      <c r="BUF237" s="36"/>
      <c r="BUG237" s="36"/>
      <c r="BUH237" s="36"/>
      <c r="BUI237" s="36"/>
      <c r="BUJ237" s="36"/>
      <c r="BUK237" s="36"/>
      <c r="BUL237" s="36"/>
      <c r="BUM237" s="36"/>
      <c r="BUN237" s="36"/>
      <c r="BUO237" s="36"/>
      <c r="BUP237" s="36"/>
      <c r="BUQ237" s="36"/>
      <c r="BUR237" s="36"/>
      <c r="BUS237" s="36"/>
      <c r="BUT237" s="36"/>
      <c r="BUU237" s="36"/>
      <c r="BUV237" s="36"/>
      <c r="BUW237" s="36"/>
      <c r="BUX237" s="36"/>
      <c r="BUY237" s="36"/>
      <c r="BUZ237" s="36"/>
      <c r="BVA237" s="36"/>
      <c r="BVB237" s="36"/>
      <c r="BVC237" s="36"/>
      <c r="BVD237" s="36"/>
      <c r="BVE237" s="36"/>
      <c r="BVF237" s="36"/>
      <c r="BVG237" s="36"/>
      <c r="BVH237" s="36"/>
      <c r="BVI237" s="36"/>
      <c r="BVJ237" s="36"/>
      <c r="BVK237" s="36"/>
      <c r="BVL237" s="36"/>
      <c r="BVM237" s="36"/>
      <c r="BVN237" s="36"/>
      <c r="BVO237" s="36"/>
      <c r="BVP237" s="36"/>
      <c r="BVQ237" s="36"/>
      <c r="BVR237" s="36"/>
      <c r="BVS237" s="36"/>
      <c r="BVT237" s="36"/>
      <c r="BVU237" s="36"/>
      <c r="BVV237" s="36"/>
      <c r="BVW237" s="36"/>
      <c r="BVX237" s="36"/>
      <c r="BVY237" s="36"/>
      <c r="BVZ237" s="36"/>
      <c r="BWA237" s="36"/>
      <c r="BWB237" s="36"/>
      <c r="BWC237" s="36"/>
      <c r="BWD237" s="36"/>
      <c r="BWE237" s="36"/>
      <c r="BWF237" s="36"/>
      <c r="BWG237" s="36"/>
      <c r="BWH237" s="36"/>
      <c r="BWI237" s="36"/>
      <c r="BWJ237" s="36"/>
      <c r="BWK237" s="36"/>
      <c r="BWL237" s="36"/>
      <c r="BWM237" s="36"/>
      <c r="BWN237" s="36"/>
      <c r="BWO237" s="36"/>
      <c r="BWP237" s="36"/>
      <c r="BWQ237" s="36"/>
      <c r="BWR237" s="36"/>
      <c r="BWS237" s="36"/>
      <c r="BWT237" s="36"/>
      <c r="BWU237" s="36"/>
      <c r="BWV237" s="36"/>
      <c r="BWW237" s="36"/>
      <c r="BWX237" s="36"/>
      <c r="BWY237" s="36"/>
      <c r="BWZ237" s="36"/>
      <c r="BXA237" s="36"/>
      <c r="BXB237" s="36"/>
      <c r="BXC237" s="36"/>
      <c r="BXD237" s="36"/>
      <c r="BXE237" s="36"/>
      <c r="BXF237" s="36"/>
      <c r="BXG237" s="36"/>
      <c r="BXH237" s="36"/>
      <c r="BXI237" s="36"/>
      <c r="BXJ237" s="36"/>
      <c r="BXK237" s="36"/>
      <c r="BXL237" s="36"/>
      <c r="BXM237" s="36"/>
      <c r="BXN237" s="36"/>
      <c r="BXO237" s="36"/>
      <c r="BXP237" s="36"/>
      <c r="BXQ237" s="36"/>
      <c r="BXR237" s="36"/>
      <c r="BXS237" s="36"/>
      <c r="BXT237" s="36"/>
      <c r="BXU237" s="36"/>
      <c r="BXV237" s="36"/>
      <c r="BXW237" s="36"/>
      <c r="BXX237" s="36"/>
      <c r="BXY237" s="36"/>
      <c r="BXZ237" s="36"/>
      <c r="BYA237" s="36"/>
      <c r="BYB237" s="36"/>
      <c r="BYC237" s="36"/>
      <c r="BYD237" s="36"/>
      <c r="BYE237" s="36"/>
      <c r="BYF237" s="36"/>
      <c r="BYG237" s="36"/>
      <c r="BYH237" s="36"/>
      <c r="BYI237" s="36"/>
      <c r="BYJ237" s="36"/>
      <c r="BYK237" s="36"/>
      <c r="BYL237" s="36"/>
      <c r="BYM237" s="36"/>
      <c r="BYN237" s="36"/>
      <c r="BYO237" s="36"/>
      <c r="BYP237" s="36"/>
      <c r="BYQ237" s="36"/>
      <c r="BYR237" s="36"/>
      <c r="BYS237" s="36"/>
      <c r="BYT237" s="36"/>
      <c r="BYU237" s="36"/>
      <c r="BYV237" s="36"/>
      <c r="BYW237" s="36"/>
      <c r="BYX237" s="36"/>
      <c r="BYY237" s="36"/>
      <c r="BYZ237" s="36"/>
      <c r="BZA237" s="36"/>
      <c r="BZB237" s="36"/>
      <c r="BZC237" s="36"/>
      <c r="BZD237" s="36"/>
      <c r="BZE237" s="36"/>
      <c r="BZF237" s="36"/>
      <c r="BZG237" s="36"/>
      <c r="BZH237" s="36"/>
      <c r="BZI237" s="36"/>
      <c r="BZJ237" s="36"/>
      <c r="BZK237" s="36"/>
      <c r="BZL237" s="36"/>
      <c r="BZM237" s="36"/>
      <c r="BZN237" s="36"/>
      <c r="BZO237" s="36"/>
      <c r="BZP237" s="36"/>
      <c r="BZQ237" s="36"/>
      <c r="BZR237" s="36"/>
      <c r="BZS237" s="36"/>
      <c r="BZT237" s="36"/>
      <c r="BZU237" s="36"/>
      <c r="BZV237" s="36"/>
      <c r="BZW237" s="36"/>
      <c r="BZX237" s="36"/>
      <c r="BZY237" s="36"/>
      <c r="BZZ237" s="36"/>
      <c r="CAA237" s="36"/>
      <c r="CAB237" s="36"/>
      <c r="CAC237" s="36"/>
      <c r="CAD237" s="36"/>
      <c r="CAE237" s="36"/>
      <c r="CAF237" s="36"/>
      <c r="CAG237" s="36"/>
      <c r="CAH237" s="36"/>
      <c r="CAI237" s="36"/>
      <c r="CAJ237" s="36"/>
      <c r="CAK237" s="36"/>
      <c r="CAL237" s="36"/>
      <c r="CAM237" s="36"/>
      <c r="CAN237" s="36"/>
      <c r="CAO237" s="36"/>
      <c r="CAP237" s="36"/>
      <c r="CAQ237" s="36"/>
      <c r="CAR237" s="36"/>
      <c r="CAS237" s="36"/>
      <c r="CAT237" s="36"/>
      <c r="CAU237" s="36"/>
      <c r="CAV237" s="36"/>
      <c r="CAW237" s="36"/>
      <c r="CAX237" s="36"/>
      <c r="CAY237" s="36"/>
      <c r="CAZ237" s="36"/>
      <c r="CBA237" s="36"/>
      <c r="CBB237" s="36"/>
      <c r="CBC237" s="36"/>
      <c r="CBD237" s="36"/>
      <c r="CBE237" s="36"/>
      <c r="CBF237" s="36"/>
      <c r="CBG237" s="36"/>
      <c r="CBH237" s="36"/>
      <c r="CBI237" s="36"/>
      <c r="CBJ237" s="36"/>
      <c r="CBK237" s="36"/>
      <c r="CBL237" s="36"/>
      <c r="CBM237" s="36"/>
      <c r="CBN237" s="36"/>
      <c r="CBO237" s="36"/>
      <c r="CBP237" s="36"/>
      <c r="CBQ237" s="36"/>
      <c r="CBR237" s="36"/>
      <c r="CBS237" s="36"/>
      <c r="CBT237" s="36"/>
      <c r="CBU237" s="36"/>
      <c r="CBV237" s="36"/>
      <c r="CBW237" s="36"/>
      <c r="CBX237" s="36"/>
      <c r="CBY237" s="36"/>
      <c r="CBZ237" s="36"/>
      <c r="CCA237" s="36"/>
      <c r="CCB237" s="36"/>
      <c r="CCC237" s="36"/>
      <c r="CCD237" s="36"/>
      <c r="CCE237" s="36"/>
      <c r="CCF237" s="36"/>
      <c r="CCG237" s="36"/>
      <c r="CCH237" s="36"/>
      <c r="CCI237" s="36"/>
      <c r="CCJ237" s="36"/>
      <c r="CCK237" s="36"/>
      <c r="CCL237" s="36"/>
      <c r="CCM237" s="36"/>
      <c r="CCN237" s="36"/>
      <c r="CCO237" s="36"/>
      <c r="CCP237" s="36"/>
      <c r="CCQ237" s="36"/>
      <c r="CCR237" s="36"/>
      <c r="CCS237" s="36"/>
      <c r="CCT237" s="36"/>
      <c r="CCU237" s="36"/>
      <c r="CCV237" s="36"/>
      <c r="CCW237" s="36"/>
      <c r="CCX237" s="36"/>
      <c r="CCY237" s="36"/>
      <c r="CCZ237" s="36"/>
      <c r="CDA237" s="36"/>
      <c r="CDB237" s="36"/>
      <c r="CDC237" s="36"/>
      <c r="CDD237" s="36"/>
      <c r="CDE237" s="36"/>
      <c r="CDF237" s="36"/>
      <c r="CDG237" s="36"/>
      <c r="CDH237" s="36"/>
      <c r="CDI237" s="36"/>
      <c r="CDJ237" s="36"/>
      <c r="CDK237" s="36"/>
      <c r="CDL237" s="36"/>
      <c r="CDM237" s="36"/>
      <c r="CDN237" s="36"/>
      <c r="CDO237" s="36"/>
      <c r="CDP237" s="36"/>
      <c r="CDQ237" s="36"/>
      <c r="CDR237" s="36"/>
      <c r="CDS237" s="36"/>
      <c r="CDT237" s="36"/>
      <c r="CDU237" s="36"/>
      <c r="CDV237" s="36"/>
      <c r="CDW237" s="36"/>
      <c r="CDX237" s="36"/>
      <c r="CDY237" s="36"/>
      <c r="CDZ237" s="36"/>
      <c r="CEA237" s="36"/>
      <c r="CEB237" s="36"/>
      <c r="CEC237" s="36"/>
      <c r="CED237" s="36"/>
      <c r="CEE237" s="36"/>
      <c r="CEF237" s="36"/>
      <c r="CEG237" s="36"/>
      <c r="CEH237" s="36"/>
      <c r="CEI237" s="36"/>
      <c r="CEJ237" s="36"/>
      <c r="CEK237" s="36"/>
      <c r="CEL237" s="36"/>
      <c r="CEM237" s="36"/>
      <c r="CEN237" s="36"/>
      <c r="CEO237" s="36"/>
      <c r="CEP237" s="36"/>
      <c r="CEQ237" s="36"/>
      <c r="CER237" s="36"/>
      <c r="CES237" s="36"/>
      <c r="CET237" s="36"/>
      <c r="CEU237" s="36"/>
      <c r="CEV237" s="36"/>
      <c r="CEW237" s="36"/>
      <c r="CEX237" s="36"/>
      <c r="CEY237" s="36"/>
      <c r="CEZ237" s="36"/>
      <c r="CFA237" s="36"/>
      <c r="CFB237" s="36"/>
      <c r="CFC237" s="36"/>
      <c r="CFD237" s="36"/>
      <c r="CFE237" s="36"/>
      <c r="CFF237" s="36"/>
      <c r="CFG237" s="36"/>
      <c r="CFH237" s="36"/>
      <c r="CFI237" s="36"/>
      <c r="CFJ237" s="36"/>
      <c r="CFK237" s="36"/>
      <c r="CFL237" s="36"/>
      <c r="CFM237" s="36"/>
      <c r="CFN237" s="36"/>
      <c r="CFO237" s="36"/>
      <c r="CFP237" s="36"/>
      <c r="CFQ237" s="36"/>
      <c r="CFR237" s="36"/>
      <c r="CFS237" s="36"/>
      <c r="CFT237" s="36"/>
      <c r="CFU237" s="36"/>
      <c r="CFV237" s="36"/>
      <c r="CFW237" s="36"/>
      <c r="CFX237" s="36"/>
      <c r="CFY237" s="36"/>
      <c r="CFZ237" s="36"/>
      <c r="CGA237" s="36"/>
      <c r="CGB237" s="36"/>
      <c r="CGC237" s="36"/>
      <c r="CGD237" s="36"/>
      <c r="CGE237" s="36"/>
      <c r="CGF237" s="36"/>
      <c r="CGG237" s="36"/>
      <c r="CGH237" s="36"/>
      <c r="CGI237" s="36"/>
      <c r="CGJ237" s="36"/>
      <c r="CGK237" s="36"/>
      <c r="CGL237" s="36"/>
      <c r="CGM237" s="36"/>
      <c r="CGN237" s="36"/>
      <c r="CGO237" s="36"/>
      <c r="CGP237" s="36"/>
      <c r="CGQ237" s="36"/>
      <c r="CGR237" s="36"/>
      <c r="CGS237" s="36"/>
      <c r="CGT237" s="36"/>
      <c r="CGU237" s="36"/>
      <c r="CGV237" s="36"/>
      <c r="CGW237" s="36"/>
      <c r="CGX237" s="36"/>
      <c r="CGY237" s="36"/>
      <c r="CGZ237" s="36"/>
      <c r="CHA237" s="36"/>
      <c r="CHB237" s="36"/>
      <c r="CHC237" s="36"/>
      <c r="CHD237" s="36"/>
      <c r="CHE237" s="36"/>
      <c r="CHF237" s="36"/>
      <c r="CHG237" s="36"/>
      <c r="CHH237" s="36"/>
      <c r="CHI237" s="36"/>
      <c r="CHJ237" s="36"/>
      <c r="CHK237" s="36"/>
      <c r="CHL237" s="36"/>
      <c r="CHM237" s="36"/>
      <c r="CHN237" s="36"/>
      <c r="CHO237" s="36"/>
      <c r="CHP237" s="36"/>
      <c r="CHQ237" s="36"/>
      <c r="CHR237" s="36"/>
      <c r="CHS237" s="36"/>
      <c r="CHT237" s="36"/>
      <c r="CHU237" s="36"/>
      <c r="CHV237" s="36"/>
      <c r="CHW237" s="36"/>
      <c r="CHX237" s="36"/>
      <c r="CHY237" s="36"/>
      <c r="CHZ237" s="36"/>
      <c r="CIA237" s="36"/>
      <c r="CIB237" s="36"/>
      <c r="CIC237" s="36"/>
      <c r="CID237" s="36"/>
      <c r="CIE237" s="36"/>
      <c r="CIF237" s="36"/>
      <c r="CIG237" s="36"/>
      <c r="CIH237" s="36"/>
      <c r="CII237" s="36"/>
      <c r="CIJ237" s="36"/>
      <c r="CIK237" s="36"/>
      <c r="CIL237" s="36"/>
      <c r="CIM237" s="36"/>
      <c r="CIN237" s="36"/>
      <c r="CIO237" s="36"/>
      <c r="CIP237" s="36"/>
      <c r="CIQ237" s="36"/>
      <c r="CIR237" s="36"/>
      <c r="CIS237" s="36"/>
      <c r="CIT237" s="36"/>
      <c r="CIU237" s="36"/>
      <c r="CIV237" s="36"/>
      <c r="CIW237" s="36"/>
      <c r="CIX237" s="36"/>
      <c r="CIY237" s="36"/>
      <c r="CIZ237" s="36"/>
      <c r="CJA237" s="36"/>
      <c r="CJB237" s="36"/>
      <c r="CJC237" s="36"/>
      <c r="CJD237" s="36"/>
      <c r="CJE237" s="36"/>
      <c r="CJF237" s="36"/>
      <c r="CJG237" s="36"/>
      <c r="CJH237" s="36"/>
      <c r="CJI237" s="36"/>
      <c r="CJJ237" s="36"/>
      <c r="CJK237" s="36"/>
      <c r="CJL237" s="36"/>
      <c r="CJM237" s="36"/>
      <c r="CJN237" s="36"/>
      <c r="CJO237" s="36"/>
      <c r="CJP237" s="36"/>
      <c r="CJQ237" s="36"/>
      <c r="CJR237" s="36"/>
      <c r="CJS237" s="36"/>
      <c r="CJT237" s="36"/>
      <c r="CJU237" s="36"/>
      <c r="CJV237" s="36"/>
      <c r="CJW237" s="36"/>
      <c r="CJX237" s="36"/>
      <c r="CJY237" s="36"/>
      <c r="CJZ237" s="36"/>
      <c r="CKA237" s="36"/>
      <c r="CKB237" s="36"/>
      <c r="CKC237" s="36"/>
      <c r="CKD237" s="36"/>
      <c r="CKE237" s="36"/>
      <c r="CKF237" s="36"/>
      <c r="CKG237" s="36"/>
      <c r="CKH237" s="36"/>
      <c r="CKI237" s="36"/>
      <c r="CKJ237" s="36"/>
      <c r="CKK237" s="36"/>
      <c r="CKL237" s="36"/>
      <c r="CKM237" s="36"/>
      <c r="CKN237" s="36"/>
      <c r="CKO237" s="36"/>
      <c r="CKP237" s="36"/>
      <c r="CKQ237" s="36"/>
      <c r="CKR237" s="36"/>
      <c r="CKS237" s="36"/>
      <c r="CKT237" s="36"/>
      <c r="CKU237" s="36"/>
      <c r="CKV237" s="36"/>
      <c r="CKW237" s="36"/>
      <c r="CKX237" s="36"/>
      <c r="CKY237" s="36"/>
      <c r="CKZ237" s="36"/>
      <c r="CLA237" s="36"/>
      <c r="CLB237" s="36"/>
      <c r="CLC237" s="36"/>
      <c r="CLD237" s="36"/>
      <c r="CLE237" s="36"/>
      <c r="CLF237" s="36"/>
      <c r="CLG237" s="36"/>
      <c r="CLH237" s="36"/>
      <c r="CLI237" s="36"/>
      <c r="CLJ237" s="36"/>
      <c r="CLK237" s="36"/>
      <c r="CLL237" s="36"/>
      <c r="CLM237" s="36"/>
      <c r="CLN237" s="36"/>
      <c r="CLO237" s="36"/>
      <c r="CLP237" s="36"/>
      <c r="CLQ237" s="36"/>
      <c r="CLR237" s="36"/>
      <c r="CLS237" s="36"/>
      <c r="CLT237" s="36"/>
      <c r="CLU237" s="36"/>
      <c r="CLV237" s="36"/>
      <c r="CLW237" s="36"/>
      <c r="CLX237" s="36"/>
      <c r="CLY237" s="36"/>
      <c r="CLZ237" s="36"/>
      <c r="CMA237" s="36"/>
      <c r="CMB237" s="36"/>
      <c r="CMC237" s="36"/>
      <c r="CMD237" s="36"/>
      <c r="CME237" s="36"/>
      <c r="CMF237" s="36"/>
      <c r="CMG237" s="36"/>
      <c r="CMH237" s="36"/>
      <c r="CMI237" s="36"/>
      <c r="CMJ237" s="36"/>
      <c r="CMK237" s="36"/>
      <c r="CML237" s="36"/>
      <c r="CMM237" s="36"/>
      <c r="CMN237" s="36"/>
      <c r="CMO237" s="36"/>
      <c r="CMP237" s="36"/>
      <c r="CMQ237" s="36"/>
      <c r="CMR237" s="36"/>
      <c r="CMS237" s="36"/>
      <c r="CMT237" s="36"/>
      <c r="CMU237" s="36"/>
      <c r="CMV237" s="36"/>
      <c r="CMW237" s="36"/>
      <c r="CMX237" s="36"/>
      <c r="CMY237" s="36"/>
      <c r="CMZ237" s="36"/>
      <c r="CNA237" s="36"/>
      <c r="CNB237" s="36"/>
      <c r="CNC237" s="36"/>
      <c r="CND237" s="36"/>
      <c r="CNE237" s="36"/>
      <c r="CNF237" s="36"/>
      <c r="CNG237" s="36"/>
      <c r="CNH237" s="36"/>
      <c r="CNI237" s="36"/>
      <c r="CNJ237" s="36"/>
      <c r="CNK237" s="36"/>
      <c r="CNL237" s="36"/>
      <c r="CNM237" s="36"/>
      <c r="CNN237" s="36"/>
      <c r="CNO237" s="36"/>
      <c r="CNP237" s="36"/>
      <c r="CNQ237" s="36"/>
      <c r="CNR237" s="36"/>
      <c r="CNS237" s="36"/>
      <c r="CNT237" s="36"/>
      <c r="CNU237" s="36"/>
      <c r="CNV237" s="36"/>
      <c r="CNW237" s="36"/>
      <c r="CNX237" s="36"/>
      <c r="CNY237" s="36"/>
      <c r="CNZ237" s="36"/>
      <c r="COA237" s="36"/>
      <c r="COB237" s="36"/>
      <c r="COC237" s="36"/>
      <c r="COD237" s="36"/>
      <c r="COE237" s="36"/>
      <c r="COF237" s="36"/>
      <c r="COG237" s="36"/>
      <c r="COH237" s="36"/>
      <c r="COI237" s="36"/>
      <c r="COJ237" s="36"/>
      <c r="COK237" s="36"/>
      <c r="COL237" s="36"/>
      <c r="COM237" s="36"/>
      <c r="CON237" s="36"/>
      <c r="COO237" s="36"/>
      <c r="COP237" s="36"/>
      <c r="COQ237" s="36"/>
      <c r="COR237" s="36"/>
      <c r="COS237" s="36"/>
      <c r="COT237" s="36"/>
      <c r="COU237" s="36"/>
      <c r="COV237" s="36"/>
      <c r="COW237" s="36"/>
      <c r="COX237" s="36"/>
      <c r="COY237" s="36"/>
      <c r="COZ237" s="36"/>
      <c r="CPA237" s="36"/>
      <c r="CPB237" s="36"/>
      <c r="CPC237" s="36"/>
      <c r="CPD237" s="36"/>
      <c r="CPE237" s="36"/>
      <c r="CPF237" s="36"/>
      <c r="CPG237" s="36"/>
      <c r="CPH237" s="36"/>
      <c r="CPI237" s="36"/>
      <c r="CPJ237" s="36"/>
      <c r="CPK237" s="36"/>
      <c r="CPL237" s="36"/>
      <c r="CPM237" s="36"/>
      <c r="CPN237" s="36"/>
      <c r="CPO237" s="36"/>
      <c r="CPP237" s="36"/>
      <c r="CPQ237" s="36"/>
      <c r="CPR237" s="36"/>
      <c r="CPS237" s="36"/>
      <c r="CPT237" s="36"/>
      <c r="CPU237" s="36"/>
      <c r="CPV237" s="36"/>
      <c r="CPW237" s="36"/>
      <c r="CPX237" s="36"/>
      <c r="CPY237" s="36"/>
      <c r="CPZ237" s="36"/>
      <c r="CQA237" s="36"/>
      <c r="CQB237" s="36"/>
      <c r="CQC237" s="36"/>
      <c r="CQD237" s="36"/>
      <c r="CQE237" s="36"/>
      <c r="CQF237" s="36"/>
      <c r="CQG237" s="36"/>
      <c r="CQH237" s="36"/>
      <c r="CQI237" s="36"/>
      <c r="CQJ237" s="36"/>
      <c r="CQK237" s="36"/>
      <c r="CQL237" s="36"/>
      <c r="CQM237" s="36"/>
      <c r="CQN237" s="36"/>
      <c r="CQO237" s="36"/>
      <c r="CQP237" s="36"/>
      <c r="CQQ237" s="36"/>
      <c r="CQR237" s="36"/>
      <c r="CQS237" s="36"/>
      <c r="CQT237" s="36"/>
      <c r="CQU237" s="36"/>
      <c r="CQV237" s="36"/>
      <c r="CQW237" s="36"/>
      <c r="CQX237" s="36"/>
      <c r="CQY237" s="36"/>
      <c r="CQZ237" s="36"/>
      <c r="CRA237" s="36"/>
      <c r="CRB237" s="36"/>
      <c r="CRC237" s="36"/>
      <c r="CRD237" s="36"/>
      <c r="CRE237" s="36"/>
      <c r="CRF237" s="36"/>
      <c r="CRG237" s="36"/>
      <c r="CRH237" s="36"/>
      <c r="CRI237" s="36"/>
      <c r="CRJ237" s="36"/>
      <c r="CRK237" s="36"/>
      <c r="CRL237" s="36"/>
      <c r="CRM237" s="36"/>
      <c r="CRN237" s="36"/>
      <c r="CRO237" s="36"/>
      <c r="CRP237" s="36"/>
      <c r="CRQ237" s="36"/>
      <c r="CRR237" s="36"/>
      <c r="CRS237" s="36"/>
      <c r="CRT237" s="36"/>
      <c r="CRU237" s="36"/>
      <c r="CRV237" s="36"/>
      <c r="CRW237" s="36"/>
      <c r="CRX237" s="36"/>
      <c r="CRY237" s="36"/>
      <c r="CRZ237" s="36"/>
      <c r="CSA237" s="36"/>
      <c r="CSB237" s="36"/>
      <c r="CSC237" s="36"/>
      <c r="CSD237" s="36"/>
      <c r="CSE237" s="36"/>
      <c r="CSF237" s="36"/>
      <c r="CSG237" s="36"/>
      <c r="CSH237" s="36"/>
      <c r="CSI237" s="36"/>
      <c r="CSJ237" s="36"/>
      <c r="CSK237" s="36"/>
      <c r="CSL237" s="36"/>
      <c r="CSM237" s="36"/>
      <c r="CSN237" s="36"/>
      <c r="CSO237" s="36"/>
      <c r="CSP237" s="36"/>
      <c r="CSQ237" s="36"/>
      <c r="CSR237" s="36"/>
      <c r="CSS237" s="36"/>
      <c r="CST237" s="36"/>
      <c r="CSU237" s="36"/>
      <c r="CSV237" s="36"/>
      <c r="CSW237" s="36"/>
      <c r="CSX237" s="36"/>
      <c r="CSY237" s="36"/>
      <c r="CSZ237" s="36"/>
      <c r="CTA237" s="36"/>
      <c r="CTB237" s="36"/>
      <c r="CTC237" s="36"/>
      <c r="CTD237" s="36"/>
      <c r="CTE237" s="36"/>
      <c r="CTF237" s="36"/>
      <c r="CTG237" s="36"/>
      <c r="CTH237" s="36"/>
      <c r="CTI237" s="36"/>
      <c r="CTJ237" s="36"/>
      <c r="CTK237" s="36"/>
      <c r="CTL237" s="36"/>
      <c r="CTM237" s="36"/>
      <c r="CTN237" s="36"/>
      <c r="CTO237" s="36"/>
      <c r="CTP237" s="36"/>
      <c r="CTQ237" s="36"/>
      <c r="CTR237" s="36"/>
      <c r="CTS237" s="36"/>
      <c r="CTT237" s="36"/>
      <c r="CTU237" s="36"/>
      <c r="CTV237" s="36"/>
      <c r="CTW237" s="36"/>
      <c r="CTX237" s="36"/>
      <c r="CTY237" s="36"/>
      <c r="CTZ237" s="36"/>
      <c r="CUA237" s="36"/>
      <c r="CUB237" s="36"/>
      <c r="CUC237" s="36"/>
      <c r="CUD237" s="36"/>
      <c r="CUE237" s="36"/>
      <c r="CUF237" s="36"/>
      <c r="CUG237" s="36"/>
      <c r="CUH237" s="36"/>
      <c r="CUI237" s="36"/>
      <c r="CUJ237" s="36"/>
      <c r="CUK237" s="36"/>
      <c r="CUL237" s="36"/>
      <c r="CUM237" s="36"/>
      <c r="CUN237" s="36"/>
      <c r="CUO237" s="36"/>
      <c r="CUP237" s="36"/>
      <c r="CUQ237" s="36"/>
      <c r="CUR237" s="36"/>
      <c r="CUS237" s="36"/>
      <c r="CUT237" s="36"/>
      <c r="CUU237" s="36"/>
      <c r="CUV237" s="36"/>
      <c r="CUW237" s="36"/>
      <c r="CUX237" s="36"/>
      <c r="CUY237" s="36"/>
      <c r="CUZ237" s="36"/>
      <c r="CVA237" s="36"/>
      <c r="CVB237" s="36"/>
      <c r="CVC237" s="36"/>
      <c r="CVD237" s="36"/>
      <c r="CVE237" s="36"/>
      <c r="CVF237" s="36"/>
      <c r="CVG237" s="36"/>
      <c r="CVH237" s="36"/>
      <c r="CVI237" s="36"/>
      <c r="CVJ237" s="36"/>
      <c r="CVK237" s="36"/>
      <c r="CVL237" s="36"/>
      <c r="CVM237" s="36"/>
      <c r="CVN237" s="36"/>
      <c r="CVO237" s="36"/>
      <c r="CVP237" s="36"/>
      <c r="CVQ237" s="36"/>
      <c r="CVR237" s="36"/>
      <c r="CVS237" s="36"/>
      <c r="CVT237" s="36"/>
      <c r="CVU237" s="36"/>
      <c r="CVV237" s="36"/>
      <c r="CVW237" s="36"/>
      <c r="CVX237" s="36"/>
      <c r="CVY237" s="36"/>
      <c r="CVZ237" s="36"/>
      <c r="CWA237" s="36"/>
      <c r="CWB237" s="36"/>
      <c r="CWC237" s="36"/>
      <c r="CWD237" s="36"/>
      <c r="CWE237" s="36"/>
      <c r="CWF237" s="36"/>
      <c r="CWG237" s="36"/>
      <c r="CWH237" s="36"/>
      <c r="CWI237" s="36"/>
      <c r="CWJ237" s="36"/>
      <c r="CWK237" s="36"/>
      <c r="CWL237" s="36"/>
      <c r="CWM237" s="36"/>
      <c r="CWN237" s="36"/>
      <c r="CWO237" s="36"/>
      <c r="CWP237" s="36"/>
      <c r="CWQ237" s="36"/>
      <c r="CWR237" s="36"/>
      <c r="CWS237" s="36"/>
      <c r="CWT237" s="36"/>
      <c r="CWU237" s="36"/>
      <c r="CWV237" s="36"/>
      <c r="CWW237" s="36"/>
      <c r="CWX237" s="36"/>
      <c r="CWY237" s="36"/>
      <c r="CWZ237" s="36"/>
      <c r="CXA237" s="36"/>
      <c r="CXB237" s="36"/>
      <c r="CXC237" s="36"/>
      <c r="CXD237" s="36"/>
      <c r="CXE237" s="36"/>
      <c r="CXF237" s="36"/>
      <c r="CXG237" s="36"/>
      <c r="CXH237" s="36"/>
      <c r="CXI237" s="36"/>
      <c r="CXJ237" s="36"/>
      <c r="CXK237" s="36"/>
      <c r="CXL237" s="36"/>
      <c r="CXM237" s="36"/>
      <c r="CXN237" s="36"/>
      <c r="CXO237" s="36"/>
      <c r="CXP237" s="36"/>
      <c r="CXQ237" s="36"/>
      <c r="CXR237" s="36"/>
      <c r="CXS237" s="36"/>
      <c r="CXT237" s="36"/>
      <c r="CXU237" s="36"/>
      <c r="CXV237" s="36"/>
      <c r="CXW237" s="36"/>
      <c r="CXX237" s="36"/>
      <c r="CXY237" s="36"/>
      <c r="CXZ237" s="36"/>
      <c r="CYA237" s="36"/>
      <c r="CYB237" s="36"/>
      <c r="CYC237" s="36"/>
      <c r="CYD237" s="36"/>
      <c r="CYE237" s="36"/>
      <c r="CYF237" s="36"/>
      <c r="CYG237" s="36"/>
      <c r="CYH237" s="36"/>
      <c r="CYI237" s="36"/>
      <c r="CYJ237" s="36"/>
      <c r="CYK237" s="36"/>
      <c r="CYL237" s="36"/>
      <c r="CYM237" s="36"/>
      <c r="CYN237" s="36"/>
      <c r="CYO237" s="36"/>
      <c r="CYP237" s="36"/>
      <c r="CYQ237" s="36"/>
      <c r="CYR237" s="36"/>
      <c r="CYS237" s="36"/>
      <c r="CYT237" s="36"/>
      <c r="CYU237" s="36"/>
      <c r="CYV237" s="36"/>
      <c r="CYW237" s="36"/>
      <c r="CYX237" s="36"/>
      <c r="CYY237" s="36"/>
      <c r="CYZ237" s="36"/>
      <c r="CZA237" s="36"/>
      <c r="CZB237" s="36"/>
      <c r="CZC237" s="36"/>
      <c r="CZD237" s="36"/>
      <c r="CZE237" s="36"/>
      <c r="CZF237" s="36"/>
      <c r="CZG237" s="36"/>
      <c r="CZH237" s="36"/>
      <c r="CZI237" s="36"/>
      <c r="CZJ237" s="36"/>
      <c r="CZK237" s="36"/>
      <c r="CZL237" s="36"/>
      <c r="CZM237" s="36"/>
      <c r="CZN237" s="36"/>
      <c r="CZO237" s="36"/>
      <c r="CZP237" s="36"/>
      <c r="CZQ237" s="36"/>
      <c r="CZR237" s="36"/>
      <c r="CZS237" s="36"/>
      <c r="CZT237" s="36"/>
      <c r="CZU237" s="36"/>
      <c r="CZV237" s="36"/>
      <c r="CZW237" s="36"/>
      <c r="CZX237" s="36"/>
      <c r="CZY237" s="36"/>
      <c r="CZZ237" s="36"/>
      <c r="DAA237" s="36"/>
      <c r="DAB237" s="36"/>
      <c r="DAC237" s="36"/>
      <c r="DAD237" s="36"/>
      <c r="DAE237" s="36"/>
      <c r="DAF237" s="36"/>
      <c r="DAG237" s="36"/>
      <c r="DAH237" s="36"/>
      <c r="DAI237" s="36"/>
      <c r="DAJ237" s="36"/>
      <c r="DAK237" s="36"/>
      <c r="DAL237" s="36"/>
      <c r="DAM237" s="36"/>
      <c r="DAN237" s="36"/>
      <c r="DAO237" s="36"/>
      <c r="DAP237" s="36"/>
      <c r="DAQ237" s="36"/>
      <c r="DAR237" s="36"/>
      <c r="DAS237" s="36"/>
      <c r="DAT237" s="36"/>
      <c r="DAU237" s="36"/>
      <c r="DAV237" s="36"/>
      <c r="DAW237" s="36"/>
      <c r="DAX237" s="36"/>
      <c r="DAY237" s="36"/>
      <c r="DAZ237" s="36"/>
      <c r="DBA237" s="36"/>
      <c r="DBB237" s="36"/>
      <c r="DBC237" s="36"/>
      <c r="DBD237" s="36"/>
      <c r="DBE237" s="36"/>
      <c r="DBF237" s="36"/>
      <c r="DBG237" s="36"/>
      <c r="DBH237" s="36"/>
      <c r="DBI237" s="36"/>
      <c r="DBJ237" s="36"/>
      <c r="DBK237" s="36"/>
      <c r="DBL237" s="36"/>
      <c r="DBM237" s="36"/>
      <c r="DBN237" s="36"/>
      <c r="DBO237" s="36"/>
      <c r="DBP237" s="36"/>
      <c r="DBQ237" s="36"/>
      <c r="DBR237" s="36"/>
      <c r="DBS237" s="36"/>
      <c r="DBT237" s="36"/>
      <c r="DBU237" s="36"/>
      <c r="DBV237" s="36"/>
      <c r="DBW237" s="36"/>
      <c r="DBX237" s="36"/>
      <c r="DBY237" s="36"/>
      <c r="DBZ237" s="36"/>
      <c r="DCA237" s="36"/>
      <c r="DCB237" s="36"/>
      <c r="DCC237" s="36"/>
      <c r="DCD237" s="36"/>
      <c r="DCE237" s="36"/>
      <c r="DCF237" s="36"/>
      <c r="DCG237" s="36"/>
      <c r="DCH237" s="36"/>
      <c r="DCI237" s="36"/>
      <c r="DCJ237" s="36"/>
      <c r="DCK237" s="36"/>
      <c r="DCL237" s="36"/>
      <c r="DCM237" s="36"/>
      <c r="DCN237" s="36"/>
      <c r="DCO237" s="36"/>
      <c r="DCP237" s="36"/>
      <c r="DCQ237" s="36"/>
      <c r="DCR237" s="36"/>
      <c r="DCS237" s="36"/>
      <c r="DCT237" s="36"/>
      <c r="DCU237" s="36"/>
      <c r="DCV237" s="36"/>
      <c r="DCW237" s="36"/>
      <c r="DCX237" s="36"/>
      <c r="DCY237" s="36"/>
      <c r="DCZ237" s="36"/>
      <c r="DDA237" s="36"/>
      <c r="DDB237" s="36"/>
      <c r="DDC237" s="36"/>
      <c r="DDD237" s="36"/>
      <c r="DDE237" s="36"/>
      <c r="DDF237" s="36"/>
      <c r="DDG237" s="36"/>
      <c r="DDH237" s="36"/>
      <c r="DDI237" s="36"/>
      <c r="DDJ237" s="36"/>
      <c r="DDK237" s="36"/>
      <c r="DDL237" s="36"/>
      <c r="DDM237" s="36"/>
      <c r="DDN237" s="36"/>
      <c r="DDO237" s="36"/>
      <c r="DDP237" s="36"/>
      <c r="DDQ237" s="36"/>
      <c r="DDR237" s="36"/>
      <c r="DDS237" s="36"/>
      <c r="DDT237" s="36"/>
      <c r="DDU237" s="36"/>
      <c r="DDV237" s="36"/>
      <c r="DDW237" s="36"/>
      <c r="DDX237" s="36"/>
      <c r="DDY237" s="36"/>
      <c r="DDZ237" s="36"/>
      <c r="DEA237" s="36"/>
      <c r="DEB237" s="36"/>
      <c r="DEC237" s="36"/>
      <c r="DED237" s="36"/>
      <c r="DEE237" s="36"/>
      <c r="DEF237" s="36"/>
      <c r="DEG237" s="36"/>
      <c r="DEH237" s="36"/>
      <c r="DEI237" s="36"/>
      <c r="DEJ237" s="36"/>
      <c r="DEK237" s="36"/>
      <c r="DEL237" s="36"/>
      <c r="DEM237" s="36"/>
      <c r="DEN237" s="36"/>
      <c r="DEO237" s="36"/>
      <c r="DEP237" s="36"/>
      <c r="DEQ237" s="36"/>
      <c r="DER237" s="36"/>
      <c r="DES237" s="36"/>
      <c r="DET237" s="36"/>
      <c r="DEU237" s="36"/>
      <c r="DEV237" s="36"/>
      <c r="DEW237" s="36"/>
      <c r="DEX237" s="36"/>
      <c r="DEY237" s="36"/>
      <c r="DEZ237" s="36"/>
      <c r="DFA237" s="36"/>
      <c r="DFB237" s="36"/>
      <c r="DFC237" s="36"/>
      <c r="DFD237" s="36"/>
      <c r="DFE237" s="36"/>
      <c r="DFF237" s="36"/>
      <c r="DFG237" s="36"/>
      <c r="DFH237" s="36"/>
      <c r="DFI237" s="36"/>
      <c r="DFJ237" s="36"/>
      <c r="DFK237" s="36"/>
      <c r="DFL237" s="36"/>
      <c r="DFM237" s="36"/>
      <c r="DFN237" s="36"/>
      <c r="DFO237" s="36"/>
      <c r="DFP237" s="36"/>
      <c r="DFQ237" s="36"/>
      <c r="DFR237" s="36"/>
      <c r="DFS237" s="36"/>
      <c r="DFT237" s="36"/>
      <c r="DFU237" s="36"/>
      <c r="DFV237" s="36"/>
      <c r="DFW237" s="36"/>
      <c r="DFX237" s="36"/>
      <c r="DFY237" s="36"/>
      <c r="DFZ237" s="36"/>
      <c r="DGA237" s="36"/>
      <c r="DGB237" s="36"/>
      <c r="DGC237" s="36"/>
      <c r="DGD237" s="36"/>
      <c r="DGE237" s="36"/>
      <c r="DGF237" s="36"/>
      <c r="DGG237" s="36"/>
      <c r="DGH237" s="36"/>
      <c r="DGI237" s="36"/>
      <c r="DGJ237" s="36"/>
      <c r="DGK237" s="36"/>
      <c r="DGL237" s="36"/>
      <c r="DGM237" s="36"/>
      <c r="DGN237" s="36"/>
      <c r="DGO237" s="36"/>
      <c r="DGP237" s="36"/>
      <c r="DGQ237" s="36"/>
      <c r="DGR237" s="36"/>
      <c r="DGS237" s="36"/>
      <c r="DGT237" s="36"/>
      <c r="DGU237" s="36"/>
      <c r="DGV237" s="36"/>
      <c r="DGW237" s="36"/>
      <c r="DGX237" s="36"/>
      <c r="DGY237" s="36"/>
      <c r="DGZ237" s="36"/>
      <c r="DHA237" s="36"/>
      <c r="DHB237" s="36"/>
      <c r="DHC237" s="36"/>
      <c r="DHD237" s="36"/>
      <c r="DHE237" s="36"/>
      <c r="DHF237" s="36"/>
      <c r="DHG237" s="36"/>
      <c r="DHH237" s="36"/>
      <c r="DHI237" s="36"/>
      <c r="DHJ237" s="36"/>
      <c r="DHK237" s="36"/>
      <c r="DHL237" s="36"/>
      <c r="DHM237" s="36"/>
      <c r="DHN237" s="36"/>
      <c r="DHO237" s="36"/>
      <c r="DHP237" s="36"/>
      <c r="DHQ237" s="36"/>
      <c r="DHR237" s="36"/>
      <c r="DHS237" s="36"/>
      <c r="DHT237" s="36"/>
      <c r="DHU237" s="36"/>
      <c r="DHV237" s="36"/>
      <c r="DHW237" s="36"/>
      <c r="DHX237" s="36"/>
      <c r="DHY237" s="36"/>
      <c r="DHZ237" s="36"/>
      <c r="DIA237" s="36"/>
      <c r="DIB237" s="36"/>
      <c r="DIC237" s="36"/>
      <c r="DID237" s="36"/>
      <c r="DIE237" s="36"/>
      <c r="DIF237" s="36"/>
      <c r="DIG237" s="36"/>
      <c r="DIH237" s="36"/>
      <c r="DII237" s="36"/>
      <c r="DIJ237" s="36"/>
      <c r="DIK237" s="36"/>
      <c r="DIL237" s="36"/>
      <c r="DIM237" s="36"/>
      <c r="DIN237" s="36"/>
      <c r="DIO237" s="36"/>
      <c r="DIP237" s="36"/>
      <c r="DIQ237" s="36"/>
      <c r="DIR237" s="36"/>
      <c r="DIS237" s="36"/>
      <c r="DIT237" s="36"/>
      <c r="DIU237" s="36"/>
      <c r="DIV237" s="36"/>
      <c r="DIW237" s="36"/>
      <c r="DIX237" s="36"/>
      <c r="DIY237" s="36"/>
      <c r="DIZ237" s="36"/>
      <c r="DJA237" s="36"/>
      <c r="DJB237" s="36"/>
      <c r="DJC237" s="36"/>
      <c r="DJD237" s="36"/>
      <c r="DJE237" s="36"/>
      <c r="DJF237" s="36"/>
      <c r="DJG237" s="36"/>
      <c r="DJH237" s="36"/>
      <c r="DJI237" s="36"/>
      <c r="DJJ237" s="36"/>
      <c r="DJK237" s="36"/>
      <c r="DJL237" s="36"/>
      <c r="DJM237" s="36"/>
      <c r="DJN237" s="36"/>
      <c r="DJO237" s="36"/>
      <c r="DJP237" s="36"/>
      <c r="DJQ237" s="36"/>
      <c r="DJR237" s="36"/>
      <c r="DJS237" s="36"/>
      <c r="DJT237" s="36"/>
      <c r="DJU237" s="36"/>
      <c r="DJV237" s="36"/>
      <c r="DJW237" s="36"/>
      <c r="DJX237" s="36"/>
      <c r="DJY237" s="36"/>
      <c r="DJZ237" s="36"/>
      <c r="DKA237" s="36"/>
      <c r="DKB237" s="36"/>
      <c r="DKC237" s="36"/>
      <c r="DKD237" s="36"/>
      <c r="DKE237" s="36"/>
      <c r="DKF237" s="36"/>
      <c r="DKG237" s="36"/>
      <c r="DKH237" s="36"/>
      <c r="DKI237" s="36"/>
      <c r="DKJ237" s="36"/>
      <c r="DKK237" s="36"/>
      <c r="DKL237" s="36"/>
      <c r="DKM237" s="36"/>
      <c r="DKN237" s="36"/>
      <c r="DKO237" s="36"/>
      <c r="DKP237" s="36"/>
      <c r="DKQ237" s="36"/>
      <c r="DKR237" s="36"/>
      <c r="DKS237" s="36"/>
      <c r="DKT237" s="36"/>
      <c r="DKU237" s="36"/>
      <c r="DKV237" s="36"/>
      <c r="DKW237" s="36"/>
      <c r="DKX237" s="36"/>
      <c r="DKY237" s="36"/>
      <c r="DKZ237" s="36"/>
      <c r="DLA237" s="36"/>
      <c r="DLB237" s="36"/>
      <c r="DLC237" s="36"/>
      <c r="DLD237" s="36"/>
      <c r="DLE237" s="36"/>
      <c r="DLF237" s="36"/>
      <c r="DLG237" s="36"/>
      <c r="DLH237" s="36"/>
      <c r="DLI237" s="36"/>
      <c r="DLJ237" s="36"/>
      <c r="DLK237" s="36"/>
      <c r="DLL237" s="36"/>
      <c r="DLM237" s="36"/>
      <c r="DLN237" s="36"/>
      <c r="DLO237" s="36"/>
      <c r="DLP237" s="36"/>
      <c r="DLQ237" s="36"/>
      <c r="DLR237" s="36"/>
      <c r="DLS237" s="36"/>
      <c r="DLT237" s="36"/>
      <c r="DLU237" s="36"/>
      <c r="DLV237" s="36"/>
      <c r="DLW237" s="36"/>
      <c r="DLX237" s="36"/>
      <c r="DLY237" s="36"/>
      <c r="DLZ237" s="36"/>
      <c r="DMA237" s="36"/>
      <c r="DMB237" s="36"/>
      <c r="DMC237" s="36"/>
      <c r="DMD237" s="36"/>
      <c r="DME237" s="36"/>
      <c r="DMF237" s="36"/>
      <c r="DMG237" s="36"/>
      <c r="DMH237" s="36"/>
      <c r="DMI237" s="36"/>
      <c r="DMJ237" s="36"/>
      <c r="DMK237" s="36"/>
      <c r="DML237" s="36"/>
      <c r="DMM237" s="36"/>
      <c r="DMN237" s="36"/>
      <c r="DMO237" s="36"/>
      <c r="DMP237" s="36"/>
      <c r="DMQ237" s="36"/>
      <c r="DMR237" s="36"/>
      <c r="DMS237" s="36"/>
      <c r="DMT237" s="36"/>
      <c r="DMU237" s="36"/>
      <c r="DMV237" s="36"/>
      <c r="DMW237" s="36"/>
      <c r="DMX237" s="36"/>
      <c r="DMY237" s="36"/>
      <c r="DMZ237" s="36"/>
      <c r="DNA237" s="36"/>
      <c r="DNB237" s="36"/>
      <c r="DNC237" s="36"/>
      <c r="DND237" s="36"/>
      <c r="DNE237" s="36"/>
      <c r="DNF237" s="36"/>
      <c r="DNG237" s="36"/>
      <c r="DNH237" s="36"/>
      <c r="DNI237" s="36"/>
      <c r="DNJ237" s="36"/>
      <c r="DNK237" s="36"/>
      <c r="DNL237" s="36"/>
      <c r="DNM237" s="36"/>
      <c r="DNN237" s="36"/>
      <c r="DNO237" s="36"/>
      <c r="DNP237" s="36"/>
      <c r="DNQ237" s="36"/>
      <c r="DNR237" s="36"/>
      <c r="DNS237" s="36"/>
      <c r="DNT237" s="36"/>
      <c r="DNU237" s="36"/>
      <c r="DNV237" s="36"/>
      <c r="DNW237" s="36"/>
      <c r="DNX237" s="36"/>
      <c r="DNY237" s="36"/>
      <c r="DNZ237" s="36"/>
      <c r="DOA237" s="36"/>
      <c r="DOB237" s="36"/>
      <c r="DOC237" s="36"/>
      <c r="DOD237" s="36"/>
      <c r="DOE237" s="36"/>
      <c r="DOF237" s="36"/>
      <c r="DOG237" s="36"/>
      <c r="DOH237" s="36"/>
      <c r="DOI237" s="36"/>
      <c r="DOJ237" s="36"/>
      <c r="DOK237" s="36"/>
      <c r="DOL237" s="36"/>
      <c r="DOM237" s="36"/>
      <c r="DON237" s="36"/>
      <c r="DOO237" s="36"/>
      <c r="DOP237" s="36"/>
      <c r="DOQ237" s="36"/>
      <c r="DOR237" s="36"/>
      <c r="DOS237" s="36"/>
      <c r="DOT237" s="36"/>
      <c r="DOU237" s="36"/>
      <c r="DOV237" s="36"/>
      <c r="DOW237" s="36"/>
      <c r="DOX237" s="36"/>
      <c r="DOY237" s="36"/>
      <c r="DOZ237" s="36"/>
      <c r="DPA237" s="36"/>
      <c r="DPB237" s="36"/>
      <c r="DPC237" s="36"/>
      <c r="DPD237" s="36"/>
      <c r="DPE237" s="36"/>
      <c r="DPF237" s="36"/>
      <c r="DPG237" s="36"/>
      <c r="DPH237" s="36"/>
      <c r="DPI237" s="36"/>
      <c r="DPJ237" s="36"/>
      <c r="DPK237" s="36"/>
      <c r="DPL237" s="36"/>
      <c r="DPM237" s="36"/>
      <c r="DPN237" s="36"/>
      <c r="DPO237" s="36"/>
      <c r="DPP237" s="36"/>
      <c r="DPQ237" s="36"/>
      <c r="DPR237" s="36"/>
      <c r="DPS237" s="36"/>
      <c r="DPT237" s="36"/>
      <c r="DPU237" s="36"/>
      <c r="DPV237" s="36"/>
      <c r="DPW237" s="36"/>
      <c r="DPX237" s="36"/>
      <c r="DPY237" s="36"/>
      <c r="DPZ237" s="36"/>
      <c r="DQA237" s="36"/>
      <c r="DQB237" s="36"/>
      <c r="DQC237" s="36"/>
      <c r="DQD237" s="36"/>
      <c r="DQE237" s="36"/>
      <c r="DQF237" s="36"/>
      <c r="DQG237" s="36"/>
      <c r="DQH237" s="36"/>
      <c r="DQI237" s="36"/>
      <c r="DQJ237" s="36"/>
      <c r="DQK237" s="36"/>
      <c r="DQL237" s="36"/>
      <c r="DQM237" s="36"/>
      <c r="DQN237" s="36"/>
      <c r="DQO237" s="36"/>
      <c r="DQP237" s="36"/>
      <c r="DQQ237" s="36"/>
      <c r="DQR237" s="36"/>
      <c r="DQS237" s="36"/>
      <c r="DQT237" s="36"/>
      <c r="DQU237" s="36"/>
      <c r="DQV237" s="36"/>
      <c r="DQW237" s="36"/>
      <c r="DQX237" s="36"/>
      <c r="DQY237" s="36"/>
      <c r="DQZ237" s="36"/>
      <c r="DRA237" s="36"/>
      <c r="DRB237" s="36"/>
      <c r="DRC237" s="36"/>
      <c r="DRD237" s="36"/>
      <c r="DRE237" s="36"/>
      <c r="DRF237" s="36"/>
      <c r="DRG237" s="36"/>
      <c r="DRH237" s="36"/>
      <c r="DRI237" s="36"/>
      <c r="DRJ237" s="36"/>
      <c r="DRK237" s="36"/>
      <c r="DRL237" s="36"/>
      <c r="DRM237" s="36"/>
      <c r="DRN237" s="36"/>
      <c r="DRO237" s="36"/>
      <c r="DRP237" s="36"/>
      <c r="DRQ237" s="36"/>
      <c r="DRR237" s="36"/>
      <c r="DRS237" s="36"/>
      <c r="DRT237" s="36"/>
      <c r="DRU237" s="36"/>
      <c r="DRV237" s="36"/>
      <c r="DRW237" s="36"/>
      <c r="DRX237" s="36"/>
      <c r="DRY237" s="36"/>
      <c r="DRZ237" s="36"/>
      <c r="DSA237" s="36"/>
      <c r="DSB237" s="36"/>
      <c r="DSC237" s="36"/>
      <c r="DSD237" s="36"/>
      <c r="DSE237" s="36"/>
      <c r="DSF237" s="36"/>
      <c r="DSG237" s="36"/>
      <c r="DSH237" s="36"/>
      <c r="DSI237" s="36"/>
      <c r="DSJ237" s="36"/>
      <c r="DSK237" s="36"/>
      <c r="DSL237" s="36"/>
      <c r="DSM237" s="36"/>
      <c r="DSN237" s="36"/>
      <c r="DSO237" s="36"/>
      <c r="DSP237" s="36"/>
      <c r="DSQ237" s="36"/>
      <c r="DSR237" s="36"/>
      <c r="DSS237" s="36"/>
      <c r="DST237" s="36"/>
      <c r="DSU237" s="36"/>
      <c r="DSV237" s="36"/>
      <c r="DSW237" s="36"/>
      <c r="DSX237" s="36"/>
      <c r="DSY237" s="36"/>
      <c r="DSZ237" s="36"/>
      <c r="DTA237" s="36"/>
      <c r="DTB237" s="36"/>
      <c r="DTC237" s="36"/>
      <c r="DTD237" s="36"/>
      <c r="DTE237" s="36"/>
      <c r="DTF237" s="36"/>
      <c r="DTG237" s="36"/>
      <c r="DTH237" s="36"/>
      <c r="DTI237" s="36"/>
      <c r="DTJ237" s="36"/>
      <c r="DTK237" s="36"/>
      <c r="DTL237" s="36"/>
      <c r="DTM237" s="36"/>
      <c r="DTN237" s="36"/>
      <c r="DTO237" s="36"/>
      <c r="DTP237" s="36"/>
      <c r="DTQ237" s="36"/>
      <c r="DTR237" s="36"/>
      <c r="DTS237" s="36"/>
      <c r="DTT237" s="36"/>
      <c r="DTU237" s="36"/>
      <c r="DTV237" s="36"/>
      <c r="DTW237" s="36"/>
      <c r="DTX237" s="36"/>
      <c r="DTY237" s="36"/>
      <c r="DTZ237" s="36"/>
      <c r="DUA237" s="36"/>
      <c r="DUB237" s="36"/>
      <c r="DUC237" s="36"/>
      <c r="DUD237" s="36"/>
      <c r="DUE237" s="36"/>
      <c r="DUF237" s="36"/>
      <c r="DUG237" s="36"/>
      <c r="DUH237" s="36"/>
      <c r="DUI237" s="36"/>
      <c r="DUJ237" s="36"/>
      <c r="DUK237" s="36"/>
      <c r="DUL237" s="36"/>
      <c r="DUM237" s="36"/>
      <c r="DUN237" s="36"/>
      <c r="DUO237" s="36"/>
      <c r="DUP237" s="36"/>
      <c r="DUQ237" s="36"/>
      <c r="DUR237" s="36"/>
      <c r="DUS237" s="36"/>
      <c r="DUT237" s="36"/>
      <c r="DUU237" s="36"/>
      <c r="DUV237" s="36"/>
      <c r="DUW237" s="36"/>
      <c r="DUX237" s="36"/>
      <c r="DUY237" s="36"/>
      <c r="DUZ237" s="36"/>
      <c r="DVA237" s="36"/>
      <c r="DVB237" s="36"/>
      <c r="DVC237" s="36"/>
      <c r="DVD237" s="36"/>
      <c r="DVE237" s="36"/>
      <c r="DVF237" s="36"/>
      <c r="DVG237" s="36"/>
      <c r="DVH237" s="36"/>
      <c r="DVI237" s="36"/>
      <c r="DVJ237" s="36"/>
      <c r="DVK237" s="36"/>
      <c r="DVL237" s="36"/>
      <c r="DVM237" s="36"/>
      <c r="DVN237" s="36"/>
      <c r="DVO237" s="36"/>
      <c r="DVP237" s="36"/>
      <c r="DVQ237" s="36"/>
      <c r="DVR237" s="36"/>
      <c r="DVS237" s="36"/>
      <c r="DVT237" s="36"/>
      <c r="DVU237" s="36"/>
      <c r="DVV237" s="36"/>
      <c r="DVW237" s="36"/>
      <c r="DVX237" s="36"/>
      <c r="DVY237" s="36"/>
      <c r="DVZ237" s="36"/>
      <c r="DWA237" s="36"/>
      <c r="DWB237" s="36"/>
      <c r="DWC237" s="36"/>
      <c r="DWD237" s="36"/>
      <c r="DWE237" s="36"/>
      <c r="DWF237" s="36"/>
      <c r="DWG237" s="36"/>
      <c r="DWH237" s="36"/>
      <c r="DWI237" s="36"/>
      <c r="DWJ237" s="36"/>
      <c r="DWK237" s="36"/>
      <c r="DWL237" s="36"/>
      <c r="DWM237" s="36"/>
      <c r="DWN237" s="36"/>
      <c r="DWO237" s="36"/>
      <c r="DWP237" s="36"/>
      <c r="DWQ237" s="36"/>
      <c r="DWR237" s="36"/>
      <c r="DWS237" s="36"/>
      <c r="DWT237" s="36"/>
      <c r="DWU237" s="36"/>
      <c r="DWV237" s="36"/>
      <c r="DWW237" s="36"/>
      <c r="DWX237" s="36"/>
      <c r="DWY237" s="36"/>
      <c r="DWZ237" s="36"/>
      <c r="DXA237" s="36"/>
      <c r="DXB237" s="36"/>
      <c r="DXC237" s="36"/>
      <c r="DXD237" s="36"/>
      <c r="DXE237" s="36"/>
      <c r="DXF237" s="36"/>
      <c r="DXG237" s="36"/>
      <c r="DXH237" s="36"/>
      <c r="DXI237" s="36"/>
      <c r="DXJ237" s="36"/>
      <c r="DXK237" s="36"/>
      <c r="DXL237" s="36"/>
      <c r="DXM237" s="36"/>
      <c r="DXN237" s="36"/>
      <c r="DXO237" s="36"/>
      <c r="DXP237" s="36"/>
      <c r="DXQ237" s="36"/>
      <c r="DXR237" s="36"/>
      <c r="DXS237" s="36"/>
      <c r="DXT237" s="36"/>
      <c r="DXU237" s="36"/>
      <c r="DXV237" s="36"/>
      <c r="DXW237" s="36"/>
      <c r="DXX237" s="36"/>
      <c r="DXY237" s="36"/>
      <c r="DXZ237" s="36"/>
      <c r="DYA237" s="36"/>
      <c r="DYB237" s="36"/>
      <c r="DYC237" s="36"/>
      <c r="DYD237" s="36"/>
      <c r="DYE237" s="36"/>
      <c r="DYF237" s="36"/>
      <c r="DYG237" s="36"/>
      <c r="DYH237" s="36"/>
      <c r="DYI237" s="36"/>
      <c r="DYJ237" s="36"/>
      <c r="DYK237" s="36"/>
      <c r="DYL237" s="36"/>
      <c r="DYM237" s="36"/>
      <c r="DYN237" s="36"/>
      <c r="DYO237" s="36"/>
      <c r="DYP237" s="36"/>
      <c r="DYQ237" s="36"/>
      <c r="DYR237" s="36"/>
      <c r="DYS237" s="36"/>
      <c r="DYT237" s="36"/>
      <c r="DYU237" s="36"/>
      <c r="DYV237" s="36"/>
      <c r="DYW237" s="36"/>
      <c r="DYX237" s="36"/>
      <c r="DYY237" s="36"/>
      <c r="DYZ237" s="36"/>
      <c r="DZA237" s="36"/>
      <c r="DZB237" s="36"/>
      <c r="DZC237" s="36"/>
      <c r="DZD237" s="36"/>
      <c r="DZE237" s="36"/>
      <c r="DZF237" s="36"/>
      <c r="DZG237" s="36"/>
      <c r="DZH237" s="36"/>
      <c r="DZI237" s="36"/>
      <c r="DZJ237" s="36"/>
      <c r="DZK237" s="36"/>
      <c r="DZL237" s="36"/>
      <c r="DZM237" s="36"/>
      <c r="DZN237" s="36"/>
      <c r="DZO237" s="36"/>
      <c r="DZP237" s="36"/>
      <c r="DZQ237" s="36"/>
      <c r="DZR237" s="36"/>
      <c r="DZS237" s="36"/>
      <c r="DZT237" s="36"/>
      <c r="DZU237" s="36"/>
      <c r="DZV237" s="36"/>
      <c r="DZW237" s="36"/>
      <c r="DZX237" s="36"/>
      <c r="DZY237" s="36"/>
      <c r="DZZ237" s="36"/>
      <c r="EAA237" s="36"/>
      <c r="EAB237" s="36"/>
      <c r="EAC237" s="36"/>
      <c r="EAD237" s="36"/>
      <c r="EAE237" s="36"/>
      <c r="EAF237" s="36"/>
      <c r="EAG237" s="36"/>
      <c r="EAH237" s="36"/>
      <c r="EAI237" s="36"/>
      <c r="EAJ237" s="36"/>
      <c r="EAK237" s="36"/>
      <c r="EAL237" s="36"/>
      <c r="EAM237" s="36"/>
      <c r="EAN237" s="36"/>
      <c r="EAO237" s="36"/>
      <c r="EAP237" s="36"/>
      <c r="EAQ237" s="36"/>
      <c r="EAR237" s="36"/>
      <c r="EAS237" s="36"/>
      <c r="EAT237" s="36"/>
      <c r="EAU237" s="36"/>
      <c r="EAV237" s="36"/>
      <c r="EAW237" s="36"/>
      <c r="EAX237" s="36"/>
      <c r="EAY237" s="36"/>
      <c r="EAZ237" s="36"/>
      <c r="EBA237" s="36"/>
      <c r="EBB237" s="36"/>
      <c r="EBC237" s="36"/>
      <c r="EBD237" s="36"/>
      <c r="EBE237" s="36"/>
      <c r="EBF237" s="36"/>
      <c r="EBG237" s="36"/>
      <c r="EBH237" s="36"/>
      <c r="EBI237" s="36"/>
      <c r="EBJ237" s="36"/>
      <c r="EBK237" s="36"/>
      <c r="EBL237" s="36"/>
      <c r="EBM237" s="36"/>
      <c r="EBN237" s="36"/>
      <c r="EBO237" s="36"/>
      <c r="EBP237" s="36"/>
      <c r="EBQ237" s="36"/>
      <c r="EBR237" s="36"/>
      <c r="EBS237" s="36"/>
      <c r="EBT237" s="36"/>
      <c r="EBU237" s="36"/>
      <c r="EBV237" s="36"/>
      <c r="EBW237" s="36"/>
      <c r="EBX237" s="36"/>
      <c r="EBY237" s="36"/>
      <c r="EBZ237" s="36"/>
      <c r="ECA237" s="36"/>
      <c r="ECB237" s="36"/>
      <c r="ECC237" s="36"/>
      <c r="ECD237" s="36"/>
      <c r="ECE237" s="36"/>
      <c r="ECF237" s="36"/>
      <c r="ECG237" s="36"/>
      <c r="ECH237" s="36"/>
      <c r="ECI237" s="36"/>
      <c r="ECJ237" s="36"/>
      <c r="ECK237" s="36"/>
      <c r="ECL237" s="36"/>
      <c r="ECM237" s="36"/>
      <c r="ECN237" s="36"/>
      <c r="ECO237" s="36"/>
      <c r="ECP237" s="36"/>
      <c r="ECQ237" s="36"/>
      <c r="ECR237" s="36"/>
      <c r="ECS237" s="36"/>
      <c r="ECT237" s="36"/>
      <c r="ECU237" s="36"/>
      <c r="ECV237" s="36"/>
      <c r="ECW237" s="36"/>
      <c r="ECX237" s="36"/>
      <c r="ECY237" s="36"/>
      <c r="ECZ237" s="36"/>
      <c r="EDA237" s="36"/>
      <c r="EDB237" s="36"/>
      <c r="EDC237" s="36"/>
      <c r="EDD237" s="36"/>
      <c r="EDE237" s="36"/>
      <c r="EDF237" s="36"/>
      <c r="EDG237" s="36"/>
      <c r="EDH237" s="36"/>
      <c r="EDI237" s="36"/>
      <c r="EDJ237" s="36"/>
      <c r="EDK237" s="36"/>
      <c r="EDL237" s="36"/>
      <c r="EDM237" s="36"/>
      <c r="EDN237" s="36"/>
      <c r="EDO237" s="36"/>
      <c r="EDP237" s="36"/>
      <c r="EDQ237" s="36"/>
      <c r="EDR237" s="36"/>
      <c r="EDS237" s="36"/>
      <c r="EDT237" s="36"/>
      <c r="EDU237" s="36"/>
      <c r="EDV237" s="36"/>
      <c r="EDW237" s="36"/>
      <c r="EDX237" s="36"/>
      <c r="EDY237" s="36"/>
      <c r="EDZ237" s="36"/>
      <c r="EEA237" s="36"/>
      <c r="EEB237" s="36"/>
      <c r="EEC237" s="36"/>
      <c r="EED237" s="36"/>
      <c r="EEE237" s="36"/>
      <c r="EEF237" s="36"/>
      <c r="EEG237" s="36"/>
      <c r="EEH237" s="36"/>
      <c r="EEI237" s="36"/>
      <c r="EEJ237" s="36"/>
      <c r="EEK237" s="36"/>
      <c r="EEL237" s="36"/>
      <c r="EEM237" s="36"/>
      <c r="EEN237" s="36"/>
      <c r="EEO237" s="36"/>
      <c r="EEP237" s="36"/>
      <c r="EEQ237" s="36"/>
      <c r="EER237" s="36"/>
      <c r="EES237" s="36"/>
      <c r="EET237" s="36"/>
      <c r="EEU237" s="36"/>
      <c r="EEV237" s="36"/>
      <c r="EEW237" s="36"/>
      <c r="EEX237" s="36"/>
      <c r="EEY237" s="36"/>
      <c r="EEZ237" s="36"/>
      <c r="EFA237" s="36"/>
      <c r="EFB237" s="36"/>
      <c r="EFC237" s="36"/>
      <c r="EFD237" s="36"/>
      <c r="EFE237" s="36"/>
      <c r="EFF237" s="36"/>
      <c r="EFG237" s="36"/>
      <c r="EFH237" s="36"/>
      <c r="EFI237" s="36"/>
      <c r="EFJ237" s="36"/>
      <c r="EFK237" s="36"/>
      <c r="EFL237" s="36"/>
      <c r="EFM237" s="36"/>
      <c r="EFN237" s="36"/>
      <c r="EFO237" s="36"/>
      <c r="EFP237" s="36"/>
      <c r="EFQ237" s="36"/>
      <c r="EFR237" s="36"/>
      <c r="EFS237" s="36"/>
      <c r="EFT237" s="36"/>
      <c r="EFU237" s="36"/>
      <c r="EFV237" s="36"/>
      <c r="EFW237" s="36"/>
      <c r="EFX237" s="36"/>
      <c r="EFY237" s="36"/>
      <c r="EFZ237" s="36"/>
      <c r="EGA237" s="36"/>
      <c r="EGB237" s="36"/>
      <c r="EGC237" s="36"/>
      <c r="EGD237" s="36"/>
      <c r="EGE237" s="36"/>
      <c r="EGF237" s="36"/>
      <c r="EGG237" s="36"/>
      <c r="EGH237" s="36"/>
      <c r="EGI237" s="36"/>
      <c r="EGJ237" s="36"/>
      <c r="EGK237" s="36"/>
      <c r="EGL237" s="36"/>
      <c r="EGM237" s="36"/>
      <c r="EGN237" s="36"/>
      <c r="EGO237" s="36"/>
      <c r="EGP237" s="36"/>
      <c r="EGQ237" s="36"/>
      <c r="EGR237" s="36"/>
      <c r="EGS237" s="36"/>
      <c r="EGT237" s="36"/>
      <c r="EGU237" s="36"/>
      <c r="EGV237" s="36"/>
      <c r="EGW237" s="36"/>
      <c r="EGX237" s="36"/>
      <c r="EGY237" s="36"/>
      <c r="EGZ237" s="36"/>
      <c r="EHA237" s="36"/>
      <c r="EHB237" s="36"/>
      <c r="EHC237" s="36"/>
      <c r="EHD237" s="36"/>
      <c r="EHE237" s="36"/>
      <c r="EHF237" s="36"/>
      <c r="EHG237" s="36"/>
      <c r="EHH237" s="36"/>
      <c r="EHI237" s="36"/>
      <c r="EHJ237" s="36"/>
      <c r="EHK237" s="36"/>
      <c r="EHL237" s="36"/>
      <c r="EHM237" s="36"/>
      <c r="EHN237" s="36"/>
      <c r="EHO237" s="36"/>
      <c r="EHP237" s="36"/>
      <c r="EHQ237" s="36"/>
      <c r="EHR237" s="36"/>
      <c r="EHS237" s="36"/>
      <c r="EHT237" s="36"/>
      <c r="EHU237" s="36"/>
      <c r="EHV237" s="36"/>
      <c r="EHW237" s="36"/>
      <c r="EHX237" s="36"/>
      <c r="EHY237" s="36"/>
      <c r="EHZ237" s="36"/>
      <c r="EIA237" s="36"/>
      <c r="EIB237" s="36"/>
      <c r="EIC237" s="36"/>
      <c r="EID237" s="36"/>
      <c r="EIE237" s="36"/>
      <c r="EIF237" s="36"/>
      <c r="EIG237" s="36"/>
      <c r="EIH237" s="36"/>
      <c r="EII237" s="36"/>
      <c r="EIJ237" s="36"/>
      <c r="EIK237" s="36"/>
      <c r="EIL237" s="36"/>
      <c r="EIM237" s="36"/>
      <c r="EIN237" s="36"/>
      <c r="EIO237" s="36"/>
      <c r="EIP237" s="36"/>
      <c r="EIQ237" s="36"/>
      <c r="EIR237" s="36"/>
      <c r="EIS237" s="36"/>
      <c r="EIT237" s="36"/>
      <c r="EIU237" s="36"/>
      <c r="EIV237" s="36"/>
      <c r="EIW237" s="36"/>
      <c r="EIX237" s="36"/>
      <c r="EIY237" s="36"/>
      <c r="EIZ237" s="36"/>
      <c r="EJA237" s="36"/>
      <c r="EJB237" s="36"/>
      <c r="EJC237" s="36"/>
      <c r="EJD237" s="36"/>
      <c r="EJE237" s="36"/>
      <c r="EJF237" s="36"/>
      <c r="EJG237" s="36"/>
      <c r="EJH237" s="36"/>
      <c r="EJI237" s="36"/>
      <c r="EJJ237" s="36"/>
      <c r="EJK237" s="36"/>
      <c r="EJL237" s="36"/>
      <c r="EJM237" s="36"/>
      <c r="EJN237" s="36"/>
      <c r="EJO237" s="36"/>
      <c r="EJP237" s="36"/>
      <c r="EJQ237" s="36"/>
      <c r="EJR237" s="36"/>
      <c r="EJS237" s="36"/>
      <c r="EJT237" s="36"/>
      <c r="EJU237" s="36"/>
      <c r="EJV237" s="36"/>
      <c r="EJW237" s="36"/>
      <c r="EJX237" s="36"/>
      <c r="EJY237" s="36"/>
      <c r="EJZ237" s="36"/>
      <c r="EKA237" s="36"/>
      <c r="EKB237" s="36"/>
      <c r="EKC237" s="36"/>
      <c r="EKD237" s="36"/>
      <c r="EKE237" s="36"/>
      <c r="EKF237" s="36"/>
      <c r="EKG237" s="36"/>
      <c r="EKH237" s="36"/>
      <c r="EKI237" s="36"/>
      <c r="EKJ237" s="36"/>
      <c r="EKK237" s="36"/>
      <c r="EKL237" s="36"/>
      <c r="EKM237" s="36"/>
      <c r="EKN237" s="36"/>
      <c r="EKO237" s="36"/>
      <c r="EKP237" s="36"/>
      <c r="EKQ237" s="36"/>
      <c r="EKR237" s="36"/>
      <c r="EKS237" s="36"/>
      <c r="EKT237" s="36"/>
      <c r="EKU237" s="36"/>
      <c r="EKV237" s="36"/>
      <c r="EKW237" s="36"/>
      <c r="EKX237" s="36"/>
      <c r="EKY237" s="36"/>
      <c r="EKZ237" s="36"/>
      <c r="ELA237" s="36"/>
      <c r="ELB237" s="36"/>
      <c r="ELC237" s="36"/>
      <c r="ELD237" s="36"/>
      <c r="ELE237" s="36"/>
      <c r="ELF237" s="36"/>
      <c r="ELG237" s="36"/>
      <c r="ELH237" s="36"/>
      <c r="ELI237" s="36"/>
      <c r="ELJ237" s="36"/>
      <c r="ELK237" s="36"/>
      <c r="ELL237" s="36"/>
      <c r="ELM237" s="36"/>
      <c r="ELN237" s="36"/>
      <c r="ELO237" s="36"/>
      <c r="ELP237" s="36"/>
      <c r="ELQ237" s="36"/>
      <c r="ELR237" s="36"/>
      <c r="ELS237" s="36"/>
      <c r="ELT237" s="36"/>
      <c r="ELU237" s="36"/>
      <c r="ELV237" s="36"/>
      <c r="ELW237" s="36"/>
      <c r="ELX237" s="36"/>
      <c r="ELY237" s="36"/>
      <c r="ELZ237" s="36"/>
      <c r="EMA237" s="36"/>
      <c r="EMB237" s="36"/>
      <c r="EMC237" s="36"/>
      <c r="EMD237" s="36"/>
      <c r="EME237" s="36"/>
      <c r="EMF237" s="36"/>
      <c r="EMG237" s="36"/>
      <c r="EMH237" s="36"/>
      <c r="EMI237" s="36"/>
      <c r="EMJ237" s="36"/>
      <c r="EMK237" s="36"/>
      <c r="EML237" s="36"/>
      <c r="EMM237" s="36"/>
      <c r="EMN237" s="36"/>
      <c r="EMO237" s="36"/>
      <c r="EMP237" s="36"/>
      <c r="EMQ237" s="36"/>
      <c r="EMR237" s="36"/>
      <c r="EMS237" s="36"/>
      <c r="EMT237" s="36"/>
      <c r="EMU237" s="36"/>
      <c r="EMV237" s="36"/>
      <c r="EMW237" s="36"/>
      <c r="EMX237" s="36"/>
      <c r="EMY237" s="36"/>
      <c r="EMZ237" s="36"/>
      <c r="ENA237" s="36"/>
      <c r="ENB237" s="36"/>
      <c r="ENC237" s="36"/>
      <c r="END237" s="36"/>
      <c r="ENE237" s="36"/>
      <c r="ENF237" s="36"/>
      <c r="ENG237" s="36"/>
      <c r="ENH237" s="36"/>
      <c r="ENI237" s="36"/>
      <c r="ENJ237" s="36"/>
      <c r="ENK237" s="36"/>
      <c r="ENL237" s="36"/>
      <c r="ENM237" s="36"/>
      <c r="ENN237" s="36"/>
      <c r="ENO237" s="36"/>
      <c r="ENP237" s="36"/>
      <c r="ENQ237" s="36"/>
      <c r="ENR237" s="36"/>
      <c r="ENS237" s="36"/>
      <c r="ENT237" s="36"/>
      <c r="ENU237" s="36"/>
      <c r="ENV237" s="36"/>
      <c r="ENW237" s="36"/>
      <c r="ENX237" s="36"/>
      <c r="ENY237" s="36"/>
      <c r="ENZ237" s="36"/>
      <c r="EOA237" s="36"/>
      <c r="EOB237" s="36"/>
      <c r="EOC237" s="36"/>
      <c r="EOD237" s="36"/>
      <c r="EOE237" s="36"/>
      <c r="EOF237" s="36"/>
      <c r="EOG237" s="36"/>
      <c r="EOH237" s="36"/>
      <c r="EOI237" s="36"/>
      <c r="EOJ237" s="36"/>
      <c r="EOK237" s="36"/>
      <c r="EOL237" s="36"/>
      <c r="EOM237" s="36"/>
      <c r="EON237" s="36"/>
      <c r="EOO237" s="36"/>
      <c r="EOP237" s="36"/>
      <c r="EOQ237" s="36"/>
      <c r="EOR237" s="36"/>
      <c r="EOS237" s="36"/>
      <c r="EOT237" s="36"/>
      <c r="EOU237" s="36"/>
      <c r="EOV237" s="36"/>
      <c r="EOW237" s="36"/>
      <c r="EOX237" s="36"/>
      <c r="EOY237" s="36"/>
      <c r="EOZ237" s="36"/>
      <c r="EPA237" s="36"/>
      <c r="EPB237" s="36"/>
      <c r="EPC237" s="36"/>
      <c r="EPD237" s="36"/>
      <c r="EPE237" s="36"/>
      <c r="EPF237" s="36"/>
      <c r="EPG237" s="36"/>
      <c r="EPH237" s="36"/>
      <c r="EPI237" s="36"/>
      <c r="EPJ237" s="36"/>
      <c r="EPK237" s="36"/>
      <c r="EPL237" s="36"/>
      <c r="EPM237" s="36"/>
      <c r="EPN237" s="36"/>
      <c r="EPO237" s="36"/>
      <c r="EPP237" s="36"/>
      <c r="EPQ237" s="36"/>
      <c r="EPR237" s="36"/>
      <c r="EPS237" s="36"/>
      <c r="EPT237" s="36"/>
      <c r="EPU237" s="36"/>
      <c r="EPV237" s="36"/>
      <c r="EPW237" s="36"/>
      <c r="EPX237" s="36"/>
      <c r="EPY237" s="36"/>
      <c r="EPZ237" s="36"/>
      <c r="EQA237" s="36"/>
      <c r="EQB237" s="36"/>
      <c r="EQC237" s="36"/>
      <c r="EQD237" s="36"/>
      <c r="EQE237" s="36"/>
      <c r="EQF237" s="36"/>
      <c r="EQG237" s="36"/>
      <c r="EQH237" s="36"/>
      <c r="EQI237" s="36"/>
      <c r="EQJ237" s="36"/>
      <c r="EQK237" s="36"/>
      <c r="EQL237" s="36"/>
      <c r="EQM237" s="36"/>
      <c r="EQN237" s="36"/>
      <c r="EQO237" s="36"/>
      <c r="EQP237" s="36"/>
      <c r="EQQ237" s="36"/>
      <c r="EQR237" s="36"/>
      <c r="EQS237" s="36"/>
      <c r="EQT237" s="36"/>
      <c r="EQU237" s="36"/>
      <c r="EQV237" s="36"/>
      <c r="EQW237" s="36"/>
      <c r="EQX237" s="36"/>
      <c r="EQY237" s="36"/>
      <c r="EQZ237" s="36"/>
      <c r="ERA237" s="36"/>
      <c r="ERB237" s="36"/>
      <c r="ERC237" s="36"/>
      <c r="ERD237" s="36"/>
      <c r="ERE237" s="36"/>
      <c r="ERF237" s="36"/>
      <c r="ERG237" s="36"/>
      <c r="ERH237" s="36"/>
      <c r="ERI237" s="36"/>
      <c r="ERJ237" s="36"/>
      <c r="ERK237" s="36"/>
      <c r="ERL237" s="36"/>
      <c r="ERM237" s="36"/>
      <c r="ERN237" s="36"/>
      <c r="ERO237" s="36"/>
      <c r="ERP237" s="36"/>
      <c r="ERQ237" s="36"/>
      <c r="ERR237" s="36"/>
      <c r="ERS237" s="36"/>
      <c r="ERT237" s="36"/>
      <c r="ERU237" s="36"/>
      <c r="ERV237" s="36"/>
      <c r="ERW237" s="36"/>
      <c r="ERX237" s="36"/>
      <c r="ERY237" s="36"/>
      <c r="ERZ237" s="36"/>
      <c r="ESA237" s="36"/>
      <c r="ESB237" s="36"/>
      <c r="ESC237" s="36"/>
      <c r="ESD237" s="36"/>
      <c r="ESE237" s="36"/>
      <c r="ESF237" s="36"/>
      <c r="ESG237" s="36"/>
      <c r="ESH237" s="36"/>
      <c r="ESI237" s="36"/>
      <c r="ESJ237" s="36"/>
      <c r="ESK237" s="36"/>
      <c r="ESL237" s="36"/>
      <c r="ESM237" s="36"/>
      <c r="ESN237" s="36"/>
      <c r="ESO237" s="36"/>
      <c r="ESP237" s="36"/>
      <c r="ESQ237" s="36"/>
      <c r="ESR237" s="36"/>
      <c r="ESS237" s="36"/>
      <c r="EST237" s="36"/>
      <c r="ESU237" s="36"/>
      <c r="ESV237" s="36"/>
      <c r="ESW237" s="36"/>
      <c r="ESX237" s="36"/>
      <c r="ESY237" s="36"/>
      <c r="ESZ237" s="36"/>
      <c r="ETA237" s="36"/>
      <c r="ETB237" s="36"/>
      <c r="ETC237" s="36"/>
      <c r="ETD237" s="36"/>
      <c r="ETE237" s="36"/>
      <c r="ETF237" s="36"/>
      <c r="ETG237" s="36"/>
      <c r="ETH237" s="36"/>
      <c r="ETI237" s="36"/>
      <c r="ETJ237" s="36"/>
      <c r="ETK237" s="36"/>
      <c r="ETL237" s="36"/>
      <c r="ETM237" s="36"/>
      <c r="ETN237" s="36"/>
      <c r="ETO237" s="36"/>
      <c r="ETP237" s="36"/>
      <c r="ETQ237" s="36"/>
      <c r="ETR237" s="36"/>
      <c r="ETS237" s="36"/>
      <c r="ETT237" s="36"/>
      <c r="ETU237" s="36"/>
      <c r="ETV237" s="36"/>
      <c r="ETW237" s="36"/>
      <c r="ETX237" s="36"/>
      <c r="ETY237" s="36"/>
      <c r="ETZ237" s="36"/>
      <c r="EUA237" s="36"/>
      <c r="EUB237" s="36"/>
      <c r="EUC237" s="36"/>
      <c r="EUD237" s="36"/>
      <c r="EUE237" s="36"/>
      <c r="EUF237" s="36"/>
      <c r="EUG237" s="36"/>
      <c r="EUH237" s="36"/>
      <c r="EUI237" s="36"/>
      <c r="EUJ237" s="36"/>
      <c r="EUK237" s="36"/>
      <c r="EUL237" s="36"/>
      <c r="EUM237" s="36"/>
      <c r="EUN237" s="36"/>
      <c r="EUO237" s="36"/>
      <c r="EUP237" s="36"/>
      <c r="EUQ237" s="36"/>
      <c r="EUR237" s="36"/>
      <c r="EUS237" s="36"/>
      <c r="EUT237" s="36"/>
      <c r="EUU237" s="36"/>
      <c r="EUV237" s="36"/>
      <c r="EUW237" s="36"/>
      <c r="EUX237" s="36"/>
      <c r="EUY237" s="36"/>
      <c r="EUZ237" s="36"/>
      <c r="EVA237" s="36"/>
      <c r="EVB237" s="36"/>
      <c r="EVC237" s="36"/>
      <c r="EVD237" s="36"/>
      <c r="EVE237" s="36"/>
      <c r="EVF237" s="36"/>
      <c r="EVG237" s="36"/>
      <c r="EVH237" s="36"/>
      <c r="EVI237" s="36"/>
      <c r="EVJ237" s="36"/>
      <c r="EVK237" s="36"/>
      <c r="EVL237" s="36"/>
      <c r="EVM237" s="36"/>
      <c r="EVN237" s="36"/>
      <c r="EVO237" s="36"/>
      <c r="EVP237" s="36"/>
      <c r="EVQ237" s="36"/>
      <c r="EVR237" s="36"/>
      <c r="EVS237" s="36"/>
      <c r="EVT237" s="36"/>
      <c r="EVU237" s="36"/>
      <c r="EVV237" s="36"/>
      <c r="EVW237" s="36"/>
      <c r="EVX237" s="36"/>
      <c r="EVY237" s="36"/>
      <c r="EVZ237" s="36"/>
      <c r="EWA237" s="36"/>
      <c r="EWB237" s="36"/>
      <c r="EWC237" s="36"/>
      <c r="EWD237" s="36"/>
      <c r="EWE237" s="36"/>
      <c r="EWF237" s="36"/>
      <c r="EWG237" s="36"/>
      <c r="EWH237" s="36"/>
      <c r="EWI237" s="36"/>
      <c r="EWJ237" s="36"/>
      <c r="EWK237" s="36"/>
      <c r="EWL237" s="36"/>
      <c r="EWM237" s="36"/>
      <c r="EWN237" s="36"/>
      <c r="EWO237" s="36"/>
      <c r="EWP237" s="36"/>
      <c r="EWQ237" s="36"/>
      <c r="EWR237" s="36"/>
      <c r="EWS237" s="36"/>
      <c r="EWT237" s="36"/>
      <c r="EWU237" s="36"/>
      <c r="EWV237" s="36"/>
      <c r="EWW237" s="36"/>
      <c r="EWX237" s="36"/>
      <c r="EWY237" s="36"/>
      <c r="EWZ237" s="36"/>
      <c r="EXA237" s="36"/>
      <c r="EXB237" s="36"/>
      <c r="EXC237" s="36"/>
      <c r="EXD237" s="36"/>
      <c r="EXE237" s="36"/>
      <c r="EXF237" s="36"/>
      <c r="EXG237" s="36"/>
      <c r="EXH237" s="36"/>
      <c r="EXI237" s="36"/>
      <c r="EXJ237" s="36"/>
      <c r="EXK237" s="36"/>
      <c r="EXL237" s="36"/>
      <c r="EXM237" s="36"/>
      <c r="EXN237" s="36"/>
      <c r="EXO237" s="36"/>
      <c r="EXP237" s="36"/>
      <c r="EXQ237" s="36"/>
      <c r="EXR237" s="36"/>
      <c r="EXS237" s="36"/>
      <c r="EXT237" s="36"/>
      <c r="EXU237" s="36"/>
      <c r="EXV237" s="36"/>
      <c r="EXW237" s="36"/>
      <c r="EXX237" s="36"/>
      <c r="EXY237" s="36"/>
      <c r="EXZ237" s="36"/>
      <c r="EYA237" s="36"/>
      <c r="EYB237" s="36"/>
      <c r="EYC237" s="36"/>
      <c r="EYD237" s="36"/>
      <c r="EYE237" s="36"/>
      <c r="EYF237" s="36"/>
      <c r="EYG237" s="36"/>
      <c r="EYH237" s="36"/>
      <c r="EYI237" s="36"/>
      <c r="EYJ237" s="36"/>
      <c r="EYK237" s="36"/>
      <c r="EYL237" s="36"/>
      <c r="EYM237" s="36"/>
      <c r="EYN237" s="36"/>
      <c r="EYO237" s="36"/>
      <c r="EYP237" s="36"/>
      <c r="EYQ237" s="36"/>
      <c r="EYR237" s="36"/>
      <c r="EYS237" s="36"/>
      <c r="EYT237" s="36"/>
      <c r="EYU237" s="36"/>
      <c r="EYV237" s="36"/>
      <c r="EYW237" s="36"/>
      <c r="EYX237" s="36"/>
      <c r="EYY237" s="36"/>
      <c r="EYZ237" s="36"/>
      <c r="EZA237" s="36"/>
      <c r="EZB237" s="36"/>
      <c r="EZC237" s="36"/>
      <c r="EZD237" s="36"/>
      <c r="EZE237" s="36"/>
      <c r="EZF237" s="36"/>
      <c r="EZG237" s="36"/>
      <c r="EZH237" s="36"/>
      <c r="EZI237" s="36"/>
      <c r="EZJ237" s="36"/>
      <c r="EZK237" s="36"/>
      <c r="EZL237" s="36"/>
      <c r="EZM237" s="36"/>
      <c r="EZN237" s="36"/>
      <c r="EZO237" s="36"/>
      <c r="EZP237" s="36"/>
      <c r="EZQ237" s="36"/>
      <c r="EZR237" s="36"/>
      <c r="EZS237" s="36"/>
      <c r="EZT237" s="36"/>
      <c r="EZU237" s="36"/>
      <c r="EZV237" s="36"/>
      <c r="EZW237" s="36"/>
      <c r="EZX237" s="36"/>
      <c r="EZY237" s="36"/>
      <c r="EZZ237" s="36"/>
      <c r="FAA237" s="36"/>
      <c r="FAB237" s="36"/>
      <c r="FAC237" s="36"/>
      <c r="FAD237" s="36"/>
      <c r="FAE237" s="36"/>
      <c r="FAF237" s="36"/>
      <c r="FAG237" s="36"/>
      <c r="FAH237" s="36"/>
      <c r="FAI237" s="36"/>
      <c r="FAJ237" s="36"/>
      <c r="FAK237" s="36"/>
      <c r="FAL237" s="36"/>
      <c r="FAM237" s="36"/>
      <c r="FAN237" s="36"/>
      <c r="FAO237" s="36"/>
      <c r="FAP237" s="36"/>
      <c r="FAQ237" s="36"/>
      <c r="FAR237" s="36"/>
      <c r="FAS237" s="36"/>
      <c r="FAT237" s="36"/>
      <c r="FAU237" s="36"/>
      <c r="FAV237" s="36"/>
      <c r="FAW237" s="36"/>
      <c r="FAX237" s="36"/>
      <c r="FAY237" s="36"/>
      <c r="FAZ237" s="36"/>
      <c r="FBA237" s="36"/>
      <c r="FBB237" s="36"/>
      <c r="FBC237" s="36"/>
      <c r="FBD237" s="36"/>
      <c r="FBE237" s="36"/>
      <c r="FBF237" s="36"/>
      <c r="FBG237" s="36"/>
      <c r="FBH237" s="36"/>
      <c r="FBI237" s="36"/>
      <c r="FBJ237" s="36"/>
      <c r="FBK237" s="36"/>
      <c r="FBL237" s="36"/>
      <c r="FBM237" s="36"/>
      <c r="FBN237" s="36"/>
      <c r="FBO237" s="36"/>
      <c r="FBP237" s="36"/>
      <c r="FBQ237" s="36"/>
      <c r="FBR237" s="36"/>
      <c r="FBS237" s="36"/>
      <c r="FBT237" s="36"/>
      <c r="FBU237" s="36"/>
      <c r="FBV237" s="36"/>
      <c r="FBW237" s="36"/>
      <c r="FBX237" s="36"/>
      <c r="FBY237" s="36"/>
      <c r="FBZ237" s="36"/>
      <c r="FCA237" s="36"/>
      <c r="FCB237" s="36"/>
      <c r="FCC237" s="36"/>
      <c r="FCD237" s="36"/>
      <c r="FCE237" s="36"/>
      <c r="FCF237" s="36"/>
      <c r="FCG237" s="36"/>
      <c r="FCH237" s="36"/>
      <c r="FCI237" s="36"/>
      <c r="FCJ237" s="36"/>
      <c r="FCK237" s="36"/>
      <c r="FCL237" s="36"/>
      <c r="FCM237" s="36"/>
      <c r="FCN237" s="36"/>
      <c r="FCO237" s="36"/>
      <c r="FCP237" s="36"/>
      <c r="FCQ237" s="36"/>
      <c r="FCR237" s="36"/>
      <c r="FCS237" s="36"/>
      <c r="FCT237" s="36"/>
      <c r="FCU237" s="36"/>
      <c r="FCV237" s="36"/>
      <c r="FCW237" s="36"/>
      <c r="FCX237" s="36"/>
      <c r="FCY237" s="36"/>
      <c r="FCZ237" s="36"/>
      <c r="FDA237" s="36"/>
      <c r="FDB237" s="36"/>
      <c r="FDC237" s="36"/>
      <c r="FDD237" s="36"/>
      <c r="FDE237" s="36"/>
      <c r="FDF237" s="36"/>
      <c r="FDG237" s="36"/>
      <c r="FDH237" s="36"/>
      <c r="FDI237" s="36"/>
      <c r="FDJ237" s="36"/>
      <c r="FDK237" s="36"/>
      <c r="FDL237" s="36"/>
      <c r="FDM237" s="36"/>
      <c r="FDN237" s="36"/>
      <c r="FDO237" s="36"/>
      <c r="FDP237" s="36"/>
      <c r="FDQ237" s="36"/>
      <c r="FDR237" s="36"/>
      <c r="FDS237" s="36"/>
      <c r="FDT237" s="36"/>
      <c r="FDU237" s="36"/>
      <c r="FDV237" s="36"/>
      <c r="FDW237" s="36"/>
      <c r="FDX237" s="36"/>
      <c r="FDY237" s="36"/>
      <c r="FDZ237" s="36"/>
      <c r="FEA237" s="36"/>
      <c r="FEB237" s="36"/>
      <c r="FEC237" s="36"/>
      <c r="FED237" s="36"/>
      <c r="FEE237" s="36"/>
      <c r="FEF237" s="36"/>
      <c r="FEG237" s="36"/>
      <c r="FEH237" s="36"/>
      <c r="FEI237" s="36"/>
      <c r="FEJ237" s="36"/>
      <c r="FEK237" s="36"/>
      <c r="FEL237" s="36"/>
      <c r="FEM237" s="36"/>
      <c r="FEN237" s="36"/>
      <c r="FEO237" s="36"/>
      <c r="FEP237" s="36"/>
      <c r="FEQ237" s="36"/>
      <c r="FER237" s="36"/>
      <c r="FES237" s="36"/>
      <c r="FET237" s="36"/>
      <c r="FEU237" s="36"/>
      <c r="FEV237" s="36"/>
      <c r="FEW237" s="36"/>
      <c r="FEX237" s="36"/>
      <c r="FEY237" s="36"/>
      <c r="FEZ237" s="36"/>
      <c r="FFA237" s="36"/>
      <c r="FFB237" s="36"/>
      <c r="FFC237" s="36"/>
      <c r="FFD237" s="36"/>
      <c r="FFE237" s="36"/>
      <c r="FFF237" s="36"/>
      <c r="FFG237" s="36"/>
      <c r="FFH237" s="36"/>
      <c r="FFI237" s="36"/>
      <c r="FFJ237" s="36"/>
      <c r="FFK237" s="36"/>
      <c r="FFL237" s="36"/>
      <c r="FFM237" s="36"/>
      <c r="FFN237" s="36"/>
      <c r="FFO237" s="36"/>
      <c r="FFP237" s="36"/>
      <c r="FFQ237" s="36"/>
      <c r="FFR237" s="36"/>
      <c r="FFS237" s="36"/>
      <c r="FFT237" s="36"/>
      <c r="FFU237" s="36"/>
      <c r="FFV237" s="36"/>
      <c r="FFW237" s="36"/>
      <c r="FFX237" s="36"/>
      <c r="FFY237" s="36"/>
      <c r="FFZ237" s="36"/>
      <c r="FGA237" s="36"/>
      <c r="FGB237" s="36"/>
      <c r="FGC237" s="36"/>
      <c r="FGD237" s="36"/>
      <c r="FGE237" s="36"/>
      <c r="FGF237" s="36"/>
      <c r="FGG237" s="36"/>
      <c r="FGH237" s="36"/>
      <c r="FGI237" s="36"/>
      <c r="FGJ237" s="36"/>
      <c r="FGK237" s="36"/>
      <c r="FGL237" s="36"/>
      <c r="FGM237" s="36"/>
      <c r="FGN237" s="36"/>
      <c r="FGO237" s="36"/>
      <c r="FGP237" s="36"/>
      <c r="FGQ237" s="36"/>
      <c r="FGR237" s="36"/>
      <c r="FGS237" s="36"/>
      <c r="FGT237" s="36"/>
      <c r="FGU237" s="36"/>
      <c r="FGV237" s="36"/>
      <c r="FGW237" s="36"/>
      <c r="FGX237" s="36"/>
      <c r="FGY237" s="36"/>
      <c r="FGZ237" s="36"/>
      <c r="FHA237" s="36"/>
      <c r="FHB237" s="36"/>
      <c r="FHC237" s="36"/>
      <c r="FHD237" s="36"/>
      <c r="FHE237" s="36"/>
      <c r="FHF237" s="36"/>
      <c r="FHG237" s="36"/>
      <c r="FHH237" s="36"/>
      <c r="FHI237" s="36"/>
      <c r="FHJ237" s="36"/>
      <c r="FHK237" s="36"/>
      <c r="FHL237" s="36"/>
      <c r="FHM237" s="36"/>
      <c r="FHN237" s="36"/>
      <c r="FHO237" s="36"/>
      <c r="FHP237" s="36"/>
      <c r="FHQ237" s="36"/>
      <c r="FHR237" s="36"/>
      <c r="FHS237" s="36"/>
      <c r="FHT237" s="36"/>
      <c r="FHU237" s="36"/>
      <c r="FHV237" s="36"/>
      <c r="FHW237" s="36"/>
      <c r="FHX237" s="36"/>
      <c r="FHY237" s="36"/>
      <c r="FHZ237" s="36"/>
      <c r="FIA237" s="36"/>
      <c r="FIB237" s="36"/>
      <c r="FIC237" s="36"/>
      <c r="FID237" s="36"/>
      <c r="FIE237" s="36"/>
      <c r="FIF237" s="36"/>
      <c r="FIG237" s="36"/>
      <c r="FIH237" s="36"/>
      <c r="FII237" s="36"/>
      <c r="FIJ237" s="36"/>
      <c r="FIK237" s="36"/>
      <c r="FIL237" s="36"/>
      <c r="FIM237" s="36"/>
      <c r="FIN237" s="36"/>
      <c r="FIO237" s="36"/>
      <c r="FIP237" s="36"/>
      <c r="FIQ237" s="36"/>
      <c r="FIR237" s="36"/>
      <c r="FIS237" s="36"/>
      <c r="FIT237" s="36"/>
      <c r="FIU237" s="36"/>
      <c r="FIV237" s="36"/>
      <c r="FIW237" s="36"/>
      <c r="FIX237" s="36"/>
      <c r="FIY237" s="36"/>
      <c r="FIZ237" s="36"/>
      <c r="FJA237" s="36"/>
      <c r="FJB237" s="36"/>
      <c r="FJC237" s="36"/>
      <c r="FJD237" s="36"/>
      <c r="FJE237" s="36"/>
      <c r="FJF237" s="36"/>
      <c r="FJG237" s="36"/>
      <c r="FJH237" s="36"/>
      <c r="FJI237" s="36"/>
      <c r="FJJ237" s="36"/>
      <c r="FJK237" s="36"/>
      <c r="FJL237" s="36"/>
      <c r="FJM237" s="36"/>
      <c r="FJN237" s="36"/>
      <c r="FJO237" s="36"/>
      <c r="FJP237" s="36"/>
      <c r="FJQ237" s="36"/>
      <c r="FJR237" s="36"/>
      <c r="FJS237" s="36"/>
      <c r="FJT237" s="36"/>
      <c r="FJU237" s="36"/>
      <c r="FJV237" s="36"/>
      <c r="FJW237" s="36"/>
      <c r="FJX237" s="36"/>
      <c r="FJY237" s="36"/>
      <c r="FJZ237" s="36"/>
      <c r="FKA237" s="36"/>
      <c r="FKB237" s="36"/>
      <c r="FKC237" s="36"/>
      <c r="FKD237" s="36"/>
      <c r="FKE237" s="36"/>
      <c r="FKF237" s="36"/>
      <c r="FKG237" s="36"/>
      <c r="FKH237" s="36"/>
      <c r="FKI237" s="36"/>
      <c r="FKJ237" s="36"/>
      <c r="FKK237" s="36"/>
      <c r="FKL237" s="36"/>
      <c r="FKM237" s="36"/>
      <c r="FKN237" s="36"/>
      <c r="FKO237" s="36"/>
      <c r="FKP237" s="36"/>
      <c r="FKQ237" s="36"/>
      <c r="FKR237" s="36"/>
      <c r="FKS237" s="36"/>
      <c r="FKT237" s="36"/>
      <c r="FKU237" s="36"/>
      <c r="FKV237" s="36"/>
      <c r="FKW237" s="36"/>
      <c r="FKX237" s="36"/>
      <c r="FKY237" s="36"/>
      <c r="FKZ237" s="36"/>
      <c r="FLA237" s="36"/>
      <c r="FLB237" s="36"/>
      <c r="FLC237" s="36"/>
      <c r="FLD237" s="36"/>
      <c r="FLE237" s="36"/>
      <c r="FLF237" s="36"/>
      <c r="FLG237" s="36"/>
      <c r="FLH237" s="36"/>
      <c r="FLI237" s="36"/>
      <c r="FLJ237" s="36"/>
      <c r="FLK237" s="36"/>
      <c r="FLL237" s="36"/>
      <c r="FLM237" s="36"/>
      <c r="FLN237" s="36"/>
      <c r="FLO237" s="36"/>
      <c r="FLP237" s="36"/>
      <c r="FLQ237" s="36"/>
      <c r="FLR237" s="36"/>
      <c r="FLS237" s="36"/>
      <c r="FLT237" s="36"/>
      <c r="FLU237" s="36"/>
      <c r="FLV237" s="36"/>
      <c r="FLW237" s="36"/>
      <c r="FLX237" s="36"/>
      <c r="FLY237" s="36"/>
      <c r="FLZ237" s="36"/>
      <c r="FMA237" s="36"/>
      <c r="FMB237" s="36"/>
      <c r="FMC237" s="36"/>
      <c r="FMD237" s="36"/>
      <c r="FME237" s="36"/>
      <c r="FMF237" s="36"/>
      <c r="FMG237" s="36"/>
      <c r="FMH237" s="36"/>
      <c r="FMI237" s="36"/>
      <c r="FMJ237" s="36"/>
      <c r="FMK237" s="36"/>
      <c r="FML237" s="36"/>
      <c r="FMM237" s="36"/>
      <c r="FMN237" s="36"/>
      <c r="FMO237" s="36"/>
      <c r="FMP237" s="36"/>
      <c r="FMQ237" s="36"/>
      <c r="FMR237" s="36"/>
      <c r="FMS237" s="36"/>
      <c r="FMT237" s="36"/>
      <c r="FMU237" s="36"/>
      <c r="FMV237" s="36"/>
      <c r="FMW237" s="36"/>
      <c r="FMX237" s="36"/>
      <c r="FMY237" s="36"/>
      <c r="FMZ237" s="36"/>
      <c r="FNA237" s="36"/>
      <c r="FNB237" s="36"/>
      <c r="FNC237" s="36"/>
      <c r="FND237" s="36"/>
      <c r="FNE237" s="36"/>
      <c r="FNF237" s="36"/>
      <c r="FNG237" s="36"/>
      <c r="FNH237" s="36"/>
      <c r="FNI237" s="36"/>
      <c r="FNJ237" s="36"/>
      <c r="FNK237" s="36"/>
      <c r="FNL237" s="36"/>
      <c r="FNM237" s="36"/>
      <c r="FNN237" s="36"/>
      <c r="FNO237" s="36"/>
      <c r="FNP237" s="36"/>
      <c r="FNQ237" s="36"/>
      <c r="FNR237" s="36"/>
      <c r="FNS237" s="36"/>
      <c r="FNT237" s="36"/>
      <c r="FNU237" s="36"/>
      <c r="FNV237" s="36"/>
      <c r="FNW237" s="36"/>
      <c r="FNX237" s="36"/>
      <c r="FNY237" s="36"/>
      <c r="FNZ237" s="36"/>
      <c r="FOA237" s="36"/>
      <c r="FOB237" s="36"/>
      <c r="FOC237" s="36"/>
      <c r="FOD237" s="36"/>
      <c r="FOE237" s="36"/>
      <c r="FOF237" s="36"/>
      <c r="FOG237" s="36"/>
      <c r="FOH237" s="36"/>
      <c r="FOI237" s="36"/>
      <c r="FOJ237" s="36"/>
      <c r="FOK237" s="36"/>
      <c r="FOL237" s="36"/>
      <c r="FOM237" s="36"/>
      <c r="FON237" s="36"/>
      <c r="FOO237" s="36"/>
      <c r="FOP237" s="36"/>
      <c r="FOQ237" s="36"/>
      <c r="FOR237" s="36"/>
      <c r="FOS237" s="36"/>
      <c r="FOT237" s="36"/>
      <c r="FOU237" s="36"/>
      <c r="FOV237" s="36"/>
      <c r="FOW237" s="36"/>
      <c r="FOX237" s="36"/>
      <c r="FOY237" s="36"/>
      <c r="FOZ237" s="36"/>
      <c r="FPA237" s="36"/>
      <c r="FPB237" s="36"/>
      <c r="FPC237" s="36"/>
      <c r="FPD237" s="36"/>
      <c r="FPE237" s="36"/>
      <c r="FPF237" s="36"/>
      <c r="FPG237" s="36"/>
      <c r="FPH237" s="36"/>
      <c r="FPI237" s="36"/>
      <c r="FPJ237" s="36"/>
      <c r="FPK237" s="36"/>
      <c r="FPL237" s="36"/>
      <c r="FPM237" s="36"/>
      <c r="FPN237" s="36"/>
      <c r="FPO237" s="36"/>
      <c r="FPP237" s="36"/>
      <c r="FPQ237" s="36"/>
      <c r="FPR237" s="36"/>
      <c r="FPS237" s="36"/>
      <c r="FPT237" s="36"/>
      <c r="FPU237" s="36"/>
      <c r="FPV237" s="36"/>
      <c r="FPW237" s="36"/>
      <c r="FPX237" s="36"/>
      <c r="FPY237" s="36"/>
      <c r="FPZ237" s="36"/>
      <c r="FQA237" s="36"/>
      <c r="FQB237" s="36"/>
      <c r="FQC237" s="36"/>
      <c r="FQD237" s="36"/>
      <c r="FQE237" s="36"/>
      <c r="FQF237" s="36"/>
      <c r="FQG237" s="36"/>
      <c r="FQH237" s="36"/>
      <c r="FQI237" s="36"/>
      <c r="FQJ237" s="36"/>
      <c r="FQK237" s="36"/>
      <c r="FQL237" s="36"/>
      <c r="FQM237" s="36"/>
      <c r="FQN237" s="36"/>
      <c r="FQO237" s="36"/>
      <c r="FQP237" s="36"/>
      <c r="FQQ237" s="36"/>
      <c r="FQR237" s="36"/>
      <c r="FQS237" s="36"/>
      <c r="FQT237" s="36"/>
      <c r="FQU237" s="36"/>
      <c r="FQV237" s="36"/>
      <c r="FQW237" s="36"/>
      <c r="FQX237" s="36"/>
      <c r="FQY237" s="36"/>
      <c r="FQZ237" s="36"/>
      <c r="FRA237" s="36"/>
      <c r="FRB237" s="36"/>
      <c r="FRC237" s="36"/>
      <c r="FRD237" s="36"/>
      <c r="FRE237" s="36"/>
      <c r="FRF237" s="36"/>
      <c r="FRG237" s="36"/>
      <c r="FRH237" s="36"/>
      <c r="FRI237" s="36"/>
      <c r="FRJ237" s="36"/>
      <c r="FRK237" s="36"/>
      <c r="FRL237" s="36"/>
      <c r="FRM237" s="36"/>
      <c r="FRN237" s="36"/>
      <c r="FRO237" s="36"/>
      <c r="FRP237" s="36"/>
      <c r="FRQ237" s="36"/>
      <c r="FRR237" s="36"/>
      <c r="FRS237" s="36"/>
      <c r="FRT237" s="36"/>
      <c r="FRU237" s="36"/>
      <c r="FRV237" s="36"/>
      <c r="FRW237" s="36"/>
      <c r="FRX237" s="36"/>
      <c r="FRY237" s="36"/>
      <c r="FRZ237" s="36"/>
      <c r="FSA237" s="36"/>
      <c r="FSB237" s="36"/>
      <c r="FSC237" s="36"/>
      <c r="FSD237" s="36"/>
      <c r="FSE237" s="36"/>
      <c r="FSF237" s="36"/>
      <c r="FSG237" s="36"/>
      <c r="FSH237" s="36"/>
      <c r="FSI237" s="36"/>
      <c r="FSJ237" s="36"/>
      <c r="FSK237" s="36"/>
      <c r="FSL237" s="36"/>
      <c r="FSM237" s="36"/>
      <c r="FSN237" s="36"/>
      <c r="FSO237" s="36"/>
      <c r="FSP237" s="36"/>
      <c r="FSQ237" s="36"/>
      <c r="FSR237" s="36"/>
      <c r="FSS237" s="36"/>
      <c r="FST237" s="36"/>
      <c r="FSU237" s="36"/>
      <c r="FSV237" s="36"/>
      <c r="FSW237" s="36"/>
      <c r="FSX237" s="36"/>
      <c r="FSY237" s="36"/>
      <c r="FSZ237" s="36"/>
      <c r="FTA237" s="36"/>
      <c r="FTB237" s="36"/>
      <c r="FTC237" s="36"/>
      <c r="FTD237" s="36"/>
      <c r="FTE237" s="36"/>
      <c r="FTF237" s="36"/>
      <c r="FTG237" s="36"/>
      <c r="FTH237" s="36"/>
      <c r="FTI237" s="36"/>
      <c r="FTJ237" s="36"/>
      <c r="FTK237" s="36"/>
      <c r="FTL237" s="36"/>
      <c r="FTM237" s="36"/>
      <c r="FTN237" s="36"/>
      <c r="FTO237" s="36"/>
      <c r="FTP237" s="36"/>
      <c r="FTQ237" s="36"/>
      <c r="FTR237" s="36"/>
      <c r="FTS237" s="36"/>
      <c r="FTT237" s="36"/>
      <c r="FTU237" s="36"/>
      <c r="FTV237" s="36"/>
      <c r="FTW237" s="36"/>
      <c r="FTX237" s="36"/>
      <c r="FTY237" s="36"/>
      <c r="FTZ237" s="36"/>
      <c r="FUA237" s="36"/>
      <c r="FUB237" s="36"/>
      <c r="FUC237" s="36"/>
      <c r="FUD237" s="36"/>
      <c r="FUE237" s="36"/>
      <c r="FUF237" s="36"/>
      <c r="FUG237" s="36"/>
      <c r="FUH237" s="36"/>
      <c r="FUI237" s="36"/>
      <c r="FUJ237" s="36"/>
      <c r="FUK237" s="36"/>
      <c r="FUL237" s="36"/>
      <c r="FUM237" s="36"/>
      <c r="FUN237" s="36"/>
      <c r="FUO237" s="36"/>
      <c r="FUP237" s="36"/>
      <c r="FUQ237" s="36"/>
      <c r="FUR237" s="36"/>
      <c r="FUS237" s="36"/>
      <c r="FUT237" s="36"/>
      <c r="FUU237" s="36"/>
      <c r="FUV237" s="36"/>
      <c r="FUW237" s="36"/>
      <c r="FUX237" s="36"/>
      <c r="FUY237" s="36"/>
      <c r="FUZ237" s="36"/>
      <c r="FVA237" s="36"/>
      <c r="FVB237" s="36"/>
      <c r="FVC237" s="36"/>
      <c r="FVD237" s="36"/>
      <c r="FVE237" s="36"/>
      <c r="FVF237" s="36"/>
      <c r="FVG237" s="36"/>
      <c r="FVH237" s="36"/>
      <c r="FVI237" s="36"/>
      <c r="FVJ237" s="36"/>
      <c r="FVK237" s="36"/>
      <c r="FVL237" s="36"/>
      <c r="FVM237" s="36"/>
      <c r="FVN237" s="36"/>
      <c r="FVO237" s="36"/>
      <c r="FVP237" s="36"/>
      <c r="FVQ237" s="36"/>
      <c r="FVR237" s="36"/>
      <c r="FVS237" s="36"/>
      <c r="FVT237" s="36"/>
      <c r="FVU237" s="36"/>
      <c r="FVV237" s="36"/>
      <c r="FVW237" s="36"/>
      <c r="FVX237" s="36"/>
      <c r="FVY237" s="36"/>
      <c r="FVZ237" s="36"/>
      <c r="FWA237" s="36"/>
      <c r="FWB237" s="36"/>
      <c r="FWC237" s="36"/>
      <c r="FWD237" s="36"/>
      <c r="FWE237" s="36"/>
      <c r="FWF237" s="36"/>
      <c r="FWG237" s="36"/>
      <c r="FWH237" s="36"/>
      <c r="FWI237" s="36"/>
      <c r="FWJ237" s="36"/>
      <c r="FWK237" s="36"/>
      <c r="FWL237" s="36"/>
      <c r="FWM237" s="36"/>
      <c r="FWN237" s="36"/>
      <c r="FWO237" s="36"/>
      <c r="FWP237" s="36"/>
      <c r="FWQ237" s="36"/>
      <c r="FWR237" s="36"/>
      <c r="FWS237" s="36"/>
      <c r="FWT237" s="36"/>
      <c r="FWU237" s="36"/>
      <c r="FWV237" s="36"/>
      <c r="FWW237" s="36"/>
      <c r="FWX237" s="36"/>
      <c r="FWY237" s="36"/>
      <c r="FWZ237" s="36"/>
      <c r="FXA237" s="36"/>
      <c r="FXB237" s="36"/>
      <c r="FXC237" s="36"/>
      <c r="FXD237" s="36"/>
      <c r="FXE237" s="36"/>
      <c r="FXF237" s="36"/>
      <c r="FXG237" s="36"/>
      <c r="FXH237" s="36"/>
      <c r="FXI237" s="36"/>
      <c r="FXJ237" s="36"/>
      <c r="FXK237" s="36"/>
      <c r="FXL237" s="36"/>
      <c r="FXM237" s="36"/>
      <c r="FXN237" s="36"/>
      <c r="FXO237" s="36"/>
      <c r="FXP237" s="36"/>
      <c r="FXQ237" s="36"/>
      <c r="FXR237" s="36"/>
      <c r="FXS237" s="36"/>
      <c r="FXT237" s="36"/>
      <c r="FXU237" s="36"/>
      <c r="FXV237" s="36"/>
      <c r="FXW237" s="36"/>
      <c r="FXX237" s="36"/>
      <c r="FXY237" s="36"/>
      <c r="FXZ237" s="36"/>
      <c r="FYA237" s="36"/>
      <c r="FYB237" s="36"/>
      <c r="FYC237" s="36"/>
      <c r="FYD237" s="36"/>
      <c r="FYE237" s="36"/>
      <c r="FYF237" s="36"/>
      <c r="FYG237" s="36"/>
      <c r="FYH237" s="36"/>
      <c r="FYI237" s="36"/>
      <c r="FYJ237" s="36"/>
      <c r="FYK237" s="36"/>
      <c r="FYL237" s="36"/>
      <c r="FYM237" s="36"/>
      <c r="FYN237" s="36"/>
      <c r="FYO237" s="36"/>
      <c r="FYP237" s="36"/>
      <c r="FYQ237" s="36"/>
      <c r="FYR237" s="36"/>
      <c r="FYS237" s="36"/>
      <c r="FYT237" s="36"/>
      <c r="FYU237" s="36"/>
      <c r="FYV237" s="36"/>
      <c r="FYW237" s="36"/>
      <c r="FYX237" s="36"/>
      <c r="FYY237" s="36"/>
      <c r="FYZ237" s="36"/>
      <c r="FZA237" s="36"/>
      <c r="FZB237" s="36"/>
      <c r="FZC237" s="36"/>
      <c r="FZD237" s="36"/>
      <c r="FZE237" s="36"/>
      <c r="FZF237" s="36"/>
      <c r="FZG237" s="36"/>
      <c r="FZH237" s="36"/>
      <c r="FZI237" s="36"/>
      <c r="FZJ237" s="36"/>
      <c r="FZK237" s="36"/>
      <c r="FZL237" s="36"/>
      <c r="FZM237" s="36"/>
      <c r="FZN237" s="36"/>
      <c r="FZO237" s="36"/>
      <c r="FZP237" s="36"/>
      <c r="FZQ237" s="36"/>
      <c r="FZR237" s="36"/>
      <c r="FZS237" s="36"/>
      <c r="FZT237" s="36"/>
      <c r="FZU237" s="36"/>
      <c r="FZV237" s="36"/>
      <c r="FZW237" s="36"/>
      <c r="FZX237" s="36"/>
      <c r="FZY237" s="36"/>
      <c r="FZZ237" s="36"/>
      <c r="GAA237" s="36"/>
      <c r="GAB237" s="36"/>
      <c r="GAC237" s="36"/>
      <c r="GAD237" s="36"/>
      <c r="GAE237" s="36"/>
      <c r="GAF237" s="36"/>
      <c r="GAG237" s="36"/>
      <c r="GAH237" s="36"/>
      <c r="GAI237" s="36"/>
      <c r="GAJ237" s="36"/>
      <c r="GAK237" s="36"/>
      <c r="GAL237" s="36"/>
      <c r="GAM237" s="36"/>
      <c r="GAN237" s="36"/>
      <c r="GAO237" s="36"/>
      <c r="GAP237" s="36"/>
      <c r="GAQ237" s="36"/>
      <c r="GAR237" s="36"/>
      <c r="GAS237" s="36"/>
      <c r="GAT237" s="36"/>
      <c r="GAU237" s="36"/>
      <c r="GAV237" s="36"/>
      <c r="GAW237" s="36"/>
      <c r="GAX237" s="36"/>
      <c r="GAY237" s="36"/>
      <c r="GAZ237" s="36"/>
      <c r="GBA237" s="36"/>
      <c r="GBB237" s="36"/>
      <c r="GBC237" s="36"/>
      <c r="GBD237" s="36"/>
      <c r="GBE237" s="36"/>
      <c r="GBF237" s="36"/>
      <c r="GBG237" s="36"/>
      <c r="GBH237" s="36"/>
      <c r="GBI237" s="36"/>
      <c r="GBJ237" s="36"/>
      <c r="GBK237" s="36"/>
      <c r="GBL237" s="36"/>
      <c r="GBM237" s="36"/>
      <c r="GBN237" s="36"/>
      <c r="GBO237" s="36"/>
      <c r="GBP237" s="36"/>
      <c r="GBQ237" s="36"/>
      <c r="GBR237" s="36"/>
      <c r="GBS237" s="36"/>
      <c r="GBT237" s="36"/>
      <c r="GBU237" s="36"/>
      <c r="GBV237" s="36"/>
      <c r="GBW237" s="36"/>
      <c r="GBX237" s="36"/>
      <c r="GBY237" s="36"/>
      <c r="GBZ237" s="36"/>
      <c r="GCA237" s="36"/>
      <c r="GCB237" s="36"/>
      <c r="GCC237" s="36"/>
      <c r="GCD237" s="36"/>
      <c r="GCE237" s="36"/>
      <c r="GCF237" s="36"/>
      <c r="GCG237" s="36"/>
      <c r="GCH237" s="36"/>
      <c r="GCI237" s="36"/>
      <c r="GCJ237" s="36"/>
      <c r="GCK237" s="36"/>
      <c r="GCL237" s="36"/>
      <c r="GCM237" s="36"/>
      <c r="GCN237" s="36"/>
      <c r="GCO237" s="36"/>
      <c r="GCP237" s="36"/>
      <c r="GCQ237" s="36"/>
      <c r="GCR237" s="36"/>
      <c r="GCS237" s="36"/>
      <c r="GCT237" s="36"/>
      <c r="GCU237" s="36"/>
      <c r="GCV237" s="36"/>
      <c r="GCW237" s="36"/>
      <c r="GCX237" s="36"/>
      <c r="GCY237" s="36"/>
      <c r="GCZ237" s="36"/>
      <c r="GDA237" s="36"/>
      <c r="GDB237" s="36"/>
      <c r="GDC237" s="36"/>
      <c r="GDD237" s="36"/>
      <c r="GDE237" s="36"/>
      <c r="GDF237" s="36"/>
      <c r="GDG237" s="36"/>
      <c r="GDH237" s="36"/>
      <c r="GDI237" s="36"/>
      <c r="GDJ237" s="36"/>
      <c r="GDK237" s="36"/>
      <c r="GDL237" s="36"/>
      <c r="GDM237" s="36"/>
      <c r="GDN237" s="36"/>
      <c r="GDO237" s="36"/>
      <c r="GDP237" s="36"/>
      <c r="GDQ237" s="36"/>
      <c r="GDR237" s="36"/>
      <c r="GDS237" s="36"/>
      <c r="GDT237" s="36"/>
      <c r="GDU237" s="36"/>
      <c r="GDV237" s="36"/>
      <c r="GDW237" s="36"/>
      <c r="GDX237" s="36"/>
      <c r="GDY237" s="36"/>
      <c r="GDZ237" s="36"/>
      <c r="GEA237" s="36"/>
      <c r="GEB237" s="36"/>
      <c r="GEC237" s="36"/>
      <c r="GED237" s="36"/>
      <c r="GEE237" s="36"/>
      <c r="GEF237" s="36"/>
      <c r="GEG237" s="36"/>
      <c r="GEH237" s="36"/>
      <c r="GEI237" s="36"/>
      <c r="GEJ237" s="36"/>
      <c r="GEK237" s="36"/>
      <c r="GEL237" s="36"/>
      <c r="GEM237" s="36"/>
      <c r="GEN237" s="36"/>
      <c r="GEO237" s="36"/>
      <c r="GEP237" s="36"/>
      <c r="GEQ237" s="36"/>
      <c r="GER237" s="36"/>
      <c r="GES237" s="36"/>
      <c r="GET237" s="36"/>
      <c r="GEU237" s="36"/>
      <c r="GEV237" s="36"/>
      <c r="GEW237" s="36"/>
      <c r="GEX237" s="36"/>
      <c r="GEY237" s="36"/>
      <c r="GEZ237" s="36"/>
      <c r="GFA237" s="36"/>
      <c r="GFB237" s="36"/>
      <c r="GFC237" s="36"/>
      <c r="GFD237" s="36"/>
      <c r="GFE237" s="36"/>
      <c r="GFF237" s="36"/>
      <c r="GFG237" s="36"/>
      <c r="GFH237" s="36"/>
      <c r="GFI237" s="36"/>
      <c r="GFJ237" s="36"/>
      <c r="GFK237" s="36"/>
      <c r="GFL237" s="36"/>
      <c r="GFM237" s="36"/>
      <c r="GFN237" s="36"/>
      <c r="GFO237" s="36"/>
      <c r="GFP237" s="36"/>
      <c r="GFQ237" s="36"/>
      <c r="GFR237" s="36"/>
      <c r="GFS237" s="36"/>
      <c r="GFT237" s="36"/>
      <c r="GFU237" s="36"/>
      <c r="GFV237" s="36"/>
      <c r="GFW237" s="36"/>
      <c r="GFX237" s="36"/>
      <c r="GFY237" s="36"/>
      <c r="GFZ237" s="36"/>
      <c r="GGA237" s="36"/>
      <c r="GGB237" s="36"/>
      <c r="GGC237" s="36"/>
      <c r="GGD237" s="36"/>
      <c r="GGE237" s="36"/>
      <c r="GGF237" s="36"/>
      <c r="GGG237" s="36"/>
      <c r="GGH237" s="36"/>
      <c r="GGI237" s="36"/>
      <c r="GGJ237" s="36"/>
      <c r="GGK237" s="36"/>
      <c r="GGL237" s="36"/>
      <c r="GGM237" s="36"/>
      <c r="GGN237" s="36"/>
      <c r="GGO237" s="36"/>
      <c r="GGP237" s="36"/>
      <c r="GGQ237" s="36"/>
      <c r="GGR237" s="36"/>
      <c r="GGS237" s="36"/>
      <c r="GGT237" s="36"/>
      <c r="GGU237" s="36"/>
      <c r="GGV237" s="36"/>
      <c r="GGW237" s="36"/>
      <c r="GGX237" s="36"/>
      <c r="GGY237" s="36"/>
      <c r="GGZ237" s="36"/>
      <c r="GHA237" s="36"/>
      <c r="GHB237" s="36"/>
      <c r="GHC237" s="36"/>
      <c r="GHD237" s="36"/>
      <c r="GHE237" s="36"/>
      <c r="GHF237" s="36"/>
      <c r="GHG237" s="36"/>
      <c r="GHH237" s="36"/>
      <c r="GHI237" s="36"/>
      <c r="GHJ237" s="36"/>
      <c r="GHK237" s="36"/>
      <c r="GHL237" s="36"/>
      <c r="GHM237" s="36"/>
      <c r="GHN237" s="36"/>
      <c r="GHO237" s="36"/>
      <c r="GHP237" s="36"/>
      <c r="GHQ237" s="36"/>
      <c r="GHR237" s="36"/>
      <c r="GHS237" s="36"/>
      <c r="GHT237" s="36"/>
      <c r="GHU237" s="36"/>
      <c r="GHV237" s="36"/>
      <c r="GHW237" s="36"/>
      <c r="GHX237" s="36"/>
      <c r="GHY237" s="36"/>
      <c r="GHZ237" s="36"/>
      <c r="GIA237" s="36"/>
      <c r="GIB237" s="36"/>
      <c r="GIC237" s="36"/>
      <c r="GID237" s="36"/>
      <c r="GIE237" s="36"/>
      <c r="GIF237" s="36"/>
      <c r="GIG237" s="36"/>
      <c r="GIH237" s="36"/>
      <c r="GII237" s="36"/>
      <c r="GIJ237" s="36"/>
      <c r="GIK237" s="36"/>
      <c r="GIL237" s="36"/>
      <c r="GIM237" s="36"/>
      <c r="GIN237" s="36"/>
      <c r="GIO237" s="36"/>
      <c r="GIP237" s="36"/>
      <c r="GIQ237" s="36"/>
      <c r="GIR237" s="36"/>
      <c r="GIS237" s="36"/>
      <c r="GIT237" s="36"/>
      <c r="GIU237" s="36"/>
      <c r="GIV237" s="36"/>
      <c r="GIW237" s="36"/>
      <c r="GIX237" s="36"/>
      <c r="GIY237" s="36"/>
      <c r="GIZ237" s="36"/>
      <c r="GJA237" s="36"/>
      <c r="GJB237" s="36"/>
      <c r="GJC237" s="36"/>
      <c r="GJD237" s="36"/>
      <c r="GJE237" s="36"/>
      <c r="GJF237" s="36"/>
      <c r="GJG237" s="36"/>
      <c r="GJH237" s="36"/>
      <c r="GJI237" s="36"/>
      <c r="GJJ237" s="36"/>
      <c r="GJK237" s="36"/>
      <c r="GJL237" s="36"/>
      <c r="GJM237" s="36"/>
      <c r="GJN237" s="36"/>
      <c r="GJO237" s="36"/>
      <c r="GJP237" s="36"/>
      <c r="GJQ237" s="36"/>
      <c r="GJR237" s="36"/>
      <c r="GJS237" s="36"/>
      <c r="GJT237" s="36"/>
      <c r="GJU237" s="36"/>
      <c r="GJV237" s="36"/>
      <c r="GJW237" s="36"/>
      <c r="GJX237" s="36"/>
      <c r="GJY237" s="36"/>
      <c r="GJZ237" s="36"/>
      <c r="GKA237" s="36"/>
      <c r="GKB237" s="36"/>
      <c r="GKC237" s="36"/>
      <c r="GKD237" s="36"/>
      <c r="GKE237" s="36"/>
      <c r="GKF237" s="36"/>
      <c r="GKG237" s="36"/>
      <c r="GKH237" s="36"/>
      <c r="GKI237" s="36"/>
      <c r="GKJ237" s="36"/>
      <c r="GKK237" s="36"/>
      <c r="GKL237" s="36"/>
      <c r="GKM237" s="36"/>
      <c r="GKN237" s="36"/>
      <c r="GKO237" s="36"/>
      <c r="GKP237" s="36"/>
      <c r="GKQ237" s="36"/>
      <c r="GKR237" s="36"/>
      <c r="GKS237" s="36"/>
      <c r="GKT237" s="36"/>
      <c r="GKU237" s="36"/>
      <c r="GKV237" s="36"/>
      <c r="GKW237" s="36"/>
      <c r="GKX237" s="36"/>
      <c r="GKY237" s="36"/>
      <c r="GKZ237" s="36"/>
      <c r="GLA237" s="36"/>
      <c r="GLB237" s="36"/>
      <c r="GLC237" s="36"/>
      <c r="GLD237" s="36"/>
      <c r="GLE237" s="36"/>
      <c r="GLF237" s="36"/>
      <c r="GLG237" s="36"/>
      <c r="GLH237" s="36"/>
      <c r="GLI237" s="36"/>
      <c r="GLJ237" s="36"/>
      <c r="GLK237" s="36"/>
      <c r="GLL237" s="36"/>
      <c r="GLM237" s="36"/>
      <c r="GLN237" s="36"/>
      <c r="GLO237" s="36"/>
      <c r="GLP237" s="36"/>
      <c r="GLQ237" s="36"/>
      <c r="GLR237" s="36"/>
      <c r="GLS237" s="36"/>
      <c r="GLT237" s="36"/>
      <c r="GLU237" s="36"/>
      <c r="GLV237" s="36"/>
      <c r="GLW237" s="36"/>
      <c r="GLX237" s="36"/>
      <c r="GLY237" s="36"/>
      <c r="GLZ237" s="36"/>
      <c r="GMA237" s="36"/>
      <c r="GMB237" s="36"/>
      <c r="GMC237" s="36"/>
      <c r="GMD237" s="36"/>
      <c r="GME237" s="36"/>
      <c r="GMF237" s="36"/>
      <c r="GMG237" s="36"/>
      <c r="GMH237" s="36"/>
      <c r="GMI237" s="36"/>
      <c r="GMJ237" s="36"/>
      <c r="GMK237" s="36"/>
      <c r="GML237" s="36"/>
      <c r="GMM237" s="36"/>
      <c r="GMN237" s="36"/>
      <c r="GMO237" s="36"/>
      <c r="GMP237" s="36"/>
      <c r="GMQ237" s="36"/>
      <c r="GMR237" s="36"/>
      <c r="GMS237" s="36"/>
      <c r="GMT237" s="36"/>
      <c r="GMU237" s="36"/>
      <c r="GMV237" s="36"/>
      <c r="GMW237" s="36"/>
      <c r="GMX237" s="36"/>
      <c r="GMY237" s="36"/>
      <c r="GMZ237" s="36"/>
      <c r="GNA237" s="36"/>
      <c r="GNB237" s="36"/>
      <c r="GNC237" s="36"/>
      <c r="GND237" s="36"/>
      <c r="GNE237" s="36"/>
      <c r="GNF237" s="36"/>
      <c r="GNG237" s="36"/>
      <c r="GNH237" s="36"/>
      <c r="GNI237" s="36"/>
      <c r="GNJ237" s="36"/>
      <c r="GNK237" s="36"/>
      <c r="GNL237" s="36"/>
      <c r="GNM237" s="36"/>
      <c r="GNN237" s="36"/>
      <c r="GNO237" s="36"/>
      <c r="GNP237" s="36"/>
      <c r="GNQ237" s="36"/>
      <c r="GNR237" s="36"/>
      <c r="GNS237" s="36"/>
      <c r="GNT237" s="36"/>
      <c r="GNU237" s="36"/>
      <c r="GNV237" s="36"/>
      <c r="GNW237" s="36"/>
      <c r="GNX237" s="36"/>
      <c r="GNY237" s="36"/>
      <c r="GNZ237" s="36"/>
      <c r="GOA237" s="36"/>
      <c r="GOB237" s="36"/>
      <c r="GOC237" s="36"/>
      <c r="GOD237" s="36"/>
      <c r="GOE237" s="36"/>
      <c r="GOF237" s="36"/>
      <c r="GOG237" s="36"/>
      <c r="GOH237" s="36"/>
      <c r="GOI237" s="36"/>
      <c r="GOJ237" s="36"/>
      <c r="GOK237" s="36"/>
      <c r="GOL237" s="36"/>
      <c r="GOM237" s="36"/>
      <c r="GON237" s="36"/>
      <c r="GOO237" s="36"/>
      <c r="GOP237" s="36"/>
      <c r="GOQ237" s="36"/>
      <c r="GOR237" s="36"/>
      <c r="GOS237" s="36"/>
      <c r="GOT237" s="36"/>
      <c r="GOU237" s="36"/>
      <c r="GOV237" s="36"/>
      <c r="GOW237" s="36"/>
      <c r="GOX237" s="36"/>
      <c r="GOY237" s="36"/>
      <c r="GOZ237" s="36"/>
      <c r="GPA237" s="36"/>
      <c r="GPB237" s="36"/>
      <c r="GPC237" s="36"/>
      <c r="GPD237" s="36"/>
      <c r="GPE237" s="36"/>
      <c r="GPF237" s="36"/>
      <c r="GPG237" s="36"/>
      <c r="GPH237" s="36"/>
      <c r="GPI237" s="36"/>
      <c r="GPJ237" s="36"/>
      <c r="GPK237" s="36"/>
      <c r="GPL237" s="36"/>
      <c r="GPM237" s="36"/>
      <c r="GPN237" s="36"/>
      <c r="GPO237" s="36"/>
      <c r="GPP237" s="36"/>
      <c r="GPQ237" s="36"/>
      <c r="GPR237" s="36"/>
      <c r="GPS237" s="36"/>
      <c r="GPT237" s="36"/>
      <c r="GPU237" s="36"/>
      <c r="GPV237" s="36"/>
      <c r="GPW237" s="36"/>
      <c r="GPX237" s="36"/>
      <c r="GPY237" s="36"/>
      <c r="GPZ237" s="36"/>
      <c r="GQA237" s="36"/>
      <c r="GQB237" s="36"/>
      <c r="GQC237" s="36"/>
      <c r="GQD237" s="36"/>
      <c r="GQE237" s="36"/>
      <c r="GQF237" s="36"/>
      <c r="GQG237" s="36"/>
      <c r="GQH237" s="36"/>
      <c r="GQI237" s="36"/>
      <c r="GQJ237" s="36"/>
      <c r="GQK237" s="36"/>
      <c r="GQL237" s="36"/>
      <c r="GQM237" s="36"/>
      <c r="GQN237" s="36"/>
      <c r="GQO237" s="36"/>
      <c r="GQP237" s="36"/>
      <c r="GQQ237" s="36"/>
      <c r="GQR237" s="36"/>
      <c r="GQS237" s="36"/>
      <c r="GQT237" s="36"/>
      <c r="GQU237" s="36"/>
      <c r="GQV237" s="36"/>
      <c r="GQW237" s="36"/>
      <c r="GQX237" s="36"/>
      <c r="GQY237" s="36"/>
      <c r="GQZ237" s="36"/>
      <c r="GRA237" s="36"/>
      <c r="GRB237" s="36"/>
      <c r="GRC237" s="36"/>
      <c r="GRD237" s="36"/>
      <c r="GRE237" s="36"/>
      <c r="GRF237" s="36"/>
      <c r="GRG237" s="36"/>
      <c r="GRH237" s="36"/>
      <c r="GRI237" s="36"/>
      <c r="GRJ237" s="36"/>
      <c r="GRK237" s="36"/>
      <c r="GRL237" s="36"/>
      <c r="GRM237" s="36"/>
      <c r="GRN237" s="36"/>
      <c r="GRO237" s="36"/>
      <c r="GRP237" s="36"/>
      <c r="GRQ237" s="36"/>
      <c r="GRR237" s="36"/>
      <c r="GRS237" s="36"/>
      <c r="GRT237" s="36"/>
      <c r="GRU237" s="36"/>
      <c r="GRV237" s="36"/>
      <c r="GRW237" s="36"/>
      <c r="GRX237" s="36"/>
      <c r="GRY237" s="36"/>
      <c r="GRZ237" s="36"/>
      <c r="GSA237" s="36"/>
      <c r="GSB237" s="36"/>
      <c r="GSC237" s="36"/>
      <c r="GSD237" s="36"/>
      <c r="GSE237" s="36"/>
      <c r="GSF237" s="36"/>
      <c r="GSG237" s="36"/>
      <c r="GSH237" s="36"/>
      <c r="GSI237" s="36"/>
      <c r="GSJ237" s="36"/>
      <c r="GSK237" s="36"/>
      <c r="GSL237" s="36"/>
      <c r="GSM237" s="36"/>
      <c r="GSN237" s="36"/>
      <c r="GSO237" s="36"/>
      <c r="GSP237" s="36"/>
      <c r="GSQ237" s="36"/>
      <c r="GSR237" s="36"/>
      <c r="GSS237" s="36"/>
      <c r="GST237" s="36"/>
      <c r="GSU237" s="36"/>
      <c r="GSV237" s="36"/>
      <c r="GSW237" s="36"/>
      <c r="GSX237" s="36"/>
      <c r="GSY237" s="36"/>
      <c r="GSZ237" s="36"/>
      <c r="GTA237" s="36"/>
      <c r="GTB237" s="36"/>
      <c r="GTC237" s="36"/>
      <c r="GTD237" s="36"/>
      <c r="GTE237" s="36"/>
      <c r="GTF237" s="36"/>
      <c r="GTG237" s="36"/>
      <c r="GTH237" s="36"/>
      <c r="GTI237" s="36"/>
      <c r="GTJ237" s="36"/>
      <c r="GTK237" s="36"/>
      <c r="GTL237" s="36"/>
      <c r="GTM237" s="36"/>
      <c r="GTN237" s="36"/>
      <c r="GTO237" s="36"/>
      <c r="GTP237" s="36"/>
      <c r="GTQ237" s="36"/>
      <c r="GTR237" s="36"/>
      <c r="GTS237" s="36"/>
      <c r="GTT237" s="36"/>
      <c r="GTU237" s="36"/>
      <c r="GTV237" s="36"/>
      <c r="GTW237" s="36"/>
      <c r="GTX237" s="36"/>
      <c r="GTY237" s="36"/>
      <c r="GTZ237" s="36"/>
      <c r="GUA237" s="36"/>
      <c r="GUB237" s="36"/>
      <c r="GUC237" s="36"/>
      <c r="GUD237" s="36"/>
      <c r="GUE237" s="36"/>
      <c r="GUF237" s="36"/>
      <c r="GUG237" s="36"/>
      <c r="GUH237" s="36"/>
      <c r="GUI237" s="36"/>
      <c r="GUJ237" s="36"/>
      <c r="GUK237" s="36"/>
      <c r="GUL237" s="36"/>
      <c r="GUM237" s="36"/>
      <c r="GUN237" s="36"/>
      <c r="GUO237" s="36"/>
      <c r="GUP237" s="36"/>
      <c r="GUQ237" s="36"/>
      <c r="GUR237" s="36"/>
      <c r="GUS237" s="36"/>
      <c r="GUT237" s="36"/>
      <c r="GUU237" s="36"/>
      <c r="GUV237" s="36"/>
      <c r="GUW237" s="36"/>
      <c r="GUX237" s="36"/>
      <c r="GUY237" s="36"/>
      <c r="GUZ237" s="36"/>
      <c r="GVA237" s="36"/>
      <c r="GVB237" s="36"/>
      <c r="GVC237" s="36"/>
      <c r="GVD237" s="36"/>
      <c r="GVE237" s="36"/>
      <c r="GVF237" s="36"/>
      <c r="GVG237" s="36"/>
      <c r="GVH237" s="36"/>
      <c r="GVI237" s="36"/>
      <c r="GVJ237" s="36"/>
      <c r="GVK237" s="36"/>
      <c r="GVL237" s="36"/>
      <c r="GVM237" s="36"/>
      <c r="GVN237" s="36"/>
      <c r="GVO237" s="36"/>
      <c r="GVP237" s="36"/>
      <c r="GVQ237" s="36"/>
      <c r="GVR237" s="36"/>
      <c r="GVS237" s="36"/>
      <c r="GVT237" s="36"/>
      <c r="GVU237" s="36"/>
      <c r="GVV237" s="36"/>
      <c r="GVW237" s="36"/>
      <c r="GVX237" s="36"/>
      <c r="GVY237" s="36"/>
      <c r="GVZ237" s="36"/>
      <c r="GWA237" s="36"/>
      <c r="GWB237" s="36"/>
      <c r="GWC237" s="36"/>
      <c r="GWD237" s="36"/>
      <c r="GWE237" s="36"/>
      <c r="GWF237" s="36"/>
      <c r="GWG237" s="36"/>
      <c r="GWH237" s="36"/>
      <c r="GWI237" s="36"/>
      <c r="GWJ237" s="36"/>
      <c r="GWK237" s="36"/>
      <c r="GWL237" s="36"/>
      <c r="GWM237" s="36"/>
      <c r="GWN237" s="36"/>
      <c r="GWO237" s="36"/>
      <c r="GWP237" s="36"/>
      <c r="GWQ237" s="36"/>
      <c r="GWR237" s="36"/>
      <c r="GWS237" s="36"/>
      <c r="GWT237" s="36"/>
      <c r="GWU237" s="36"/>
      <c r="GWV237" s="36"/>
      <c r="GWW237" s="36"/>
      <c r="GWX237" s="36"/>
      <c r="GWY237" s="36"/>
      <c r="GWZ237" s="36"/>
      <c r="GXA237" s="36"/>
      <c r="GXB237" s="36"/>
      <c r="GXC237" s="36"/>
      <c r="GXD237" s="36"/>
      <c r="GXE237" s="36"/>
      <c r="GXF237" s="36"/>
      <c r="GXG237" s="36"/>
      <c r="GXH237" s="36"/>
      <c r="GXI237" s="36"/>
      <c r="GXJ237" s="36"/>
      <c r="GXK237" s="36"/>
      <c r="GXL237" s="36"/>
      <c r="GXM237" s="36"/>
      <c r="GXN237" s="36"/>
      <c r="GXO237" s="36"/>
      <c r="GXP237" s="36"/>
      <c r="GXQ237" s="36"/>
      <c r="GXR237" s="36"/>
      <c r="GXS237" s="36"/>
      <c r="GXT237" s="36"/>
      <c r="GXU237" s="36"/>
      <c r="GXV237" s="36"/>
      <c r="GXW237" s="36"/>
      <c r="GXX237" s="36"/>
      <c r="GXY237" s="36"/>
      <c r="GXZ237" s="36"/>
      <c r="GYA237" s="36"/>
      <c r="GYB237" s="36"/>
      <c r="GYC237" s="36"/>
      <c r="GYD237" s="36"/>
      <c r="GYE237" s="36"/>
      <c r="GYF237" s="36"/>
      <c r="GYG237" s="36"/>
      <c r="GYH237" s="36"/>
      <c r="GYI237" s="36"/>
      <c r="GYJ237" s="36"/>
      <c r="GYK237" s="36"/>
      <c r="GYL237" s="36"/>
      <c r="GYM237" s="36"/>
      <c r="GYN237" s="36"/>
      <c r="GYO237" s="36"/>
      <c r="GYP237" s="36"/>
      <c r="GYQ237" s="36"/>
      <c r="GYR237" s="36"/>
      <c r="GYS237" s="36"/>
      <c r="GYT237" s="36"/>
      <c r="GYU237" s="36"/>
      <c r="GYV237" s="36"/>
      <c r="GYW237" s="36"/>
      <c r="GYX237" s="36"/>
      <c r="GYY237" s="36"/>
      <c r="GYZ237" s="36"/>
      <c r="GZA237" s="36"/>
      <c r="GZB237" s="36"/>
      <c r="GZC237" s="36"/>
      <c r="GZD237" s="36"/>
      <c r="GZE237" s="36"/>
      <c r="GZF237" s="36"/>
      <c r="GZG237" s="36"/>
      <c r="GZH237" s="36"/>
      <c r="GZI237" s="36"/>
      <c r="GZJ237" s="36"/>
      <c r="GZK237" s="36"/>
      <c r="GZL237" s="36"/>
      <c r="GZM237" s="36"/>
      <c r="GZN237" s="36"/>
      <c r="GZO237" s="36"/>
      <c r="GZP237" s="36"/>
      <c r="GZQ237" s="36"/>
      <c r="GZR237" s="36"/>
      <c r="GZS237" s="36"/>
      <c r="GZT237" s="36"/>
      <c r="GZU237" s="36"/>
      <c r="GZV237" s="36"/>
      <c r="GZW237" s="36"/>
      <c r="GZX237" s="36"/>
      <c r="GZY237" s="36"/>
      <c r="GZZ237" s="36"/>
      <c r="HAA237" s="36"/>
      <c r="HAB237" s="36"/>
      <c r="HAC237" s="36"/>
      <c r="HAD237" s="36"/>
      <c r="HAE237" s="36"/>
      <c r="HAF237" s="36"/>
      <c r="HAG237" s="36"/>
      <c r="HAH237" s="36"/>
      <c r="HAI237" s="36"/>
      <c r="HAJ237" s="36"/>
      <c r="HAK237" s="36"/>
      <c r="HAL237" s="36"/>
      <c r="HAM237" s="36"/>
      <c r="HAN237" s="36"/>
      <c r="HAO237" s="36"/>
      <c r="HAP237" s="36"/>
      <c r="HAQ237" s="36"/>
      <c r="HAR237" s="36"/>
      <c r="HAS237" s="36"/>
      <c r="HAT237" s="36"/>
      <c r="HAU237" s="36"/>
      <c r="HAV237" s="36"/>
      <c r="HAW237" s="36"/>
      <c r="HAX237" s="36"/>
      <c r="HAY237" s="36"/>
      <c r="HAZ237" s="36"/>
      <c r="HBA237" s="36"/>
      <c r="HBB237" s="36"/>
      <c r="HBC237" s="36"/>
      <c r="HBD237" s="36"/>
      <c r="HBE237" s="36"/>
      <c r="HBF237" s="36"/>
      <c r="HBG237" s="36"/>
      <c r="HBH237" s="36"/>
      <c r="HBI237" s="36"/>
      <c r="HBJ237" s="36"/>
      <c r="HBK237" s="36"/>
      <c r="HBL237" s="36"/>
      <c r="HBM237" s="36"/>
      <c r="HBN237" s="36"/>
      <c r="HBO237" s="36"/>
      <c r="HBP237" s="36"/>
      <c r="HBQ237" s="36"/>
      <c r="HBR237" s="36"/>
      <c r="HBS237" s="36"/>
      <c r="HBT237" s="36"/>
      <c r="HBU237" s="36"/>
      <c r="HBV237" s="36"/>
      <c r="HBW237" s="36"/>
      <c r="HBX237" s="36"/>
      <c r="HBY237" s="36"/>
      <c r="HBZ237" s="36"/>
      <c r="HCA237" s="36"/>
      <c r="HCB237" s="36"/>
      <c r="HCC237" s="36"/>
      <c r="HCD237" s="36"/>
      <c r="HCE237" s="36"/>
      <c r="HCF237" s="36"/>
      <c r="HCG237" s="36"/>
      <c r="HCH237" s="36"/>
      <c r="HCI237" s="36"/>
      <c r="HCJ237" s="36"/>
      <c r="HCK237" s="36"/>
      <c r="HCL237" s="36"/>
      <c r="HCM237" s="36"/>
      <c r="HCN237" s="36"/>
      <c r="HCO237" s="36"/>
      <c r="HCP237" s="36"/>
      <c r="HCQ237" s="36"/>
      <c r="HCR237" s="36"/>
      <c r="HCS237" s="36"/>
      <c r="HCT237" s="36"/>
      <c r="HCU237" s="36"/>
      <c r="HCV237" s="36"/>
      <c r="HCW237" s="36"/>
      <c r="HCX237" s="36"/>
      <c r="HCY237" s="36"/>
      <c r="HCZ237" s="36"/>
      <c r="HDA237" s="36"/>
      <c r="HDB237" s="36"/>
      <c r="HDC237" s="36"/>
      <c r="HDD237" s="36"/>
      <c r="HDE237" s="36"/>
      <c r="HDF237" s="36"/>
      <c r="HDG237" s="36"/>
      <c r="HDH237" s="36"/>
      <c r="HDI237" s="36"/>
      <c r="HDJ237" s="36"/>
      <c r="HDK237" s="36"/>
      <c r="HDL237" s="36"/>
      <c r="HDM237" s="36"/>
      <c r="HDN237" s="36"/>
      <c r="HDO237" s="36"/>
      <c r="HDP237" s="36"/>
      <c r="HDQ237" s="36"/>
      <c r="HDR237" s="36"/>
      <c r="HDS237" s="36"/>
      <c r="HDT237" s="36"/>
      <c r="HDU237" s="36"/>
      <c r="HDV237" s="36"/>
      <c r="HDW237" s="36"/>
      <c r="HDX237" s="36"/>
      <c r="HDY237" s="36"/>
      <c r="HDZ237" s="36"/>
      <c r="HEA237" s="36"/>
      <c r="HEB237" s="36"/>
      <c r="HEC237" s="36"/>
      <c r="HED237" s="36"/>
      <c r="HEE237" s="36"/>
      <c r="HEF237" s="36"/>
      <c r="HEG237" s="36"/>
      <c r="HEH237" s="36"/>
      <c r="HEI237" s="36"/>
      <c r="HEJ237" s="36"/>
      <c r="HEK237" s="36"/>
      <c r="HEL237" s="36"/>
      <c r="HEM237" s="36"/>
      <c r="HEN237" s="36"/>
      <c r="HEO237" s="36"/>
      <c r="HEP237" s="36"/>
      <c r="HEQ237" s="36"/>
      <c r="HER237" s="36"/>
      <c r="HES237" s="36"/>
      <c r="HET237" s="36"/>
      <c r="HEU237" s="36"/>
      <c r="HEV237" s="36"/>
      <c r="HEW237" s="36"/>
      <c r="HEX237" s="36"/>
      <c r="HEY237" s="36"/>
      <c r="HEZ237" s="36"/>
      <c r="HFA237" s="36"/>
      <c r="HFB237" s="36"/>
      <c r="HFC237" s="36"/>
      <c r="HFD237" s="36"/>
      <c r="HFE237" s="36"/>
      <c r="HFF237" s="36"/>
      <c r="HFG237" s="36"/>
      <c r="HFH237" s="36"/>
      <c r="HFI237" s="36"/>
      <c r="HFJ237" s="36"/>
      <c r="HFK237" s="36"/>
      <c r="HFL237" s="36"/>
      <c r="HFM237" s="36"/>
      <c r="HFN237" s="36"/>
      <c r="HFO237" s="36"/>
      <c r="HFP237" s="36"/>
      <c r="HFQ237" s="36"/>
      <c r="HFR237" s="36"/>
      <c r="HFS237" s="36"/>
      <c r="HFT237" s="36"/>
      <c r="HFU237" s="36"/>
      <c r="HFV237" s="36"/>
      <c r="HFW237" s="36"/>
      <c r="HFX237" s="36"/>
      <c r="HFY237" s="36"/>
      <c r="HFZ237" s="36"/>
      <c r="HGA237" s="36"/>
      <c r="HGB237" s="36"/>
      <c r="HGC237" s="36"/>
      <c r="HGD237" s="36"/>
      <c r="HGE237" s="36"/>
      <c r="HGF237" s="36"/>
      <c r="HGG237" s="36"/>
      <c r="HGH237" s="36"/>
      <c r="HGI237" s="36"/>
      <c r="HGJ237" s="36"/>
      <c r="HGK237" s="36"/>
      <c r="HGL237" s="36"/>
      <c r="HGM237" s="36"/>
      <c r="HGN237" s="36"/>
      <c r="HGO237" s="36"/>
      <c r="HGP237" s="36"/>
      <c r="HGQ237" s="36"/>
      <c r="HGR237" s="36"/>
      <c r="HGS237" s="36"/>
      <c r="HGT237" s="36"/>
      <c r="HGU237" s="36"/>
      <c r="HGV237" s="36"/>
      <c r="HGW237" s="36"/>
      <c r="HGX237" s="36"/>
      <c r="HGY237" s="36"/>
      <c r="HGZ237" s="36"/>
      <c r="HHA237" s="36"/>
      <c r="HHB237" s="36"/>
      <c r="HHC237" s="36"/>
      <c r="HHD237" s="36"/>
      <c r="HHE237" s="36"/>
      <c r="HHF237" s="36"/>
      <c r="HHG237" s="36"/>
      <c r="HHH237" s="36"/>
      <c r="HHI237" s="36"/>
      <c r="HHJ237" s="36"/>
      <c r="HHK237" s="36"/>
      <c r="HHL237" s="36"/>
      <c r="HHM237" s="36"/>
      <c r="HHN237" s="36"/>
      <c r="HHO237" s="36"/>
      <c r="HHP237" s="36"/>
      <c r="HHQ237" s="36"/>
      <c r="HHR237" s="36"/>
      <c r="HHS237" s="36"/>
      <c r="HHT237" s="36"/>
      <c r="HHU237" s="36"/>
      <c r="HHV237" s="36"/>
      <c r="HHW237" s="36"/>
      <c r="HHX237" s="36"/>
      <c r="HHY237" s="36"/>
      <c r="HHZ237" s="36"/>
      <c r="HIA237" s="36"/>
      <c r="HIB237" s="36"/>
      <c r="HIC237" s="36"/>
      <c r="HID237" s="36"/>
      <c r="HIE237" s="36"/>
      <c r="HIF237" s="36"/>
      <c r="HIG237" s="36"/>
      <c r="HIH237" s="36"/>
      <c r="HII237" s="36"/>
      <c r="HIJ237" s="36"/>
      <c r="HIK237" s="36"/>
      <c r="HIL237" s="36"/>
      <c r="HIM237" s="36"/>
      <c r="HIN237" s="36"/>
      <c r="HIO237" s="36"/>
      <c r="HIP237" s="36"/>
      <c r="HIQ237" s="36"/>
      <c r="HIR237" s="36"/>
      <c r="HIS237" s="36"/>
      <c r="HIT237" s="36"/>
      <c r="HIU237" s="36"/>
      <c r="HIV237" s="36"/>
      <c r="HIW237" s="36"/>
      <c r="HIX237" s="36"/>
      <c r="HIY237" s="36"/>
      <c r="HIZ237" s="36"/>
      <c r="HJA237" s="36"/>
      <c r="HJB237" s="36"/>
      <c r="HJC237" s="36"/>
      <c r="HJD237" s="36"/>
      <c r="HJE237" s="36"/>
      <c r="HJF237" s="36"/>
      <c r="HJG237" s="36"/>
      <c r="HJH237" s="36"/>
      <c r="HJI237" s="36"/>
      <c r="HJJ237" s="36"/>
      <c r="HJK237" s="36"/>
      <c r="HJL237" s="36"/>
      <c r="HJM237" s="36"/>
      <c r="HJN237" s="36"/>
      <c r="HJO237" s="36"/>
      <c r="HJP237" s="36"/>
      <c r="HJQ237" s="36"/>
      <c r="HJR237" s="36"/>
      <c r="HJS237" s="36"/>
      <c r="HJT237" s="36"/>
      <c r="HJU237" s="36"/>
      <c r="HJV237" s="36"/>
      <c r="HJW237" s="36"/>
      <c r="HJX237" s="36"/>
      <c r="HJY237" s="36"/>
      <c r="HJZ237" s="36"/>
      <c r="HKA237" s="36"/>
      <c r="HKB237" s="36"/>
      <c r="HKC237" s="36"/>
      <c r="HKD237" s="36"/>
      <c r="HKE237" s="36"/>
      <c r="HKF237" s="36"/>
      <c r="HKG237" s="36"/>
      <c r="HKH237" s="36"/>
      <c r="HKI237" s="36"/>
      <c r="HKJ237" s="36"/>
      <c r="HKK237" s="36"/>
      <c r="HKL237" s="36"/>
      <c r="HKM237" s="36"/>
      <c r="HKN237" s="36"/>
      <c r="HKO237" s="36"/>
      <c r="HKP237" s="36"/>
      <c r="HKQ237" s="36"/>
      <c r="HKR237" s="36"/>
      <c r="HKS237" s="36"/>
      <c r="HKT237" s="36"/>
      <c r="HKU237" s="36"/>
      <c r="HKV237" s="36"/>
      <c r="HKW237" s="36"/>
      <c r="HKX237" s="36"/>
      <c r="HKY237" s="36"/>
      <c r="HKZ237" s="36"/>
      <c r="HLA237" s="36"/>
      <c r="HLB237" s="36"/>
      <c r="HLC237" s="36"/>
      <c r="HLD237" s="36"/>
      <c r="HLE237" s="36"/>
      <c r="HLF237" s="36"/>
      <c r="HLG237" s="36"/>
      <c r="HLH237" s="36"/>
      <c r="HLI237" s="36"/>
      <c r="HLJ237" s="36"/>
      <c r="HLK237" s="36"/>
      <c r="HLL237" s="36"/>
      <c r="HLM237" s="36"/>
      <c r="HLN237" s="36"/>
      <c r="HLO237" s="36"/>
      <c r="HLP237" s="36"/>
      <c r="HLQ237" s="36"/>
      <c r="HLR237" s="36"/>
      <c r="HLS237" s="36"/>
      <c r="HLT237" s="36"/>
      <c r="HLU237" s="36"/>
      <c r="HLV237" s="36"/>
      <c r="HLW237" s="36"/>
      <c r="HLX237" s="36"/>
      <c r="HLY237" s="36"/>
      <c r="HLZ237" s="36"/>
      <c r="HMA237" s="36"/>
      <c r="HMB237" s="36"/>
      <c r="HMC237" s="36"/>
      <c r="HMD237" s="36"/>
      <c r="HME237" s="36"/>
      <c r="HMF237" s="36"/>
      <c r="HMG237" s="36"/>
      <c r="HMH237" s="36"/>
      <c r="HMI237" s="36"/>
      <c r="HMJ237" s="36"/>
      <c r="HMK237" s="36"/>
      <c r="HML237" s="36"/>
      <c r="HMM237" s="36"/>
      <c r="HMN237" s="36"/>
      <c r="HMO237" s="36"/>
      <c r="HMP237" s="36"/>
      <c r="HMQ237" s="36"/>
      <c r="HMR237" s="36"/>
      <c r="HMS237" s="36"/>
      <c r="HMT237" s="36"/>
      <c r="HMU237" s="36"/>
      <c r="HMV237" s="36"/>
      <c r="HMW237" s="36"/>
      <c r="HMX237" s="36"/>
      <c r="HMY237" s="36"/>
      <c r="HMZ237" s="36"/>
      <c r="HNA237" s="36"/>
      <c r="HNB237" s="36"/>
      <c r="HNC237" s="36"/>
      <c r="HND237" s="36"/>
      <c r="HNE237" s="36"/>
      <c r="HNF237" s="36"/>
      <c r="HNG237" s="36"/>
      <c r="HNH237" s="36"/>
      <c r="HNI237" s="36"/>
      <c r="HNJ237" s="36"/>
      <c r="HNK237" s="36"/>
      <c r="HNL237" s="36"/>
      <c r="HNM237" s="36"/>
      <c r="HNN237" s="36"/>
      <c r="HNO237" s="36"/>
      <c r="HNP237" s="36"/>
      <c r="HNQ237" s="36"/>
      <c r="HNR237" s="36"/>
      <c r="HNS237" s="36"/>
      <c r="HNT237" s="36"/>
      <c r="HNU237" s="36"/>
      <c r="HNV237" s="36"/>
      <c r="HNW237" s="36"/>
      <c r="HNX237" s="36"/>
      <c r="HNY237" s="36"/>
      <c r="HNZ237" s="36"/>
      <c r="HOA237" s="36"/>
      <c r="HOB237" s="36"/>
      <c r="HOC237" s="36"/>
      <c r="HOD237" s="36"/>
      <c r="HOE237" s="36"/>
      <c r="HOF237" s="36"/>
      <c r="HOG237" s="36"/>
      <c r="HOH237" s="36"/>
      <c r="HOI237" s="36"/>
      <c r="HOJ237" s="36"/>
      <c r="HOK237" s="36"/>
      <c r="HOL237" s="36"/>
      <c r="HOM237" s="36"/>
      <c r="HON237" s="36"/>
      <c r="HOO237" s="36"/>
      <c r="HOP237" s="36"/>
      <c r="HOQ237" s="36"/>
      <c r="HOR237" s="36"/>
      <c r="HOS237" s="36"/>
      <c r="HOT237" s="36"/>
      <c r="HOU237" s="36"/>
      <c r="HOV237" s="36"/>
      <c r="HOW237" s="36"/>
      <c r="HOX237" s="36"/>
      <c r="HOY237" s="36"/>
      <c r="HOZ237" s="36"/>
      <c r="HPA237" s="36"/>
      <c r="HPB237" s="36"/>
      <c r="HPC237" s="36"/>
      <c r="HPD237" s="36"/>
      <c r="HPE237" s="36"/>
      <c r="HPF237" s="36"/>
      <c r="HPG237" s="36"/>
      <c r="HPH237" s="36"/>
      <c r="HPI237" s="36"/>
      <c r="HPJ237" s="36"/>
      <c r="HPK237" s="36"/>
      <c r="HPL237" s="36"/>
      <c r="HPM237" s="36"/>
      <c r="HPN237" s="36"/>
      <c r="HPO237" s="36"/>
      <c r="HPP237" s="36"/>
      <c r="HPQ237" s="36"/>
      <c r="HPR237" s="36"/>
      <c r="HPS237" s="36"/>
      <c r="HPT237" s="36"/>
      <c r="HPU237" s="36"/>
      <c r="HPV237" s="36"/>
      <c r="HPW237" s="36"/>
      <c r="HPX237" s="36"/>
      <c r="HPY237" s="36"/>
      <c r="HPZ237" s="36"/>
      <c r="HQA237" s="36"/>
      <c r="HQB237" s="36"/>
      <c r="HQC237" s="36"/>
      <c r="HQD237" s="36"/>
      <c r="HQE237" s="36"/>
      <c r="HQF237" s="36"/>
      <c r="HQG237" s="36"/>
      <c r="HQH237" s="36"/>
      <c r="HQI237" s="36"/>
      <c r="HQJ237" s="36"/>
      <c r="HQK237" s="36"/>
      <c r="HQL237" s="36"/>
      <c r="HQM237" s="36"/>
      <c r="HQN237" s="36"/>
      <c r="HQO237" s="36"/>
      <c r="HQP237" s="36"/>
      <c r="HQQ237" s="36"/>
      <c r="HQR237" s="36"/>
      <c r="HQS237" s="36"/>
      <c r="HQT237" s="36"/>
      <c r="HQU237" s="36"/>
      <c r="HQV237" s="36"/>
      <c r="HQW237" s="36"/>
      <c r="HQX237" s="36"/>
      <c r="HQY237" s="36"/>
      <c r="HQZ237" s="36"/>
      <c r="HRA237" s="36"/>
      <c r="HRB237" s="36"/>
      <c r="HRC237" s="36"/>
      <c r="HRD237" s="36"/>
      <c r="HRE237" s="36"/>
      <c r="HRF237" s="36"/>
      <c r="HRG237" s="36"/>
      <c r="HRH237" s="36"/>
      <c r="HRI237" s="36"/>
      <c r="HRJ237" s="36"/>
      <c r="HRK237" s="36"/>
      <c r="HRL237" s="36"/>
      <c r="HRM237" s="36"/>
      <c r="HRN237" s="36"/>
      <c r="HRO237" s="36"/>
      <c r="HRP237" s="36"/>
      <c r="HRQ237" s="36"/>
      <c r="HRR237" s="36"/>
      <c r="HRS237" s="36"/>
      <c r="HRT237" s="36"/>
      <c r="HRU237" s="36"/>
      <c r="HRV237" s="36"/>
      <c r="HRW237" s="36"/>
      <c r="HRX237" s="36"/>
      <c r="HRY237" s="36"/>
      <c r="HRZ237" s="36"/>
      <c r="HSA237" s="36"/>
      <c r="HSB237" s="36"/>
      <c r="HSC237" s="36"/>
      <c r="HSD237" s="36"/>
      <c r="HSE237" s="36"/>
      <c r="HSF237" s="36"/>
      <c r="HSG237" s="36"/>
      <c r="HSH237" s="36"/>
      <c r="HSI237" s="36"/>
      <c r="HSJ237" s="36"/>
      <c r="HSK237" s="36"/>
      <c r="HSL237" s="36"/>
      <c r="HSM237" s="36"/>
      <c r="HSN237" s="36"/>
      <c r="HSO237" s="36"/>
      <c r="HSP237" s="36"/>
      <c r="HSQ237" s="36"/>
      <c r="HSR237" s="36"/>
      <c r="HSS237" s="36"/>
      <c r="HST237" s="36"/>
      <c r="HSU237" s="36"/>
      <c r="HSV237" s="36"/>
      <c r="HSW237" s="36"/>
      <c r="HSX237" s="36"/>
      <c r="HSY237" s="36"/>
      <c r="HSZ237" s="36"/>
      <c r="HTA237" s="36"/>
      <c r="HTB237" s="36"/>
      <c r="HTC237" s="36"/>
      <c r="HTD237" s="36"/>
      <c r="HTE237" s="36"/>
      <c r="HTF237" s="36"/>
      <c r="HTG237" s="36"/>
      <c r="HTH237" s="36"/>
      <c r="HTI237" s="36"/>
      <c r="HTJ237" s="36"/>
      <c r="HTK237" s="36"/>
      <c r="HTL237" s="36"/>
      <c r="HTM237" s="36"/>
      <c r="HTN237" s="36"/>
      <c r="HTO237" s="36"/>
      <c r="HTP237" s="36"/>
      <c r="HTQ237" s="36"/>
      <c r="HTR237" s="36"/>
      <c r="HTS237" s="36"/>
      <c r="HTT237" s="36"/>
      <c r="HTU237" s="36"/>
      <c r="HTV237" s="36"/>
      <c r="HTW237" s="36"/>
      <c r="HTX237" s="36"/>
      <c r="HTY237" s="36"/>
      <c r="HTZ237" s="36"/>
      <c r="HUA237" s="36"/>
      <c r="HUB237" s="36"/>
      <c r="HUC237" s="36"/>
      <c r="HUD237" s="36"/>
      <c r="HUE237" s="36"/>
      <c r="HUF237" s="36"/>
      <c r="HUG237" s="36"/>
      <c r="HUH237" s="36"/>
      <c r="HUI237" s="36"/>
      <c r="HUJ237" s="36"/>
      <c r="HUK237" s="36"/>
      <c r="HUL237" s="36"/>
      <c r="HUM237" s="36"/>
      <c r="HUN237" s="36"/>
      <c r="HUO237" s="36"/>
      <c r="HUP237" s="36"/>
      <c r="HUQ237" s="36"/>
      <c r="HUR237" s="36"/>
      <c r="HUS237" s="36"/>
      <c r="HUT237" s="36"/>
      <c r="HUU237" s="36"/>
      <c r="HUV237" s="36"/>
      <c r="HUW237" s="36"/>
      <c r="HUX237" s="36"/>
      <c r="HUY237" s="36"/>
      <c r="HUZ237" s="36"/>
      <c r="HVA237" s="36"/>
      <c r="HVB237" s="36"/>
      <c r="HVC237" s="36"/>
      <c r="HVD237" s="36"/>
      <c r="HVE237" s="36"/>
      <c r="HVF237" s="36"/>
      <c r="HVG237" s="36"/>
      <c r="HVH237" s="36"/>
      <c r="HVI237" s="36"/>
      <c r="HVJ237" s="36"/>
      <c r="HVK237" s="36"/>
      <c r="HVL237" s="36"/>
      <c r="HVM237" s="36"/>
      <c r="HVN237" s="36"/>
      <c r="HVO237" s="36"/>
      <c r="HVP237" s="36"/>
      <c r="HVQ237" s="36"/>
      <c r="HVR237" s="36"/>
      <c r="HVS237" s="36"/>
      <c r="HVT237" s="36"/>
      <c r="HVU237" s="36"/>
      <c r="HVV237" s="36"/>
      <c r="HVW237" s="36"/>
      <c r="HVX237" s="36"/>
      <c r="HVY237" s="36"/>
      <c r="HVZ237" s="36"/>
      <c r="HWA237" s="36"/>
      <c r="HWB237" s="36"/>
      <c r="HWC237" s="36"/>
      <c r="HWD237" s="36"/>
      <c r="HWE237" s="36"/>
      <c r="HWF237" s="36"/>
      <c r="HWG237" s="36"/>
      <c r="HWH237" s="36"/>
      <c r="HWI237" s="36"/>
      <c r="HWJ237" s="36"/>
      <c r="HWK237" s="36"/>
      <c r="HWL237" s="36"/>
      <c r="HWM237" s="36"/>
      <c r="HWN237" s="36"/>
      <c r="HWO237" s="36"/>
      <c r="HWP237" s="36"/>
      <c r="HWQ237" s="36"/>
      <c r="HWR237" s="36"/>
      <c r="HWS237" s="36"/>
      <c r="HWT237" s="36"/>
      <c r="HWU237" s="36"/>
      <c r="HWV237" s="36"/>
      <c r="HWW237" s="36"/>
      <c r="HWX237" s="36"/>
      <c r="HWY237" s="36"/>
      <c r="HWZ237" s="36"/>
      <c r="HXA237" s="36"/>
      <c r="HXB237" s="36"/>
      <c r="HXC237" s="36"/>
      <c r="HXD237" s="36"/>
      <c r="HXE237" s="36"/>
      <c r="HXF237" s="36"/>
      <c r="HXG237" s="36"/>
      <c r="HXH237" s="36"/>
      <c r="HXI237" s="36"/>
      <c r="HXJ237" s="36"/>
      <c r="HXK237" s="36"/>
      <c r="HXL237" s="36"/>
      <c r="HXM237" s="36"/>
      <c r="HXN237" s="36"/>
      <c r="HXO237" s="36"/>
      <c r="HXP237" s="36"/>
      <c r="HXQ237" s="36"/>
      <c r="HXR237" s="36"/>
      <c r="HXS237" s="36"/>
      <c r="HXT237" s="36"/>
      <c r="HXU237" s="36"/>
      <c r="HXV237" s="36"/>
      <c r="HXW237" s="36"/>
      <c r="HXX237" s="36"/>
      <c r="HXY237" s="36"/>
      <c r="HXZ237" s="36"/>
      <c r="HYA237" s="36"/>
      <c r="HYB237" s="36"/>
      <c r="HYC237" s="36"/>
      <c r="HYD237" s="36"/>
      <c r="HYE237" s="36"/>
      <c r="HYF237" s="36"/>
      <c r="HYG237" s="36"/>
      <c r="HYH237" s="36"/>
      <c r="HYI237" s="36"/>
      <c r="HYJ237" s="36"/>
      <c r="HYK237" s="36"/>
      <c r="HYL237" s="36"/>
      <c r="HYM237" s="36"/>
      <c r="HYN237" s="36"/>
      <c r="HYO237" s="36"/>
      <c r="HYP237" s="36"/>
      <c r="HYQ237" s="36"/>
      <c r="HYR237" s="36"/>
      <c r="HYS237" s="36"/>
      <c r="HYT237" s="36"/>
      <c r="HYU237" s="36"/>
      <c r="HYV237" s="36"/>
      <c r="HYW237" s="36"/>
      <c r="HYX237" s="36"/>
      <c r="HYY237" s="36"/>
      <c r="HYZ237" s="36"/>
      <c r="HZA237" s="36"/>
      <c r="HZB237" s="36"/>
      <c r="HZC237" s="36"/>
      <c r="HZD237" s="36"/>
      <c r="HZE237" s="36"/>
      <c r="HZF237" s="36"/>
      <c r="HZG237" s="36"/>
      <c r="HZH237" s="36"/>
      <c r="HZI237" s="36"/>
      <c r="HZJ237" s="36"/>
      <c r="HZK237" s="36"/>
      <c r="HZL237" s="36"/>
      <c r="HZM237" s="36"/>
      <c r="HZN237" s="36"/>
      <c r="HZO237" s="36"/>
      <c r="HZP237" s="36"/>
      <c r="HZQ237" s="36"/>
      <c r="HZR237" s="36"/>
      <c r="HZS237" s="36"/>
      <c r="HZT237" s="36"/>
      <c r="HZU237" s="36"/>
      <c r="HZV237" s="36"/>
      <c r="HZW237" s="36"/>
      <c r="HZX237" s="36"/>
      <c r="HZY237" s="36"/>
      <c r="HZZ237" s="36"/>
      <c r="IAA237" s="36"/>
      <c r="IAB237" s="36"/>
      <c r="IAC237" s="36"/>
      <c r="IAD237" s="36"/>
      <c r="IAE237" s="36"/>
      <c r="IAF237" s="36"/>
      <c r="IAG237" s="36"/>
      <c r="IAH237" s="36"/>
      <c r="IAI237" s="36"/>
      <c r="IAJ237" s="36"/>
      <c r="IAK237" s="36"/>
      <c r="IAL237" s="36"/>
      <c r="IAM237" s="36"/>
      <c r="IAN237" s="36"/>
      <c r="IAO237" s="36"/>
      <c r="IAP237" s="36"/>
      <c r="IAQ237" s="36"/>
      <c r="IAR237" s="36"/>
      <c r="IAS237" s="36"/>
      <c r="IAT237" s="36"/>
      <c r="IAU237" s="36"/>
      <c r="IAV237" s="36"/>
      <c r="IAW237" s="36"/>
      <c r="IAX237" s="36"/>
      <c r="IAY237" s="36"/>
      <c r="IAZ237" s="36"/>
      <c r="IBA237" s="36"/>
      <c r="IBB237" s="36"/>
      <c r="IBC237" s="36"/>
      <c r="IBD237" s="36"/>
      <c r="IBE237" s="36"/>
      <c r="IBF237" s="36"/>
      <c r="IBG237" s="36"/>
      <c r="IBH237" s="36"/>
      <c r="IBI237" s="36"/>
      <c r="IBJ237" s="36"/>
      <c r="IBK237" s="36"/>
      <c r="IBL237" s="36"/>
      <c r="IBM237" s="36"/>
      <c r="IBN237" s="36"/>
      <c r="IBO237" s="36"/>
      <c r="IBP237" s="36"/>
      <c r="IBQ237" s="36"/>
      <c r="IBR237" s="36"/>
      <c r="IBS237" s="36"/>
      <c r="IBT237" s="36"/>
      <c r="IBU237" s="36"/>
      <c r="IBV237" s="36"/>
      <c r="IBW237" s="36"/>
      <c r="IBX237" s="36"/>
      <c r="IBY237" s="36"/>
      <c r="IBZ237" s="36"/>
      <c r="ICA237" s="36"/>
      <c r="ICB237" s="36"/>
      <c r="ICC237" s="36"/>
      <c r="ICD237" s="36"/>
      <c r="ICE237" s="36"/>
      <c r="ICF237" s="36"/>
      <c r="ICG237" s="36"/>
      <c r="ICH237" s="36"/>
      <c r="ICI237" s="36"/>
      <c r="ICJ237" s="36"/>
      <c r="ICK237" s="36"/>
      <c r="ICL237" s="36"/>
      <c r="ICM237" s="36"/>
      <c r="ICN237" s="36"/>
      <c r="ICO237" s="36"/>
      <c r="ICP237" s="36"/>
      <c r="ICQ237" s="36"/>
      <c r="ICR237" s="36"/>
      <c r="ICS237" s="36"/>
      <c r="ICT237" s="36"/>
      <c r="ICU237" s="36"/>
      <c r="ICV237" s="36"/>
      <c r="ICW237" s="36"/>
      <c r="ICX237" s="36"/>
      <c r="ICY237" s="36"/>
      <c r="ICZ237" s="36"/>
      <c r="IDA237" s="36"/>
      <c r="IDB237" s="36"/>
      <c r="IDC237" s="36"/>
      <c r="IDD237" s="36"/>
      <c r="IDE237" s="36"/>
      <c r="IDF237" s="36"/>
      <c r="IDG237" s="36"/>
      <c r="IDH237" s="36"/>
      <c r="IDI237" s="36"/>
      <c r="IDJ237" s="36"/>
      <c r="IDK237" s="36"/>
      <c r="IDL237" s="36"/>
      <c r="IDM237" s="36"/>
      <c r="IDN237" s="36"/>
      <c r="IDO237" s="36"/>
      <c r="IDP237" s="36"/>
      <c r="IDQ237" s="36"/>
      <c r="IDR237" s="36"/>
      <c r="IDS237" s="36"/>
      <c r="IDT237" s="36"/>
      <c r="IDU237" s="36"/>
      <c r="IDV237" s="36"/>
      <c r="IDW237" s="36"/>
      <c r="IDX237" s="36"/>
      <c r="IDY237" s="36"/>
      <c r="IDZ237" s="36"/>
      <c r="IEA237" s="36"/>
      <c r="IEB237" s="36"/>
      <c r="IEC237" s="36"/>
      <c r="IED237" s="36"/>
      <c r="IEE237" s="36"/>
      <c r="IEF237" s="36"/>
      <c r="IEG237" s="36"/>
      <c r="IEH237" s="36"/>
      <c r="IEI237" s="36"/>
      <c r="IEJ237" s="36"/>
      <c r="IEK237" s="36"/>
      <c r="IEL237" s="36"/>
      <c r="IEM237" s="36"/>
      <c r="IEN237" s="36"/>
      <c r="IEO237" s="36"/>
      <c r="IEP237" s="36"/>
      <c r="IEQ237" s="36"/>
      <c r="IER237" s="36"/>
      <c r="IES237" s="36"/>
      <c r="IET237" s="36"/>
      <c r="IEU237" s="36"/>
      <c r="IEV237" s="36"/>
      <c r="IEW237" s="36"/>
      <c r="IEX237" s="36"/>
      <c r="IEY237" s="36"/>
      <c r="IEZ237" s="36"/>
      <c r="IFA237" s="36"/>
      <c r="IFB237" s="36"/>
      <c r="IFC237" s="36"/>
      <c r="IFD237" s="36"/>
      <c r="IFE237" s="36"/>
      <c r="IFF237" s="36"/>
      <c r="IFG237" s="36"/>
      <c r="IFH237" s="36"/>
      <c r="IFI237" s="36"/>
      <c r="IFJ237" s="36"/>
      <c r="IFK237" s="36"/>
      <c r="IFL237" s="36"/>
      <c r="IFM237" s="36"/>
      <c r="IFN237" s="36"/>
      <c r="IFO237" s="36"/>
      <c r="IFP237" s="36"/>
      <c r="IFQ237" s="36"/>
      <c r="IFR237" s="36"/>
      <c r="IFS237" s="36"/>
      <c r="IFT237" s="36"/>
      <c r="IFU237" s="36"/>
      <c r="IFV237" s="36"/>
      <c r="IFW237" s="36"/>
      <c r="IFX237" s="36"/>
      <c r="IFY237" s="36"/>
      <c r="IFZ237" s="36"/>
      <c r="IGA237" s="36"/>
      <c r="IGB237" s="36"/>
      <c r="IGC237" s="36"/>
      <c r="IGD237" s="36"/>
      <c r="IGE237" s="36"/>
      <c r="IGF237" s="36"/>
      <c r="IGG237" s="36"/>
      <c r="IGH237" s="36"/>
      <c r="IGI237" s="36"/>
      <c r="IGJ237" s="36"/>
      <c r="IGK237" s="36"/>
      <c r="IGL237" s="36"/>
      <c r="IGM237" s="36"/>
      <c r="IGN237" s="36"/>
      <c r="IGO237" s="36"/>
      <c r="IGP237" s="36"/>
      <c r="IGQ237" s="36"/>
      <c r="IGR237" s="36"/>
      <c r="IGS237" s="36"/>
      <c r="IGT237" s="36"/>
      <c r="IGU237" s="36"/>
      <c r="IGV237" s="36"/>
      <c r="IGW237" s="36"/>
      <c r="IGX237" s="36"/>
      <c r="IGY237" s="36"/>
      <c r="IGZ237" s="36"/>
      <c r="IHA237" s="36"/>
      <c r="IHB237" s="36"/>
      <c r="IHC237" s="36"/>
      <c r="IHD237" s="36"/>
      <c r="IHE237" s="36"/>
      <c r="IHF237" s="36"/>
      <c r="IHG237" s="36"/>
      <c r="IHH237" s="36"/>
      <c r="IHI237" s="36"/>
      <c r="IHJ237" s="36"/>
      <c r="IHK237" s="36"/>
      <c r="IHL237" s="36"/>
      <c r="IHM237" s="36"/>
      <c r="IHN237" s="36"/>
      <c r="IHO237" s="36"/>
      <c r="IHP237" s="36"/>
      <c r="IHQ237" s="36"/>
      <c r="IHR237" s="36"/>
      <c r="IHS237" s="36"/>
      <c r="IHT237" s="36"/>
      <c r="IHU237" s="36"/>
      <c r="IHV237" s="36"/>
      <c r="IHW237" s="36"/>
      <c r="IHX237" s="36"/>
      <c r="IHY237" s="36"/>
      <c r="IHZ237" s="36"/>
      <c r="IIA237" s="36"/>
      <c r="IIB237" s="36"/>
      <c r="IIC237" s="36"/>
      <c r="IID237" s="36"/>
      <c r="IIE237" s="36"/>
      <c r="IIF237" s="36"/>
      <c r="IIG237" s="36"/>
      <c r="IIH237" s="36"/>
      <c r="III237" s="36"/>
      <c r="IIJ237" s="36"/>
      <c r="IIK237" s="36"/>
      <c r="IIL237" s="36"/>
      <c r="IIM237" s="36"/>
      <c r="IIN237" s="36"/>
      <c r="IIO237" s="36"/>
      <c r="IIP237" s="36"/>
      <c r="IIQ237" s="36"/>
      <c r="IIR237" s="36"/>
      <c r="IIS237" s="36"/>
      <c r="IIT237" s="36"/>
      <c r="IIU237" s="36"/>
      <c r="IIV237" s="36"/>
      <c r="IIW237" s="36"/>
      <c r="IIX237" s="36"/>
      <c r="IIY237" s="36"/>
      <c r="IIZ237" s="36"/>
      <c r="IJA237" s="36"/>
      <c r="IJB237" s="36"/>
      <c r="IJC237" s="36"/>
      <c r="IJD237" s="36"/>
      <c r="IJE237" s="36"/>
      <c r="IJF237" s="36"/>
      <c r="IJG237" s="36"/>
      <c r="IJH237" s="36"/>
      <c r="IJI237" s="36"/>
      <c r="IJJ237" s="36"/>
      <c r="IJK237" s="36"/>
      <c r="IJL237" s="36"/>
      <c r="IJM237" s="36"/>
      <c r="IJN237" s="36"/>
      <c r="IJO237" s="36"/>
      <c r="IJP237" s="36"/>
      <c r="IJQ237" s="36"/>
      <c r="IJR237" s="36"/>
      <c r="IJS237" s="36"/>
      <c r="IJT237" s="36"/>
      <c r="IJU237" s="36"/>
      <c r="IJV237" s="36"/>
      <c r="IJW237" s="36"/>
      <c r="IJX237" s="36"/>
      <c r="IJY237" s="36"/>
      <c r="IJZ237" s="36"/>
      <c r="IKA237" s="36"/>
      <c r="IKB237" s="36"/>
      <c r="IKC237" s="36"/>
      <c r="IKD237" s="36"/>
      <c r="IKE237" s="36"/>
      <c r="IKF237" s="36"/>
      <c r="IKG237" s="36"/>
      <c r="IKH237" s="36"/>
      <c r="IKI237" s="36"/>
      <c r="IKJ237" s="36"/>
      <c r="IKK237" s="36"/>
      <c r="IKL237" s="36"/>
      <c r="IKM237" s="36"/>
      <c r="IKN237" s="36"/>
      <c r="IKO237" s="36"/>
      <c r="IKP237" s="36"/>
      <c r="IKQ237" s="36"/>
      <c r="IKR237" s="36"/>
      <c r="IKS237" s="36"/>
      <c r="IKT237" s="36"/>
      <c r="IKU237" s="36"/>
      <c r="IKV237" s="36"/>
      <c r="IKW237" s="36"/>
      <c r="IKX237" s="36"/>
      <c r="IKY237" s="36"/>
      <c r="IKZ237" s="36"/>
      <c r="ILA237" s="36"/>
      <c r="ILB237" s="36"/>
      <c r="ILC237" s="36"/>
      <c r="ILD237" s="36"/>
      <c r="ILE237" s="36"/>
      <c r="ILF237" s="36"/>
      <c r="ILG237" s="36"/>
      <c r="ILH237" s="36"/>
      <c r="ILI237" s="36"/>
      <c r="ILJ237" s="36"/>
      <c r="ILK237" s="36"/>
      <c r="ILL237" s="36"/>
      <c r="ILM237" s="36"/>
      <c r="ILN237" s="36"/>
      <c r="ILO237" s="36"/>
      <c r="ILP237" s="36"/>
      <c r="ILQ237" s="36"/>
      <c r="ILR237" s="36"/>
      <c r="ILS237" s="36"/>
      <c r="ILT237" s="36"/>
      <c r="ILU237" s="36"/>
      <c r="ILV237" s="36"/>
      <c r="ILW237" s="36"/>
      <c r="ILX237" s="36"/>
      <c r="ILY237" s="36"/>
      <c r="ILZ237" s="36"/>
      <c r="IMA237" s="36"/>
      <c r="IMB237" s="36"/>
      <c r="IMC237" s="36"/>
      <c r="IMD237" s="36"/>
      <c r="IME237" s="36"/>
      <c r="IMF237" s="36"/>
      <c r="IMG237" s="36"/>
      <c r="IMH237" s="36"/>
      <c r="IMI237" s="36"/>
      <c r="IMJ237" s="36"/>
      <c r="IMK237" s="36"/>
      <c r="IML237" s="36"/>
      <c r="IMM237" s="36"/>
      <c r="IMN237" s="36"/>
      <c r="IMO237" s="36"/>
      <c r="IMP237" s="36"/>
      <c r="IMQ237" s="36"/>
      <c r="IMR237" s="36"/>
      <c r="IMS237" s="36"/>
      <c r="IMT237" s="36"/>
      <c r="IMU237" s="36"/>
      <c r="IMV237" s="36"/>
      <c r="IMW237" s="36"/>
      <c r="IMX237" s="36"/>
      <c r="IMY237" s="36"/>
      <c r="IMZ237" s="36"/>
      <c r="INA237" s="36"/>
      <c r="INB237" s="36"/>
      <c r="INC237" s="36"/>
      <c r="IND237" s="36"/>
      <c r="INE237" s="36"/>
      <c r="INF237" s="36"/>
      <c r="ING237" s="36"/>
      <c r="INH237" s="36"/>
      <c r="INI237" s="36"/>
      <c r="INJ237" s="36"/>
      <c r="INK237" s="36"/>
      <c r="INL237" s="36"/>
      <c r="INM237" s="36"/>
      <c r="INN237" s="36"/>
      <c r="INO237" s="36"/>
      <c r="INP237" s="36"/>
      <c r="INQ237" s="36"/>
      <c r="INR237" s="36"/>
      <c r="INS237" s="36"/>
      <c r="INT237" s="36"/>
      <c r="INU237" s="36"/>
      <c r="INV237" s="36"/>
      <c r="INW237" s="36"/>
      <c r="INX237" s="36"/>
      <c r="INY237" s="36"/>
      <c r="INZ237" s="36"/>
      <c r="IOA237" s="36"/>
      <c r="IOB237" s="36"/>
      <c r="IOC237" s="36"/>
      <c r="IOD237" s="36"/>
      <c r="IOE237" s="36"/>
      <c r="IOF237" s="36"/>
      <c r="IOG237" s="36"/>
      <c r="IOH237" s="36"/>
      <c r="IOI237" s="36"/>
      <c r="IOJ237" s="36"/>
      <c r="IOK237" s="36"/>
      <c r="IOL237" s="36"/>
      <c r="IOM237" s="36"/>
      <c r="ION237" s="36"/>
      <c r="IOO237" s="36"/>
      <c r="IOP237" s="36"/>
      <c r="IOQ237" s="36"/>
      <c r="IOR237" s="36"/>
      <c r="IOS237" s="36"/>
      <c r="IOT237" s="36"/>
      <c r="IOU237" s="36"/>
      <c r="IOV237" s="36"/>
      <c r="IOW237" s="36"/>
      <c r="IOX237" s="36"/>
      <c r="IOY237" s="36"/>
      <c r="IOZ237" s="36"/>
      <c r="IPA237" s="36"/>
      <c r="IPB237" s="36"/>
      <c r="IPC237" s="36"/>
      <c r="IPD237" s="36"/>
      <c r="IPE237" s="36"/>
      <c r="IPF237" s="36"/>
      <c r="IPG237" s="36"/>
      <c r="IPH237" s="36"/>
      <c r="IPI237" s="36"/>
      <c r="IPJ237" s="36"/>
      <c r="IPK237" s="36"/>
      <c r="IPL237" s="36"/>
      <c r="IPM237" s="36"/>
      <c r="IPN237" s="36"/>
      <c r="IPO237" s="36"/>
      <c r="IPP237" s="36"/>
      <c r="IPQ237" s="36"/>
      <c r="IPR237" s="36"/>
      <c r="IPS237" s="36"/>
      <c r="IPT237" s="36"/>
      <c r="IPU237" s="36"/>
      <c r="IPV237" s="36"/>
      <c r="IPW237" s="36"/>
      <c r="IPX237" s="36"/>
      <c r="IPY237" s="36"/>
      <c r="IPZ237" s="36"/>
      <c r="IQA237" s="36"/>
      <c r="IQB237" s="36"/>
      <c r="IQC237" s="36"/>
      <c r="IQD237" s="36"/>
      <c r="IQE237" s="36"/>
      <c r="IQF237" s="36"/>
      <c r="IQG237" s="36"/>
      <c r="IQH237" s="36"/>
      <c r="IQI237" s="36"/>
      <c r="IQJ237" s="36"/>
      <c r="IQK237" s="36"/>
      <c r="IQL237" s="36"/>
      <c r="IQM237" s="36"/>
      <c r="IQN237" s="36"/>
      <c r="IQO237" s="36"/>
      <c r="IQP237" s="36"/>
      <c r="IQQ237" s="36"/>
      <c r="IQR237" s="36"/>
      <c r="IQS237" s="36"/>
      <c r="IQT237" s="36"/>
      <c r="IQU237" s="36"/>
      <c r="IQV237" s="36"/>
      <c r="IQW237" s="36"/>
      <c r="IQX237" s="36"/>
      <c r="IQY237" s="36"/>
      <c r="IQZ237" s="36"/>
      <c r="IRA237" s="36"/>
      <c r="IRB237" s="36"/>
      <c r="IRC237" s="36"/>
      <c r="IRD237" s="36"/>
      <c r="IRE237" s="36"/>
      <c r="IRF237" s="36"/>
      <c r="IRG237" s="36"/>
      <c r="IRH237" s="36"/>
      <c r="IRI237" s="36"/>
      <c r="IRJ237" s="36"/>
      <c r="IRK237" s="36"/>
      <c r="IRL237" s="36"/>
      <c r="IRM237" s="36"/>
      <c r="IRN237" s="36"/>
      <c r="IRO237" s="36"/>
      <c r="IRP237" s="36"/>
      <c r="IRQ237" s="36"/>
      <c r="IRR237" s="36"/>
      <c r="IRS237" s="36"/>
      <c r="IRT237" s="36"/>
      <c r="IRU237" s="36"/>
      <c r="IRV237" s="36"/>
      <c r="IRW237" s="36"/>
      <c r="IRX237" s="36"/>
      <c r="IRY237" s="36"/>
      <c r="IRZ237" s="36"/>
      <c r="ISA237" s="36"/>
      <c r="ISB237" s="36"/>
      <c r="ISC237" s="36"/>
      <c r="ISD237" s="36"/>
      <c r="ISE237" s="36"/>
      <c r="ISF237" s="36"/>
      <c r="ISG237" s="36"/>
      <c r="ISH237" s="36"/>
      <c r="ISI237" s="36"/>
      <c r="ISJ237" s="36"/>
      <c r="ISK237" s="36"/>
      <c r="ISL237" s="36"/>
      <c r="ISM237" s="36"/>
      <c r="ISN237" s="36"/>
      <c r="ISO237" s="36"/>
      <c r="ISP237" s="36"/>
      <c r="ISQ237" s="36"/>
      <c r="ISR237" s="36"/>
      <c r="ISS237" s="36"/>
      <c r="IST237" s="36"/>
      <c r="ISU237" s="36"/>
      <c r="ISV237" s="36"/>
      <c r="ISW237" s="36"/>
      <c r="ISX237" s="36"/>
      <c r="ISY237" s="36"/>
      <c r="ISZ237" s="36"/>
      <c r="ITA237" s="36"/>
      <c r="ITB237" s="36"/>
      <c r="ITC237" s="36"/>
      <c r="ITD237" s="36"/>
      <c r="ITE237" s="36"/>
      <c r="ITF237" s="36"/>
      <c r="ITG237" s="36"/>
      <c r="ITH237" s="36"/>
      <c r="ITI237" s="36"/>
      <c r="ITJ237" s="36"/>
      <c r="ITK237" s="36"/>
      <c r="ITL237" s="36"/>
      <c r="ITM237" s="36"/>
      <c r="ITN237" s="36"/>
      <c r="ITO237" s="36"/>
      <c r="ITP237" s="36"/>
      <c r="ITQ237" s="36"/>
      <c r="ITR237" s="36"/>
      <c r="ITS237" s="36"/>
      <c r="ITT237" s="36"/>
      <c r="ITU237" s="36"/>
      <c r="ITV237" s="36"/>
      <c r="ITW237" s="36"/>
      <c r="ITX237" s="36"/>
      <c r="ITY237" s="36"/>
      <c r="ITZ237" s="36"/>
      <c r="IUA237" s="36"/>
      <c r="IUB237" s="36"/>
      <c r="IUC237" s="36"/>
      <c r="IUD237" s="36"/>
      <c r="IUE237" s="36"/>
      <c r="IUF237" s="36"/>
      <c r="IUG237" s="36"/>
      <c r="IUH237" s="36"/>
      <c r="IUI237" s="36"/>
      <c r="IUJ237" s="36"/>
      <c r="IUK237" s="36"/>
      <c r="IUL237" s="36"/>
      <c r="IUM237" s="36"/>
      <c r="IUN237" s="36"/>
      <c r="IUO237" s="36"/>
      <c r="IUP237" s="36"/>
      <c r="IUQ237" s="36"/>
      <c r="IUR237" s="36"/>
      <c r="IUS237" s="36"/>
      <c r="IUT237" s="36"/>
      <c r="IUU237" s="36"/>
      <c r="IUV237" s="36"/>
      <c r="IUW237" s="36"/>
      <c r="IUX237" s="36"/>
      <c r="IUY237" s="36"/>
      <c r="IUZ237" s="36"/>
      <c r="IVA237" s="36"/>
      <c r="IVB237" s="36"/>
      <c r="IVC237" s="36"/>
      <c r="IVD237" s="36"/>
      <c r="IVE237" s="36"/>
      <c r="IVF237" s="36"/>
      <c r="IVG237" s="36"/>
      <c r="IVH237" s="36"/>
      <c r="IVI237" s="36"/>
      <c r="IVJ237" s="36"/>
      <c r="IVK237" s="36"/>
      <c r="IVL237" s="36"/>
      <c r="IVM237" s="36"/>
      <c r="IVN237" s="36"/>
      <c r="IVO237" s="36"/>
      <c r="IVP237" s="36"/>
      <c r="IVQ237" s="36"/>
      <c r="IVR237" s="36"/>
      <c r="IVS237" s="36"/>
      <c r="IVT237" s="36"/>
      <c r="IVU237" s="36"/>
      <c r="IVV237" s="36"/>
      <c r="IVW237" s="36"/>
      <c r="IVX237" s="36"/>
      <c r="IVY237" s="36"/>
      <c r="IVZ237" s="36"/>
      <c r="IWA237" s="36"/>
      <c r="IWB237" s="36"/>
      <c r="IWC237" s="36"/>
      <c r="IWD237" s="36"/>
      <c r="IWE237" s="36"/>
      <c r="IWF237" s="36"/>
      <c r="IWG237" s="36"/>
      <c r="IWH237" s="36"/>
      <c r="IWI237" s="36"/>
      <c r="IWJ237" s="36"/>
      <c r="IWK237" s="36"/>
      <c r="IWL237" s="36"/>
      <c r="IWM237" s="36"/>
      <c r="IWN237" s="36"/>
      <c r="IWO237" s="36"/>
      <c r="IWP237" s="36"/>
      <c r="IWQ237" s="36"/>
      <c r="IWR237" s="36"/>
      <c r="IWS237" s="36"/>
      <c r="IWT237" s="36"/>
      <c r="IWU237" s="36"/>
      <c r="IWV237" s="36"/>
      <c r="IWW237" s="36"/>
      <c r="IWX237" s="36"/>
      <c r="IWY237" s="36"/>
      <c r="IWZ237" s="36"/>
      <c r="IXA237" s="36"/>
      <c r="IXB237" s="36"/>
      <c r="IXC237" s="36"/>
      <c r="IXD237" s="36"/>
      <c r="IXE237" s="36"/>
      <c r="IXF237" s="36"/>
      <c r="IXG237" s="36"/>
      <c r="IXH237" s="36"/>
      <c r="IXI237" s="36"/>
      <c r="IXJ237" s="36"/>
      <c r="IXK237" s="36"/>
      <c r="IXL237" s="36"/>
      <c r="IXM237" s="36"/>
      <c r="IXN237" s="36"/>
      <c r="IXO237" s="36"/>
      <c r="IXP237" s="36"/>
      <c r="IXQ237" s="36"/>
      <c r="IXR237" s="36"/>
      <c r="IXS237" s="36"/>
      <c r="IXT237" s="36"/>
      <c r="IXU237" s="36"/>
      <c r="IXV237" s="36"/>
      <c r="IXW237" s="36"/>
      <c r="IXX237" s="36"/>
      <c r="IXY237" s="36"/>
      <c r="IXZ237" s="36"/>
      <c r="IYA237" s="36"/>
      <c r="IYB237" s="36"/>
      <c r="IYC237" s="36"/>
      <c r="IYD237" s="36"/>
      <c r="IYE237" s="36"/>
      <c r="IYF237" s="36"/>
      <c r="IYG237" s="36"/>
      <c r="IYH237" s="36"/>
      <c r="IYI237" s="36"/>
      <c r="IYJ237" s="36"/>
      <c r="IYK237" s="36"/>
      <c r="IYL237" s="36"/>
      <c r="IYM237" s="36"/>
      <c r="IYN237" s="36"/>
      <c r="IYO237" s="36"/>
      <c r="IYP237" s="36"/>
      <c r="IYQ237" s="36"/>
      <c r="IYR237" s="36"/>
      <c r="IYS237" s="36"/>
      <c r="IYT237" s="36"/>
      <c r="IYU237" s="36"/>
      <c r="IYV237" s="36"/>
      <c r="IYW237" s="36"/>
      <c r="IYX237" s="36"/>
      <c r="IYY237" s="36"/>
      <c r="IYZ237" s="36"/>
      <c r="IZA237" s="36"/>
      <c r="IZB237" s="36"/>
      <c r="IZC237" s="36"/>
      <c r="IZD237" s="36"/>
      <c r="IZE237" s="36"/>
      <c r="IZF237" s="36"/>
      <c r="IZG237" s="36"/>
      <c r="IZH237" s="36"/>
      <c r="IZI237" s="36"/>
      <c r="IZJ237" s="36"/>
      <c r="IZK237" s="36"/>
      <c r="IZL237" s="36"/>
      <c r="IZM237" s="36"/>
      <c r="IZN237" s="36"/>
      <c r="IZO237" s="36"/>
      <c r="IZP237" s="36"/>
      <c r="IZQ237" s="36"/>
      <c r="IZR237" s="36"/>
      <c r="IZS237" s="36"/>
      <c r="IZT237" s="36"/>
      <c r="IZU237" s="36"/>
      <c r="IZV237" s="36"/>
      <c r="IZW237" s="36"/>
      <c r="IZX237" s="36"/>
      <c r="IZY237" s="36"/>
      <c r="IZZ237" s="36"/>
      <c r="JAA237" s="36"/>
      <c r="JAB237" s="36"/>
      <c r="JAC237" s="36"/>
      <c r="JAD237" s="36"/>
      <c r="JAE237" s="36"/>
      <c r="JAF237" s="36"/>
      <c r="JAG237" s="36"/>
      <c r="JAH237" s="36"/>
      <c r="JAI237" s="36"/>
      <c r="JAJ237" s="36"/>
      <c r="JAK237" s="36"/>
      <c r="JAL237" s="36"/>
      <c r="JAM237" s="36"/>
      <c r="JAN237" s="36"/>
      <c r="JAO237" s="36"/>
      <c r="JAP237" s="36"/>
      <c r="JAQ237" s="36"/>
      <c r="JAR237" s="36"/>
      <c r="JAS237" s="36"/>
      <c r="JAT237" s="36"/>
      <c r="JAU237" s="36"/>
      <c r="JAV237" s="36"/>
      <c r="JAW237" s="36"/>
      <c r="JAX237" s="36"/>
      <c r="JAY237" s="36"/>
      <c r="JAZ237" s="36"/>
      <c r="JBA237" s="36"/>
      <c r="JBB237" s="36"/>
      <c r="JBC237" s="36"/>
      <c r="JBD237" s="36"/>
      <c r="JBE237" s="36"/>
      <c r="JBF237" s="36"/>
      <c r="JBG237" s="36"/>
      <c r="JBH237" s="36"/>
      <c r="JBI237" s="36"/>
      <c r="JBJ237" s="36"/>
      <c r="JBK237" s="36"/>
      <c r="JBL237" s="36"/>
      <c r="JBM237" s="36"/>
      <c r="JBN237" s="36"/>
      <c r="JBO237" s="36"/>
      <c r="JBP237" s="36"/>
      <c r="JBQ237" s="36"/>
      <c r="JBR237" s="36"/>
      <c r="JBS237" s="36"/>
      <c r="JBT237" s="36"/>
      <c r="JBU237" s="36"/>
      <c r="JBV237" s="36"/>
      <c r="JBW237" s="36"/>
      <c r="JBX237" s="36"/>
      <c r="JBY237" s="36"/>
      <c r="JBZ237" s="36"/>
      <c r="JCA237" s="36"/>
      <c r="JCB237" s="36"/>
      <c r="JCC237" s="36"/>
      <c r="JCD237" s="36"/>
      <c r="JCE237" s="36"/>
      <c r="JCF237" s="36"/>
      <c r="JCG237" s="36"/>
      <c r="JCH237" s="36"/>
      <c r="JCI237" s="36"/>
      <c r="JCJ237" s="36"/>
      <c r="JCK237" s="36"/>
      <c r="JCL237" s="36"/>
      <c r="JCM237" s="36"/>
      <c r="JCN237" s="36"/>
      <c r="JCO237" s="36"/>
      <c r="JCP237" s="36"/>
      <c r="JCQ237" s="36"/>
      <c r="JCR237" s="36"/>
      <c r="JCS237" s="36"/>
      <c r="JCT237" s="36"/>
      <c r="JCU237" s="36"/>
      <c r="JCV237" s="36"/>
      <c r="JCW237" s="36"/>
      <c r="JCX237" s="36"/>
      <c r="JCY237" s="36"/>
      <c r="JCZ237" s="36"/>
      <c r="JDA237" s="36"/>
      <c r="JDB237" s="36"/>
      <c r="JDC237" s="36"/>
      <c r="JDD237" s="36"/>
      <c r="JDE237" s="36"/>
      <c r="JDF237" s="36"/>
      <c r="JDG237" s="36"/>
      <c r="JDH237" s="36"/>
      <c r="JDI237" s="36"/>
      <c r="JDJ237" s="36"/>
      <c r="JDK237" s="36"/>
      <c r="JDL237" s="36"/>
      <c r="JDM237" s="36"/>
      <c r="JDN237" s="36"/>
      <c r="JDO237" s="36"/>
      <c r="JDP237" s="36"/>
      <c r="JDQ237" s="36"/>
      <c r="JDR237" s="36"/>
      <c r="JDS237" s="36"/>
      <c r="JDT237" s="36"/>
      <c r="JDU237" s="36"/>
      <c r="JDV237" s="36"/>
      <c r="JDW237" s="36"/>
      <c r="JDX237" s="36"/>
      <c r="JDY237" s="36"/>
      <c r="JDZ237" s="36"/>
      <c r="JEA237" s="36"/>
      <c r="JEB237" s="36"/>
      <c r="JEC237" s="36"/>
      <c r="JED237" s="36"/>
      <c r="JEE237" s="36"/>
      <c r="JEF237" s="36"/>
      <c r="JEG237" s="36"/>
      <c r="JEH237" s="36"/>
      <c r="JEI237" s="36"/>
      <c r="JEJ237" s="36"/>
      <c r="JEK237" s="36"/>
      <c r="JEL237" s="36"/>
      <c r="JEM237" s="36"/>
      <c r="JEN237" s="36"/>
      <c r="JEO237" s="36"/>
      <c r="JEP237" s="36"/>
      <c r="JEQ237" s="36"/>
      <c r="JER237" s="36"/>
      <c r="JES237" s="36"/>
      <c r="JET237" s="36"/>
      <c r="JEU237" s="36"/>
      <c r="JEV237" s="36"/>
      <c r="JEW237" s="36"/>
      <c r="JEX237" s="36"/>
      <c r="JEY237" s="36"/>
      <c r="JEZ237" s="36"/>
      <c r="JFA237" s="36"/>
      <c r="JFB237" s="36"/>
      <c r="JFC237" s="36"/>
      <c r="JFD237" s="36"/>
      <c r="JFE237" s="36"/>
      <c r="JFF237" s="36"/>
      <c r="JFG237" s="36"/>
      <c r="JFH237" s="36"/>
      <c r="JFI237" s="36"/>
      <c r="JFJ237" s="36"/>
      <c r="JFK237" s="36"/>
      <c r="JFL237" s="36"/>
      <c r="JFM237" s="36"/>
      <c r="JFN237" s="36"/>
      <c r="JFO237" s="36"/>
      <c r="JFP237" s="36"/>
      <c r="JFQ237" s="36"/>
      <c r="JFR237" s="36"/>
      <c r="JFS237" s="36"/>
      <c r="JFT237" s="36"/>
      <c r="JFU237" s="36"/>
      <c r="JFV237" s="36"/>
      <c r="JFW237" s="36"/>
      <c r="JFX237" s="36"/>
      <c r="JFY237" s="36"/>
      <c r="JFZ237" s="36"/>
      <c r="JGA237" s="36"/>
      <c r="JGB237" s="36"/>
      <c r="JGC237" s="36"/>
      <c r="JGD237" s="36"/>
      <c r="JGE237" s="36"/>
      <c r="JGF237" s="36"/>
      <c r="JGG237" s="36"/>
      <c r="JGH237" s="36"/>
      <c r="JGI237" s="36"/>
      <c r="JGJ237" s="36"/>
      <c r="JGK237" s="36"/>
      <c r="JGL237" s="36"/>
      <c r="JGM237" s="36"/>
      <c r="JGN237" s="36"/>
      <c r="JGO237" s="36"/>
      <c r="JGP237" s="36"/>
      <c r="JGQ237" s="36"/>
      <c r="JGR237" s="36"/>
      <c r="JGS237" s="36"/>
      <c r="JGT237" s="36"/>
      <c r="JGU237" s="36"/>
      <c r="JGV237" s="36"/>
      <c r="JGW237" s="36"/>
      <c r="JGX237" s="36"/>
      <c r="JGY237" s="36"/>
      <c r="JGZ237" s="36"/>
      <c r="JHA237" s="36"/>
      <c r="JHB237" s="36"/>
      <c r="JHC237" s="36"/>
      <c r="JHD237" s="36"/>
      <c r="JHE237" s="36"/>
      <c r="JHF237" s="36"/>
      <c r="JHG237" s="36"/>
      <c r="JHH237" s="36"/>
      <c r="JHI237" s="36"/>
      <c r="JHJ237" s="36"/>
      <c r="JHK237" s="36"/>
      <c r="JHL237" s="36"/>
      <c r="JHM237" s="36"/>
      <c r="JHN237" s="36"/>
      <c r="JHO237" s="36"/>
      <c r="JHP237" s="36"/>
      <c r="JHQ237" s="36"/>
      <c r="JHR237" s="36"/>
      <c r="JHS237" s="36"/>
      <c r="JHT237" s="36"/>
      <c r="JHU237" s="36"/>
      <c r="JHV237" s="36"/>
      <c r="JHW237" s="36"/>
      <c r="JHX237" s="36"/>
      <c r="JHY237" s="36"/>
      <c r="JHZ237" s="36"/>
      <c r="JIA237" s="36"/>
      <c r="JIB237" s="36"/>
      <c r="JIC237" s="36"/>
      <c r="JID237" s="36"/>
      <c r="JIE237" s="36"/>
      <c r="JIF237" s="36"/>
      <c r="JIG237" s="36"/>
      <c r="JIH237" s="36"/>
      <c r="JII237" s="36"/>
      <c r="JIJ237" s="36"/>
      <c r="JIK237" s="36"/>
      <c r="JIL237" s="36"/>
      <c r="JIM237" s="36"/>
      <c r="JIN237" s="36"/>
      <c r="JIO237" s="36"/>
      <c r="JIP237" s="36"/>
      <c r="JIQ237" s="36"/>
      <c r="JIR237" s="36"/>
      <c r="JIS237" s="36"/>
      <c r="JIT237" s="36"/>
      <c r="JIU237" s="36"/>
      <c r="JIV237" s="36"/>
      <c r="JIW237" s="36"/>
      <c r="JIX237" s="36"/>
      <c r="JIY237" s="36"/>
      <c r="JIZ237" s="36"/>
      <c r="JJA237" s="36"/>
      <c r="JJB237" s="36"/>
      <c r="JJC237" s="36"/>
      <c r="JJD237" s="36"/>
      <c r="JJE237" s="36"/>
      <c r="JJF237" s="36"/>
      <c r="JJG237" s="36"/>
      <c r="JJH237" s="36"/>
      <c r="JJI237" s="36"/>
      <c r="JJJ237" s="36"/>
      <c r="JJK237" s="36"/>
      <c r="JJL237" s="36"/>
      <c r="JJM237" s="36"/>
      <c r="JJN237" s="36"/>
      <c r="JJO237" s="36"/>
      <c r="JJP237" s="36"/>
      <c r="JJQ237" s="36"/>
      <c r="JJR237" s="36"/>
      <c r="JJS237" s="36"/>
      <c r="JJT237" s="36"/>
      <c r="JJU237" s="36"/>
      <c r="JJV237" s="36"/>
      <c r="JJW237" s="36"/>
      <c r="JJX237" s="36"/>
      <c r="JJY237" s="36"/>
      <c r="JJZ237" s="36"/>
      <c r="JKA237" s="36"/>
      <c r="JKB237" s="36"/>
      <c r="JKC237" s="36"/>
      <c r="JKD237" s="36"/>
      <c r="JKE237" s="36"/>
      <c r="JKF237" s="36"/>
      <c r="JKG237" s="36"/>
      <c r="JKH237" s="36"/>
      <c r="JKI237" s="36"/>
      <c r="JKJ237" s="36"/>
      <c r="JKK237" s="36"/>
      <c r="JKL237" s="36"/>
      <c r="JKM237" s="36"/>
      <c r="JKN237" s="36"/>
      <c r="JKO237" s="36"/>
      <c r="JKP237" s="36"/>
      <c r="JKQ237" s="36"/>
      <c r="JKR237" s="36"/>
      <c r="JKS237" s="36"/>
      <c r="JKT237" s="36"/>
      <c r="JKU237" s="36"/>
      <c r="JKV237" s="36"/>
      <c r="JKW237" s="36"/>
      <c r="JKX237" s="36"/>
      <c r="JKY237" s="36"/>
      <c r="JKZ237" s="36"/>
      <c r="JLA237" s="36"/>
      <c r="JLB237" s="36"/>
      <c r="JLC237" s="36"/>
      <c r="JLD237" s="36"/>
      <c r="JLE237" s="36"/>
      <c r="JLF237" s="36"/>
      <c r="JLG237" s="36"/>
      <c r="JLH237" s="36"/>
      <c r="JLI237" s="36"/>
      <c r="JLJ237" s="36"/>
      <c r="JLK237" s="36"/>
      <c r="JLL237" s="36"/>
      <c r="JLM237" s="36"/>
      <c r="JLN237" s="36"/>
      <c r="JLO237" s="36"/>
      <c r="JLP237" s="36"/>
      <c r="JLQ237" s="36"/>
      <c r="JLR237" s="36"/>
      <c r="JLS237" s="36"/>
      <c r="JLT237" s="36"/>
      <c r="JLU237" s="36"/>
      <c r="JLV237" s="36"/>
      <c r="JLW237" s="36"/>
      <c r="JLX237" s="36"/>
      <c r="JLY237" s="36"/>
      <c r="JLZ237" s="36"/>
      <c r="JMA237" s="36"/>
      <c r="JMB237" s="36"/>
      <c r="JMC237" s="36"/>
      <c r="JMD237" s="36"/>
      <c r="JME237" s="36"/>
      <c r="JMF237" s="36"/>
      <c r="JMG237" s="36"/>
      <c r="JMH237" s="36"/>
      <c r="JMI237" s="36"/>
      <c r="JMJ237" s="36"/>
      <c r="JMK237" s="36"/>
      <c r="JML237" s="36"/>
      <c r="JMM237" s="36"/>
      <c r="JMN237" s="36"/>
      <c r="JMO237" s="36"/>
      <c r="JMP237" s="36"/>
      <c r="JMQ237" s="36"/>
      <c r="JMR237" s="36"/>
      <c r="JMS237" s="36"/>
      <c r="JMT237" s="36"/>
      <c r="JMU237" s="36"/>
      <c r="JMV237" s="36"/>
      <c r="JMW237" s="36"/>
      <c r="JMX237" s="36"/>
      <c r="JMY237" s="36"/>
      <c r="JMZ237" s="36"/>
      <c r="JNA237" s="36"/>
      <c r="JNB237" s="36"/>
      <c r="JNC237" s="36"/>
      <c r="JND237" s="36"/>
      <c r="JNE237" s="36"/>
      <c r="JNF237" s="36"/>
      <c r="JNG237" s="36"/>
      <c r="JNH237" s="36"/>
      <c r="JNI237" s="36"/>
      <c r="JNJ237" s="36"/>
      <c r="JNK237" s="36"/>
      <c r="JNL237" s="36"/>
      <c r="JNM237" s="36"/>
      <c r="JNN237" s="36"/>
      <c r="JNO237" s="36"/>
      <c r="JNP237" s="36"/>
      <c r="JNQ237" s="36"/>
      <c r="JNR237" s="36"/>
      <c r="JNS237" s="36"/>
      <c r="JNT237" s="36"/>
      <c r="JNU237" s="36"/>
      <c r="JNV237" s="36"/>
      <c r="JNW237" s="36"/>
      <c r="JNX237" s="36"/>
      <c r="JNY237" s="36"/>
      <c r="JNZ237" s="36"/>
      <c r="JOA237" s="36"/>
      <c r="JOB237" s="36"/>
      <c r="JOC237" s="36"/>
      <c r="JOD237" s="36"/>
      <c r="JOE237" s="36"/>
      <c r="JOF237" s="36"/>
      <c r="JOG237" s="36"/>
      <c r="JOH237" s="36"/>
      <c r="JOI237" s="36"/>
      <c r="JOJ237" s="36"/>
      <c r="JOK237" s="36"/>
      <c r="JOL237" s="36"/>
      <c r="JOM237" s="36"/>
      <c r="JON237" s="36"/>
      <c r="JOO237" s="36"/>
      <c r="JOP237" s="36"/>
      <c r="JOQ237" s="36"/>
      <c r="JOR237" s="36"/>
      <c r="JOS237" s="36"/>
      <c r="JOT237" s="36"/>
      <c r="JOU237" s="36"/>
      <c r="JOV237" s="36"/>
      <c r="JOW237" s="36"/>
      <c r="JOX237" s="36"/>
      <c r="JOY237" s="36"/>
      <c r="JOZ237" s="36"/>
      <c r="JPA237" s="36"/>
      <c r="JPB237" s="36"/>
      <c r="JPC237" s="36"/>
      <c r="JPD237" s="36"/>
      <c r="JPE237" s="36"/>
      <c r="JPF237" s="36"/>
      <c r="JPG237" s="36"/>
      <c r="JPH237" s="36"/>
      <c r="JPI237" s="36"/>
      <c r="JPJ237" s="36"/>
      <c r="JPK237" s="36"/>
      <c r="JPL237" s="36"/>
      <c r="JPM237" s="36"/>
      <c r="JPN237" s="36"/>
      <c r="JPO237" s="36"/>
      <c r="JPP237" s="36"/>
      <c r="JPQ237" s="36"/>
      <c r="JPR237" s="36"/>
      <c r="JPS237" s="36"/>
      <c r="JPT237" s="36"/>
      <c r="JPU237" s="36"/>
      <c r="JPV237" s="36"/>
      <c r="JPW237" s="36"/>
      <c r="JPX237" s="36"/>
      <c r="JPY237" s="36"/>
      <c r="JPZ237" s="36"/>
      <c r="JQA237" s="36"/>
      <c r="JQB237" s="36"/>
      <c r="JQC237" s="36"/>
      <c r="JQD237" s="36"/>
      <c r="JQE237" s="36"/>
      <c r="JQF237" s="36"/>
      <c r="JQG237" s="36"/>
      <c r="JQH237" s="36"/>
      <c r="JQI237" s="36"/>
      <c r="JQJ237" s="36"/>
      <c r="JQK237" s="36"/>
      <c r="JQL237" s="36"/>
      <c r="JQM237" s="36"/>
      <c r="JQN237" s="36"/>
      <c r="JQO237" s="36"/>
      <c r="JQP237" s="36"/>
      <c r="JQQ237" s="36"/>
      <c r="JQR237" s="36"/>
      <c r="JQS237" s="36"/>
      <c r="JQT237" s="36"/>
      <c r="JQU237" s="36"/>
      <c r="JQV237" s="36"/>
      <c r="JQW237" s="36"/>
      <c r="JQX237" s="36"/>
      <c r="JQY237" s="36"/>
      <c r="JQZ237" s="36"/>
      <c r="JRA237" s="36"/>
      <c r="JRB237" s="36"/>
      <c r="JRC237" s="36"/>
      <c r="JRD237" s="36"/>
      <c r="JRE237" s="36"/>
      <c r="JRF237" s="36"/>
      <c r="JRG237" s="36"/>
      <c r="JRH237" s="36"/>
      <c r="JRI237" s="36"/>
      <c r="JRJ237" s="36"/>
      <c r="JRK237" s="36"/>
      <c r="JRL237" s="36"/>
      <c r="JRM237" s="36"/>
      <c r="JRN237" s="36"/>
      <c r="JRO237" s="36"/>
      <c r="JRP237" s="36"/>
      <c r="JRQ237" s="36"/>
      <c r="JRR237" s="36"/>
      <c r="JRS237" s="36"/>
      <c r="JRT237" s="36"/>
      <c r="JRU237" s="36"/>
      <c r="JRV237" s="36"/>
      <c r="JRW237" s="36"/>
      <c r="JRX237" s="36"/>
      <c r="JRY237" s="36"/>
      <c r="JRZ237" s="36"/>
      <c r="JSA237" s="36"/>
      <c r="JSB237" s="36"/>
      <c r="JSC237" s="36"/>
      <c r="JSD237" s="36"/>
      <c r="JSE237" s="36"/>
      <c r="JSF237" s="36"/>
      <c r="JSG237" s="36"/>
      <c r="JSH237" s="36"/>
      <c r="JSI237" s="36"/>
      <c r="JSJ237" s="36"/>
      <c r="JSK237" s="36"/>
      <c r="JSL237" s="36"/>
      <c r="JSM237" s="36"/>
      <c r="JSN237" s="36"/>
      <c r="JSO237" s="36"/>
      <c r="JSP237" s="36"/>
      <c r="JSQ237" s="36"/>
      <c r="JSR237" s="36"/>
      <c r="JSS237" s="36"/>
      <c r="JST237" s="36"/>
      <c r="JSU237" s="36"/>
      <c r="JSV237" s="36"/>
      <c r="JSW237" s="36"/>
      <c r="JSX237" s="36"/>
      <c r="JSY237" s="36"/>
      <c r="JSZ237" s="36"/>
      <c r="JTA237" s="36"/>
      <c r="JTB237" s="36"/>
      <c r="JTC237" s="36"/>
      <c r="JTD237" s="36"/>
      <c r="JTE237" s="36"/>
      <c r="JTF237" s="36"/>
      <c r="JTG237" s="36"/>
      <c r="JTH237" s="36"/>
      <c r="JTI237" s="36"/>
      <c r="JTJ237" s="36"/>
      <c r="JTK237" s="36"/>
      <c r="JTL237" s="36"/>
      <c r="JTM237" s="36"/>
      <c r="JTN237" s="36"/>
      <c r="JTO237" s="36"/>
      <c r="JTP237" s="36"/>
      <c r="JTQ237" s="36"/>
      <c r="JTR237" s="36"/>
      <c r="JTS237" s="36"/>
      <c r="JTT237" s="36"/>
      <c r="JTU237" s="36"/>
      <c r="JTV237" s="36"/>
      <c r="JTW237" s="36"/>
      <c r="JTX237" s="36"/>
      <c r="JTY237" s="36"/>
      <c r="JTZ237" s="36"/>
      <c r="JUA237" s="36"/>
      <c r="JUB237" s="36"/>
      <c r="JUC237" s="36"/>
      <c r="JUD237" s="36"/>
      <c r="JUE237" s="36"/>
      <c r="JUF237" s="36"/>
      <c r="JUG237" s="36"/>
      <c r="JUH237" s="36"/>
      <c r="JUI237" s="36"/>
      <c r="JUJ237" s="36"/>
      <c r="JUK237" s="36"/>
      <c r="JUL237" s="36"/>
      <c r="JUM237" s="36"/>
      <c r="JUN237" s="36"/>
      <c r="JUO237" s="36"/>
      <c r="JUP237" s="36"/>
      <c r="JUQ237" s="36"/>
      <c r="JUR237" s="36"/>
      <c r="JUS237" s="36"/>
      <c r="JUT237" s="36"/>
      <c r="JUU237" s="36"/>
      <c r="JUV237" s="36"/>
      <c r="JUW237" s="36"/>
      <c r="JUX237" s="36"/>
      <c r="JUY237" s="36"/>
      <c r="JUZ237" s="36"/>
      <c r="JVA237" s="36"/>
      <c r="JVB237" s="36"/>
      <c r="JVC237" s="36"/>
      <c r="JVD237" s="36"/>
      <c r="JVE237" s="36"/>
      <c r="JVF237" s="36"/>
      <c r="JVG237" s="36"/>
      <c r="JVH237" s="36"/>
      <c r="JVI237" s="36"/>
      <c r="JVJ237" s="36"/>
      <c r="JVK237" s="36"/>
      <c r="JVL237" s="36"/>
      <c r="JVM237" s="36"/>
      <c r="JVN237" s="36"/>
      <c r="JVO237" s="36"/>
      <c r="JVP237" s="36"/>
      <c r="JVQ237" s="36"/>
      <c r="JVR237" s="36"/>
      <c r="JVS237" s="36"/>
      <c r="JVT237" s="36"/>
      <c r="JVU237" s="36"/>
      <c r="JVV237" s="36"/>
      <c r="JVW237" s="36"/>
      <c r="JVX237" s="36"/>
      <c r="JVY237" s="36"/>
      <c r="JVZ237" s="36"/>
      <c r="JWA237" s="36"/>
      <c r="JWB237" s="36"/>
      <c r="JWC237" s="36"/>
      <c r="JWD237" s="36"/>
      <c r="JWE237" s="36"/>
      <c r="JWF237" s="36"/>
      <c r="JWG237" s="36"/>
      <c r="JWH237" s="36"/>
      <c r="JWI237" s="36"/>
      <c r="JWJ237" s="36"/>
      <c r="JWK237" s="36"/>
      <c r="JWL237" s="36"/>
      <c r="JWM237" s="36"/>
      <c r="JWN237" s="36"/>
      <c r="JWO237" s="36"/>
      <c r="JWP237" s="36"/>
      <c r="JWQ237" s="36"/>
      <c r="JWR237" s="36"/>
      <c r="JWS237" s="36"/>
      <c r="JWT237" s="36"/>
      <c r="JWU237" s="36"/>
      <c r="JWV237" s="36"/>
      <c r="JWW237" s="36"/>
      <c r="JWX237" s="36"/>
      <c r="JWY237" s="36"/>
      <c r="JWZ237" s="36"/>
      <c r="JXA237" s="36"/>
      <c r="JXB237" s="36"/>
      <c r="JXC237" s="36"/>
      <c r="JXD237" s="36"/>
      <c r="JXE237" s="36"/>
      <c r="JXF237" s="36"/>
      <c r="JXG237" s="36"/>
      <c r="JXH237" s="36"/>
      <c r="JXI237" s="36"/>
      <c r="JXJ237" s="36"/>
      <c r="JXK237" s="36"/>
      <c r="JXL237" s="36"/>
      <c r="JXM237" s="36"/>
      <c r="JXN237" s="36"/>
      <c r="JXO237" s="36"/>
      <c r="JXP237" s="36"/>
      <c r="JXQ237" s="36"/>
      <c r="JXR237" s="36"/>
      <c r="JXS237" s="36"/>
      <c r="JXT237" s="36"/>
      <c r="JXU237" s="36"/>
      <c r="JXV237" s="36"/>
      <c r="JXW237" s="36"/>
      <c r="JXX237" s="36"/>
      <c r="JXY237" s="36"/>
      <c r="JXZ237" s="36"/>
      <c r="JYA237" s="36"/>
      <c r="JYB237" s="36"/>
      <c r="JYC237" s="36"/>
      <c r="JYD237" s="36"/>
      <c r="JYE237" s="36"/>
      <c r="JYF237" s="36"/>
      <c r="JYG237" s="36"/>
      <c r="JYH237" s="36"/>
      <c r="JYI237" s="36"/>
      <c r="JYJ237" s="36"/>
      <c r="JYK237" s="36"/>
      <c r="JYL237" s="36"/>
      <c r="JYM237" s="36"/>
      <c r="JYN237" s="36"/>
      <c r="JYO237" s="36"/>
      <c r="JYP237" s="36"/>
      <c r="JYQ237" s="36"/>
      <c r="JYR237" s="36"/>
      <c r="JYS237" s="36"/>
      <c r="JYT237" s="36"/>
      <c r="JYU237" s="36"/>
      <c r="JYV237" s="36"/>
      <c r="JYW237" s="36"/>
      <c r="JYX237" s="36"/>
      <c r="JYY237" s="36"/>
      <c r="JYZ237" s="36"/>
      <c r="JZA237" s="36"/>
      <c r="JZB237" s="36"/>
      <c r="JZC237" s="36"/>
      <c r="JZD237" s="36"/>
      <c r="JZE237" s="36"/>
      <c r="JZF237" s="36"/>
      <c r="JZG237" s="36"/>
      <c r="JZH237" s="36"/>
      <c r="JZI237" s="36"/>
      <c r="JZJ237" s="36"/>
      <c r="JZK237" s="36"/>
      <c r="JZL237" s="36"/>
      <c r="JZM237" s="36"/>
      <c r="JZN237" s="36"/>
      <c r="JZO237" s="36"/>
      <c r="JZP237" s="36"/>
      <c r="JZQ237" s="36"/>
      <c r="JZR237" s="36"/>
      <c r="JZS237" s="36"/>
      <c r="JZT237" s="36"/>
      <c r="JZU237" s="36"/>
      <c r="JZV237" s="36"/>
      <c r="JZW237" s="36"/>
      <c r="JZX237" s="36"/>
      <c r="JZY237" s="36"/>
      <c r="JZZ237" s="36"/>
      <c r="KAA237" s="36"/>
      <c r="KAB237" s="36"/>
      <c r="KAC237" s="36"/>
      <c r="KAD237" s="36"/>
      <c r="KAE237" s="36"/>
      <c r="KAF237" s="36"/>
      <c r="KAG237" s="36"/>
      <c r="KAH237" s="36"/>
      <c r="KAI237" s="36"/>
      <c r="KAJ237" s="36"/>
      <c r="KAK237" s="36"/>
      <c r="KAL237" s="36"/>
      <c r="KAM237" s="36"/>
      <c r="KAN237" s="36"/>
      <c r="KAO237" s="36"/>
      <c r="KAP237" s="36"/>
      <c r="KAQ237" s="36"/>
      <c r="KAR237" s="36"/>
      <c r="KAS237" s="36"/>
      <c r="KAT237" s="36"/>
      <c r="KAU237" s="36"/>
      <c r="KAV237" s="36"/>
      <c r="KAW237" s="36"/>
      <c r="KAX237" s="36"/>
      <c r="KAY237" s="36"/>
      <c r="KAZ237" s="36"/>
      <c r="KBA237" s="36"/>
      <c r="KBB237" s="36"/>
      <c r="KBC237" s="36"/>
      <c r="KBD237" s="36"/>
      <c r="KBE237" s="36"/>
      <c r="KBF237" s="36"/>
      <c r="KBG237" s="36"/>
      <c r="KBH237" s="36"/>
      <c r="KBI237" s="36"/>
      <c r="KBJ237" s="36"/>
      <c r="KBK237" s="36"/>
      <c r="KBL237" s="36"/>
      <c r="KBM237" s="36"/>
      <c r="KBN237" s="36"/>
      <c r="KBO237" s="36"/>
      <c r="KBP237" s="36"/>
      <c r="KBQ237" s="36"/>
      <c r="KBR237" s="36"/>
      <c r="KBS237" s="36"/>
      <c r="KBT237" s="36"/>
      <c r="KBU237" s="36"/>
      <c r="KBV237" s="36"/>
      <c r="KBW237" s="36"/>
      <c r="KBX237" s="36"/>
      <c r="KBY237" s="36"/>
      <c r="KBZ237" s="36"/>
      <c r="KCA237" s="36"/>
      <c r="KCB237" s="36"/>
      <c r="KCC237" s="36"/>
      <c r="KCD237" s="36"/>
      <c r="KCE237" s="36"/>
      <c r="KCF237" s="36"/>
      <c r="KCG237" s="36"/>
      <c r="KCH237" s="36"/>
      <c r="KCI237" s="36"/>
      <c r="KCJ237" s="36"/>
      <c r="KCK237" s="36"/>
      <c r="KCL237" s="36"/>
      <c r="KCM237" s="36"/>
      <c r="KCN237" s="36"/>
      <c r="KCO237" s="36"/>
      <c r="KCP237" s="36"/>
      <c r="KCQ237" s="36"/>
      <c r="KCR237" s="36"/>
      <c r="KCS237" s="36"/>
      <c r="KCT237" s="36"/>
      <c r="KCU237" s="36"/>
      <c r="KCV237" s="36"/>
      <c r="KCW237" s="36"/>
      <c r="KCX237" s="36"/>
      <c r="KCY237" s="36"/>
      <c r="KCZ237" s="36"/>
      <c r="KDA237" s="36"/>
      <c r="KDB237" s="36"/>
      <c r="KDC237" s="36"/>
      <c r="KDD237" s="36"/>
      <c r="KDE237" s="36"/>
      <c r="KDF237" s="36"/>
      <c r="KDG237" s="36"/>
      <c r="KDH237" s="36"/>
      <c r="KDI237" s="36"/>
      <c r="KDJ237" s="36"/>
      <c r="KDK237" s="36"/>
      <c r="KDL237" s="36"/>
      <c r="KDM237" s="36"/>
      <c r="KDN237" s="36"/>
      <c r="KDO237" s="36"/>
      <c r="KDP237" s="36"/>
      <c r="KDQ237" s="36"/>
      <c r="KDR237" s="36"/>
      <c r="KDS237" s="36"/>
      <c r="KDT237" s="36"/>
      <c r="KDU237" s="36"/>
      <c r="KDV237" s="36"/>
      <c r="KDW237" s="36"/>
      <c r="KDX237" s="36"/>
      <c r="KDY237" s="36"/>
      <c r="KDZ237" s="36"/>
      <c r="KEA237" s="36"/>
      <c r="KEB237" s="36"/>
      <c r="KEC237" s="36"/>
      <c r="KED237" s="36"/>
      <c r="KEE237" s="36"/>
      <c r="KEF237" s="36"/>
      <c r="KEG237" s="36"/>
      <c r="KEH237" s="36"/>
      <c r="KEI237" s="36"/>
      <c r="KEJ237" s="36"/>
      <c r="KEK237" s="36"/>
      <c r="KEL237" s="36"/>
      <c r="KEM237" s="36"/>
      <c r="KEN237" s="36"/>
      <c r="KEO237" s="36"/>
      <c r="KEP237" s="36"/>
      <c r="KEQ237" s="36"/>
      <c r="KER237" s="36"/>
      <c r="KES237" s="36"/>
      <c r="KET237" s="36"/>
      <c r="KEU237" s="36"/>
      <c r="KEV237" s="36"/>
      <c r="KEW237" s="36"/>
      <c r="KEX237" s="36"/>
      <c r="KEY237" s="36"/>
      <c r="KEZ237" s="36"/>
      <c r="KFA237" s="36"/>
      <c r="KFB237" s="36"/>
      <c r="KFC237" s="36"/>
      <c r="KFD237" s="36"/>
      <c r="KFE237" s="36"/>
      <c r="KFF237" s="36"/>
      <c r="KFG237" s="36"/>
      <c r="KFH237" s="36"/>
      <c r="KFI237" s="36"/>
      <c r="KFJ237" s="36"/>
      <c r="KFK237" s="36"/>
      <c r="KFL237" s="36"/>
      <c r="KFM237" s="36"/>
      <c r="KFN237" s="36"/>
      <c r="KFO237" s="36"/>
      <c r="KFP237" s="36"/>
      <c r="KFQ237" s="36"/>
      <c r="KFR237" s="36"/>
      <c r="KFS237" s="36"/>
      <c r="KFT237" s="36"/>
      <c r="KFU237" s="36"/>
      <c r="KFV237" s="36"/>
      <c r="KFW237" s="36"/>
      <c r="KFX237" s="36"/>
      <c r="KFY237" s="36"/>
      <c r="KFZ237" s="36"/>
      <c r="KGA237" s="36"/>
      <c r="KGB237" s="36"/>
      <c r="KGC237" s="36"/>
      <c r="KGD237" s="36"/>
      <c r="KGE237" s="36"/>
      <c r="KGF237" s="36"/>
      <c r="KGG237" s="36"/>
      <c r="KGH237" s="36"/>
      <c r="KGI237" s="36"/>
      <c r="KGJ237" s="36"/>
      <c r="KGK237" s="36"/>
      <c r="KGL237" s="36"/>
      <c r="KGM237" s="36"/>
      <c r="KGN237" s="36"/>
      <c r="KGO237" s="36"/>
      <c r="KGP237" s="36"/>
      <c r="KGQ237" s="36"/>
      <c r="KGR237" s="36"/>
      <c r="KGS237" s="36"/>
      <c r="KGT237" s="36"/>
      <c r="KGU237" s="36"/>
      <c r="KGV237" s="36"/>
      <c r="KGW237" s="36"/>
      <c r="KGX237" s="36"/>
      <c r="KGY237" s="36"/>
      <c r="KGZ237" s="36"/>
      <c r="KHA237" s="36"/>
      <c r="KHB237" s="36"/>
      <c r="KHC237" s="36"/>
      <c r="KHD237" s="36"/>
      <c r="KHE237" s="36"/>
      <c r="KHF237" s="36"/>
      <c r="KHG237" s="36"/>
      <c r="KHH237" s="36"/>
      <c r="KHI237" s="36"/>
      <c r="KHJ237" s="36"/>
      <c r="KHK237" s="36"/>
      <c r="KHL237" s="36"/>
      <c r="KHM237" s="36"/>
      <c r="KHN237" s="36"/>
      <c r="KHO237" s="36"/>
      <c r="KHP237" s="36"/>
      <c r="KHQ237" s="36"/>
      <c r="KHR237" s="36"/>
      <c r="KHS237" s="36"/>
      <c r="KHT237" s="36"/>
      <c r="KHU237" s="36"/>
      <c r="KHV237" s="36"/>
      <c r="KHW237" s="36"/>
      <c r="KHX237" s="36"/>
      <c r="KHY237" s="36"/>
      <c r="KHZ237" s="36"/>
      <c r="KIA237" s="36"/>
      <c r="KIB237" s="36"/>
      <c r="KIC237" s="36"/>
      <c r="KID237" s="36"/>
      <c r="KIE237" s="36"/>
      <c r="KIF237" s="36"/>
      <c r="KIG237" s="36"/>
      <c r="KIH237" s="36"/>
      <c r="KII237" s="36"/>
      <c r="KIJ237" s="36"/>
      <c r="KIK237" s="36"/>
      <c r="KIL237" s="36"/>
      <c r="KIM237" s="36"/>
      <c r="KIN237" s="36"/>
      <c r="KIO237" s="36"/>
      <c r="KIP237" s="36"/>
      <c r="KIQ237" s="36"/>
      <c r="KIR237" s="36"/>
      <c r="KIS237" s="36"/>
      <c r="KIT237" s="36"/>
      <c r="KIU237" s="36"/>
      <c r="KIV237" s="36"/>
      <c r="KIW237" s="36"/>
      <c r="KIX237" s="36"/>
      <c r="KIY237" s="36"/>
      <c r="KIZ237" s="36"/>
      <c r="KJA237" s="36"/>
      <c r="KJB237" s="36"/>
      <c r="KJC237" s="36"/>
      <c r="KJD237" s="36"/>
      <c r="KJE237" s="36"/>
      <c r="KJF237" s="36"/>
      <c r="KJG237" s="36"/>
      <c r="KJH237" s="36"/>
      <c r="KJI237" s="36"/>
      <c r="KJJ237" s="36"/>
      <c r="KJK237" s="36"/>
      <c r="KJL237" s="36"/>
      <c r="KJM237" s="36"/>
      <c r="KJN237" s="36"/>
      <c r="KJO237" s="36"/>
      <c r="KJP237" s="36"/>
      <c r="KJQ237" s="36"/>
      <c r="KJR237" s="36"/>
      <c r="KJS237" s="36"/>
      <c r="KJT237" s="36"/>
      <c r="KJU237" s="36"/>
      <c r="KJV237" s="36"/>
      <c r="KJW237" s="36"/>
      <c r="KJX237" s="36"/>
      <c r="KJY237" s="36"/>
      <c r="KJZ237" s="36"/>
      <c r="KKA237" s="36"/>
      <c r="KKB237" s="36"/>
      <c r="KKC237" s="36"/>
      <c r="KKD237" s="36"/>
      <c r="KKE237" s="36"/>
      <c r="KKF237" s="36"/>
      <c r="KKG237" s="36"/>
      <c r="KKH237" s="36"/>
      <c r="KKI237" s="36"/>
      <c r="KKJ237" s="36"/>
      <c r="KKK237" s="36"/>
      <c r="KKL237" s="36"/>
      <c r="KKM237" s="36"/>
      <c r="KKN237" s="36"/>
      <c r="KKO237" s="36"/>
      <c r="KKP237" s="36"/>
      <c r="KKQ237" s="36"/>
      <c r="KKR237" s="36"/>
      <c r="KKS237" s="36"/>
      <c r="KKT237" s="36"/>
      <c r="KKU237" s="36"/>
      <c r="KKV237" s="36"/>
      <c r="KKW237" s="36"/>
      <c r="KKX237" s="36"/>
      <c r="KKY237" s="36"/>
      <c r="KKZ237" s="36"/>
      <c r="KLA237" s="36"/>
      <c r="KLB237" s="36"/>
      <c r="KLC237" s="36"/>
      <c r="KLD237" s="36"/>
      <c r="KLE237" s="36"/>
      <c r="KLF237" s="36"/>
      <c r="KLG237" s="36"/>
      <c r="KLH237" s="36"/>
      <c r="KLI237" s="36"/>
      <c r="KLJ237" s="36"/>
      <c r="KLK237" s="36"/>
      <c r="KLL237" s="36"/>
      <c r="KLM237" s="36"/>
      <c r="KLN237" s="36"/>
      <c r="KLO237" s="36"/>
      <c r="KLP237" s="36"/>
      <c r="KLQ237" s="36"/>
      <c r="KLR237" s="36"/>
      <c r="KLS237" s="36"/>
      <c r="KLT237" s="36"/>
      <c r="KLU237" s="36"/>
      <c r="KLV237" s="36"/>
      <c r="KLW237" s="36"/>
      <c r="KLX237" s="36"/>
      <c r="KLY237" s="36"/>
      <c r="KLZ237" s="36"/>
      <c r="KMA237" s="36"/>
      <c r="KMB237" s="36"/>
      <c r="KMC237" s="36"/>
      <c r="KMD237" s="36"/>
      <c r="KME237" s="36"/>
      <c r="KMF237" s="36"/>
      <c r="KMG237" s="36"/>
      <c r="KMH237" s="36"/>
      <c r="KMI237" s="36"/>
      <c r="KMJ237" s="36"/>
      <c r="KMK237" s="36"/>
      <c r="KML237" s="36"/>
      <c r="KMM237" s="36"/>
      <c r="KMN237" s="36"/>
      <c r="KMO237" s="36"/>
      <c r="KMP237" s="36"/>
      <c r="KMQ237" s="36"/>
      <c r="KMR237" s="36"/>
      <c r="KMS237" s="36"/>
      <c r="KMT237" s="36"/>
      <c r="KMU237" s="36"/>
      <c r="KMV237" s="36"/>
      <c r="KMW237" s="36"/>
      <c r="KMX237" s="36"/>
      <c r="KMY237" s="36"/>
      <c r="KMZ237" s="36"/>
      <c r="KNA237" s="36"/>
      <c r="KNB237" s="36"/>
      <c r="KNC237" s="36"/>
      <c r="KND237" s="36"/>
      <c r="KNE237" s="36"/>
      <c r="KNF237" s="36"/>
      <c r="KNG237" s="36"/>
      <c r="KNH237" s="36"/>
      <c r="KNI237" s="36"/>
      <c r="KNJ237" s="36"/>
      <c r="KNK237" s="36"/>
      <c r="KNL237" s="36"/>
      <c r="KNM237" s="36"/>
      <c r="KNN237" s="36"/>
      <c r="KNO237" s="36"/>
      <c r="KNP237" s="36"/>
      <c r="KNQ237" s="36"/>
      <c r="KNR237" s="36"/>
      <c r="KNS237" s="36"/>
      <c r="KNT237" s="36"/>
      <c r="KNU237" s="36"/>
      <c r="KNV237" s="36"/>
      <c r="KNW237" s="36"/>
      <c r="KNX237" s="36"/>
      <c r="KNY237" s="36"/>
      <c r="KNZ237" s="36"/>
      <c r="KOA237" s="36"/>
      <c r="KOB237" s="36"/>
      <c r="KOC237" s="36"/>
      <c r="KOD237" s="36"/>
      <c r="KOE237" s="36"/>
      <c r="KOF237" s="36"/>
      <c r="KOG237" s="36"/>
      <c r="KOH237" s="36"/>
      <c r="KOI237" s="36"/>
      <c r="KOJ237" s="36"/>
      <c r="KOK237" s="36"/>
      <c r="KOL237" s="36"/>
      <c r="KOM237" s="36"/>
      <c r="KON237" s="36"/>
      <c r="KOO237" s="36"/>
      <c r="KOP237" s="36"/>
      <c r="KOQ237" s="36"/>
      <c r="KOR237" s="36"/>
      <c r="KOS237" s="36"/>
      <c r="KOT237" s="36"/>
      <c r="KOU237" s="36"/>
      <c r="KOV237" s="36"/>
      <c r="KOW237" s="36"/>
      <c r="KOX237" s="36"/>
      <c r="KOY237" s="36"/>
      <c r="KOZ237" s="36"/>
      <c r="KPA237" s="36"/>
      <c r="KPB237" s="36"/>
      <c r="KPC237" s="36"/>
      <c r="KPD237" s="36"/>
      <c r="KPE237" s="36"/>
      <c r="KPF237" s="36"/>
      <c r="KPG237" s="36"/>
      <c r="KPH237" s="36"/>
      <c r="KPI237" s="36"/>
      <c r="KPJ237" s="36"/>
      <c r="KPK237" s="36"/>
      <c r="KPL237" s="36"/>
      <c r="KPM237" s="36"/>
      <c r="KPN237" s="36"/>
      <c r="KPO237" s="36"/>
      <c r="KPP237" s="36"/>
      <c r="KPQ237" s="36"/>
      <c r="KPR237" s="36"/>
      <c r="KPS237" s="36"/>
      <c r="KPT237" s="36"/>
      <c r="KPU237" s="36"/>
      <c r="KPV237" s="36"/>
      <c r="KPW237" s="36"/>
      <c r="KPX237" s="36"/>
      <c r="KPY237" s="36"/>
      <c r="KPZ237" s="36"/>
      <c r="KQA237" s="36"/>
      <c r="KQB237" s="36"/>
      <c r="KQC237" s="36"/>
      <c r="KQD237" s="36"/>
      <c r="KQE237" s="36"/>
      <c r="KQF237" s="36"/>
      <c r="KQG237" s="36"/>
      <c r="KQH237" s="36"/>
      <c r="KQI237" s="36"/>
      <c r="KQJ237" s="36"/>
      <c r="KQK237" s="36"/>
      <c r="KQL237" s="36"/>
      <c r="KQM237" s="36"/>
      <c r="KQN237" s="36"/>
      <c r="KQO237" s="36"/>
      <c r="KQP237" s="36"/>
      <c r="KQQ237" s="36"/>
      <c r="KQR237" s="36"/>
      <c r="KQS237" s="36"/>
      <c r="KQT237" s="36"/>
      <c r="KQU237" s="36"/>
      <c r="KQV237" s="36"/>
      <c r="KQW237" s="36"/>
      <c r="KQX237" s="36"/>
      <c r="KQY237" s="36"/>
      <c r="KQZ237" s="36"/>
      <c r="KRA237" s="36"/>
      <c r="KRB237" s="36"/>
      <c r="KRC237" s="36"/>
      <c r="KRD237" s="36"/>
      <c r="KRE237" s="36"/>
      <c r="KRF237" s="36"/>
      <c r="KRG237" s="36"/>
      <c r="KRH237" s="36"/>
      <c r="KRI237" s="36"/>
      <c r="KRJ237" s="36"/>
      <c r="KRK237" s="36"/>
      <c r="KRL237" s="36"/>
      <c r="KRM237" s="36"/>
      <c r="KRN237" s="36"/>
      <c r="KRO237" s="36"/>
      <c r="KRP237" s="36"/>
      <c r="KRQ237" s="36"/>
      <c r="KRR237" s="36"/>
      <c r="KRS237" s="36"/>
      <c r="KRT237" s="36"/>
      <c r="KRU237" s="36"/>
      <c r="KRV237" s="36"/>
      <c r="KRW237" s="36"/>
      <c r="KRX237" s="36"/>
      <c r="KRY237" s="36"/>
      <c r="KRZ237" s="36"/>
      <c r="KSA237" s="36"/>
      <c r="KSB237" s="36"/>
      <c r="KSC237" s="36"/>
      <c r="KSD237" s="36"/>
      <c r="KSE237" s="36"/>
      <c r="KSF237" s="36"/>
      <c r="KSG237" s="36"/>
      <c r="KSH237" s="36"/>
      <c r="KSI237" s="36"/>
      <c r="KSJ237" s="36"/>
      <c r="KSK237" s="36"/>
      <c r="KSL237" s="36"/>
      <c r="KSM237" s="36"/>
      <c r="KSN237" s="36"/>
      <c r="KSO237" s="36"/>
      <c r="KSP237" s="36"/>
      <c r="KSQ237" s="36"/>
      <c r="KSR237" s="36"/>
      <c r="KSS237" s="36"/>
      <c r="KST237" s="36"/>
      <c r="KSU237" s="36"/>
      <c r="KSV237" s="36"/>
      <c r="KSW237" s="36"/>
      <c r="KSX237" s="36"/>
      <c r="KSY237" s="36"/>
      <c r="KSZ237" s="36"/>
      <c r="KTA237" s="36"/>
      <c r="KTB237" s="36"/>
      <c r="KTC237" s="36"/>
      <c r="KTD237" s="36"/>
      <c r="KTE237" s="36"/>
      <c r="KTF237" s="36"/>
      <c r="KTG237" s="36"/>
      <c r="KTH237" s="36"/>
      <c r="KTI237" s="36"/>
      <c r="KTJ237" s="36"/>
      <c r="KTK237" s="36"/>
      <c r="KTL237" s="36"/>
      <c r="KTM237" s="36"/>
      <c r="KTN237" s="36"/>
      <c r="KTO237" s="36"/>
      <c r="KTP237" s="36"/>
      <c r="KTQ237" s="36"/>
      <c r="KTR237" s="36"/>
      <c r="KTS237" s="36"/>
      <c r="KTT237" s="36"/>
      <c r="KTU237" s="36"/>
      <c r="KTV237" s="36"/>
      <c r="KTW237" s="36"/>
      <c r="KTX237" s="36"/>
      <c r="KTY237" s="36"/>
      <c r="KTZ237" s="36"/>
      <c r="KUA237" s="36"/>
      <c r="KUB237" s="36"/>
      <c r="KUC237" s="36"/>
      <c r="KUD237" s="36"/>
      <c r="KUE237" s="36"/>
      <c r="KUF237" s="36"/>
      <c r="KUG237" s="36"/>
      <c r="KUH237" s="36"/>
      <c r="KUI237" s="36"/>
      <c r="KUJ237" s="36"/>
      <c r="KUK237" s="36"/>
      <c r="KUL237" s="36"/>
      <c r="KUM237" s="36"/>
      <c r="KUN237" s="36"/>
      <c r="KUO237" s="36"/>
      <c r="KUP237" s="36"/>
      <c r="KUQ237" s="36"/>
      <c r="KUR237" s="36"/>
      <c r="KUS237" s="36"/>
      <c r="KUT237" s="36"/>
      <c r="KUU237" s="36"/>
      <c r="KUV237" s="36"/>
      <c r="KUW237" s="36"/>
      <c r="KUX237" s="36"/>
      <c r="KUY237" s="36"/>
      <c r="KUZ237" s="36"/>
      <c r="KVA237" s="36"/>
      <c r="KVB237" s="36"/>
      <c r="KVC237" s="36"/>
      <c r="KVD237" s="36"/>
      <c r="KVE237" s="36"/>
      <c r="KVF237" s="36"/>
      <c r="KVG237" s="36"/>
      <c r="KVH237" s="36"/>
      <c r="KVI237" s="36"/>
      <c r="KVJ237" s="36"/>
      <c r="KVK237" s="36"/>
      <c r="KVL237" s="36"/>
      <c r="KVM237" s="36"/>
      <c r="KVN237" s="36"/>
      <c r="KVO237" s="36"/>
      <c r="KVP237" s="36"/>
      <c r="KVQ237" s="36"/>
      <c r="KVR237" s="36"/>
      <c r="KVS237" s="36"/>
      <c r="KVT237" s="36"/>
      <c r="KVU237" s="36"/>
      <c r="KVV237" s="36"/>
      <c r="KVW237" s="36"/>
      <c r="KVX237" s="36"/>
      <c r="KVY237" s="36"/>
      <c r="KVZ237" s="36"/>
      <c r="KWA237" s="36"/>
      <c r="KWB237" s="36"/>
      <c r="KWC237" s="36"/>
      <c r="KWD237" s="36"/>
      <c r="KWE237" s="36"/>
      <c r="KWF237" s="36"/>
      <c r="KWG237" s="36"/>
      <c r="KWH237" s="36"/>
      <c r="KWI237" s="36"/>
      <c r="KWJ237" s="36"/>
      <c r="KWK237" s="36"/>
      <c r="KWL237" s="36"/>
      <c r="KWM237" s="36"/>
      <c r="KWN237" s="36"/>
      <c r="KWO237" s="36"/>
      <c r="KWP237" s="36"/>
      <c r="KWQ237" s="36"/>
      <c r="KWR237" s="36"/>
      <c r="KWS237" s="36"/>
      <c r="KWT237" s="36"/>
      <c r="KWU237" s="36"/>
      <c r="KWV237" s="36"/>
      <c r="KWW237" s="36"/>
      <c r="KWX237" s="36"/>
      <c r="KWY237" s="36"/>
      <c r="KWZ237" s="36"/>
      <c r="KXA237" s="36"/>
      <c r="KXB237" s="36"/>
      <c r="KXC237" s="36"/>
      <c r="KXD237" s="36"/>
      <c r="KXE237" s="36"/>
      <c r="KXF237" s="36"/>
      <c r="KXG237" s="36"/>
      <c r="KXH237" s="36"/>
      <c r="KXI237" s="36"/>
      <c r="KXJ237" s="36"/>
      <c r="KXK237" s="36"/>
      <c r="KXL237" s="36"/>
      <c r="KXM237" s="36"/>
      <c r="KXN237" s="36"/>
      <c r="KXO237" s="36"/>
      <c r="KXP237" s="36"/>
      <c r="KXQ237" s="36"/>
      <c r="KXR237" s="36"/>
      <c r="KXS237" s="36"/>
      <c r="KXT237" s="36"/>
      <c r="KXU237" s="36"/>
      <c r="KXV237" s="36"/>
      <c r="KXW237" s="36"/>
      <c r="KXX237" s="36"/>
      <c r="KXY237" s="36"/>
      <c r="KXZ237" s="36"/>
      <c r="KYA237" s="36"/>
      <c r="KYB237" s="36"/>
      <c r="KYC237" s="36"/>
      <c r="KYD237" s="36"/>
      <c r="KYE237" s="36"/>
      <c r="KYF237" s="36"/>
      <c r="KYG237" s="36"/>
      <c r="KYH237" s="36"/>
      <c r="KYI237" s="36"/>
      <c r="KYJ237" s="36"/>
      <c r="KYK237" s="36"/>
      <c r="KYL237" s="36"/>
      <c r="KYM237" s="36"/>
      <c r="KYN237" s="36"/>
      <c r="KYO237" s="36"/>
      <c r="KYP237" s="36"/>
      <c r="KYQ237" s="36"/>
      <c r="KYR237" s="36"/>
      <c r="KYS237" s="36"/>
      <c r="KYT237" s="36"/>
      <c r="KYU237" s="36"/>
      <c r="KYV237" s="36"/>
      <c r="KYW237" s="36"/>
      <c r="KYX237" s="36"/>
      <c r="KYY237" s="36"/>
      <c r="KYZ237" s="36"/>
      <c r="KZA237" s="36"/>
      <c r="KZB237" s="36"/>
      <c r="KZC237" s="36"/>
      <c r="KZD237" s="36"/>
      <c r="KZE237" s="36"/>
      <c r="KZF237" s="36"/>
      <c r="KZG237" s="36"/>
      <c r="KZH237" s="36"/>
      <c r="KZI237" s="36"/>
      <c r="KZJ237" s="36"/>
      <c r="KZK237" s="36"/>
      <c r="KZL237" s="36"/>
      <c r="KZM237" s="36"/>
      <c r="KZN237" s="36"/>
      <c r="KZO237" s="36"/>
      <c r="KZP237" s="36"/>
      <c r="KZQ237" s="36"/>
      <c r="KZR237" s="36"/>
      <c r="KZS237" s="36"/>
      <c r="KZT237" s="36"/>
      <c r="KZU237" s="36"/>
      <c r="KZV237" s="36"/>
      <c r="KZW237" s="36"/>
      <c r="KZX237" s="36"/>
      <c r="KZY237" s="36"/>
      <c r="KZZ237" s="36"/>
      <c r="LAA237" s="36"/>
      <c r="LAB237" s="36"/>
      <c r="LAC237" s="36"/>
      <c r="LAD237" s="36"/>
      <c r="LAE237" s="36"/>
      <c r="LAF237" s="36"/>
      <c r="LAG237" s="36"/>
      <c r="LAH237" s="36"/>
      <c r="LAI237" s="36"/>
      <c r="LAJ237" s="36"/>
      <c r="LAK237" s="36"/>
      <c r="LAL237" s="36"/>
      <c r="LAM237" s="36"/>
      <c r="LAN237" s="36"/>
      <c r="LAO237" s="36"/>
      <c r="LAP237" s="36"/>
      <c r="LAQ237" s="36"/>
      <c r="LAR237" s="36"/>
      <c r="LAS237" s="36"/>
      <c r="LAT237" s="36"/>
      <c r="LAU237" s="36"/>
      <c r="LAV237" s="36"/>
      <c r="LAW237" s="36"/>
      <c r="LAX237" s="36"/>
      <c r="LAY237" s="36"/>
      <c r="LAZ237" s="36"/>
      <c r="LBA237" s="36"/>
      <c r="LBB237" s="36"/>
      <c r="LBC237" s="36"/>
      <c r="LBD237" s="36"/>
      <c r="LBE237" s="36"/>
      <c r="LBF237" s="36"/>
      <c r="LBG237" s="36"/>
      <c r="LBH237" s="36"/>
      <c r="LBI237" s="36"/>
      <c r="LBJ237" s="36"/>
      <c r="LBK237" s="36"/>
      <c r="LBL237" s="36"/>
      <c r="LBM237" s="36"/>
      <c r="LBN237" s="36"/>
      <c r="LBO237" s="36"/>
      <c r="LBP237" s="36"/>
      <c r="LBQ237" s="36"/>
      <c r="LBR237" s="36"/>
      <c r="LBS237" s="36"/>
      <c r="LBT237" s="36"/>
      <c r="LBU237" s="36"/>
      <c r="LBV237" s="36"/>
      <c r="LBW237" s="36"/>
      <c r="LBX237" s="36"/>
      <c r="LBY237" s="36"/>
      <c r="LBZ237" s="36"/>
      <c r="LCA237" s="36"/>
      <c r="LCB237" s="36"/>
      <c r="LCC237" s="36"/>
      <c r="LCD237" s="36"/>
      <c r="LCE237" s="36"/>
      <c r="LCF237" s="36"/>
      <c r="LCG237" s="36"/>
      <c r="LCH237" s="36"/>
      <c r="LCI237" s="36"/>
      <c r="LCJ237" s="36"/>
      <c r="LCK237" s="36"/>
      <c r="LCL237" s="36"/>
      <c r="LCM237" s="36"/>
      <c r="LCN237" s="36"/>
      <c r="LCO237" s="36"/>
      <c r="LCP237" s="36"/>
      <c r="LCQ237" s="36"/>
      <c r="LCR237" s="36"/>
      <c r="LCS237" s="36"/>
      <c r="LCT237" s="36"/>
      <c r="LCU237" s="36"/>
      <c r="LCV237" s="36"/>
      <c r="LCW237" s="36"/>
      <c r="LCX237" s="36"/>
      <c r="LCY237" s="36"/>
      <c r="LCZ237" s="36"/>
      <c r="LDA237" s="36"/>
      <c r="LDB237" s="36"/>
      <c r="LDC237" s="36"/>
      <c r="LDD237" s="36"/>
      <c r="LDE237" s="36"/>
      <c r="LDF237" s="36"/>
      <c r="LDG237" s="36"/>
      <c r="LDH237" s="36"/>
      <c r="LDI237" s="36"/>
      <c r="LDJ237" s="36"/>
      <c r="LDK237" s="36"/>
      <c r="LDL237" s="36"/>
      <c r="LDM237" s="36"/>
      <c r="LDN237" s="36"/>
      <c r="LDO237" s="36"/>
      <c r="LDP237" s="36"/>
      <c r="LDQ237" s="36"/>
      <c r="LDR237" s="36"/>
      <c r="LDS237" s="36"/>
      <c r="LDT237" s="36"/>
      <c r="LDU237" s="36"/>
      <c r="LDV237" s="36"/>
      <c r="LDW237" s="36"/>
      <c r="LDX237" s="36"/>
      <c r="LDY237" s="36"/>
      <c r="LDZ237" s="36"/>
      <c r="LEA237" s="36"/>
      <c r="LEB237" s="36"/>
      <c r="LEC237" s="36"/>
      <c r="LED237" s="36"/>
      <c r="LEE237" s="36"/>
      <c r="LEF237" s="36"/>
      <c r="LEG237" s="36"/>
      <c r="LEH237" s="36"/>
      <c r="LEI237" s="36"/>
      <c r="LEJ237" s="36"/>
      <c r="LEK237" s="36"/>
      <c r="LEL237" s="36"/>
      <c r="LEM237" s="36"/>
      <c r="LEN237" s="36"/>
      <c r="LEO237" s="36"/>
      <c r="LEP237" s="36"/>
      <c r="LEQ237" s="36"/>
      <c r="LER237" s="36"/>
      <c r="LES237" s="36"/>
      <c r="LET237" s="36"/>
      <c r="LEU237" s="36"/>
      <c r="LEV237" s="36"/>
      <c r="LEW237" s="36"/>
      <c r="LEX237" s="36"/>
      <c r="LEY237" s="36"/>
      <c r="LEZ237" s="36"/>
      <c r="LFA237" s="36"/>
      <c r="LFB237" s="36"/>
      <c r="LFC237" s="36"/>
      <c r="LFD237" s="36"/>
      <c r="LFE237" s="36"/>
      <c r="LFF237" s="36"/>
      <c r="LFG237" s="36"/>
      <c r="LFH237" s="36"/>
      <c r="LFI237" s="36"/>
      <c r="LFJ237" s="36"/>
      <c r="LFK237" s="36"/>
      <c r="LFL237" s="36"/>
      <c r="LFM237" s="36"/>
      <c r="LFN237" s="36"/>
      <c r="LFO237" s="36"/>
      <c r="LFP237" s="36"/>
      <c r="LFQ237" s="36"/>
      <c r="LFR237" s="36"/>
      <c r="LFS237" s="36"/>
      <c r="LFT237" s="36"/>
      <c r="LFU237" s="36"/>
      <c r="LFV237" s="36"/>
      <c r="LFW237" s="36"/>
      <c r="LFX237" s="36"/>
      <c r="LFY237" s="36"/>
      <c r="LFZ237" s="36"/>
      <c r="LGA237" s="36"/>
      <c r="LGB237" s="36"/>
      <c r="LGC237" s="36"/>
      <c r="LGD237" s="36"/>
      <c r="LGE237" s="36"/>
      <c r="LGF237" s="36"/>
      <c r="LGG237" s="36"/>
      <c r="LGH237" s="36"/>
      <c r="LGI237" s="36"/>
      <c r="LGJ237" s="36"/>
      <c r="LGK237" s="36"/>
      <c r="LGL237" s="36"/>
      <c r="LGM237" s="36"/>
      <c r="LGN237" s="36"/>
      <c r="LGO237" s="36"/>
      <c r="LGP237" s="36"/>
      <c r="LGQ237" s="36"/>
      <c r="LGR237" s="36"/>
      <c r="LGS237" s="36"/>
      <c r="LGT237" s="36"/>
      <c r="LGU237" s="36"/>
      <c r="LGV237" s="36"/>
      <c r="LGW237" s="36"/>
      <c r="LGX237" s="36"/>
      <c r="LGY237" s="36"/>
      <c r="LGZ237" s="36"/>
      <c r="LHA237" s="36"/>
      <c r="LHB237" s="36"/>
      <c r="LHC237" s="36"/>
      <c r="LHD237" s="36"/>
      <c r="LHE237" s="36"/>
      <c r="LHF237" s="36"/>
      <c r="LHG237" s="36"/>
      <c r="LHH237" s="36"/>
      <c r="LHI237" s="36"/>
      <c r="LHJ237" s="36"/>
      <c r="LHK237" s="36"/>
      <c r="LHL237" s="36"/>
      <c r="LHM237" s="36"/>
      <c r="LHN237" s="36"/>
      <c r="LHO237" s="36"/>
      <c r="LHP237" s="36"/>
      <c r="LHQ237" s="36"/>
      <c r="LHR237" s="36"/>
      <c r="LHS237" s="36"/>
      <c r="LHT237" s="36"/>
      <c r="LHU237" s="36"/>
      <c r="LHV237" s="36"/>
      <c r="LHW237" s="36"/>
      <c r="LHX237" s="36"/>
      <c r="LHY237" s="36"/>
      <c r="LHZ237" s="36"/>
      <c r="LIA237" s="36"/>
      <c r="LIB237" s="36"/>
      <c r="LIC237" s="36"/>
      <c r="LID237" s="36"/>
      <c r="LIE237" s="36"/>
      <c r="LIF237" s="36"/>
      <c r="LIG237" s="36"/>
      <c r="LIH237" s="36"/>
      <c r="LII237" s="36"/>
      <c r="LIJ237" s="36"/>
      <c r="LIK237" s="36"/>
      <c r="LIL237" s="36"/>
      <c r="LIM237" s="36"/>
      <c r="LIN237" s="36"/>
      <c r="LIO237" s="36"/>
      <c r="LIP237" s="36"/>
      <c r="LIQ237" s="36"/>
      <c r="LIR237" s="36"/>
      <c r="LIS237" s="36"/>
      <c r="LIT237" s="36"/>
      <c r="LIU237" s="36"/>
      <c r="LIV237" s="36"/>
      <c r="LIW237" s="36"/>
      <c r="LIX237" s="36"/>
      <c r="LIY237" s="36"/>
      <c r="LIZ237" s="36"/>
      <c r="LJA237" s="36"/>
      <c r="LJB237" s="36"/>
      <c r="LJC237" s="36"/>
      <c r="LJD237" s="36"/>
      <c r="LJE237" s="36"/>
      <c r="LJF237" s="36"/>
      <c r="LJG237" s="36"/>
      <c r="LJH237" s="36"/>
      <c r="LJI237" s="36"/>
      <c r="LJJ237" s="36"/>
      <c r="LJK237" s="36"/>
      <c r="LJL237" s="36"/>
      <c r="LJM237" s="36"/>
      <c r="LJN237" s="36"/>
      <c r="LJO237" s="36"/>
      <c r="LJP237" s="36"/>
      <c r="LJQ237" s="36"/>
      <c r="LJR237" s="36"/>
      <c r="LJS237" s="36"/>
      <c r="LJT237" s="36"/>
      <c r="LJU237" s="36"/>
      <c r="LJV237" s="36"/>
      <c r="LJW237" s="36"/>
      <c r="LJX237" s="36"/>
      <c r="LJY237" s="36"/>
      <c r="LJZ237" s="36"/>
      <c r="LKA237" s="36"/>
      <c r="LKB237" s="36"/>
      <c r="LKC237" s="36"/>
      <c r="LKD237" s="36"/>
      <c r="LKE237" s="36"/>
      <c r="LKF237" s="36"/>
      <c r="LKG237" s="36"/>
      <c r="LKH237" s="36"/>
      <c r="LKI237" s="36"/>
      <c r="LKJ237" s="36"/>
      <c r="LKK237" s="36"/>
      <c r="LKL237" s="36"/>
      <c r="LKM237" s="36"/>
      <c r="LKN237" s="36"/>
      <c r="LKO237" s="36"/>
      <c r="LKP237" s="36"/>
      <c r="LKQ237" s="36"/>
      <c r="LKR237" s="36"/>
      <c r="LKS237" s="36"/>
      <c r="LKT237" s="36"/>
      <c r="LKU237" s="36"/>
      <c r="LKV237" s="36"/>
      <c r="LKW237" s="36"/>
      <c r="LKX237" s="36"/>
      <c r="LKY237" s="36"/>
      <c r="LKZ237" s="36"/>
      <c r="LLA237" s="36"/>
      <c r="LLB237" s="36"/>
      <c r="LLC237" s="36"/>
      <c r="LLD237" s="36"/>
      <c r="LLE237" s="36"/>
      <c r="LLF237" s="36"/>
      <c r="LLG237" s="36"/>
      <c r="LLH237" s="36"/>
      <c r="LLI237" s="36"/>
      <c r="LLJ237" s="36"/>
      <c r="LLK237" s="36"/>
      <c r="LLL237" s="36"/>
      <c r="LLM237" s="36"/>
      <c r="LLN237" s="36"/>
      <c r="LLO237" s="36"/>
      <c r="LLP237" s="36"/>
      <c r="LLQ237" s="36"/>
      <c r="LLR237" s="36"/>
      <c r="LLS237" s="36"/>
      <c r="LLT237" s="36"/>
      <c r="LLU237" s="36"/>
      <c r="LLV237" s="36"/>
      <c r="LLW237" s="36"/>
      <c r="LLX237" s="36"/>
      <c r="LLY237" s="36"/>
      <c r="LLZ237" s="36"/>
      <c r="LMA237" s="36"/>
      <c r="LMB237" s="36"/>
      <c r="LMC237" s="36"/>
      <c r="LMD237" s="36"/>
      <c r="LME237" s="36"/>
      <c r="LMF237" s="36"/>
      <c r="LMG237" s="36"/>
      <c r="LMH237" s="36"/>
      <c r="LMI237" s="36"/>
      <c r="LMJ237" s="36"/>
      <c r="LMK237" s="36"/>
      <c r="LML237" s="36"/>
      <c r="LMM237" s="36"/>
      <c r="LMN237" s="36"/>
      <c r="LMO237" s="36"/>
      <c r="LMP237" s="36"/>
      <c r="LMQ237" s="36"/>
      <c r="LMR237" s="36"/>
      <c r="LMS237" s="36"/>
      <c r="LMT237" s="36"/>
      <c r="LMU237" s="36"/>
      <c r="LMV237" s="36"/>
      <c r="LMW237" s="36"/>
      <c r="LMX237" s="36"/>
      <c r="LMY237" s="36"/>
      <c r="LMZ237" s="36"/>
      <c r="LNA237" s="36"/>
      <c r="LNB237" s="36"/>
      <c r="LNC237" s="36"/>
      <c r="LND237" s="36"/>
      <c r="LNE237" s="36"/>
      <c r="LNF237" s="36"/>
      <c r="LNG237" s="36"/>
      <c r="LNH237" s="36"/>
      <c r="LNI237" s="36"/>
      <c r="LNJ237" s="36"/>
      <c r="LNK237" s="36"/>
      <c r="LNL237" s="36"/>
      <c r="LNM237" s="36"/>
      <c r="LNN237" s="36"/>
      <c r="LNO237" s="36"/>
      <c r="LNP237" s="36"/>
      <c r="LNQ237" s="36"/>
      <c r="LNR237" s="36"/>
      <c r="LNS237" s="36"/>
      <c r="LNT237" s="36"/>
      <c r="LNU237" s="36"/>
      <c r="LNV237" s="36"/>
      <c r="LNW237" s="36"/>
      <c r="LNX237" s="36"/>
      <c r="LNY237" s="36"/>
      <c r="LNZ237" s="36"/>
      <c r="LOA237" s="36"/>
      <c r="LOB237" s="36"/>
      <c r="LOC237" s="36"/>
      <c r="LOD237" s="36"/>
      <c r="LOE237" s="36"/>
      <c r="LOF237" s="36"/>
      <c r="LOG237" s="36"/>
      <c r="LOH237" s="36"/>
      <c r="LOI237" s="36"/>
      <c r="LOJ237" s="36"/>
      <c r="LOK237" s="36"/>
      <c r="LOL237" s="36"/>
      <c r="LOM237" s="36"/>
      <c r="LON237" s="36"/>
      <c r="LOO237" s="36"/>
      <c r="LOP237" s="36"/>
      <c r="LOQ237" s="36"/>
      <c r="LOR237" s="36"/>
      <c r="LOS237" s="36"/>
      <c r="LOT237" s="36"/>
      <c r="LOU237" s="36"/>
      <c r="LOV237" s="36"/>
      <c r="LOW237" s="36"/>
      <c r="LOX237" s="36"/>
      <c r="LOY237" s="36"/>
      <c r="LOZ237" s="36"/>
      <c r="LPA237" s="36"/>
      <c r="LPB237" s="36"/>
      <c r="LPC237" s="36"/>
      <c r="LPD237" s="36"/>
      <c r="LPE237" s="36"/>
      <c r="LPF237" s="36"/>
      <c r="LPG237" s="36"/>
      <c r="LPH237" s="36"/>
      <c r="LPI237" s="36"/>
      <c r="LPJ237" s="36"/>
      <c r="LPK237" s="36"/>
      <c r="LPL237" s="36"/>
      <c r="LPM237" s="36"/>
      <c r="LPN237" s="36"/>
      <c r="LPO237" s="36"/>
      <c r="LPP237" s="36"/>
      <c r="LPQ237" s="36"/>
      <c r="LPR237" s="36"/>
      <c r="LPS237" s="36"/>
      <c r="LPT237" s="36"/>
      <c r="LPU237" s="36"/>
      <c r="LPV237" s="36"/>
      <c r="LPW237" s="36"/>
      <c r="LPX237" s="36"/>
      <c r="LPY237" s="36"/>
      <c r="LPZ237" s="36"/>
      <c r="LQA237" s="36"/>
      <c r="LQB237" s="36"/>
      <c r="LQC237" s="36"/>
      <c r="LQD237" s="36"/>
      <c r="LQE237" s="36"/>
      <c r="LQF237" s="36"/>
      <c r="LQG237" s="36"/>
      <c r="LQH237" s="36"/>
      <c r="LQI237" s="36"/>
      <c r="LQJ237" s="36"/>
      <c r="LQK237" s="36"/>
      <c r="LQL237" s="36"/>
      <c r="LQM237" s="36"/>
      <c r="LQN237" s="36"/>
      <c r="LQO237" s="36"/>
      <c r="LQP237" s="36"/>
      <c r="LQQ237" s="36"/>
      <c r="LQR237" s="36"/>
      <c r="LQS237" s="36"/>
      <c r="LQT237" s="36"/>
      <c r="LQU237" s="36"/>
      <c r="LQV237" s="36"/>
      <c r="LQW237" s="36"/>
      <c r="LQX237" s="36"/>
      <c r="LQY237" s="36"/>
      <c r="LQZ237" s="36"/>
      <c r="LRA237" s="36"/>
      <c r="LRB237" s="36"/>
      <c r="LRC237" s="36"/>
      <c r="LRD237" s="36"/>
      <c r="LRE237" s="36"/>
      <c r="LRF237" s="36"/>
      <c r="LRG237" s="36"/>
      <c r="LRH237" s="36"/>
      <c r="LRI237" s="36"/>
      <c r="LRJ237" s="36"/>
      <c r="LRK237" s="36"/>
      <c r="LRL237" s="36"/>
      <c r="LRM237" s="36"/>
      <c r="LRN237" s="36"/>
      <c r="LRO237" s="36"/>
      <c r="LRP237" s="36"/>
      <c r="LRQ237" s="36"/>
      <c r="LRR237" s="36"/>
      <c r="LRS237" s="36"/>
      <c r="LRT237" s="36"/>
      <c r="LRU237" s="36"/>
      <c r="LRV237" s="36"/>
      <c r="LRW237" s="36"/>
      <c r="LRX237" s="36"/>
      <c r="LRY237" s="36"/>
      <c r="LRZ237" s="36"/>
      <c r="LSA237" s="36"/>
      <c r="LSB237" s="36"/>
      <c r="LSC237" s="36"/>
      <c r="LSD237" s="36"/>
      <c r="LSE237" s="36"/>
      <c r="LSF237" s="36"/>
      <c r="LSG237" s="36"/>
      <c r="LSH237" s="36"/>
      <c r="LSI237" s="36"/>
      <c r="LSJ237" s="36"/>
      <c r="LSK237" s="36"/>
      <c r="LSL237" s="36"/>
      <c r="LSM237" s="36"/>
      <c r="LSN237" s="36"/>
      <c r="LSO237" s="36"/>
      <c r="LSP237" s="36"/>
      <c r="LSQ237" s="36"/>
      <c r="LSR237" s="36"/>
      <c r="LSS237" s="36"/>
      <c r="LST237" s="36"/>
      <c r="LSU237" s="36"/>
      <c r="LSV237" s="36"/>
      <c r="LSW237" s="36"/>
      <c r="LSX237" s="36"/>
      <c r="LSY237" s="36"/>
      <c r="LSZ237" s="36"/>
      <c r="LTA237" s="36"/>
      <c r="LTB237" s="36"/>
      <c r="LTC237" s="36"/>
      <c r="LTD237" s="36"/>
      <c r="LTE237" s="36"/>
      <c r="LTF237" s="36"/>
      <c r="LTG237" s="36"/>
      <c r="LTH237" s="36"/>
      <c r="LTI237" s="36"/>
      <c r="LTJ237" s="36"/>
      <c r="LTK237" s="36"/>
      <c r="LTL237" s="36"/>
      <c r="LTM237" s="36"/>
      <c r="LTN237" s="36"/>
      <c r="LTO237" s="36"/>
      <c r="LTP237" s="36"/>
      <c r="LTQ237" s="36"/>
      <c r="LTR237" s="36"/>
      <c r="LTS237" s="36"/>
      <c r="LTT237" s="36"/>
      <c r="LTU237" s="36"/>
      <c r="LTV237" s="36"/>
      <c r="LTW237" s="36"/>
      <c r="LTX237" s="36"/>
      <c r="LTY237" s="36"/>
      <c r="LTZ237" s="36"/>
      <c r="LUA237" s="36"/>
      <c r="LUB237" s="36"/>
      <c r="LUC237" s="36"/>
      <c r="LUD237" s="36"/>
      <c r="LUE237" s="36"/>
      <c r="LUF237" s="36"/>
      <c r="LUG237" s="36"/>
      <c r="LUH237" s="36"/>
      <c r="LUI237" s="36"/>
      <c r="LUJ237" s="36"/>
      <c r="LUK237" s="36"/>
      <c r="LUL237" s="36"/>
      <c r="LUM237" s="36"/>
      <c r="LUN237" s="36"/>
      <c r="LUO237" s="36"/>
      <c r="LUP237" s="36"/>
      <c r="LUQ237" s="36"/>
      <c r="LUR237" s="36"/>
      <c r="LUS237" s="36"/>
      <c r="LUT237" s="36"/>
      <c r="LUU237" s="36"/>
      <c r="LUV237" s="36"/>
      <c r="LUW237" s="36"/>
      <c r="LUX237" s="36"/>
      <c r="LUY237" s="36"/>
      <c r="LUZ237" s="36"/>
      <c r="LVA237" s="36"/>
      <c r="LVB237" s="36"/>
      <c r="LVC237" s="36"/>
      <c r="LVD237" s="36"/>
      <c r="LVE237" s="36"/>
      <c r="LVF237" s="36"/>
      <c r="LVG237" s="36"/>
      <c r="LVH237" s="36"/>
      <c r="LVI237" s="36"/>
      <c r="LVJ237" s="36"/>
      <c r="LVK237" s="36"/>
      <c r="LVL237" s="36"/>
      <c r="LVM237" s="36"/>
      <c r="LVN237" s="36"/>
      <c r="LVO237" s="36"/>
      <c r="LVP237" s="36"/>
      <c r="LVQ237" s="36"/>
      <c r="LVR237" s="36"/>
      <c r="LVS237" s="36"/>
      <c r="LVT237" s="36"/>
      <c r="LVU237" s="36"/>
      <c r="LVV237" s="36"/>
      <c r="LVW237" s="36"/>
      <c r="LVX237" s="36"/>
      <c r="LVY237" s="36"/>
      <c r="LVZ237" s="36"/>
      <c r="LWA237" s="36"/>
      <c r="LWB237" s="36"/>
      <c r="LWC237" s="36"/>
      <c r="LWD237" s="36"/>
      <c r="LWE237" s="36"/>
      <c r="LWF237" s="36"/>
      <c r="LWG237" s="36"/>
      <c r="LWH237" s="36"/>
      <c r="LWI237" s="36"/>
      <c r="LWJ237" s="36"/>
      <c r="LWK237" s="36"/>
      <c r="LWL237" s="36"/>
      <c r="LWM237" s="36"/>
      <c r="LWN237" s="36"/>
      <c r="LWO237" s="36"/>
      <c r="LWP237" s="36"/>
      <c r="LWQ237" s="36"/>
      <c r="LWR237" s="36"/>
      <c r="LWS237" s="36"/>
      <c r="LWT237" s="36"/>
      <c r="LWU237" s="36"/>
      <c r="LWV237" s="36"/>
      <c r="LWW237" s="36"/>
      <c r="LWX237" s="36"/>
      <c r="LWY237" s="36"/>
      <c r="LWZ237" s="36"/>
      <c r="LXA237" s="36"/>
      <c r="LXB237" s="36"/>
      <c r="LXC237" s="36"/>
      <c r="LXD237" s="36"/>
      <c r="LXE237" s="36"/>
      <c r="LXF237" s="36"/>
      <c r="LXG237" s="36"/>
      <c r="LXH237" s="36"/>
      <c r="LXI237" s="36"/>
      <c r="LXJ237" s="36"/>
      <c r="LXK237" s="36"/>
      <c r="LXL237" s="36"/>
      <c r="LXM237" s="36"/>
      <c r="LXN237" s="36"/>
      <c r="LXO237" s="36"/>
      <c r="LXP237" s="36"/>
      <c r="LXQ237" s="36"/>
      <c r="LXR237" s="36"/>
      <c r="LXS237" s="36"/>
      <c r="LXT237" s="36"/>
      <c r="LXU237" s="36"/>
      <c r="LXV237" s="36"/>
      <c r="LXW237" s="36"/>
      <c r="LXX237" s="36"/>
      <c r="LXY237" s="36"/>
      <c r="LXZ237" s="36"/>
      <c r="LYA237" s="36"/>
      <c r="LYB237" s="36"/>
      <c r="LYC237" s="36"/>
      <c r="LYD237" s="36"/>
      <c r="LYE237" s="36"/>
      <c r="LYF237" s="36"/>
      <c r="LYG237" s="36"/>
      <c r="LYH237" s="36"/>
      <c r="LYI237" s="36"/>
      <c r="LYJ237" s="36"/>
      <c r="LYK237" s="36"/>
      <c r="LYL237" s="36"/>
      <c r="LYM237" s="36"/>
      <c r="LYN237" s="36"/>
      <c r="LYO237" s="36"/>
      <c r="LYP237" s="36"/>
      <c r="LYQ237" s="36"/>
      <c r="LYR237" s="36"/>
      <c r="LYS237" s="36"/>
      <c r="LYT237" s="36"/>
      <c r="LYU237" s="36"/>
      <c r="LYV237" s="36"/>
      <c r="LYW237" s="36"/>
      <c r="LYX237" s="36"/>
      <c r="LYY237" s="36"/>
      <c r="LYZ237" s="36"/>
      <c r="LZA237" s="36"/>
      <c r="LZB237" s="36"/>
      <c r="LZC237" s="36"/>
      <c r="LZD237" s="36"/>
      <c r="LZE237" s="36"/>
      <c r="LZF237" s="36"/>
      <c r="LZG237" s="36"/>
      <c r="LZH237" s="36"/>
      <c r="LZI237" s="36"/>
      <c r="LZJ237" s="36"/>
      <c r="LZK237" s="36"/>
      <c r="LZL237" s="36"/>
      <c r="LZM237" s="36"/>
      <c r="LZN237" s="36"/>
      <c r="LZO237" s="36"/>
      <c r="LZP237" s="36"/>
      <c r="LZQ237" s="36"/>
      <c r="LZR237" s="36"/>
      <c r="LZS237" s="36"/>
      <c r="LZT237" s="36"/>
      <c r="LZU237" s="36"/>
      <c r="LZV237" s="36"/>
      <c r="LZW237" s="36"/>
      <c r="LZX237" s="36"/>
      <c r="LZY237" s="36"/>
      <c r="LZZ237" s="36"/>
      <c r="MAA237" s="36"/>
      <c r="MAB237" s="36"/>
      <c r="MAC237" s="36"/>
      <c r="MAD237" s="36"/>
      <c r="MAE237" s="36"/>
      <c r="MAF237" s="36"/>
      <c r="MAG237" s="36"/>
      <c r="MAH237" s="36"/>
      <c r="MAI237" s="36"/>
      <c r="MAJ237" s="36"/>
      <c r="MAK237" s="36"/>
      <c r="MAL237" s="36"/>
      <c r="MAM237" s="36"/>
      <c r="MAN237" s="36"/>
      <c r="MAO237" s="36"/>
      <c r="MAP237" s="36"/>
      <c r="MAQ237" s="36"/>
      <c r="MAR237" s="36"/>
      <c r="MAS237" s="36"/>
      <c r="MAT237" s="36"/>
      <c r="MAU237" s="36"/>
      <c r="MAV237" s="36"/>
      <c r="MAW237" s="36"/>
      <c r="MAX237" s="36"/>
      <c r="MAY237" s="36"/>
      <c r="MAZ237" s="36"/>
      <c r="MBA237" s="36"/>
      <c r="MBB237" s="36"/>
      <c r="MBC237" s="36"/>
      <c r="MBD237" s="36"/>
      <c r="MBE237" s="36"/>
      <c r="MBF237" s="36"/>
      <c r="MBG237" s="36"/>
      <c r="MBH237" s="36"/>
      <c r="MBI237" s="36"/>
      <c r="MBJ237" s="36"/>
      <c r="MBK237" s="36"/>
      <c r="MBL237" s="36"/>
      <c r="MBM237" s="36"/>
      <c r="MBN237" s="36"/>
      <c r="MBO237" s="36"/>
      <c r="MBP237" s="36"/>
      <c r="MBQ237" s="36"/>
      <c r="MBR237" s="36"/>
      <c r="MBS237" s="36"/>
      <c r="MBT237" s="36"/>
      <c r="MBU237" s="36"/>
      <c r="MBV237" s="36"/>
      <c r="MBW237" s="36"/>
      <c r="MBX237" s="36"/>
      <c r="MBY237" s="36"/>
      <c r="MBZ237" s="36"/>
      <c r="MCA237" s="36"/>
      <c r="MCB237" s="36"/>
      <c r="MCC237" s="36"/>
      <c r="MCD237" s="36"/>
      <c r="MCE237" s="36"/>
      <c r="MCF237" s="36"/>
      <c r="MCG237" s="36"/>
      <c r="MCH237" s="36"/>
      <c r="MCI237" s="36"/>
      <c r="MCJ237" s="36"/>
      <c r="MCK237" s="36"/>
      <c r="MCL237" s="36"/>
      <c r="MCM237" s="36"/>
      <c r="MCN237" s="36"/>
      <c r="MCO237" s="36"/>
      <c r="MCP237" s="36"/>
      <c r="MCQ237" s="36"/>
      <c r="MCR237" s="36"/>
      <c r="MCS237" s="36"/>
      <c r="MCT237" s="36"/>
      <c r="MCU237" s="36"/>
      <c r="MCV237" s="36"/>
      <c r="MCW237" s="36"/>
      <c r="MCX237" s="36"/>
      <c r="MCY237" s="36"/>
      <c r="MCZ237" s="36"/>
      <c r="MDA237" s="36"/>
      <c r="MDB237" s="36"/>
      <c r="MDC237" s="36"/>
      <c r="MDD237" s="36"/>
      <c r="MDE237" s="36"/>
      <c r="MDF237" s="36"/>
      <c r="MDG237" s="36"/>
      <c r="MDH237" s="36"/>
      <c r="MDI237" s="36"/>
      <c r="MDJ237" s="36"/>
      <c r="MDK237" s="36"/>
      <c r="MDL237" s="36"/>
      <c r="MDM237" s="36"/>
      <c r="MDN237" s="36"/>
      <c r="MDO237" s="36"/>
      <c r="MDP237" s="36"/>
      <c r="MDQ237" s="36"/>
      <c r="MDR237" s="36"/>
      <c r="MDS237" s="36"/>
      <c r="MDT237" s="36"/>
      <c r="MDU237" s="36"/>
      <c r="MDV237" s="36"/>
      <c r="MDW237" s="36"/>
      <c r="MDX237" s="36"/>
      <c r="MDY237" s="36"/>
      <c r="MDZ237" s="36"/>
      <c r="MEA237" s="36"/>
      <c r="MEB237" s="36"/>
      <c r="MEC237" s="36"/>
      <c r="MED237" s="36"/>
      <c r="MEE237" s="36"/>
      <c r="MEF237" s="36"/>
      <c r="MEG237" s="36"/>
      <c r="MEH237" s="36"/>
      <c r="MEI237" s="36"/>
      <c r="MEJ237" s="36"/>
      <c r="MEK237" s="36"/>
      <c r="MEL237" s="36"/>
      <c r="MEM237" s="36"/>
      <c r="MEN237" s="36"/>
      <c r="MEO237" s="36"/>
      <c r="MEP237" s="36"/>
      <c r="MEQ237" s="36"/>
      <c r="MER237" s="36"/>
      <c r="MES237" s="36"/>
      <c r="MET237" s="36"/>
      <c r="MEU237" s="36"/>
      <c r="MEV237" s="36"/>
      <c r="MEW237" s="36"/>
      <c r="MEX237" s="36"/>
      <c r="MEY237" s="36"/>
      <c r="MEZ237" s="36"/>
      <c r="MFA237" s="36"/>
      <c r="MFB237" s="36"/>
      <c r="MFC237" s="36"/>
      <c r="MFD237" s="36"/>
      <c r="MFE237" s="36"/>
      <c r="MFF237" s="36"/>
      <c r="MFG237" s="36"/>
      <c r="MFH237" s="36"/>
      <c r="MFI237" s="36"/>
      <c r="MFJ237" s="36"/>
      <c r="MFK237" s="36"/>
      <c r="MFL237" s="36"/>
      <c r="MFM237" s="36"/>
      <c r="MFN237" s="36"/>
      <c r="MFO237" s="36"/>
      <c r="MFP237" s="36"/>
      <c r="MFQ237" s="36"/>
      <c r="MFR237" s="36"/>
      <c r="MFS237" s="36"/>
      <c r="MFT237" s="36"/>
      <c r="MFU237" s="36"/>
      <c r="MFV237" s="36"/>
      <c r="MFW237" s="36"/>
      <c r="MFX237" s="36"/>
      <c r="MFY237" s="36"/>
      <c r="MFZ237" s="36"/>
      <c r="MGA237" s="36"/>
      <c r="MGB237" s="36"/>
      <c r="MGC237" s="36"/>
      <c r="MGD237" s="36"/>
      <c r="MGE237" s="36"/>
      <c r="MGF237" s="36"/>
      <c r="MGG237" s="36"/>
      <c r="MGH237" s="36"/>
      <c r="MGI237" s="36"/>
      <c r="MGJ237" s="36"/>
      <c r="MGK237" s="36"/>
      <c r="MGL237" s="36"/>
      <c r="MGM237" s="36"/>
      <c r="MGN237" s="36"/>
      <c r="MGO237" s="36"/>
      <c r="MGP237" s="36"/>
      <c r="MGQ237" s="36"/>
      <c r="MGR237" s="36"/>
      <c r="MGS237" s="36"/>
      <c r="MGT237" s="36"/>
      <c r="MGU237" s="36"/>
      <c r="MGV237" s="36"/>
      <c r="MGW237" s="36"/>
      <c r="MGX237" s="36"/>
      <c r="MGY237" s="36"/>
      <c r="MGZ237" s="36"/>
      <c r="MHA237" s="36"/>
      <c r="MHB237" s="36"/>
      <c r="MHC237" s="36"/>
      <c r="MHD237" s="36"/>
      <c r="MHE237" s="36"/>
      <c r="MHF237" s="36"/>
      <c r="MHG237" s="36"/>
      <c r="MHH237" s="36"/>
      <c r="MHI237" s="36"/>
      <c r="MHJ237" s="36"/>
      <c r="MHK237" s="36"/>
      <c r="MHL237" s="36"/>
      <c r="MHM237" s="36"/>
      <c r="MHN237" s="36"/>
      <c r="MHO237" s="36"/>
      <c r="MHP237" s="36"/>
      <c r="MHQ237" s="36"/>
      <c r="MHR237" s="36"/>
      <c r="MHS237" s="36"/>
      <c r="MHT237" s="36"/>
      <c r="MHU237" s="36"/>
      <c r="MHV237" s="36"/>
      <c r="MHW237" s="36"/>
      <c r="MHX237" s="36"/>
      <c r="MHY237" s="36"/>
      <c r="MHZ237" s="36"/>
      <c r="MIA237" s="36"/>
      <c r="MIB237" s="36"/>
      <c r="MIC237" s="36"/>
      <c r="MID237" s="36"/>
      <c r="MIE237" s="36"/>
      <c r="MIF237" s="36"/>
      <c r="MIG237" s="36"/>
      <c r="MIH237" s="36"/>
      <c r="MII237" s="36"/>
      <c r="MIJ237" s="36"/>
      <c r="MIK237" s="36"/>
      <c r="MIL237" s="36"/>
      <c r="MIM237" s="36"/>
      <c r="MIN237" s="36"/>
      <c r="MIO237" s="36"/>
      <c r="MIP237" s="36"/>
      <c r="MIQ237" s="36"/>
      <c r="MIR237" s="36"/>
      <c r="MIS237" s="36"/>
      <c r="MIT237" s="36"/>
      <c r="MIU237" s="36"/>
      <c r="MIV237" s="36"/>
      <c r="MIW237" s="36"/>
      <c r="MIX237" s="36"/>
      <c r="MIY237" s="36"/>
      <c r="MIZ237" s="36"/>
      <c r="MJA237" s="36"/>
      <c r="MJB237" s="36"/>
      <c r="MJC237" s="36"/>
      <c r="MJD237" s="36"/>
      <c r="MJE237" s="36"/>
      <c r="MJF237" s="36"/>
      <c r="MJG237" s="36"/>
      <c r="MJH237" s="36"/>
      <c r="MJI237" s="36"/>
      <c r="MJJ237" s="36"/>
      <c r="MJK237" s="36"/>
      <c r="MJL237" s="36"/>
      <c r="MJM237" s="36"/>
      <c r="MJN237" s="36"/>
      <c r="MJO237" s="36"/>
      <c r="MJP237" s="36"/>
      <c r="MJQ237" s="36"/>
      <c r="MJR237" s="36"/>
      <c r="MJS237" s="36"/>
      <c r="MJT237" s="36"/>
      <c r="MJU237" s="36"/>
      <c r="MJV237" s="36"/>
      <c r="MJW237" s="36"/>
      <c r="MJX237" s="36"/>
      <c r="MJY237" s="36"/>
      <c r="MJZ237" s="36"/>
      <c r="MKA237" s="36"/>
      <c r="MKB237" s="36"/>
      <c r="MKC237" s="36"/>
      <c r="MKD237" s="36"/>
      <c r="MKE237" s="36"/>
      <c r="MKF237" s="36"/>
      <c r="MKG237" s="36"/>
      <c r="MKH237" s="36"/>
      <c r="MKI237" s="36"/>
      <c r="MKJ237" s="36"/>
      <c r="MKK237" s="36"/>
      <c r="MKL237" s="36"/>
      <c r="MKM237" s="36"/>
      <c r="MKN237" s="36"/>
      <c r="MKO237" s="36"/>
      <c r="MKP237" s="36"/>
      <c r="MKQ237" s="36"/>
      <c r="MKR237" s="36"/>
      <c r="MKS237" s="36"/>
      <c r="MKT237" s="36"/>
      <c r="MKU237" s="36"/>
      <c r="MKV237" s="36"/>
      <c r="MKW237" s="36"/>
      <c r="MKX237" s="36"/>
      <c r="MKY237" s="36"/>
      <c r="MKZ237" s="36"/>
      <c r="MLA237" s="36"/>
      <c r="MLB237" s="36"/>
      <c r="MLC237" s="36"/>
      <c r="MLD237" s="36"/>
      <c r="MLE237" s="36"/>
      <c r="MLF237" s="36"/>
      <c r="MLG237" s="36"/>
      <c r="MLH237" s="36"/>
      <c r="MLI237" s="36"/>
      <c r="MLJ237" s="36"/>
      <c r="MLK237" s="36"/>
      <c r="MLL237" s="36"/>
      <c r="MLM237" s="36"/>
      <c r="MLN237" s="36"/>
      <c r="MLO237" s="36"/>
      <c r="MLP237" s="36"/>
      <c r="MLQ237" s="36"/>
      <c r="MLR237" s="36"/>
      <c r="MLS237" s="36"/>
      <c r="MLT237" s="36"/>
      <c r="MLU237" s="36"/>
      <c r="MLV237" s="36"/>
      <c r="MLW237" s="36"/>
      <c r="MLX237" s="36"/>
      <c r="MLY237" s="36"/>
      <c r="MLZ237" s="36"/>
      <c r="MMA237" s="36"/>
      <c r="MMB237" s="36"/>
      <c r="MMC237" s="36"/>
      <c r="MMD237" s="36"/>
      <c r="MME237" s="36"/>
      <c r="MMF237" s="36"/>
      <c r="MMG237" s="36"/>
      <c r="MMH237" s="36"/>
      <c r="MMI237" s="36"/>
      <c r="MMJ237" s="36"/>
      <c r="MMK237" s="36"/>
      <c r="MML237" s="36"/>
      <c r="MMM237" s="36"/>
      <c r="MMN237" s="36"/>
      <c r="MMO237" s="36"/>
      <c r="MMP237" s="36"/>
      <c r="MMQ237" s="36"/>
      <c r="MMR237" s="36"/>
      <c r="MMS237" s="36"/>
      <c r="MMT237" s="36"/>
      <c r="MMU237" s="36"/>
      <c r="MMV237" s="36"/>
      <c r="MMW237" s="36"/>
      <c r="MMX237" s="36"/>
      <c r="MMY237" s="36"/>
      <c r="MMZ237" s="36"/>
      <c r="MNA237" s="36"/>
      <c r="MNB237" s="36"/>
      <c r="MNC237" s="36"/>
      <c r="MND237" s="36"/>
      <c r="MNE237" s="36"/>
      <c r="MNF237" s="36"/>
      <c r="MNG237" s="36"/>
      <c r="MNH237" s="36"/>
      <c r="MNI237" s="36"/>
      <c r="MNJ237" s="36"/>
      <c r="MNK237" s="36"/>
      <c r="MNL237" s="36"/>
      <c r="MNM237" s="36"/>
      <c r="MNN237" s="36"/>
      <c r="MNO237" s="36"/>
      <c r="MNP237" s="36"/>
      <c r="MNQ237" s="36"/>
      <c r="MNR237" s="36"/>
      <c r="MNS237" s="36"/>
      <c r="MNT237" s="36"/>
      <c r="MNU237" s="36"/>
      <c r="MNV237" s="36"/>
      <c r="MNW237" s="36"/>
      <c r="MNX237" s="36"/>
      <c r="MNY237" s="36"/>
      <c r="MNZ237" s="36"/>
      <c r="MOA237" s="36"/>
      <c r="MOB237" s="36"/>
      <c r="MOC237" s="36"/>
      <c r="MOD237" s="36"/>
      <c r="MOE237" s="36"/>
      <c r="MOF237" s="36"/>
      <c r="MOG237" s="36"/>
      <c r="MOH237" s="36"/>
      <c r="MOI237" s="36"/>
      <c r="MOJ237" s="36"/>
      <c r="MOK237" s="36"/>
      <c r="MOL237" s="36"/>
      <c r="MOM237" s="36"/>
      <c r="MON237" s="36"/>
      <c r="MOO237" s="36"/>
      <c r="MOP237" s="36"/>
      <c r="MOQ237" s="36"/>
      <c r="MOR237" s="36"/>
      <c r="MOS237" s="36"/>
      <c r="MOT237" s="36"/>
      <c r="MOU237" s="36"/>
      <c r="MOV237" s="36"/>
      <c r="MOW237" s="36"/>
      <c r="MOX237" s="36"/>
      <c r="MOY237" s="36"/>
      <c r="MOZ237" s="36"/>
      <c r="MPA237" s="36"/>
      <c r="MPB237" s="36"/>
      <c r="MPC237" s="36"/>
      <c r="MPD237" s="36"/>
      <c r="MPE237" s="36"/>
      <c r="MPF237" s="36"/>
      <c r="MPG237" s="36"/>
      <c r="MPH237" s="36"/>
      <c r="MPI237" s="36"/>
      <c r="MPJ237" s="36"/>
      <c r="MPK237" s="36"/>
      <c r="MPL237" s="36"/>
      <c r="MPM237" s="36"/>
      <c r="MPN237" s="36"/>
      <c r="MPO237" s="36"/>
      <c r="MPP237" s="36"/>
      <c r="MPQ237" s="36"/>
      <c r="MPR237" s="36"/>
      <c r="MPS237" s="36"/>
      <c r="MPT237" s="36"/>
      <c r="MPU237" s="36"/>
      <c r="MPV237" s="36"/>
      <c r="MPW237" s="36"/>
      <c r="MPX237" s="36"/>
      <c r="MPY237" s="36"/>
      <c r="MPZ237" s="36"/>
      <c r="MQA237" s="36"/>
      <c r="MQB237" s="36"/>
      <c r="MQC237" s="36"/>
      <c r="MQD237" s="36"/>
      <c r="MQE237" s="36"/>
      <c r="MQF237" s="36"/>
      <c r="MQG237" s="36"/>
      <c r="MQH237" s="36"/>
      <c r="MQI237" s="36"/>
      <c r="MQJ237" s="36"/>
      <c r="MQK237" s="36"/>
      <c r="MQL237" s="36"/>
      <c r="MQM237" s="36"/>
      <c r="MQN237" s="36"/>
      <c r="MQO237" s="36"/>
      <c r="MQP237" s="36"/>
      <c r="MQQ237" s="36"/>
      <c r="MQR237" s="36"/>
      <c r="MQS237" s="36"/>
      <c r="MQT237" s="36"/>
      <c r="MQU237" s="36"/>
      <c r="MQV237" s="36"/>
      <c r="MQW237" s="36"/>
      <c r="MQX237" s="36"/>
      <c r="MQY237" s="36"/>
      <c r="MQZ237" s="36"/>
      <c r="MRA237" s="36"/>
      <c r="MRB237" s="36"/>
      <c r="MRC237" s="36"/>
      <c r="MRD237" s="36"/>
      <c r="MRE237" s="36"/>
      <c r="MRF237" s="36"/>
      <c r="MRG237" s="36"/>
      <c r="MRH237" s="36"/>
      <c r="MRI237" s="36"/>
      <c r="MRJ237" s="36"/>
      <c r="MRK237" s="36"/>
      <c r="MRL237" s="36"/>
      <c r="MRM237" s="36"/>
      <c r="MRN237" s="36"/>
      <c r="MRO237" s="36"/>
      <c r="MRP237" s="36"/>
      <c r="MRQ237" s="36"/>
      <c r="MRR237" s="36"/>
      <c r="MRS237" s="36"/>
      <c r="MRT237" s="36"/>
      <c r="MRU237" s="36"/>
      <c r="MRV237" s="36"/>
      <c r="MRW237" s="36"/>
      <c r="MRX237" s="36"/>
      <c r="MRY237" s="36"/>
      <c r="MRZ237" s="36"/>
      <c r="MSA237" s="36"/>
      <c r="MSB237" s="36"/>
      <c r="MSC237" s="36"/>
      <c r="MSD237" s="36"/>
      <c r="MSE237" s="36"/>
      <c r="MSF237" s="36"/>
      <c r="MSG237" s="36"/>
      <c r="MSH237" s="36"/>
      <c r="MSI237" s="36"/>
      <c r="MSJ237" s="36"/>
      <c r="MSK237" s="36"/>
      <c r="MSL237" s="36"/>
      <c r="MSM237" s="36"/>
      <c r="MSN237" s="36"/>
      <c r="MSO237" s="36"/>
      <c r="MSP237" s="36"/>
      <c r="MSQ237" s="36"/>
      <c r="MSR237" s="36"/>
      <c r="MSS237" s="36"/>
      <c r="MST237" s="36"/>
      <c r="MSU237" s="36"/>
      <c r="MSV237" s="36"/>
      <c r="MSW237" s="36"/>
      <c r="MSX237" s="36"/>
      <c r="MSY237" s="36"/>
      <c r="MSZ237" s="36"/>
      <c r="MTA237" s="36"/>
      <c r="MTB237" s="36"/>
      <c r="MTC237" s="36"/>
      <c r="MTD237" s="36"/>
      <c r="MTE237" s="36"/>
      <c r="MTF237" s="36"/>
      <c r="MTG237" s="36"/>
      <c r="MTH237" s="36"/>
      <c r="MTI237" s="36"/>
      <c r="MTJ237" s="36"/>
      <c r="MTK237" s="36"/>
      <c r="MTL237" s="36"/>
      <c r="MTM237" s="36"/>
      <c r="MTN237" s="36"/>
      <c r="MTO237" s="36"/>
      <c r="MTP237" s="36"/>
      <c r="MTQ237" s="36"/>
      <c r="MTR237" s="36"/>
      <c r="MTS237" s="36"/>
      <c r="MTT237" s="36"/>
      <c r="MTU237" s="36"/>
      <c r="MTV237" s="36"/>
      <c r="MTW237" s="36"/>
      <c r="MTX237" s="36"/>
      <c r="MTY237" s="36"/>
      <c r="MTZ237" s="36"/>
      <c r="MUA237" s="36"/>
      <c r="MUB237" s="36"/>
      <c r="MUC237" s="36"/>
      <c r="MUD237" s="36"/>
      <c r="MUE237" s="36"/>
      <c r="MUF237" s="36"/>
      <c r="MUG237" s="36"/>
      <c r="MUH237" s="36"/>
      <c r="MUI237" s="36"/>
      <c r="MUJ237" s="36"/>
      <c r="MUK237" s="36"/>
      <c r="MUL237" s="36"/>
      <c r="MUM237" s="36"/>
      <c r="MUN237" s="36"/>
      <c r="MUO237" s="36"/>
      <c r="MUP237" s="36"/>
      <c r="MUQ237" s="36"/>
      <c r="MUR237" s="36"/>
      <c r="MUS237" s="36"/>
      <c r="MUT237" s="36"/>
      <c r="MUU237" s="36"/>
      <c r="MUV237" s="36"/>
      <c r="MUW237" s="36"/>
      <c r="MUX237" s="36"/>
      <c r="MUY237" s="36"/>
      <c r="MUZ237" s="36"/>
      <c r="MVA237" s="36"/>
      <c r="MVB237" s="36"/>
      <c r="MVC237" s="36"/>
      <c r="MVD237" s="36"/>
      <c r="MVE237" s="36"/>
      <c r="MVF237" s="36"/>
      <c r="MVG237" s="36"/>
      <c r="MVH237" s="36"/>
      <c r="MVI237" s="36"/>
      <c r="MVJ237" s="36"/>
      <c r="MVK237" s="36"/>
      <c r="MVL237" s="36"/>
      <c r="MVM237" s="36"/>
      <c r="MVN237" s="36"/>
      <c r="MVO237" s="36"/>
      <c r="MVP237" s="36"/>
      <c r="MVQ237" s="36"/>
      <c r="MVR237" s="36"/>
      <c r="MVS237" s="36"/>
      <c r="MVT237" s="36"/>
      <c r="MVU237" s="36"/>
      <c r="MVV237" s="36"/>
      <c r="MVW237" s="36"/>
      <c r="MVX237" s="36"/>
      <c r="MVY237" s="36"/>
      <c r="MVZ237" s="36"/>
      <c r="MWA237" s="36"/>
      <c r="MWB237" s="36"/>
      <c r="MWC237" s="36"/>
      <c r="MWD237" s="36"/>
      <c r="MWE237" s="36"/>
      <c r="MWF237" s="36"/>
      <c r="MWG237" s="36"/>
      <c r="MWH237" s="36"/>
      <c r="MWI237" s="36"/>
      <c r="MWJ237" s="36"/>
      <c r="MWK237" s="36"/>
      <c r="MWL237" s="36"/>
      <c r="MWM237" s="36"/>
      <c r="MWN237" s="36"/>
      <c r="MWO237" s="36"/>
      <c r="MWP237" s="36"/>
      <c r="MWQ237" s="36"/>
      <c r="MWR237" s="36"/>
      <c r="MWS237" s="36"/>
      <c r="MWT237" s="36"/>
      <c r="MWU237" s="36"/>
      <c r="MWV237" s="36"/>
      <c r="MWW237" s="36"/>
      <c r="MWX237" s="36"/>
      <c r="MWY237" s="36"/>
      <c r="MWZ237" s="36"/>
      <c r="MXA237" s="36"/>
      <c r="MXB237" s="36"/>
      <c r="MXC237" s="36"/>
      <c r="MXD237" s="36"/>
      <c r="MXE237" s="36"/>
      <c r="MXF237" s="36"/>
      <c r="MXG237" s="36"/>
      <c r="MXH237" s="36"/>
      <c r="MXI237" s="36"/>
      <c r="MXJ237" s="36"/>
      <c r="MXK237" s="36"/>
      <c r="MXL237" s="36"/>
      <c r="MXM237" s="36"/>
      <c r="MXN237" s="36"/>
      <c r="MXO237" s="36"/>
      <c r="MXP237" s="36"/>
      <c r="MXQ237" s="36"/>
      <c r="MXR237" s="36"/>
      <c r="MXS237" s="36"/>
      <c r="MXT237" s="36"/>
      <c r="MXU237" s="36"/>
      <c r="MXV237" s="36"/>
      <c r="MXW237" s="36"/>
      <c r="MXX237" s="36"/>
      <c r="MXY237" s="36"/>
      <c r="MXZ237" s="36"/>
      <c r="MYA237" s="36"/>
      <c r="MYB237" s="36"/>
      <c r="MYC237" s="36"/>
      <c r="MYD237" s="36"/>
      <c r="MYE237" s="36"/>
      <c r="MYF237" s="36"/>
      <c r="MYG237" s="36"/>
      <c r="MYH237" s="36"/>
      <c r="MYI237" s="36"/>
      <c r="MYJ237" s="36"/>
      <c r="MYK237" s="36"/>
      <c r="MYL237" s="36"/>
      <c r="MYM237" s="36"/>
      <c r="MYN237" s="36"/>
      <c r="MYO237" s="36"/>
      <c r="MYP237" s="36"/>
      <c r="MYQ237" s="36"/>
      <c r="MYR237" s="36"/>
      <c r="MYS237" s="36"/>
      <c r="MYT237" s="36"/>
      <c r="MYU237" s="36"/>
      <c r="MYV237" s="36"/>
      <c r="MYW237" s="36"/>
      <c r="MYX237" s="36"/>
      <c r="MYY237" s="36"/>
      <c r="MYZ237" s="36"/>
      <c r="MZA237" s="36"/>
      <c r="MZB237" s="36"/>
      <c r="MZC237" s="36"/>
      <c r="MZD237" s="36"/>
      <c r="MZE237" s="36"/>
      <c r="MZF237" s="36"/>
      <c r="MZG237" s="36"/>
      <c r="MZH237" s="36"/>
      <c r="MZI237" s="36"/>
      <c r="MZJ237" s="36"/>
      <c r="MZK237" s="36"/>
      <c r="MZL237" s="36"/>
      <c r="MZM237" s="36"/>
      <c r="MZN237" s="36"/>
      <c r="MZO237" s="36"/>
      <c r="MZP237" s="36"/>
      <c r="MZQ237" s="36"/>
      <c r="MZR237" s="36"/>
      <c r="MZS237" s="36"/>
      <c r="MZT237" s="36"/>
      <c r="MZU237" s="36"/>
      <c r="MZV237" s="36"/>
      <c r="MZW237" s="36"/>
      <c r="MZX237" s="36"/>
      <c r="MZY237" s="36"/>
      <c r="MZZ237" s="36"/>
      <c r="NAA237" s="36"/>
      <c r="NAB237" s="36"/>
      <c r="NAC237" s="36"/>
      <c r="NAD237" s="36"/>
      <c r="NAE237" s="36"/>
      <c r="NAF237" s="36"/>
      <c r="NAG237" s="36"/>
      <c r="NAH237" s="36"/>
      <c r="NAI237" s="36"/>
      <c r="NAJ237" s="36"/>
      <c r="NAK237" s="36"/>
      <c r="NAL237" s="36"/>
      <c r="NAM237" s="36"/>
      <c r="NAN237" s="36"/>
      <c r="NAO237" s="36"/>
      <c r="NAP237" s="36"/>
      <c r="NAQ237" s="36"/>
      <c r="NAR237" s="36"/>
      <c r="NAS237" s="36"/>
      <c r="NAT237" s="36"/>
      <c r="NAU237" s="36"/>
      <c r="NAV237" s="36"/>
      <c r="NAW237" s="36"/>
      <c r="NAX237" s="36"/>
      <c r="NAY237" s="36"/>
      <c r="NAZ237" s="36"/>
      <c r="NBA237" s="36"/>
      <c r="NBB237" s="36"/>
      <c r="NBC237" s="36"/>
      <c r="NBD237" s="36"/>
      <c r="NBE237" s="36"/>
      <c r="NBF237" s="36"/>
      <c r="NBG237" s="36"/>
      <c r="NBH237" s="36"/>
      <c r="NBI237" s="36"/>
      <c r="NBJ237" s="36"/>
      <c r="NBK237" s="36"/>
      <c r="NBL237" s="36"/>
      <c r="NBM237" s="36"/>
      <c r="NBN237" s="36"/>
      <c r="NBO237" s="36"/>
      <c r="NBP237" s="36"/>
      <c r="NBQ237" s="36"/>
      <c r="NBR237" s="36"/>
      <c r="NBS237" s="36"/>
      <c r="NBT237" s="36"/>
      <c r="NBU237" s="36"/>
      <c r="NBV237" s="36"/>
      <c r="NBW237" s="36"/>
      <c r="NBX237" s="36"/>
      <c r="NBY237" s="36"/>
      <c r="NBZ237" s="36"/>
      <c r="NCA237" s="36"/>
      <c r="NCB237" s="36"/>
      <c r="NCC237" s="36"/>
      <c r="NCD237" s="36"/>
      <c r="NCE237" s="36"/>
      <c r="NCF237" s="36"/>
      <c r="NCG237" s="36"/>
      <c r="NCH237" s="36"/>
      <c r="NCI237" s="36"/>
      <c r="NCJ237" s="36"/>
      <c r="NCK237" s="36"/>
      <c r="NCL237" s="36"/>
      <c r="NCM237" s="36"/>
      <c r="NCN237" s="36"/>
      <c r="NCO237" s="36"/>
      <c r="NCP237" s="36"/>
      <c r="NCQ237" s="36"/>
      <c r="NCR237" s="36"/>
      <c r="NCS237" s="36"/>
      <c r="NCT237" s="36"/>
      <c r="NCU237" s="36"/>
      <c r="NCV237" s="36"/>
      <c r="NCW237" s="36"/>
      <c r="NCX237" s="36"/>
      <c r="NCY237" s="36"/>
      <c r="NCZ237" s="36"/>
      <c r="NDA237" s="36"/>
      <c r="NDB237" s="36"/>
      <c r="NDC237" s="36"/>
      <c r="NDD237" s="36"/>
      <c r="NDE237" s="36"/>
      <c r="NDF237" s="36"/>
      <c r="NDG237" s="36"/>
      <c r="NDH237" s="36"/>
      <c r="NDI237" s="36"/>
      <c r="NDJ237" s="36"/>
      <c r="NDK237" s="36"/>
      <c r="NDL237" s="36"/>
      <c r="NDM237" s="36"/>
      <c r="NDN237" s="36"/>
      <c r="NDO237" s="36"/>
      <c r="NDP237" s="36"/>
      <c r="NDQ237" s="36"/>
      <c r="NDR237" s="36"/>
      <c r="NDS237" s="36"/>
      <c r="NDT237" s="36"/>
      <c r="NDU237" s="36"/>
      <c r="NDV237" s="36"/>
      <c r="NDW237" s="36"/>
      <c r="NDX237" s="36"/>
      <c r="NDY237" s="36"/>
      <c r="NDZ237" s="36"/>
      <c r="NEA237" s="36"/>
      <c r="NEB237" s="36"/>
      <c r="NEC237" s="36"/>
      <c r="NED237" s="36"/>
      <c r="NEE237" s="36"/>
      <c r="NEF237" s="36"/>
      <c r="NEG237" s="36"/>
      <c r="NEH237" s="36"/>
      <c r="NEI237" s="36"/>
      <c r="NEJ237" s="36"/>
      <c r="NEK237" s="36"/>
      <c r="NEL237" s="36"/>
      <c r="NEM237" s="36"/>
      <c r="NEN237" s="36"/>
      <c r="NEO237" s="36"/>
      <c r="NEP237" s="36"/>
      <c r="NEQ237" s="36"/>
      <c r="NER237" s="36"/>
      <c r="NES237" s="36"/>
      <c r="NET237" s="36"/>
      <c r="NEU237" s="36"/>
      <c r="NEV237" s="36"/>
      <c r="NEW237" s="36"/>
      <c r="NEX237" s="36"/>
      <c r="NEY237" s="36"/>
      <c r="NEZ237" s="36"/>
      <c r="NFA237" s="36"/>
      <c r="NFB237" s="36"/>
      <c r="NFC237" s="36"/>
      <c r="NFD237" s="36"/>
      <c r="NFE237" s="36"/>
      <c r="NFF237" s="36"/>
      <c r="NFG237" s="36"/>
      <c r="NFH237" s="36"/>
      <c r="NFI237" s="36"/>
      <c r="NFJ237" s="36"/>
      <c r="NFK237" s="36"/>
      <c r="NFL237" s="36"/>
      <c r="NFM237" s="36"/>
      <c r="NFN237" s="36"/>
      <c r="NFO237" s="36"/>
      <c r="NFP237" s="36"/>
      <c r="NFQ237" s="36"/>
      <c r="NFR237" s="36"/>
      <c r="NFS237" s="36"/>
      <c r="NFT237" s="36"/>
      <c r="NFU237" s="36"/>
      <c r="NFV237" s="36"/>
      <c r="NFW237" s="36"/>
      <c r="NFX237" s="36"/>
      <c r="NFY237" s="36"/>
      <c r="NFZ237" s="36"/>
      <c r="NGA237" s="36"/>
      <c r="NGB237" s="36"/>
      <c r="NGC237" s="36"/>
      <c r="NGD237" s="36"/>
      <c r="NGE237" s="36"/>
      <c r="NGF237" s="36"/>
      <c r="NGG237" s="36"/>
      <c r="NGH237" s="36"/>
      <c r="NGI237" s="36"/>
      <c r="NGJ237" s="36"/>
      <c r="NGK237" s="36"/>
      <c r="NGL237" s="36"/>
      <c r="NGM237" s="36"/>
      <c r="NGN237" s="36"/>
      <c r="NGO237" s="36"/>
      <c r="NGP237" s="36"/>
      <c r="NGQ237" s="36"/>
      <c r="NGR237" s="36"/>
      <c r="NGS237" s="36"/>
      <c r="NGT237" s="36"/>
      <c r="NGU237" s="36"/>
      <c r="NGV237" s="36"/>
      <c r="NGW237" s="36"/>
      <c r="NGX237" s="36"/>
      <c r="NGY237" s="36"/>
      <c r="NGZ237" s="36"/>
      <c r="NHA237" s="36"/>
      <c r="NHB237" s="36"/>
      <c r="NHC237" s="36"/>
      <c r="NHD237" s="36"/>
      <c r="NHE237" s="36"/>
      <c r="NHF237" s="36"/>
      <c r="NHG237" s="36"/>
      <c r="NHH237" s="36"/>
      <c r="NHI237" s="36"/>
      <c r="NHJ237" s="36"/>
      <c r="NHK237" s="36"/>
      <c r="NHL237" s="36"/>
      <c r="NHM237" s="36"/>
      <c r="NHN237" s="36"/>
      <c r="NHO237" s="36"/>
      <c r="NHP237" s="36"/>
      <c r="NHQ237" s="36"/>
      <c r="NHR237" s="36"/>
      <c r="NHS237" s="36"/>
      <c r="NHT237" s="36"/>
      <c r="NHU237" s="36"/>
      <c r="NHV237" s="36"/>
      <c r="NHW237" s="36"/>
      <c r="NHX237" s="36"/>
      <c r="NHY237" s="36"/>
      <c r="NHZ237" s="36"/>
      <c r="NIA237" s="36"/>
      <c r="NIB237" s="36"/>
      <c r="NIC237" s="36"/>
      <c r="NID237" s="36"/>
      <c r="NIE237" s="36"/>
      <c r="NIF237" s="36"/>
      <c r="NIG237" s="36"/>
      <c r="NIH237" s="36"/>
      <c r="NII237" s="36"/>
      <c r="NIJ237" s="36"/>
      <c r="NIK237" s="36"/>
      <c r="NIL237" s="36"/>
      <c r="NIM237" s="36"/>
      <c r="NIN237" s="36"/>
      <c r="NIO237" s="36"/>
      <c r="NIP237" s="36"/>
      <c r="NIQ237" s="36"/>
      <c r="NIR237" s="36"/>
      <c r="NIS237" s="36"/>
      <c r="NIT237" s="36"/>
      <c r="NIU237" s="36"/>
      <c r="NIV237" s="36"/>
      <c r="NIW237" s="36"/>
      <c r="NIX237" s="36"/>
      <c r="NIY237" s="36"/>
      <c r="NIZ237" s="36"/>
      <c r="NJA237" s="36"/>
      <c r="NJB237" s="36"/>
      <c r="NJC237" s="36"/>
      <c r="NJD237" s="36"/>
      <c r="NJE237" s="36"/>
      <c r="NJF237" s="36"/>
      <c r="NJG237" s="36"/>
      <c r="NJH237" s="36"/>
      <c r="NJI237" s="36"/>
      <c r="NJJ237" s="36"/>
      <c r="NJK237" s="36"/>
      <c r="NJL237" s="36"/>
      <c r="NJM237" s="36"/>
      <c r="NJN237" s="36"/>
      <c r="NJO237" s="36"/>
      <c r="NJP237" s="36"/>
      <c r="NJQ237" s="36"/>
      <c r="NJR237" s="36"/>
      <c r="NJS237" s="36"/>
      <c r="NJT237" s="36"/>
      <c r="NJU237" s="36"/>
      <c r="NJV237" s="36"/>
      <c r="NJW237" s="36"/>
      <c r="NJX237" s="36"/>
      <c r="NJY237" s="36"/>
      <c r="NJZ237" s="36"/>
      <c r="NKA237" s="36"/>
      <c r="NKB237" s="36"/>
      <c r="NKC237" s="36"/>
      <c r="NKD237" s="36"/>
      <c r="NKE237" s="36"/>
      <c r="NKF237" s="36"/>
      <c r="NKG237" s="36"/>
      <c r="NKH237" s="36"/>
      <c r="NKI237" s="36"/>
      <c r="NKJ237" s="36"/>
      <c r="NKK237" s="36"/>
      <c r="NKL237" s="36"/>
      <c r="NKM237" s="36"/>
      <c r="NKN237" s="36"/>
      <c r="NKO237" s="36"/>
      <c r="NKP237" s="36"/>
      <c r="NKQ237" s="36"/>
      <c r="NKR237" s="36"/>
      <c r="NKS237" s="36"/>
      <c r="NKT237" s="36"/>
      <c r="NKU237" s="36"/>
      <c r="NKV237" s="36"/>
      <c r="NKW237" s="36"/>
      <c r="NKX237" s="36"/>
      <c r="NKY237" s="36"/>
      <c r="NKZ237" s="36"/>
      <c r="NLA237" s="36"/>
      <c r="NLB237" s="36"/>
      <c r="NLC237" s="36"/>
      <c r="NLD237" s="36"/>
      <c r="NLE237" s="36"/>
      <c r="NLF237" s="36"/>
      <c r="NLG237" s="36"/>
      <c r="NLH237" s="36"/>
      <c r="NLI237" s="36"/>
      <c r="NLJ237" s="36"/>
      <c r="NLK237" s="36"/>
      <c r="NLL237" s="36"/>
      <c r="NLM237" s="36"/>
      <c r="NLN237" s="36"/>
      <c r="NLO237" s="36"/>
      <c r="NLP237" s="36"/>
      <c r="NLQ237" s="36"/>
      <c r="NLR237" s="36"/>
      <c r="NLS237" s="36"/>
      <c r="NLT237" s="36"/>
      <c r="NLU237" s="36"/>
      <c r="NLV237" s="36"/>
      <c r="NLW237" s="36"/>
      <c r="NLX237" s="36"/>
      <c r="NLY237" s="36"/>
      <c r="NLZ237" s="36"/>
      <c r="NMA237" s="36"/>
      <c r="NMB237" s="36"/>
      <c r="NMC237" s="36"/>
      <c r="NMD237" s="36"/>
      <c r="NME237" s="36"/>
      <c r="NMF237" s="36"/>
      <c r="NMG237" s="36"/>
      <c r="NMH237" s="36"/>
      <c r="NMI237" s="36"/>
      <c r="NMJ237" s="36"/>
      <c r="NMK237" s="36"/>
      <c r="NML237" s="36"/>
      <c r="NMM237" s="36"/>
      <c r="NMN237" s="36"/>
      <c r="NMO237" s="36"/>
      <c r="NMP237" s="36"/>
      <c r="NMQ237" s="36"/>
      <c r="NMR237" s="36"/>
      <c r="NMS237" s="36"/>
      <c r="NMT237" s="36"/>
      <c r="NMU237" s="36"/>
      <c r="NMV237" s="36"/>
      <c r="NMW237" s="36"/>
      <c r="NMX237" s="36"/>
      <c r="NMY237" s="36"/>
      <c r="NMZ237" s="36"/>
      <c r="NNA237" s="36"/>
      <c r="NNB237" s="36"/>
      <c r="NNC237" s="36"/>
      <c r="NND237" s="36"/>
      <c r="NNE237" s="36"/>
      <c r="NNF237" s="36"/>
      <c r="NNG237" s="36"/>
      <c r="NNH237" s="36"/>
      <c r="NNI237" s="36"/>
      <c r="NNJ237" s="36"/>
      <c r="NNK237" s="36"/>
      <c r="NNL237" s="36"/>
      <c r="NNM237" s="36"/>
      <c r="NNN237" s="36"/>
      <c r="NNO237" s="36"/>
      <c r="NNP237" s="36"/>
      <c r="NNQ237" s="36"/>
      <c r="NNR237" s="36"/>
      <c r="NNS237" s="36"/>
      <c r="NNT237" s="36"/>
      <c r="NNU237" s="36"/>
      <c r="NNV237" s="36"/>
      <c r="NNW237" s="36"/>
      <c r="NNX237" s="36"/>
      <c r="NNY237" s="36"/>
      <c r="NNZ237" s="36"/>
      <c r="NOA237" s="36"/>
      <c r="NOB237" s="36"/>
      <c r="NOC237" s="36"/>
      <c r="NOD237" s="36"/>
      <c r="NOE237" s="36"/>
      <c r="NOF237" s="36"/>
      <c r="NOG237" s="36"/>
      <c r="NOH237" s="36"/>
      <c r="NOI237" s="36"/>
      <c r="NOJ237" s="36"/>
      <c r="NOK237" s="36"/>
      <c r="NOL237" s="36"/>
      <c r="NOM237" s="36"/>
      <c r="NON237" s="36"/>
      <c r="NOO237" s="36"/>
      <c r="NOP237" s="36"/>
      <c r="NOQ237" s="36"/>
      <c r="NOR237" s="36"/>
      <c r="NOS237" s="36"/>
      <c r="NOT237" s="36"/>
      <c r="NOU237" s="36"/>
      <c r="NOV237" s="36"/>
      <c r="NOW237" s="36"/>
      <c r="NOX237" s="36"/>
      <c r="NOY237" s="36"/>
      <c r="NOZ237" s="36"/>
      <c r="NPA237" s="36"/>
      <c r="NPB237" s="36"/>
      <c r="NPC237" s="36"/>
      <c r="NPD237" s="36"/>
      <c r="NPE237" s="36"/>
      <c r="NPF237" s="36"/>
      <c r="NPG237" s="36"/>
      <c r="NPH237" s="36"/>
      <c r="NPI237" s="36"/>
      <c r="NPJ237" s="36"/>
      <c r="NPK237" s="36"/>
      <c r="NPL237" s="36"/>
      <c r="NPM237" s="36"/>
      <c r="NPN237" s="36"/>
      <c r="NPO237" s="36"/>
      <c r="NPP237" s="36"/>
      <c r="NPQ237" s="36"/>
      <c r="NPR237" s="36"/>
      <c r="NPS237" s="36"/>
      <c r="NPT237" s="36"/>
      <c r="NPU237" s="36"/>
      <c r="NPV237" s="36"/>
      <c r="NPW237" s="36"/>
      <c r="NPX237" s="36"/>
      <c r="NPY237" s="36"/>
      <c r="NPZ237" s="36"/>
      <c r="NQA237" s="36"/>
      <c r="NQB237" s="36"/>
      <c r="NQC237" s="36"/>
      <c r="NQD237" s="36"/>
      <c r="NQE237" s="36"/>
      <c r="NQF237" s="36"/>
      <c r="NQG237" s="36"/>
      <c r="NQH237" s="36"/>
      <c r="NQI237" s="36"/>
      <c r="NQJ237" s="36"/>
      <c r="NQK237" s="36"/>
      <c r="NQL237" s="36"/>
      <c r="NQM237" s="36"/>
      <c r="NQN237" s="36"/>
      <c r="NQO237" s="36"/>
      <c r="NQP237" s="36"/>
      <c r="NQQ237" s="36"/>
      <c r="NQR237" s="36"/>
      <c r="NQS237" s="36"/>
      <c r="NQT237" s="36"/>
      <c r="NQU237" s="36"/>
      <c r="NQV237" s="36"/>
      <c r="NQW237" s="36"/>
      <c r="NQX237" s="36"/>
      <c r="NQY237" s="36"/>
      <c r="NQZ237" s="36"/>
      <c r="NRA237" s="36"/>
      <c r="NRB237" s="36"/>
      <c r="NRC237" s="36"/>
      <c r="NRD237" s="36"/>
      <c r="NRE237" s="36"/>
      <c r="NRF237" s="36"/>
      <c r="NRG237" s="36"/>
      <c r="NRH237" s="36"/>
      <c r="NRI237" s="36"/>
      <c r="NRJ237" s="36"/>
      <c r="NRK237" s="36"/>
      <c r="NRL237" s="36"/>
      <c r="NRM237" s="36"/>
      <c r="NRN237" s="36"/>
      <c r="NRO237" s="36"/>
      <c r="NRP237" s="36"/>
      <c r="NRQ237" s="36"/>
      <c r="NRR237" s="36"/>
      <c r="NRS237" s="36"/>
      <c r="NRT237" s="36"/>
      <c r="NRU237" s="36"/>
      <c r="NRV237" s="36"/>
      <c r="NRW237" s="36"/>
      <c r="NRX237" s="36"/>
      <c r="NRY237" s="36"/>
      <c r="NRZ237" s="36"/>
      <c r="NSA237" s="36"/>
      <c r="NSB237" s="36"/>
      <c r="NSC237" s="36"/>
      <c r="NSD237" s="36"/>
      <c r="NSE237" s="36"/>
      <c r="NSF237" s="36"/>
      <c r="NSG237" s="36"/>
      <c r="NSH237" s="36"/>
      <c r="NSI237" s="36"/>
      <c r="NSJ237" s="36"/>
      <c r="NSK237" s="36"/>
      <c r="NSL237" s="36"/>
      <c r="NSM237" s="36"/>
      <c r="NSN237" s="36"/>
      <c r="NSO237" s="36"/>
      <c r="NSP237" s="36"/>
      <c r="NSQ237" s="36"/>
      <c r="NSR237" s="36"/>
      <c r="NSS237" s="36"/>
      <c r="NST237" s="36"/>
      <c r="NSU237" s="36"/>
      <c r="NSV237" s="36"/>
      <c r="NSW237" s="36"/>
      <c r="NSX237" s="36"/>
      <c r="NSY237" s="36"/>
      <c r="NSZ237" s="36"/>
      <c r="NTA237" s="36"/>
      <c r="NTB237" s="36"/>
      <c r="NTC237" s="36"/>
      <c r="NTD237" s="36"/>
      <c r="NTE237" s="36"/>
      <c r="NTF237" s="36"/>
      <c r="NTG237" s="36"/>
      <c r="NTH237" s="36"/>
      <c r="NTI237" s="36"/>
      <c r="NTJ237" s="36"/>
      <c r="NTK237" s="36"/>
      <c r="NTL237" s="36"/>
      <c r="NTM237" s="36"/>
      <c r="NTN237" s="36"/>
      <c r="NTO237" s="36"/>
      <c r="NTP237" s="36"/>
      <c r="NTQ237" s="36"/>
      <c r="NTR237" s="36"/>
      <c r="NTS237" s="36"/>
      <c r="NTT237" s="36"/>
      <c r="NTU237" s="36"/>
      <c r="NTV237" s="36"/>
      <c r="NTW237" s="36"/>
      <c r="NTX237" s="36"/>
      <c r="NTY237" s="36"/>
      <c r="NTZ237" s="36"/>
      <c r="NUA237" s="36"/>
      <c r="NUB237" s="36"/>
      <c r="NUC237" s="36"/>
      <c r="NUD237" s="36"/>
      <c r="NUE237" s="36"/>
      <c r="NUF237" s="36"/>
      <c r="NUG237" s="36"/>
      <c r="NUH237" s="36"/>
      <c r="NUI237" s="36"/>
      <c r="NUJ237" s="36"/>
      <c r="NUK237" s="36"/>
      <c r="NUL237" s="36"/>
      <c r="NUM237" s="36"/>
      <c r="NUN237" s="36"/>
      <c r="NUO237" s="36"/>
      <c r="NUP237" s="36"/>
      <c r="NUQ237" s="36"/>
      <c r="NUR237" s="36"/>
      <c r="NUS237" s="36"/>
      <c r="NUT237" s="36"/>
      <c r="NUU237" s="36"/>
      <c r="NUV237" s="36"/>
      <c r="NUW237" s="36"/>
      <c r="NUX237" s="36"/>
      <c r="NUY237" s="36"/>
      <c r="NUZ237" s="36"/>
      <c r="NVA237" s="36"/>
      <c r="NVB237" s="36"/>
      <c r="NVC237" s="36"/>
      <c r="NVD237" s="36"/>
      <c r="NVE237" s="36"/>
      <c r="NVF237" s="36"/>
      <c r="NVG237" s="36"/>
      <c r="NVH237" s="36"/>
      <c r="NVI237" s="36"/>
      <c r="NVJ237" s="36"/>
      <c r="NVK237" s="36"/>
      <c r="NVL237" s="36"/>
      <c r="NVM237" s="36"/>
      <c r="NVN237" s="36"/>
      <c r="NVO237" s="36"/>
      <c r="NVP237" s="36"/>
      <c r="NVQ237" s="36"/>
      <c r="NVR237" s="36"/>
      <c r="NVS237" s="36"/>
      <c r="NVT237" s="36"/>
      <c r="NVU237" s="36"/>
      <c r="NVV237" s="36"/>
      <c r="NVW237" s="36"/>
      <c r="NVX237" s="36"/>
      <c r="NVY237" s="36"/>
      <c r="NVZ237" s="36"/>
      <c r="NWA237" s="36"/>
      <c r="NWB237" s="36"/>
      <c r="NWC237" s="36"/>
      <c r="NWD237" s="36"/>
      <c r="NWE237" s="36"/>
      <c r="NWF237" s="36"/>
      <c r="NWG237" s="36"/>
      <c r="NWH237" s="36"/>
      <c r="NWI237" s="36"/>
      <c r="NWJ237" s="36"/>
      <c r="NWK237" s="36"/>
      <c r="NWL237" s="36"/>
      <c r="NWM237" s="36"/>
      <c r="NWN237" s="36"/>
      <c r="NWO237" s="36"/>
      <c r="NWP237" s="36"/>
      <c r="NWQ237" s="36"/>
      <c r="NWR237" s="36"/>
      <c r="NWS237" s="36"/>
      <c r="NWT237" s="36"/>
      <c r="NWU237" s="36"/>
      <c r="NWV237" s="36"/>
      <c r="NWW237" s="36"/>
      <c r="NWX237" s="36"/>
      <c r="NWY237" s="36"/>
      <c r="NWZ237" s="36"/>
      <c r="NXA237" s="36"/>
      <c r="NXB237" s="36"/>
      <c r="NXC237" s="36"/>
      <c r="NXD237" s="36"/>
      <c r="NXE237" s="36"/>
      <c r="NXF237" s="36"/>
      <c r="NXG237" s="36"/>
      <c r="NXH237" s="36"/>
      <c r="NXI237" s="36"/>
      <c r="NXJ237" s="36"/>
      <c r="NXK237" s="36"/>
      <c r="NXL237" s="36"/>
      <c r="NXM237" s="36"/>
      <c r="NXN237" s="36"/>
      <c r="NXO237" s="36"/>
      <c r="NXP237" s="36"/>
      <c r="NXQ237" s="36"/>
      <c r="NXR237" s="36"/>
      <c r="NXS237" s="36"/>
      <c r="NXT237" s="36"/>
      <c r="NXU237" s="36"/>
      <c r="NXV237" s="36"/>
      <c r="NXW237" s="36"/>
      <c r="NXX237" s="36"/>
      <c r="NXY237" s="36"/>
      <c r="NXZ237" s="36"/>
      <c r="NYA237" s="36"/>
      <c r="NYB237" s="36"/>
      <c r="NYC237" s="36"/>
      <c r="NYD237" s="36"/>
      <c r="NYE237" s="36"/>
      <c r="NYF237" s="36"/>
      <c r="NYG237" s="36"/>
      <c r="NYH237" s="36"/>
      <c r="NYI237" s="36"/>
      <c r="NYJ237" s="36"/>
      <c r="NYK237" s="36"/>
      <c r="NYL237" s="36"/>
      <c r="NYM237" s="36"/>
      <c r="NYN237" s="36"/>
      <c r="NYO237" s="36"/>
      <c r="NYP237" s="36"/>
      <c r="NYQ237" s="36"/>
      <c r="NYR237" s="36"/>
      <c r="NYS237" s="36"/>
      <c r="NYT237" s="36"/>
      <c r="NYU237" s="36"/>
      <c r="NYV237" s="36"/>
      <c r="NYW237" s="36"/>
      <c r="NYX237" s="36"/>
      <c r="NYY237" s="36"/>
      <c r="NYZ237" s="36"/>
      <c r="NZA237" s="36"/>
      <c r="NZB237" s="36"/>
      <c r="NZC237" s="36"/>
      <c r="NZD237" s="36"/>
      <c r="NZE237" s="36"/>
      <c r="NZF237" s="36"/>
      <c r="NZG237" s="36"/>
      <c r="NZH237" s="36"/>
      <c r="NZI237" s="36"/>
      <c r="NZJ237" s="36"/>
      <c r="NZK237" s="36"/>
      <c r="NZL237" s="36"/>
      <c r="NZM237" s="36"/>
      <c r="NZN237" s="36"/>
      <c r="NZO237" s="36"/>
      <c r="NZP237" s="36"/>
      <c r="NZQ237" s="36"/>
      <c r="NZR237" s="36"/>
      <c r="NZS237" s="36"/>
      <c r="NZT237" s="36"/>
      <c r="NZU237" s="36"/>
      <c r="NZV237" s="36"/>
      <c r="NZW237" s="36"/>
      <c r="NZX237" s="36"/>
      <c r="NZY237" s="36"/>
      <c r="NZZ237" s="36"/>
      <c r="OAA237" s="36"/>
      <c r="OAB237" s="36"/>
      <c r="OAC237" s="36"/>
      <c r="OAD237" s="36"/>
      <c r="OAE237" s="36"/>
      <c r="OAF237" s="36"/>
      <c r="OAG237" s="36"/>
      <c r="OAH237" s="36"/>
      <c r="OAI237" s="36"/>
      <c r="OAJ237" s="36"/>
      <c r="OAK237" s="36"/>
      <c r="OAL237" s="36"/>
      <c r="OAM237" s="36"/>
      <c r="OAN237" s="36"/>
      <c r="OAO237" s="36"/>
      <c r="OAP237" s="36"/>
      <c r="OAQ237" s="36"/>
      <c r="OAR237" s="36"/>
      <c r="OAS237" s="36"/>
      <c r="OAT237" s="36"/>
      <c r="OAU237" s="36"/>
      <c r="OAV237" s="36"/>
      <c r="OAW237" s="36"/>
      <c r="OAX237" s="36"/>
      <c r="OAY237" s="36"/>
      <c r="OAZ237" s="36"/>
      <c r="OBA237" s="36"/>
      <c r="OBB237" s="36"/>
      <c r="OBC237" s="36"/>
      <c r="OBD237" s="36"/>
      <c r="OBE237" s="36"/>
      <c r="OBF237" s="36"/>
      <c r="OBG237" s="36"/>
      <c r="OBH237" s="36"/>
      <c r="OBI237" s="36"/>
      <c r="OBJ237" s="36"/>
      <c r="OBK237" s="36"/>
      <c r="OBL237" s="36"/>
      <c r="OBM237" s="36"/>
      <c r="OBN237" s="36"/>
      <c r="OBO237" s="36"/>
      <c r="OBP237" s="36"/>
      <c r="OBQ237" s="36"/>
      <c r="OBR237" s="36"/>
      <c r="OBS237" s="36"/>
      <c r="OBT237" s="36"/>
      <c r="OBU237" s="36"/>
      <c r="OBV237" s="36"/>
      <c r="OBW237" s="36"/>
      <c r="OBX237" s="36"/>
      <c r="OBY237" s="36"/>
      <c r="OBZ237" s="36"/>
      <c r="OCA237" s="36"/>
      <c r="OCB237" s="36"/>
      <c r="OCC237" s="36"/>
      <c r="OCD237" s="36"/>
      <c r="OCE237" s="36"/>
      <c r="OCF237" s="36"/>
      <c r="OCG237" s="36"/>
      <c r="OCH237" s="36"/>
      <c r="OCI237" s="36"/>
      <c r="OCJ237" s="36"/>
      <c r="OCK237" s="36"/>
      <c r="OCL237" s="36"/>
      <c r="OCM237" s="36"/>
      <c r="OCN237" s="36"/>
      <c r="OCO237" s="36"/>
      <c r="OCP237" s="36"/>
      <c r="OCQ237" s="36"/>
      <c r="OCR237" s="36"/>
      <c r="OCS237" s="36"/>
      <c r="OCT237" s="36"/>
      <c r="OCU237" s="36"/>
      <c r="OCV237" s="36"/>
      <c r="OCW237" s="36"/>
      <c r="OCX237" s="36"/>
      <c r="OCY237" s="36"/>
      <c r="OCZ237" s="36"/>
      <c r="ODA237" s="36"/>
      <c r="ODB237" s="36"/>
      <c r="ODC237" s="36"/>
      <c r="ODD237" s="36"/>
      <c r="ODE237" s="36"/>
      <c r="ODF237" s="36"/>
      <c r="ODG237" s="36"/>
      <c r="ODH237" s="36"/>
      <c r="ODI237" s="36"/>
      <c r="ODJ237" s="36"/>
      <c r="ODK237" s="36"/>
      <c r="ODL237" s="36"/>
      <c r="ODM237" s="36"/>
      <c r="ODN237" s="36"/>
      <c r="ODO237" s="36"/>
      <c r="ODP237" s="36"/>
      <c r="ODQ237" s="36"/>
      <c r="ODR237" s="36"/>
      <c r="ODS237" s="36"/>
      <c r="ODT237" s="36"/>
      <c r="ODU237" s="36"/>
      <c r="ODV237" s="36"/>
      <c r="ODW237" s="36"/>
      <c r="ODX237" s="36"/>
      <c r="ODY237" s="36"/>
      <c r="ODZ237" s="36"/>
      <c r="OEA237" s="36"/>
      <c r="OEB237" s="36"/>
      <c r="OEC237" s="36"/>
      <c r="OED237" s="36"/>
      <c r="OEE237" s="36"/>
      <c r="OEF237" s="36"/>
      <c r="OEG237" s="36"/>
      <c r="OEH237" s="36"/>
      <c r="OEI237" s="36"/>
      <c r="OEJ237" s="36"/>
      <c r="OEK237" s="36"/>
      <c r="OEL237" s="36"/>
      <c r="OEM237" s="36"/>
      <c r="OEN237" s="36"/>
      <c r="OEO237" s="36"/>
      <c r="OEP237" s="36"/>
      <c r="OEQ237" s="36"/>
      <c r="OER237" s="36"/>
      <c r="OES237" s="36"/>
      <c r="OET237" s="36"/>
      <c r="OEU237" s="36"/>
      <c r="OEV237" s="36"/>
      <c r="OEW237" s="36"/>
      <c r="OEX237" s="36"/>
      <c r="OEY237" s="36"/>
      <c r="OEZ237" s="36"/>
      <c r="OFA237" s="36"/>
      <c r="OFB237" s="36"/>
      <c r="OFC237" s="36"/>
      <c r="OFD237" s="36"/>
      <c r="OFE237" s="36"/>
      <c r="OFF237" s="36"/>
      <c r="OFG237" s="36"/>
      <c r="OFH237" s="36"/>
      <c r="OFI237" s="36"/>
      <c r="OFJ237" s="36"/>
      <c r="OFK237" s="36"/>
      <c r="OFL237" s="36"/>
      <c r="OFM237" s="36"/>
      <c r="OFN237" s="36"/>
      <c r="OFO237" s="36"/>
      <c r="OFP237" s="36"/>
      <c r="OFQ237" s="36"/>
      <c r="OFR237" s="36"/>
      <c r="OFS237" s="36"/>
      <c r="OFT237" s="36"/>
      <c r="OFU237" s="36"/>
      <c r="OFV237" s="36"/>
      <c r="OFW237" s="36"/>
      <c r="OFX237" s="36"/>
      <c r="OFY237" s="36"/>
      <c r="OFZ237" s="36"/>
      <c r="OGA237" s="36"/>
      <c r="OGB237" s="36"/>
      <c r="OGC237" s="36"/>
      <c r="OGD237" s="36"/>
      <c r="OGE237" s="36"/>
      <c r="OGF237" s="36"/>
      <c r="OGG237" s="36"/>
      <c r="OGH237" s="36"/>
      <c r="OGI237" s="36"/>
      <c r="OGJ237" s="36"/>
      <c r="OGK237" s="36"/>
      <c r="OGL237" s="36"/>
      <c r="OGM237" s="36"/>
      <c r="OGN237" s="36"/>
      <c r="OGO237" s="36"/>
      <c r="OGP237" s="36"/>
      <c r="OGQ237" s="36"/>
      <c r="OGR237" s="36"/>
      <c r="OGS237" s="36"/>
      <c r="OGT237" s="36"/>
      <c r="OGU237" s="36"/>
      <c r="OGV237" s="36"/>
      <c r="OGW237" s="36"/>
      <c r="OGX237" s="36"/>
      <c r="OGY237" s="36"/>
      <c r="OGZ237" s="36"/>
      <c r="OHA237" s="36"/>
      <c r="OHB237" s="36"/>
      <c r="OHC237" s="36"/>
      <c r="OHD237" s="36"/>
      <c r="OHE237" s="36"/>
      <c r="OHF237" s="36"/>
      <c r="OHG237" s="36"/>
      <c r="OHH237" s="36"/>
      <c r="OHI237" s="36"/>
      <c r="OHJ237" s="36"/>
      <c r="OHK237" s="36"/>
      <c r="OHL237" s="36"/>
      <c r="OHM237" s="36"/>
      <c r="OHN237" s="36"/>
      <c r="OHO237" s="36"/>
      <c r="OHP237" s="36"/>
      <c r="OHQ237" s="36"/>
      <c r="OHR237" s="36"/>
      <c r="OHS237" s="36"/>
      <c r="OHT237" s="36"/>
      <c r="OHU237" s="36"/>
      <c r="OHV237" s="36"/>
      <c r="OHW237" s="36"/>
      <c r="OHX237" s="36"/>
      <c r="OHY237" s="36"/>
      <c r="OHZ237" s="36"/>
      <c r="OIA237" s="36"/>
      <c r="OIB237" s="36"/>
      <c r="OIC237" s="36"/>
      <c r="OID237" s="36"/>
      <c r="OIE237" s="36"/>
      <c r="OIF237" s="36"/>
      <c r="OIG237" s="36"/>
      <c r="OIH237" s="36"/>
      <c r="OII237" s="36"/>
      <c r="OIJ237" s="36"/>
      <c r="OIK237" s="36"/>
      <c r="OIL237" s="36"/>
      <c r="OIM237" s="36"/>
      <c r="OIN237" s="36"/>
      <c r="OIO237" s="36"/>
      <c r="OIP237" s="36"/>
      <c r="OIQ237" s="36"/>
      <c r="OIR237" s="36"/>
      <c r="OIS237" s="36"/>
      <c r="OIT237" s="36"/>
      <c r="OIU237" s="36"/>
      <c r="OIV237" s="36"/>
      <c r="OIW237" s="36"/>
      <c r="OIX237" s="36"/>
      <c r="OIY237" s="36"/>
      <c r="OIZ237" s="36"/>
      <c r="OJA237" s="36"/>
      <c r="OJB237" s="36"/>
      <c r="OJC237" s="36"/>
      <c r="OJD237" s="36"/>
      <c r="OJE237" s="36"/>
      <c r="OJF237" s="36"/>
      <c r="OJG237" s="36"/>
      <c r="OJH237" s="36"/>
      <c r="OJI237" s="36"/>
      <c r="OJJ237" s="36"/>
      <c r="OJK237" s="36"/>
      <c r="OJL237" s="36"/>
      <c r="OJM237" s="36"/>
      <c r="OJN237" s="36"/>
      <c r="OJO237" s="36"/>
      <c r="OJP237" s="36"/>
      <c r="OJQ237" s="36"/>
      <c r="OJR237" s="36"/>
      <c r="OJS237" s="36"/>
      <c r="OJT237" s="36"/>
      <c r="OJU237" s="36"/>
      <c r="OJV237" s="36"/>
      <c r="OJW237" s="36"/>
      <c r="OJX237" s="36"/>
      <c r="OJY237" s="36"/>
      <c r="OJZ237" s="36"/>
      <c r="OKA237" s="36"/>
      <c r="OKB237" s="36"/>
      <c r="OKC237" s="36"/>
      <c r="OKD237" s="36"/>
      <c r="OKE237" s="36"/>
      <c r="OKF237" s="36"/>
      <c r="OKG237" s="36"/>
      <c r="OKH237" s="36"/>
      <c r="OKI237" s="36"/>
      <c r="OKJ237" s="36"/>
      <c r="OKK237" s="36"/>
      <c r="OKL237" s="36"/>
      <c r="OKM237" s="36"/>
      <c r="OKN237" s="36"/>
      <c r="OKO237" s="36"/>
      <c r="OKP237" s="36"/>
      <c r="OKQ237" s="36"/>
      <c r="OKR237" s="36"/>
      <c r="OKS237" s="36"/>
      <c r="OKT237" s="36"/>
      <c r="OKU237" s="36"/>
      <c r="OKV237" s="36"/>
      <c r="OKW237" s="36"/>
      <c r="OKX237" s="36"/>
      <c r="OKY237" s="36"/>
      <c r="OKZ237" s="36"/>
      <c r="OLA237" s="36"/>
      <c r="OLB237" s="36"/>
      <c r="OLC237" s="36"/>
      <c r="OLD237" s="36"/>
      <c r="OLE237" s="36"/>
      <c r="OLF237" s="36"/>
      <c r="OLG237" s="36"/>
      <c r="OLH237" s="36"/>
      <c r="OLI237" s="36"/>
      <c r="OLJ237" s="36"/>
      <c r="OLK237" s="36"/>
      <c r="OLL237" s="36"/>
      <c r="OLM237" s="36"/>
      <c r="OLN237" s="36"/>
      <c r="OLO237" s="36"/>
      <c r="OLP237" s="36"/>
      <c r="OLQ237" s="36"/>
      <c r="OLR237" s="36"/>
      <c r="OLS237" s="36"/>
      <c r="OLT237" s="36"/>
      <c r="OLU237" s="36"/>
      <c r="OLV237" s="36"/>
      <c r="OLW237" s="36"/>
      <c r="OLX237" s="36"/>
      <c r="OLY237" s="36"/>
      <c r="OLZ237" s="36"/>
      <c r="OMA237" s="36"/>
      <c r="OMB237" s="36"/>
      <c r="OMC237" s="36"/>
      <c r="OMD237" s="36"/>
      <c r="OME237" s="36"/>
      <c r="OMF237" s="36"/>
      <c r="OMG237" s="36"/>
      <c r="OMH237" s="36"/>
      <c r="OMI237" s="36"/>
      <c r="OMJ237" s="36"/>
      <c r="OMK237" s="36"/>
      <c r="OML237" s="36"/>
      <c r="OMM237" s="36"/>
      <c r="OMN237" s="36"/>
      <c r="OMO237" s="36"/>
      <c r="OMP237" s="36"/>
      <c r="OMQ237" s="36"/>
      <c r="OMR237" s="36"/>
      <c r="OMS237" s="36"/>
      <c r="OMT237" s="36"/>
      <c r="OMU237" s="36"/>
      <c r="OMV237" s="36"/>
      <c r="OMW237" s="36"/>
      <c r="OMX237" s="36"/>
      <c r="OMY237" s="36"/>
      <c r="OMZ237" s="36"/>
      <c r="ONA237" s="36"/>
      <c r="ONB237" s="36"/>
      <c r="ONC237" s="36"/>
      <c r="OND237" s="36"/>
      <c r="ONE237" s="36"/>
      <c r="ONF237" s="36"/>
      <c r="ONG237" s="36"/>
      <c r="ONH237" s="36"/>
      <c r="ONI237" s="36"/>
      <c r="ONJ237" s="36"/>
      <c r="ONK237" s="36"/>
      <c r="ONL237" s="36"/>
      <c r="ONM237" s="36"/>
      <c r="ONN237" s="36"/>
      <c r="ONO237" s="36"/>
      <c r="ONP237" s="36"/>
      <c r="ONQ237" s="36"/>
      <c r="ONR237" s="36"/>
      <c r="ONS237" s="36"/>
      <c r="ONT237" s="36"/>
      <c r="ONU237" s="36"/>
      <c r="ONV237" s="36"/>
      <c r="ONW237" s="36"/>
      <c r="ONX237" s="36"/>
      <c r="ONY237" s="36"/>
      <c r="ONZ237" s="36"/>
      <c r="OOA237" s="36"/>
      <c r="OOB237" s="36"/>
      <c r="OOC237" s="36"/>
      <c r="OOD237" s="36"/>
      <c r="OOE237" s="36"/>
      <c r="OOF237" s="36"/>
      <c r="OOG237" s="36"/>
      <c r="OOH237" s="36"/>
      <c r="OOI237" s="36"/>
      <c r="OOJ237" s="36"/>
      <c r="OOK237" s="36"/>
      <c r="OOL237" s="36"/>
      <c r="OOM237" s="36"/>
      <c r="OON237" s="36"/>
      <c r="OOO237" s="36"/>
      <c r="OOP237" s="36"/>
      <c r="OOQ237" s="36"/>
      <c r="OOR237" s="36"/>
      <c r="OOS237" s="36"/>
      <c r="OOT237" s="36"/>
      <c r="OOU237" s="36"/>
      <c r="OOV237" s="36"/>
      <c r="OOW237" s="36"/>
      <c r="OOX237" s="36"/>
      <c r="OOY237" s="36"/>
      <c r="OOZ237" s="36"/>
      <c r="OPA237" s="36"/>
      <c r="OPB237" s="36"/>
      <c r="OPC237" s="36"/>
      <c r="OPD237" s="36"/>
      <c r="OPE237" s="36"/>
      <c r="OPF237" s="36"/>
      <c r="OPG237" s="36"/>
      <c r="OPH237" s="36"/>
      <c r="OPI237" s="36"/>
      <c r="OPJ237" s="36"/>
      <c r="OPK237" s="36"/>
      <c r="OPL237" s="36"/>
      <c r="OPM237" s="36"/>
      <c r="OPN237" s="36"/>
      <c r="OPO237" s="36"/>
      <c r="OPP237" s="36"/>
      <c r="OPQ237" s="36"/>
      <c r="OPR237" s="36"/>
      <c r="OPS237" s="36"/>
      <c r="OPT237" s="36"/>
      <c r="OPU237" s="36"/>
      <c r="OPV237" s="36"/>
      <c r="OPW237" s="36"/>
      <c r="OPX237" s="36"/>
      <c r="OPY237" s="36"/>
      <c r="OPZ237" s="36"/>
      <c r="OQA237" s="36"/>
      <c r="OQB237" s="36"/>
      <c r="OQC237" s="36"/>
      <c r="OQD237" s="36"/>
      <c r="OQE237" s="36"/>
      <c r="OQF237" s="36"/>
      <c r="OQG237" s="36"/>
      <c r="OQH237" s="36"/>
      <c r="OQI237" s="36"/>
      <c r="OQJ237" s="36"/>
      <c r="OQK237" s="36"/>
      <c r="OQL237" s="36"/>
      <c r="OQM237" s="36"/>
      <c r="OQN237" s="36"/>
      <c r="OQO237" s="36"/>
      <c r="OQP237" s="36"/>
      <c r="OQQ237" s="36"/>
      <c r="OQR237" s="36"/>
      <c r="OQS237" s="36"/>
      <c r="OQT237" s="36"/>
      <c r="OQU237" s="36"/>
      <c r="OQV237" s="36"/>
      <c r="OQW237" s="36"/>
      <c r="OQX237" s="36"/>
      <c r="OQY237" s="36"/>
      <c r="OQZ237" s="36"/>
      <c r="ORA237" s="36"/>
      <c r="ORB237" s="36"/>
      <c r="ORC237" s="36"/>
      <c r="ORD237" s="36"/>
      <c r="ORE237" s="36"/>
      <c r="ORF237" s="36"/>
      <c r="ORG237" s="36"/>
      <c r="ORH237" s="36"/>
      <c r="ORI237" s="36"/>
      <c r="ORJ237" s="36"/>
      <c r="ORK237" s="36"/>
      <c r="ORL237" s="36"/>
      <c r="ORM237" s="36"/>
      <c r="ORN237" s="36"/>
      <c r="ORO237" s="36"/>
      <c r="ORP237" s="36"/>
      <c r="ORQ237" s="36"/>
      <c r="ORR237" s="36"/>
      <c r="ORS237" s="36"/>
      <c r="ORT237" s="36"/>
      <c r="ORU237" s="36"/>
      <c r="ORV237" s="36"/>
      <c r="ORW237" s="36"/>
      <c r="ORX237" s="36"/>
      <c r="ORY237" s="36"/>
      <c r="ORZ237" s="36"/>
      <c r="OSA237" s="36"/>
      <c r="OSB237" s="36"/>
      <c r="OSC237" s="36"/>
      <c r="OSD237" s="36"/>
      <c r="OSE237" s="36"/>
      <c r="OSF237" s="36"/>
      <c r="OSG237" s="36"/>
      <c r="OSH237" s="36"/>
      <c r="OSI237" s="36"/>
      <c r="OSJ237" s="36"/>
      <c r="OSK237" s="36"/>
      <c r="OSL237" s="36"/>
      <c r="OSM237" s="36"/>
      <c r="OSN237" s="36"/>
      <c r="OSO237" s="36"/>
      <c r="OSP237" s="36"/>
      <c r="OSQ237" s="36"/>
      <c r="OSR237" s="36"/>
      <c r="OSS237" s="36"/>
      <c r="OST237" s="36"/>
      <c r="OSU237" s="36"/>
      <c r="OSV237" s="36"/>
      <c r="OSW237" s="36"/>
      <c r="OSX237" s="36"/>
      <c r="OSY237" s="36"/>
      <c r="OSZ237" s="36"/>
      <c r="OTA237" s="36"/>
      <c r="OTB237" s="36"/>
      <c r="OTC237" s="36"/>
      <c r="OTD237" s="36"/>
      <c r="OTE237" s="36"/>
      <c r="OTF237" s="36"/>
      <c r="OTG237" s="36"/>
      <c r="OTH237" s="36"/>
      <c r="OTI237" s="36"/>
      <c r="OTJ237" s="36"/>
      <c r="OTK237" s="36"/>
      <c r="OTL237" s="36"/>
      <c r="OTM237" s="36"/>
      <c r="OTN237" s="36"/>
      <c r="OTO237" s="36"/>
      <c r="OTP237" s="36"/>
      <c r="OTQ237" s="36"/>
      <c r="OTR237" s="36"/>
      <c r="OTS237" s="36"/>
      <c r="OTT237" s="36"/>
      <c r="OTU237" s="36"/>
      <c r="OTV237" s="36"/>
      <c r="OTW237" s="36"/>
      <c r="OTX237" s="36"/>
      <c r="OTY237" s="36"/>
      <c r="OTZ237" s="36"/>
      <c r="OUA237" s="36"/>
      <c r="OUB237" s="36"/>
      <c r="OUC237" s="36"/>
      <c r="OUD237" s="36"/>
      <c r="OUE237" s="36"/>
      <c r="OUF237" s="36"/>
      <c r="OUG237" s="36"/>
      <c r="OUH237" s="36"/>
      <c r="OUI237" s="36"/>
      <c r="OUJ237" s="36"/>
      <c r="OUK237" s="36"/>
      <c r="OUL237" s="36"/>
      <c r="OUM237" s="36"/>
      <c r="OUN237" s="36"/>
      <c r="OUO237" s="36"/>
      <c r="OUP237" s="36"/>
      <c r="OUQ237" s="36"/>
      <c r="OUR237" s="36"/>
      <c r="OUS237" s="36"/>
      <c r="OUT237" s="36"/>
      <c r="OUU237" s="36"/>
      <c r="OUV237" s="36"/>
      <c r="OUW237" s="36"/>
      <c r="OUX237" s="36"/>
      <c r="OUY237" s="36"/>
      <c r="OUZ237" s="36"/>
      <c r="OVA237" s="36"/>
      <c r="OVB237" s="36"/>
      <c r="OVC237" s="36"/>
      <c r="OVD237" s="36"/>
      <c r="OVE237" s="36"/>
      <c r="OVF237" s="36"/>
      <c r="OVG237" s="36"/>
      <c r="OVH237" s="36"/>
      <c r="OVI237" s="36"/>
      <c r="OVJ237" s="36"/>
      <c r="OVK237" s="36"/>
      <c r="OVL237" s="36"/>
      <c r="OVM237" s="36"/>
      <c r="OVN237" s="36"/>
      <c r="OVO237" s="36"/>
      <c r="OVP237" s="36"/>
      <c r="OVQ237" s="36"/>
      <c r="OVR237" s="36"/>
      <c r="OVS237" s="36"/>
      <c r="OVT237" s="36"/>
      <c r="OVU237" s="36"/>
      <c r="OVV237" s="36"/>
      <c r="OVW237" s="36"/>
      <c r="OVX237" s="36"/>
      <c r="OVY237" s="36"/>
      <c r="OVZ237" s="36"/>
      <c r="OWA237" s="36"/>
      <c r="OWB237" s="36"/>
      <c r="OWC237" s="36"/>
      <c r="OWD237" s="36"/>
      <c r="OWE237" s="36"/>
      <c r="OWF237" s="36"/>
      <c r="OWG237" s="36"/>
      <c r="OWH237" s="36"/>
      <c r="OWI237" s="36"/>
      <c r="OWJ237" s="36"/>
      <c r="OWK237" s="36"/>
      <c r="OWL237" s="36"/>
      <c r="OWM237" s="36"/>
      <c r="OWN237" s="36"/>
      <c r="OWO237" s="36"/>
      <c r="OWP237" s="36"/>
      <c r="OWQ237" s="36"/>
      <c r="OWR237" s="36"/>
      <c r="OWS237" s="36"/>
      <c r="OWT237" s="36"/>
      <c r="OWU237" s="36"/>
      <c r="OWV237" s="36"/>
      <c r="OWW237" s="36"/>
      <c r="OWX237" s="36"/>
      <c r="OWY237" s="36"/>
      <c r="OWZ237" s="36"/>
      <c r="OXA237" s="36"/>
      <c r="OXB237" s="36"/>
      <c r="OXC237" s="36"/>
      <c r="OXD237" s="36"/>
      <c r="OXE237" s="36"/>
      <c r="OXF237" s="36"/>
      <c r="OXG237" s="36"/>
      <c r="OXH237" s="36"/>
      <c r="OXI237" s="36"/>
      <c r="OXJ237" s="36"/>
      <c r="OXK237" s="36"/>
      <c r="OXL237" s="36"/>
      <c r="OXM237" s="36"/>
      <c r="OXN237" s="36"/>
      <c r="OXO237" s="36"/>
      <c r="OXP237" s="36"/>
      <c r="OXQ237" s="36"/>
      <c r="OXR237" s="36"/>
      <c r="OXS237" s="36"/>
      <c r="OXT237" s="36"/>
      <c r="OXU237" s="36"/>
      <c r="OXV237" s="36"/>
      <c r="OXW237" s="36"/>
      <c r="OXX237" s="36"/>
      <c r="OXY237" s="36"/>
      <c r="OXZ237" s="36"/>
      <c r="OYA237" s="36"/>
      <c r="OYB237" s="36"/>
      <c r="OYC237" s="36"/>
      <c r="OYD237" s="36"/>
      <c r="OYE237" s="36"/>
      <c r="OYF237" s="36"/>
      <c r="OYG237" s="36"/>
      <c r="OYH237" s="36"/>
      <c r="OYI237" s="36"/>
      <c r="OYJ237" s="36"/>
      <c r="OYK237" s="36"/>
      <c r="OYL237" s="36"/>
      <c r="OYM237" s="36"/>
      <c r="OYN237" s="36"/>
      <c r="OYO237" s="36"/>
      <c r="OYP237" s="36"/>
      <c r="OYQ237" s="36"/>
      <c r="OYR237" s="36"/>
      <c r="OYS237" s="36"/>
      <c r="OYT237" s="36"/>
      <c r="OYU237" s="36"/>
      <c r="OYV237" s="36"/>
      <c r="OYW237" s="36"/>
      <c r="OYX237" s="36"/>
      <c r="OYY237" s="36"/>
      <c r="OYZ237" s="36"/>
      <c r="OZA237" s="36"/>
      <c r="OZB237" s="36"/>
      <c r="OZC237" s="36"/>
      <c r="OZD237" s="36"/>
      <c r="OZE237" s="36"/>
      <c r="OZF237" s="36"/>
      <c r="OZG237" s="36"/>
      <c r="OZH237" s="36"/>
      <c r="OZI237" s="36"/>
      <c r="OZJ237" s="36"/>
      <c r="OZK237" s="36"/>
      <c r="OZL237" s="36"/>
      <c r="OZM237" s="36"/>
      <c r="OZN237" s="36"/>
      <c r="OZO237" s="36"/>
      <c r="OZP237" s="36"/>
      <c r="OZQ237" s="36"/>
      <c r="OZR237" s="36"/>
      <c r="OZS237" s="36"/>
      <c r="OZT237" s="36"/>
      <c r="OZU237" s="36"/>
      <c r="OZV237" s="36"/>
      <c r="OZW237" s="36"/>
      <c r="OZX237" s="36"/>
      <c r="OZY237" s="36"/>
      <c r="OZZ237" s="36"/>
      <c r="PAA237" s="36"/>
      <c r="PAB237" s="36"/>
      <c r="PAC237" s="36"/>
      <c r="PAD237" s="36"/>
      <c r="PAE237" s="36"/>
      <c r="PAF237" s="36"/>
      <c r="PAG237" s="36"/>
      <c r="PAH237" s="36"/>
      <c r="PAI237" s="36"/>
      <c r="PAJ237" s="36"/>
      <c r="PAK237" s="36"/>
      <c r="PAL237" s="36"/>
      <c r="PAM237" s="36"/>
      <c r="PAN237" s="36"/>
      <c r="PAO237" s="36"/>
      <c r="PAP237" s="36"/>
      <c r="PAQ237" s="36"/>
      <c r="PAR237" s="36"/>
      <c r="PAS237" s="36"/>
      <c r="PAT237" s="36"/>
      <c r="PAU237" s="36"/>
      <c r="PAV237" s="36"/>
      <c r="PAW237" s="36"/>
      <c r="PAX237" s="36"/>
      <c r="PAY237" s="36"/>
      <c r="PAZ237" s="36"/>
      <c r="PBA237" s="36"/>
      <c r="PBB237" s="36"/>
      <c r="PBC237" s="36"/>
      <c r="PBD237" s="36"/>
      <c r="PBE237" s="36"/>
      <c r="PBF237" s="36"/>
      <c r="PBG237" s="36"/>
      <c r="PBH237" s="36"/>
      <c r="PBI237" s="36"/>
      <c r="PBJ237" s="36"/>
      <c r="PBK237" s="36"/>
      <c r="PBL237" s="36"/>
      <c r="PBM237" s="36"/>
      <c r="PBN237" s="36"/>
      <c r="PBO237" s="36"/>
      <c r="PBP237" s="36"/>
      <c r="PBQ237" s="36"/>
      <c r="PBR237" s="36"/>
      <c r="PBS237" s="36"/>
      <c r="PBT237" s="36"/>
      <c r="PBU237" s="36"/>
      <c r="PBV237" s="36"/>
      <c r="PBW237" s="36"/>
      <c r="PBX237" s="36"/>
      <c r="PBY237" s="36"/>
      <c r="PBZ237" s="36"/>
      <c r="PCA237" s="36"/>
      <c r="PCB237" s="36"/>
      <c r="PCC237" s="36"/>
      <c r="PCD237" s="36"/>
      <c r="PCE237" s="36"/>
      <c r="PCF237" s="36"/>
      <c r="PCG237" s="36"/>
      <c r="PCH237" s="36"/>
      <c r="PCI237" s="36"/>
      <c r="PCJ237" s="36"/>
      <c r="PCK237" s="36"/>
      <c r="PCL237" s="36"/>
      <c r="PCM237" s="36"/>
      <c r="PCN237" s="36"/>
      <c r="PCO237" s="36"/>
      <c r="PCP237" s="36"/>
      <c r="PCQ237" s="36"/>
      <c r="PCR237" s="36"/>
      <c r="PCS237" s="36"/>
      <c r="PCT237" s="36"/>
      <c r="PCU237" s="36"/>
      <c r="PCV237" s="36"/>
      <c r="PCW237" s="36"/>
      <c r="PCX237" s="36"/>
      <c r="PCY237" s="36"/>
      <c r="PCZ237" s="36"/>
      <c r="PDA237" s="36"/>
      <c r="PDB237" s="36"/>
      <c r="PDC237" s="36"/>
      <c r="PDD237" s="36"/>
      <c r="PDE237" s="36"/>
      <c r="PDF237" s="36"/>
      <c r="PDG237" s="36"/>
      <c r="PDH237" s="36"/>
      <c r="PDI237" s="36"/>
      <c r="PDJ237" s="36"/>
      <c r="PDK237" s="36"/>
      <c r="PDL237" s="36"/>
      <c r="PDM237" s="36"/>
      <c r="PDN237" s="36"/>
      <c r="PDO237" s="36"/>
      <c r="PDP237" s="36"/>
      <c r="PDQ237" s="36"/>
      <c r="PDR237" s="36"/>
      <c r="PDS237" s="36"/>
      <c r="PDT237" s="36"/>
      <c r="PDU237" s="36"/>
      <c r="PDV237" s="36"/>
      <c r="PDW237" s="36"/>
      <c r="PDX237" s="36"/>
      <c r="PDY237" s="36"/>
      <c r="PDZ237" s="36"/>
      <c r="PEA237" s="36"/>
      <c r="PEB237" s="36"/>
      <c r="PEC237" s="36"/>
      <c r="PED237" s="36"/>
      <c r="PEE237" s="36"/>
      <c r="PEF237" s="36"/>
      <c r="PEG237" s="36"/>
      <c r="PEH237" s="36"/>
      <c r="PEI237" s="36"/>
      <c r="PEJ237" s="36"/>
      <c r="PEK237" s="36"/>
      <c r="PEL237" s="36"/>
      <c r="PEM237" s="36"/>
      <c r="PEN237" s="36"/>
      <c r="PEO237" s="36"/>
      <c r="PEP237" s="36"/>
      <c r="PEQ237" s="36"/>
      <c r="PER237" s="36"/>
      <c r="PES237" s="36"/>
      <c r="PET237" s="36"/>
      <c r="PEU237" s="36"/>
      <c r="PEV237" s="36"/>
      <c r="PEW237" s="36"/>
      <c r="PEX237" s="36"/>
      <c r="PEY237" s="36"/>
      <c r="PEZ237" s="36"/>
      <c r="PFA237" s="36"/>
      <c r="PFB237" s="36"/>
      <c r="PFC237" s="36"/>
      <c r="PFD237" s="36"/>
      <c r="PFE237" s="36"/>
      <c r="PFF237" s="36"/>
      <c r="PFG237" s="36"/>
      <c r="PFH237" s="36"/>
      <c r="PFI237" s="36"/>
      <c r="PFJ237" s="36"/>
      <c r="PFK237" s="36"/>
      <c r="PFL237" s="36"/>
      <c r="PFM237" s="36"/>
      <c r="PFN237" s="36"/>
      <c r="PFO237" s="36"/>
      <c r="PFP237" s="36"/>
      <c r="PFQ237" s="36"/>
      <c r="PFR237" s="36"/>
      <c r="PFS237" s="36"/>
      <c r="PFT237" s="36"/>
      <c r="PFU237" s="36"/>
      <c r="PFV237" s="36"/>
      <c r="PFW237" s="36"/>
      <c r="PFX237" s="36"/>
      <c r="PFY237" s="36"/>
      <c r="PFZ237" s="36"/>
      <c r="PGA237" s="36"/>
      <c r="PGB237" s="36"/>
      <c r="PGC237" s="36"/>
      <c r="PGD237" s="36"/>
      <c r="PGE237" s="36"/>
      <c r="PGF237" s="36"/>
      <c r="PGG237" s="36"/>
      <c r="PGH237" s="36"/>
      <c r="PGI237" s="36"/>
      <c r="PGJ237" s="36"/>
      <c r="PGK237" s="36"/>
      <c r="PGL237" s="36"/>
      <c r="PGM237" s="36"/>
      <c r="PGN237" s="36"/>
      <c r="PGO237" s="36"/>
      <c r="PGP237" s="36"/>
      <c r="PGQ237" s="36"/>
      <c r="PGR237" s="36"/>
      <c r="PGS237" s="36"/>
      <c r="PGT237" s="36"/>
      <c r="PGU237" s="36"/>
      <c r="PGV237" s="36"/>
      <c r="PGW237" s="36"/>
      <c r="PGX237" s="36"/>
      <c r="PGY237" s="36"/>
      <c r="PGZ237" s="36"/>
      <c r="PHA237" s="36"/>
      <c r="PHB237" s="36"/>
      <c r="PHC237" s="36"/>
      <c r="PHD237" s="36"/>
      <c r="PHE237" s="36"/>
      <c r="PHF237" s="36"/>
      <c r="PHG237" s="36"/>
      <c r="PHH237" s="36"/>
      <c r="PHI237" s="36"/>
      <c r="PHJ237" s="36"/>
      <c r="PHK237" s="36"/>
      <c r="PHL237" s="36"/>
      <c r="PHM237" s="36"/>
      <c r="PHN237" s="36"/>
      <c r="PHO237" s="36"/>
      <c r="PHP237" s="36"/>
      <c r="PHQ237" s="36"/>
      <c r="PHR237" s="36"/>
      <c r="PHS237" s="36"/>
      <c r="PHT237" s="36"/>
      <c r="PHU237" s="36"/>
      <c r="PHV237" s="36"/>
      <c r="PHW237" s="36"/>
      <c r="PHX237" s="36"/>
      <c r="PHY237" s="36"/>
      <c r="PHZ237" s="36"/>
      <c r="PIA237" s="36"/>
      <c r="PIB237" s="36"/>
      <c r="PIC237" s="36"/>
      <c r="PID237" s="36"/>
      <c r="PIE237" s="36"/>
      <c r="PIF237" s="36"/>
      <c r="PIG237" s="36"/>
      <c r="PIH237" s="36"/>
      <c r="PII237" s="36"/>
      <c r="PIJ237" s="36"/>
      <c r="PIK237" s="36"/>
      <c r="PIL237" s="36"/>
      <c r="PIM237" s="36"/>
      <c r="PIN237" s="36"/>
      <c r="PIO237" s="36"/>
      <c r="PIP237" s="36"/>
      <c r="PIQ237" s="36"/>
      <c r="PIR237" s="36"/>
      <c r="PIS237" s="36"/>
      <c r="PIT237" s="36"/>
      <c r="PIU237" s="36"/>
      <c r="PIV237" s="36"/>
      <c r="PIW237" s="36"/>
      <c r="PIX237" s="36"/>
      <c r="PIY237" s="36"/>
      <c r="PIZ237" s="36"/>
      <c r="PJA237" s="36"/>
      <c r="PJB237" s="36"/>
      <c r="PJC237" s="36"/>
      <c r="PJD237" s="36"/>
      <c r="PJE237" s="36"/>
      <c r="PJF237" s="36"/>
      <c r="PJG237" s="36"/>
      <c r="PJH237" s="36"/>
      <c r="PJI237" s="36"/>
      <c r="PJJ237" s="36"/>
      <c r="PJK237" s="36"/>
      <c r="PJL237" s="36"/>
      <c r="PJM237" s="36"/>
      <c r="PJN237" s="36"/>
      <c r="PJO237" s="36"/>
      <c r="PJP237" s="36"/>
      <c r="PJQ237" s="36"/>
      <c r="PJR237" s="36"/>
      <c r="PJS237" s="36"/>
      <c r="PJT237" s="36"/>
      <c r="PJU237" s="36"/>
      <c r="PJV237" s="36"/>
      <c r="PJW237" s="36"/>
      <c r="PJX237" s="36"/>
      <c r="PJY237" s="36"/>
      <c r="PJZ237" s="36"/>
      <c r="PKA237" s="36"/>
      <c r="PKB237" s="36"/>
      <c r="PKC237" s="36"/>
      <c r="PKD237" s="36"/>
      <c r="PKE237" s="36"/>
      <c r="PKF237" s="36"/>
      <c r="PKG237" s="36"/>
      <c r="PKH237" s="36"/>
      <c r="PKI237" s="36"/>
      <c r="PKJ237" s="36"/>
      <c r="PKK237" s="36"/>
      <c r="PKL237" s="36"/>
      <c r="PKM237" s="36"/>
      <c r="PKN237" s="36"/>
      <c r="PKO237" s="36"/>
      <c r="PKP237" s="36"/>
      <c r="PKQ237" s="36"/>
      <c r="PKR237" s="36"/>
      <c r="PKS237" s="36"/>
      <c r="PKT237" s="36"/>
      <c r="PKU237" s="36"/>
      <c r="PKV237" s="36"/>
      <c r="PKW237" s="36"/>
      <c r="PKX237" s="36"/>
      <c r="PKY237" s="36"/>
      <c r="PKZ237" s="36"/>
      <c r="PLA237" s="36"/>
      <c r="PLB237" s="36"/>
      <c r="PLC237" s="36"/>
      <c r="PLD237" s="36"/>
      <c r="PLE237" s="36"/>
      <c r="PLF237" s="36"/>
      <c r="PLG237" s="36"/>
      <c r="PLH237" s="36"/>
      <c r="PLI237" s="36"/>
      <c r="PLJ237" s="36"/>
      <c r="PLK237" s="36"/>
      <c r="PLL237" s="36"/>
      <c r="PLM237" s="36"/>
      <c r="PLN237" s="36"/>
      <c r="PLO237" s="36"/>
      <c r="PLP237" s="36"/>
      <c r="PLQ237" s="36"/>
      <c r="PLR237" s="36"/>
      <c r="PLS237" s="36"/>
      <c r="PLT237" s="36"/>
      <c r="PLU237" s="36"/>
      <c r="PLV237" s="36"/>
      <c r="PLW237" s="36"/>
      <c r="PLX237" s="36"/>
      <c r="PLY237" s="36"/>
      <c r="PLZ237" s="36"/>
      <c r="PMA237" s="36"/>
      <c r="PMB237" s="36"/>
      <c r="PMC237" s="36"/>
      <c r="PMD237" s="36"/>
      <c r="PME237" s="36"/>
      <c r="PMF237" s="36"/>
      <c r="PMG237" s="36"/>
      <c r="PMH237" s="36"/>
      <c r="PMI237" s="36"/>
      <c r="PMJ237" s="36"/>
      <c r="PMK237" s="36"/>
      <c r="PML237" s="36"/>
      <c r="PMM237" s="36"/>
      <c r="PMN237" s="36"/>
      <c r="PMO237" s="36"/>
      <c r="PMP237" s="36"/>
      <c r="PMQ237" s="36"/>
      <c r="PMR237" s="36"/>
      <c r="PMS237" s="36"/>
      <c r="PMT237" s="36"/>
      <c r="PMU237" s="36"/>
      <c r="PMV237" s="36"/>
      <c r="PMW237" s="36"/>
      <c r="PMX237" s="36"/>
      <c r="PMY237" s="36"/>
      <c r="PMZ237" s="36"/>
      <c r="PNA237" s="36"/>
      <c r="PNB237" s="36"/>
      <c r="PNC237" s="36"/>
      <c r="PND237" s="36"/>
      <c r="PNE237" s="36"/>
      <c r="PNF237" s="36"/>
      <c r="PNG237" s="36"/>
      <c r="PNH237" s="36"/>
      <c r="PNI237" s="36"/>
      <c r="PNJ237" s="36"/>
      <c r="PNK237" s="36"/>
      <c r="PNL237" s="36"/>
      <c r="PNM237" s="36"/>
      <c r="PNN237" s="36"/>
      <c r="PNO237" s="36"/>
      <c r="PNP237" s="36"/>
      <c r="PNQ237" s="36"/>
      <c r="PNR237" s="36"/>
      <c r="PNS237" s="36"/>
      <c r="PNT237" s="36"/>
      <c r="PNU237" s="36"/>
      <c r="PNV237" s="36"/>
      <c r="PNW237" s="36"/>
      <c r="PNX237" s="36"/>
      <c r="PNY237" s="36"/>
      <c r="PNZ237" s="36"/>
      <c r="POA237" s="36"/>
      <c r="POB237" s="36"/>
      <c r="POC237" s="36"/>
      <c r="POD237" s="36"/>
      <c r="POE237" s="36"/>
      <c r="POF237" s="36"/>
      <c r="POG237" s="36"/>
      <c r="POH237" s="36"/>
      <c r="POI237" s="36"/>
      <c r="POJ237" s="36"/>
      <c r="POK237" s="36"/>
      <c r="POL237" s="36"/>
      <c r="POM237" s="36"/>
      <c r="PON237" s="36"/>
      <c r="POO237" s="36"/>
      <c r="POP237" s="36"/>
      <c r="POQ237" s="36"/>
      <c r="POR237" s="36"/>
      <c r="POS237" s="36"/>
      <c r="POT237" s="36"/>
      <c r="POU237" s="36"/>
      <c r="POV237" s="36"/>
      <c r="POW237" s="36"/>
      <c r="POX237" s="36"/>
      <c r="POY237" s="36"/>
      <c r="POZ237" s="36"/>
      <c r="PPA237" s="36"/>
      <c r="PPB237" s="36"/>
      <c r="PPC237" s="36"/>
      <c r="PPD237" s="36"/>
      <c r="PPE237" s="36"/>
      <c r="PPF237" s="36"/>
      <c r="PPG237" s="36"/>
      <c r="PPH237" s="36"/>
      <c r="PPI237" s="36"/>
      <c r="PPJ237" s="36"/>
      <c r="PPK237" s="36"/>
      <c r="PPL237" s="36"/>
      <c r="PPM237" s="36"/>
      <c r="PPN237" s="36"/>
      <c r="PPO237" s="36"/>
      <c r="PPP237" s="36"/>
      <c r="PPQ237" s="36"/>
      <c r="PPR237" s="36"/>
      <c r="PPS237" s="36"/>
      <c r="PPT237" s="36"/>
      <c r="PPU237" s="36"/>
      <c r="PPV237" s="36"/>
      <c r="PPW237" s="36"/>
      <c r="PPX237" s="36"/>
      <c r="PPY237" s="36"/>
      <c r="PPZ237" s="36"/>
      <c r="PQA237" s="36"/>
      <c r="PQB237" s="36"/>
      <c r="PQC237" s="36"/>
      <c r="PQD237" s="36"/>
      <c r="PQE237" s="36"/>
      <c r="PQF237" s="36"/>
      <c r="PQG237" s="36"/>
      <c r="PQH237" s="36"/>
      <c r="PQI237" s="36"/>
      <c r="PQJ237" s="36"/>
      <c r="PQK237" s="36"/>
      <c r="PQL237" s="36"/>
      <c r="PQM237" s="36"/>
      <c r="PQN237" s="36"/>
      <c r="PQO237" s="36"/>
      <c r="PQP237" s="36"/>
      <c r="PQQ237" s="36"/>
      <c r="PQR237" s="36"/>
      <c r="PQS237" s="36"/>
      <c r="PQT237" s="36"/>
      <c r="PQU237" s="36"/>
      <c r="PQV237" s="36"/>
      <c r="PQW237" s="36"/>
      <c r="PQX237" s="36"/>
      <c r="PQY237" s="36"/>
      <c r="PQZ237" s="36"/>
      <c r="PRA237" s="36"/>
      <c r="PRB237" s="36"/>
      <c r="PRC237" s="36"/>
      <c r="PRD237" s="36"/>
      <c r="PRE237" s="36"/>
      <c r="PRF237" s="36"/>
      <c r="PRG237" s="36"/>
      <c r="PRH237" s="36"/>
      <c r="PRI237" s="36"/>
      <c r="PRJ237" s="36"/>
      <c r="PRK237" s="36"/>
      <c r="PRL237" s="36"/>
      <c r="PRM237" s="36"/>
      <c r="PRN237" s="36"/>
      <c r="PRO237" s="36"/>
      <c r="PRP237" s="36"/>
      <c r="PRQ237" s="36"/>
      <c r="PRR237" s="36"/>
      <c r="PRS237" s="36"/>
      <c r="PRT237" s="36"/>
      <c r="PRU237" s="36"/>
      <c r="PRV237" s="36"/>
      <c r="PRW237" s="36"/>
      <c r="PRX237" s="36"/>
      <c r="PRY237" s="36"/>
      <c r="PRZ237" s="36"/>
      <c r="PSA237" s="36"/>
      <c r="PSB237" s="36"/>
      <c r="PSC237" s="36"/>
      <c r="PSD237" s="36"/>
      <c r="PSE237" s="36"/>
      <c r="PSF237" s="36"/>
      <c r="PSG237" s="36"/>
      <c r="PSH237" s="36"/>
      <c r="PSI237" s="36"/>
      <c r="PSJ237" s="36"/>
      <c r="PSK237" s="36"/>
      <c r="PSL237" s="36"/>
      <c r="PSM237" s="36"/>
      <c r="PSN237" s="36"/>
      <c r="PSO237" s="36"/>
      <c r="PSP237" s="36"/>
      <c r="PSQ237" s="36"/>
      <c r="PSR237" s="36"/>
      <c r="PSS237" s="36"/>
      <c r="PST237" s="36"/>
      <c r="PSU237" s="36"/>
      <c r="PSV237" s="36"/>
      <c r="PSW237" s="36"/>
      <c r="PSX237" s="36"/>
      <c r="PSY237" s="36"/>
      <c r="PSZ237" s="36"/>
      <c r="PTA237" s="36"/>
      <c r="PTB237" s="36"/>
      <c r="PTC237" s="36"/>
      <c r="PTD237" s="36"/>
      <c r="PTE237" s="36"/>
      <c r="PTF237" s="36"/>
      <c r="PTG237" s="36"/>
      <c r="PTH237" s="36"/>
      <c r="PTI237" s="36"/>
      <c r="PTJ237" s="36"/>
      <c r="PTK237" s="36"/>
      <c r="PTL237" s="36"/>
      <c r="PTM237" s="36"/>
      <c r="PTN237" s="36"/>
      <c r="PTO237" s="36"/>
      <c r="PTP237" s="36"/>
      <c r="PTQ237" s="36"/>
      <c r="PTR237" s="36"/>
      <c r="PTS237" s="36"/>
      <c r="PTT237" s="36"/>
      <c r="PTU237" s="36"/>
      <c r="PTV237" s="36"/>
      <c r="PTW237" s="36"/>
      <c r="PTX237" s="36"/>
      <c r="PTY237" s="36"/>
      <c r="PTZ237" s="36"/>
      <c r="PUA237" s="36"/>
      <c r="PUB237" s="36"/>
      <c r="PUC237" s="36"/>
      <c r="PUD237" s="36"/>
      <c r="PUE237" s="36"/>
      <c r="PUF237" s="36"/>
      <c r="PUG237" s="36"/>
      <c r="PUH237" s="36"/>
      <c r="PUI237" s="36"/>
      <c r="PUJ237" s="36"/>
      <c r="PUK237" s="36"/>
      <c r="PUL237" s="36"/>
      <c r="PUM237" s="36"/>
      <c r="PUN237" s="36"/>
      <c r="PUO237" s="36"/>
      <c r="PUP237" s="36"/>
      <c r="PUQ237" s="36"/>
      <c r="PUR237" s="36"/>
      <c r="PUS237" s="36"/>
      <c r="PUT237" s="36"/>
      <c r="PUU237" s="36"/>
      <c r="PUV237" s="36"/>
      <c r="PUW237" s="36"/>
      <c r="PUX237" s="36"/>
      <c r="PUY237" s="36"/>
      <c r="PUZ237" s="36"/>
      <c r="PVA237" s="36"/>
      <c r="PVB237" s="36"/>
      <c r="PVC237" s="36"/>
      <c r="PVD237" s="36"/>
      <c r="PVE237" s="36"/>
      <c r="PVF237" s="36"/>
      <c r="PVG237" s="36"/>
      <c r="PVH237" s="36"/>
      <c r="PVI237" s="36"/>
      <c r="PVJ237" s="36"/>
      <c r="PVK237" s="36"/>
      <c r="PVL237" s="36"/>
      <c r="PVM237" s="36"/>
      <c r="PVN237" s="36"/>
      <c r="PVO237" s="36"/>
      <c r="PVP237" s="36"/>
      <c r="PVQ237" s="36"/>
      <c r="PVR237" s="36"/>
      <c r="PVS237" s="36"/>
      <c r="PVT237" s="36"/>
      <c r="PVU237" s="36"/>
      <c r="PVV237" s="36"/>
      <c r="PVW237" s="36"/>
      <c r="PVX237" s="36"/>
      <c r="PVY237" s="36"/>
      <c r="PVZ237" s="36"/>
      <c r="PWA237" s="36"/>
      <c r="PWB237" s="36"/>
      <c r="PWC237" s="36"/>
      <c r="PWD237" s="36"/>
      <c r="PWE237" s="36"/>
      <c r="PWF237" s="36"/>
      <c r="PWG237" s="36"/>
      <c r="PWH237" s="36"/>
      <c r="PWI237" s="36"/>
      <c r="PWJ237" s="36"/>
      <c r="PWK237" s="36"/>
      <c r="PWL237" s="36"/>
      <c r="PWM237" s="36"/>
      <c r="PWN237" s="36"/>
      <c r="PWO237" s="36"/>
      <c r="PWP237" s="36"/>
      <c r="PWQ237" s="36"/>
      <c r="PWR237" s="36"/>
      <c r="PWS237" s="36"/>
      <c r="PWT237" s="36"/>
      <c r="PWU237" s="36"/>
      <c r="PWV237" s="36"/>
      <c r="PWW237" s="36"/>
      <c r="PWX237" s="36"/>
      <c r="PWY237" s="36"/>
      <c r="PWZ237" s="36"/>
      <c r="PXA237" s="36"/>
      <c r="PXB237" s="36"/>
      <c r="PXC237" s="36"/>
      <c r="PXD237" s="36"/>
      <c r="PXE237" s="36"/>
      <c r="PXF237" s="36"/>
      <c r="PXG237" s="36"/>
      <c r="PXH237" s="36"/>
      <c r="PXI237" s="36"/>
      <c r="PXJ237" s="36"/>
      <c r="PXK237" s="36"/>
      <c r="PXL237" s="36"/>
      <c r="PXM237" s="36"/>
      <c r="PXN237" s="36"/>
      <c r="PXO237" s="36"/>
      <c r="PXP237" s="36"/>
      <c r="PXQ237" s="36"/>
      <c r="PXR237" s="36"/>
      <c r="PXS237" s="36"/>
      <c r="PXT237" s="36"/>
      <c r="PXU237" s="36"/>
      <c r="PXV237" s="36"/>
      <c r="PXW237" s="36"/>
      <c r="PXX237" s="36"/>
      <c r="PXY237" s="36"/>
      <c r="PXZ237" s="36"/>
      <c r="PYA237" s="36"/>
      <c r="PYB237" s="36"/>
      <c r="PYC237" s="36"/>
      <c r="PYD237" s="36"/>
      <c r="PYE237" s="36"/>
      <c r="PYF237" s="36"/>
      <c r="PYG237" s="36"/>
      <c r="PYH237" s="36"/>
      <c r="PYI237" s="36"/>
      <c r="PYJ237" s="36"/>
      <c r="PYK237" s="36"/>
      <c r="PYL237" s="36"/>
      <c r="PYM237" s="36"/>
      <c r="PYN237" s="36"/>
      <c r="PYO237" s="36"/>
      <c r="PYP237" s="36"/>
      <c r="PYQ237" s="36"/>
      <c r="PYR237" s="36"/>
      <c r="PYS237" s="36"/>
      <c r="PYT237" s="36"/>
      <c r="PYU237" s="36"/>
      <c r="PYV237" s="36"/>
      <c r="PYW237" s="36"/>
      <c r="PYX237" s="36"/>
      <c r="PYY237" s="36"/>
      <c r="PYZ237" s="36"/>
      <c r="PZA237" s="36"/>
      <c r="PZB237" s="36"/>
      <c r="PZC237" s="36"/>
      <c r="PZD237" s="36"/>
      <c r="PZE237" s="36"/>
      <c r="PZF237" s="36"/>
      <c r="PZG237" s="36"/>
      <c r="PZH237" s="36"/>
      <c r="PZI237" s="36"/>
      <c r="PZJ237" s="36"/>
      <c r="PZK237" s="36"/>
      <c r="PZL237" s="36"/>
      <c r="PZM237" s="36"/>
      <c r="PZN237" s="36"/>
      <c r="PZO237" s="36"/>
      <c r="PZP237" s="36"/>
      <c r="PZQ237" s="36"/>
      <c r="PZR237" s="36"/>
      <c r="PZS237" s="36"/>
      <c r="PZT237" s="36"/>
      <c r="PZU237" s="36"/>
      <c r="PZV237" s="36"/>
      <c r="PZW237" s="36"/>
      <c r="PZX237" s="36"/>
      <c r="PZY237" s="36"/>
      <c r="PZZ237" s="36"/>
      <c r="QAA237" s="36"/>
      <c r="QAB237" s="36"/>
      <c r="QAC237" s="36"/>
      <c r="QAD237" s="36"/>
      <c r="QAE237" s="36"/>
      <c r="QAF237" s="36"/>
      <c r="QAG237" s="36"/>
      <c r="QAH237" s="36"/>
      <c r="QAI237" s="36"/>
      <c r="QAJ237" s="36"/>
      <c r="QAK237" s="36"/>
      <c r="QAL237" s="36"/>
      <c r="QAM237" s="36"/>
      <c r="QAN237" s="36"/>
      <c r="QAO237" s="36"/>
      <c r="QAP237" s="36"/>
      <c r="QAQ237" s="36"/>
      <c r="QAR237" s="36"/>
      <c r="QAS237" s="36"/>
      <c r="QAT237" s="36"/>
      <c r="QAU237" s="36"/>
      <c r="QAV237" s="36"/>
      <c r="QAW237" s="36"/>
      <c r="QAX237" s="36"/>
      <c r="QAY237" s="36"/>
      <c r="QAZ237" s="36"/>
      <c r="QBA237" s="36"/>
      <c r="QBB237" s="36"/>
      <c r="QBC237" s="36"/>
      <c r="QBD237" s="36"/>
      <c r="QBE237" s="36"/>
      <c r="QBF237" s="36"/>
      <c r="QBG237" s="36"/>
      <c r="QBH237" s="36"/>
      <c r="QBI237" s="36"/>
      <c r="QBJ237" s="36"/>
      <c r="QBK237" s="36"/>
      <c r="QBL237" s="36"/>
      <c r="QBM237" s="36"/>
      <c r="QBN237" s="36"/>
      <c r="QBO237" s="36"/>
      <c r="QBP237" s="36"/>
      <c r="QBQ237" s="36"/>
      <c r="QBR237" s="36"/>
      <c r="QBS237" s="36"/>
      <c r="QBT237" s="36"/>
      <c r="QBU237" s="36"/>
      <c r="QBV237" s="36"/>
      <c r="QBW237" s="36"/>
      <c r="QBX237" s="36"/>
      <c r="QBY237" s="36"/>
      <c r="QBZ237" s="36"/>
      <c r="QCA237" s="36"/>
      <c r="QCB237" s="36"/>
      <c r="QCC237" s="36"/>
      <c r="QCD237" s="36"/>
      <c r="QCE237" s="36"/>
      <c r="QCF237" s="36"/>
      <c r="QCG237" s="36"/>
      <c r="QCH237" s="36"/>
      <c r="QCI237" s="36"/>
      <c r="QCJ237" s="36"/>
      <c r="QCK237" s="36"/>
      <c r="QCL237" s="36"/>
      <c r="QCM237" s="36"/>
      <c r="QCN237" s="36"/>
      <c r="QCO237" s="36"/>
      <c r="QCP237" s="36"/>
      <c r="QCQ237" s="36"/>
      <c r="QCR237" s="36"/>
      <c r="QCS237" s="36"/>
      <c r="QCT237" s="36"/>
      <c r="QCU237" s="36"/>
      <c r="QCV237" s="36"/>
      <c r="QCW237" s="36"/>
      <c r="QCX237" s="36"/>
      <c r="QCY237" s="36"/>
      <c r="QCZ237" s="36"/>
      <c r="QDA237" s="36"/>
      <c r="QDB237" s="36"/>
      <c r="QDC237" s="36"/>
      <c r="QDD237" s="36"/>
      <c r="QDE237" s="36"/>
      <c r="QDF237" s="36"/>
      <c r="QDG237" s="36"/>
      <c r="QDH237" s="36"/>
      <c r="QDI237" s="36"/>
      <c r="QDJ237" s="36"/>
      <c r="QDK237" s="36"/>
      <c r="QDL237" s="36"/>
      <c r="QDM237" s="36"/>
      <c r="QDN237" s="36"/>
      <c r="QDO237" s="36"/>
      <c r="QDP237" s="36"/>
      <c r="QDQ237" s="36"/>
      <c r="QDR237" s="36"/>
      <c r="QDS237" s="36"/>
      <c r="QDT237" s="36"/>
      <c r="QDU237" s="36"/>
      <c r="QDV237" s="36"/>
      <c r="QDW237" s="36"/>
      <c r="QDX237" s="36"/>
      <c r="QDY237" s="36"/>
      <c r="QDZ237" s="36"/>
      <c r="QEA237" s="36"/>
      <c r="QEB237" s="36"/>
      <c r="QEC237" s="36"/>
      <c r="QED237" s="36"/>
      <c r="QEE237" s="36"/>
      <c r="QEF237" s="36"/>
      <c r="QEG237" s="36"/>
      <c r="QEH237" s="36"/>
      <c r="QEI237" s="36"/>
      <c r="QEJ237" s="36"/>
      <c r="QEK237" s="36"/>
      <c r="QEL237" s="36"/>
      <c r="QEM237" s="36"/>
      <c r="QEN237" s="36"/>
      <c r="QEO237" s="36"/>
      <c r="QEP237" s="36"/>
      <c r="QEQ237" s="36"/>
      <c r="QER237" s="36"/>
      <c r="QES237" s="36"/>
      <c r="QET237" s="36"/>
      <c r="QEU237" s="36"/>
      <c r="QEV237" s="36"/>
      <c r="QEW237" s="36"/>
      <c r="QEX237" s="36"/>
      <c r="QEY237" s="36"/>
      <c r="QEZ237" s="36"/>
      <c r="QFA237" s="36"/>
      <c r="QFB237" s="36"/>
      <c r="QFC237" s="36"/>
      <c r="QFD237" s="36"/>
      <c r="QFE237" s="36"/>
      <c r="QFF237" s="36"/>
      <c r="QFG237" s="36"/>
      <c r="QFH237" s="36"/>
      <c r="QFI237" s="36"/>
      <c r="QFJ237" s="36"/>
      <c r="QFK237" s="36"/>
      <c r="QFL237" s="36"/>
      <c r="QFM237" s="36"/>
      <c r="QFN237" s="36"/>
      <c r="QFO237" s="36"/>
      <c r="QFP237" s="36"/>
      <c r="QFQ237" s="36"/>
      <c r="QFR237" s="36"/>
      <c r="QFS237" s="36"/>
      <c r="QFT237" s="36"/>
      <c r="QFU237" s="36"/>
      <c r="QFV237" s="36"/>
      <c r="QFW237" s="36"/>
      <c r="QFX237" s="36"/>
      <c r="QFY237" s="36"/>
      <c r="QFZ237" s="36"/>
      <c r="QGA237" s="36"/>
      <c r="QGB237" s="36"/>
      <c r="QGC237" s="36"/>
      <c r="QGD237" s="36"/>
      <c r="QGE237" s="36"/>
      <c r="QGF237" s="36"/>
      <c r="QGG237" s="36"/>
      <c r="QGH237" s="36"/>
      <c r="QGI237" s="36"/>
      <c r="QGJ237" s="36"/>
      <c r="QGK237" s="36"/>
      <c r="QGL237" s="36"/>
      <c r="QGM237" s="36"/>
      <c r="QGN237" s="36"/>
      <c r="QGO237" s="36"/>
      <c r="QGP237" s="36"/>
      <c r="QGQ237" s="36"/>
      <c r="QGR237" s="36"/>
      <c r="QGS237" s="36"/>
      <c r="QGT237" s="36"/>
      <c r="QGU237" s="36"/>
      <c r="QGV237" s="36"/>
      <c r="QGW237" s="36"/>
      <c r="QGX237" s="36"/>
      <c r="QGY237" s="36"/>
      <c r="QGZ237" s="36"/>
      <c r="QHA237" s="36"/>
      <c r="QHB237" s="36"/>
      <c r="QHC237" s="36"/>
      <c r="QHD237" s="36"/>
      <c r="QHE237" s="36"/>
      <c r="QHF237" s="36"/>
      <c r="QHG237" s="36"/>
      <c r="QHH237" s="36"/>
      <c r="QHI237" s="36"/>
      <c r="QHJ237" s="36"/>
      <c r="QHK237" s="36"/>
      <c r="QHL237" s="36"/>
      <c r="QHM237" s="36"/>
      <c r="QHN237" s="36"/>
      <c r="QHO237" s="36"/>
      <c r="QHP237" s="36"/>
      <c r="QHQ237" s="36"/>
      <c r="QHR237" s="36"/>
      <c r="QHS237" s="36"/>
      <c r="QHT237" s="36"/>
      <c r="QHU237" s="36"/>
      <c r="QHV237" s="36"/>
      <c r="QHW237" s="36"/>
      <c r="QHX237" s="36"/>
      <c r="QHY237" s="36"/>
      <c r="QHZ237" s="36"/>
      <c r="QIA237" s="36"/>
      <c r="QIB237" s="36"/>
      <c r="QIC237" s="36"/>
      <c r="QID237" s="36"/>
      <c r="QIE237" s="36"/>
      <c r="QIF237" s="36"/>
      <c r="QIG237" s="36"/>
      <c r="QIH237" s="36"/>
      <c r="QII237" s="36"/>
      <c r="QIJ237" s="36"/>
      <c r="QIK237" s="36"/>
      <c r="QIL237" s="36"/>
      <c r="QIM237" s="36"/>
      <c r="QIN237" s="36"/>
      <c r="QIO237" s="36"/>
      <c r="QIP237" s="36"/>
      <c r="QIQ237" s="36"/>
      <c r="QIR237" s="36"/>
      <c r="QIS237" s="36"/>
      <c r="QIT237" s="36"/>
      <c r="QIU237" s="36"/>
      <c r="QIV237" s="36"/>
      <c r="QIW237" s="36"/>
      <c r="QIX237" s="36"/>
      <c r="QIY237" s="36"/>
      <c r="QIZ237" s="36"/>
      <c r="QJA237" s="36"/>
      <c r="QJB237" s="36"/>
      <c r="QJC237" s="36"/>
      <c r="QJD237" s="36"/>
      <c r="QJE237" s="36"/>
      <c r="QJF237" s="36"/>
      <c r="QJG237" s="36"/>
      <c r="QJH237" s="36"/>
      <c r="QJI237" s="36"/>
      <c r="QJJ237" s="36"/>
      <c r="QJK237" s="36"/>
      <c r="QJL237" s="36"/>
      <c r="QJM237" s="36"/>
      <c r="QJN237" s="36"/>
      <c r="QJO237" s="36"/>
      <c r="QJP237" s="36"/>
      <c r="QJQ237" s="36"/>
      <c r="QJR237" s="36"/>
      <c r="QJS237" s="36"/>
      <c r="QJT237" s="36"/>
      <c r="QJU237" s="36"/>
      <c r="QJV237" s="36"/>
      <c r="QJW237" s="36"/>
      <c r="QJX237" s="36"/>
      <c r="QJY237" s="36"/>
      <c r="QJZ237" s="36"/>
      <c r="QKA237" s="36"/>
      <c r="QKB237" s="36"/>
      <c r="QKC237" s="36"/>
      <c r="QKD237" s="36"/>
      <c r="QKE237" s="36"/>
      <c r="QKF237" s="36"/>
      <c r="QKG237" s="36"/>
      <c r="QKH237" s="36"/>
      <c r="QKI237" s="36"/>
      <c r="QKJ237" s="36"/>
      <c r="QKK237" s="36"/>
      <c r="QKL237" s="36"/>
      <c r="QKM237" s="36"/>
      <c r="QKN237" s="36"/>
      <c r="QKO237" s="36"/>
      <c r="QKP237" s="36"/>
      <c r="QKQ237" s="36"/>
      <c r="QKR237" s="36"/>
      <c r="QKS237" s="36"/>
      <c r="QKT237" s="36"/>
      <c r="QKU237" s="36"/>
      <c r="QKV237" s="36"/>
      <c r="QKW237" s="36"/>
      <c r="QKX237" s="36"/>
      <c r="QKY237" s="36"/>
      <c r="QKZ237" s="36"/>
      <c r="QLA237" s="36"/>
      <c r="QLB237" s="36"/>
      <c r="QLC237" s="36"/>
      <c r="QLD237" s="36"/>
      <c r="QLE237" s="36"/>
      <c r="QLF237" s="36"/>
      <c r="QLG237" s="36"/>
      <c r="QLH237" s="36"/>
      <c r="QLI237" s="36"/>
      <c r="QLJ237" s="36"/>
      <c r="QLK237" s="36"/>
      <c r="QLL237" s="36"/>
      <c r="QLM237" s="36"/>
      <c r="QLN237" s="36"/>
      <c r="QLO237" s="36"/>
      <c r="QLP237" s="36"/>
      <c r="QLQ237" s="36"/>
      <c r="QLR237" s="36"/>
      <c r="QLS237" s="36"/>
      <c r="QLT237" s="36"/>
      <c r="QLU237" s="36"/>
      <c r="QLV237" s="36"/>
      <c r="QLW237" s="36"/>
      <c r="QLX237" s="36"/>
      <c r="QLY237" s="36"/>
      <c r="QLZ237" s="36"/>
      <c r="QMA237" s="36"/>
      <c r="QMB237" s="36"/>
      <c r="QMC237" s="36"/>
      <c r="QMD237" s="36"/>
      <c r="QME237" s="36"/>
      <c r="QMF237" s="36"/>
      <c r="QMG237" s="36"/>
      <c r="QMH237" s="36"/>
      <c r="QMI237" s="36"/>
      <c r="QMJ237" s="36"/>
      <c r="QMK237" s="36"/>
      <c r="QML237" s="36"/>
      <c r="QMM237" s="36"/>
      <c r="QMN237" s="36"/>
      <c r="QMO237" s="36"/>
      <c r="QMP237" s="36"/>
      <c r="QMQ237" s="36"/>
      <c r="QMR237" s="36"/>
      <c r="QMS237" s="36"/>
      <c r="QMT237" s="36"/>
      <c r="QMU237" s="36"/>
      <c r="QMV237" s="36"/>
      <c r="QMW237" s="36"/>
      <c r="QMX237" s="36"/>
      <c r="QMY237" s="36"/>
      <c r="QMZ237" s="36"/>
      <c r="QNA237" s="36"/>
      <c r="QNB237" s="36"/>
      <c r="QNC237" s="36"/>
      <c r="QND237" s="36"/>
      <c r="QNE237" s="36"/>
      <c r="QNF237" s="36"/>
      <c r="QNG237" s="36"/>
      <c r="QNH237" s="36"/>
      <c r="QNI237" s="36"/>
      <c r="QNJ237" s="36"/>
      <c r="QNK237" s="36"/>
      <c r="QNL237" s="36"/>
      <c r="QNM237" s="36"/>
      <c r="QNN237" s="36"/>
      <c r="QNO237" s="36"/>
      <c r="QNP237" s="36"/>
      <c r="QNQ237" s="36"/>
      <c r="QNR237" s="36"/>
      <c r="QNS237" s="36"/>
      <c r="QNT237" s="36"/>
      <c r="QNU237" s="36"/>
      <c r="QNV237" s="36"/>
      <c r="QNW237" s="36"/>
      <c r="QNX237" s="36"/>
      <c r="QNY237" s="36"/>
      <c r="QNZ237" s="36"/>
      <c r="QOA237" s="36"/>
      <c r="QOB237" s="36"/>
      <c r="QOC237" s="36"/>
      <c r="QOD237" s="36"/>
      <c r="QOE237" s="36"/>
      <c r="QOF237" s="36"/>
      <c r="QOG237" s="36"/>
      <c r="QOH237" s="36"/>
      <c r="QOI237" s="36"/>
      <c r="QOJ237" s="36"/>
      <c r="QOK237" s="36"/>
      <c r="QOL237" s="36"/>
      <c r="QOM237" s="36"/>
      <c r="QON237" s="36"/>
      <c r="QOO237" s="36"/>
      <c r="QOP237" s="36"/>
      <c r="QOQ237" s="36"/>
      <c r="QOR237" s="36"/>
      <c r="QOS237" s="36"/>
      <c r="QOT237" s="36"/>
      <c r="QOU237" s="36"/>
      <c r="QOV237" s="36"/>
      <c r="QOW237" s="36"/>
      <c r="QOX237" s="36"/>
      <c r="QOY237" s="36"/>
      <c r="QOZ237" s="36"/>
      <c r="QPA237" s="36"/>
      <c r="QPB237" s="36"/>
      <c r="QPC237" s="36"/>
      <c r="QPD237" s="36"/>
      <c r="QPE237" s="36"/>
      <c r="QPF237" s="36"/>
      <c r="QPG237" s="36"/>
      <c r="QPH237" s="36"/>
      <c r="QPI237" s="36"/>
      <c r="QPJ237" s="36"/>
      <c r="QPK237" s="36"/>
      <c r="QPL237" s="36"/>
      <c r="QPM237" s="36"/>
      <c r="QPN237" s="36"/>
      <c r="QPO237" s="36"/>
      <c r="QPP237" s="36"/>
      <c r="QPQ237" s="36"/>
      <c r="QPR237" s="36"/>
      <c r="QPS237" s="36"/>
      <c r="QPT237" s="36"/>
      <c r="QPU237" s="36"/>
      <c r="QPV237" s="36"/>
      <c r="QPW237" s="36"/>
      <c r="QPX237" s="36"/>
      <c r="QPY237" s="36"/>
      <c r="QPZ237" s="36"/>
      <c r="QQA237" s="36"/>
      <c r="QQB237" s="36"/>
      <c r="QQC237" s="36"/>
      <c r="QQD237" s="36"/>
      <c r="QQE237" s="36"/>
      <c r="QQF237" s="36"/>
      <c r="QQG237" s="36"/>
      <c r="QQH237" s="36"/>
      <c r="QQI237" s="36"/>
      <c r="QQJ237" s="36"/>
      <c r="QQK237" s="36"/>
      <c r="QQL237" s="36"/>
      <c r="QQM237" s="36"/>
      <c r="QQN237" s="36"/>
      <c r="QQO237" s="36"/>
      <c r="QQP237" s="36"/>
      <c r="QQQ237" s="36"/>
      <c r="QQR237" s="36"/>
      <c r="QQS237" s="36"/>
      <c r="QQT237" s="36"/>
      <c r="QQU237" s="36"/>
      <c r="QQV237" s="36"/>
      <c r="QQW237" s="36"/>
      <c r="QQX237" s="36"/>
      <c r="QQY237" s="36"/>
      <c r="QQZ237" s="36"/>
      <c r="QRA237" s="36"/>
      <c r="QRB237" s="36"/>
      <c r="QRC237" s="36"/>
      <c r="QRD237" s="36"/>
      <c r="QRE237" s="36"/>
      <c r="QRF237" s="36"/>
      <c r="QRG237" s="36"/>
      <c r="QRH237" s="36"/>
      <c r="QRI237" s="36"/>
      <c r="QRJ237" s="36"/>
      <c r="QRK237" s="36"/>
      <c r="QRL237" s="36"/>
      <c r="QRM237" s="36"/>
      <c r="QRN237" s="36"/>
      <c r="QRO237" s="36"/>
      <c r="QRP237" s="36"/>
      <c r="QRQ237" s="36"/>
      <c r="QRR237" s="36"/>
      <c r="QRS237" s="36"/>
      <c r="QRT237" s="36"/>
      <c r="QRU237" s="36"/>
      <c r="QRV237" s="36"/>
      <c r="QRW237" s="36"/>
      <c r="QRX237" s="36"/>
      <c r="QRY237" s="36"/>
      <c r="QRZ237" s="36"/>
      <c r="QSA237" s="36"/>
      <c r="QSB237" s="36"/>
      <c r="QSC237" s="36"/>
      <c r="QSD237" s="36"/>
      <c r="QSE237" s="36"/>
      <c r="QSF237" s="36"/>
      <c r="QSG237" s="36"/>
      <c r="QSH237" s="36"/>
      <c r="QSI237" s="36"/>
      <c r="QSJ237" s="36"/>
      <c r="QSK237" s="36"/>
      <c r="QSL237" s="36"/>
      <c r="QSM237" s="36"/>
      <c r="QSN237" s="36"/>
      <c r="QSO237" s="36"/>
      <c r="QSP237" s="36"/>
      <c r="QSQ237" s="36"/>
      <c r="QSR237" s="36"/>
      <c r="QSS237" s="36"/>
      <c r="QST237" s="36"/>
      <c r="QSU237" s="36"/>
      <c r="QSV237" s="36"/>
      <c r="QSW237" s="36"/>
      <c r="QSX237" s="36"/>
      <c r="QSY237" s="36"/>
      <c r="QSZ237" s="36"/>
      <c r="QTA237" s="36"/>
      <c r="QTB237" s="36"/>
      <c r="QTC237" s="36"/>
      <c r="QTD237" s="36"/>
      <c r="QTE237" s="36"/>
      <c r="QTF237" s="36"/>
      <c r="QTG237" s="36"/>
      <c r="QTH237" s="36"/>
      <c r="QTI237" s="36"/>
      <c r="QTJ237" s="36"/>
      <c r="QTK237" s="36"/>
      <c r="QTL237" s="36"/>
      <c r="QTM237" s="36"/>
      <c r="QTN237" s="36"/>
      <c r="QTO237" s="36"/>
      <c r="QTP237" s="36"/>
      <c r="QTQ237" s="36"/>
      <c r="QTR237" s="36"/>
      <c r="QTS237" s="36"/>
      <c r="QTT237" s="36"/>
      <c r="QTU237" s="36"/>
      <c r="QTV237" s="36"/>
      <c r="QTW237" s="36"/>
      <c r="QTX237" s="36"/>
      <c r="QTY237" s="36"/>
      <c r="QTZ237" s="36"/>
      <c r="QUA237" s="36"/>
      <c r="QUB237" s="36"/>
      <c r="QUC237" s="36"/>
      <c r="QUD237" s="36"/>
      <c r="QUE237" s="36"/>
      <c r="QUF237" s="36"/>
      <c r="QUG237" s="36"/>
      <c r="QUH237" s="36"/>
      <c r="QUI237" s="36"/>
      <c r="QUJ237" s="36"/>
      <c r="QUK237" s="36"/>
      <c r="QUL237" s="36"/>
      <c r="QUM237" s="36"/>
      <c r="QUN237" s="36"/>
      <c r="QUO237" s="36"/>
      <c r="QUP237" s="36"/>
      <c r="QUQ237" s="36"/>
      <c r="QUR237" s="36"/>
      <c r="QUS237" s="36"/>
      <c r="QUT237" s="36"/>
      <c r="QUU237" s="36"/>
      <c r="QUV237" s="36"/>
      <c r="QUW237" s="36"/>
      <c r="QUX237" s="36"/>
      <c r="QUY237" s="36"/>
      <c r="QUZ237" s="36"/>
      <c r="QVA237" s="36"/>
      <c r="QVB237" s="36"/>
      <c r="QVC237" s="36"/>
      <c r="QVD237" s="36"/>
      <c r="QVE237" s="36"/>
      <c r="QVF237" s="36"/>
      <c r="QVG237" s="36"/>
      <c r="QVH237" s="36"/>
      <c r="QVI237" s="36"/>
      <c r="QVJ237" s="36"/>
      <c r="QVK237" s="36"/>
      <c r="QVL237" s="36"/>
      <c r="QVM237" s="36"/>
      <c r="QVN237" s="36"/>
      <c r="QVO237" s="36"/>
      <c r="QVP237" s="36"/>
      <c r="QVQ237" s="36"/>
      <c r="QVR237" s="36"/>
      <c r="QVS237" s="36"/>
      <c r="QVT237" s="36"/>
      <c r="QVU237" s="36"/>
      <c r="QVV237" s="36"/>
      <c r="QVW237" s="36"/>
      <c r="QVX237" s="36"/>
      <c r="QVY237" s="36"/>
      <c r="QVZ237" s="36"/>
      <c r="QWA237" s="36"/>
      <c r="QWB237" s="36"/>
      <c r="QWC237" s="36"/>
      <c r="QWD237" s="36"/>
      <c r="QWE237" s="36"/>
      <c r="QWF237" s="36"/>
      <c r="QWG237" s="36"/>
      <c r="QWH237" s="36"/>
      <c r="QWI237" s="36"/>
      <c r="QWJ237" s="36"/>
      <c r="QWK237" s="36"/>
      <c r="QWL237" s="36"/>
      <c r="QWM237" s="36"/>
      <c r="QWN237" s="36"/>
      <c r="QWO237" s="36"/>
      <c r="QWP237" s="36"/>
      <c r="QWQ237" s="36"/>
      <c r="QWR237" s="36"/>
      <c r="QWS237" s="36"/>
      <c r="QWT237" s="36"/>
      <c r="QWU237" s="36"/>
      <c r="QWV237" s="36"/>
      <c r="QWW237" s="36"/>
      <c r="QWX237" s="36"/>
      <c r="QWY237" s="36"/>
      <c r="QWZ237" s="36"/>
      <c r="QXA237" s="36"/>
      <c r="QXB237" s="36"/>
      <c r="QXC237" s="36"/>
      <c r="QXD237" s="36"/>
      <c r="QXE237" s="36"/>
      <c r="QXF237" s="36"/>
      <c r="QXG237" s="36"/>
      <c r="QXH237" s="36"/>
      <c r="QXI237" s="36"/>
      <c r="QXJ237" s="36"/>
      <c r="QXK237" s="36"/>
      <c r="QXL237" s="36"/>
      <c r="QXM237" s="36"/>
      <c r="QXN237" s="36"/>
      <c r="QXO237" s="36"/>
      <c r="QXP237" s="36"/>
      <c r="QXQ237" s="36"/>
      <c r="QXR237" s="36"/>
      <c r="QXS237" s="36"/>
      <c r="QXT237" s="36"/>
      <c r="QXU237" s="36"/>
      <c r="QXV237" s="36"/>
      <c r="QXW237" s="36"/>
      <c r="QXX237" s="36"/>
      <c r="QXY237" s="36"/>
      <c r="QXZ237" s="36"/>
      <c r="QYA237" s="36"/>
      <c r="QYB237" s="36"/>
      <c r="QYC237" s="36"/>
      <c r="QYD237" s="36"/>
      <c r="QYE237" s="36"/>
      <c r="QYF237" s="36"/>
      <c r="QYG237" s="36"/>
      <c r="QYH237" s="36"/>
      <c r="QYI237" s="36"/>
      <c r="QYJ237" s="36"/>
      <c r="QYK237" s="36"/>
      <c r="QYL237" s="36"/>
      <c r="QYM237" s="36"/>
      <c r="QYN237" s="36"/>
      <c r="QYO237" s="36"/>
      <c r="QYP237" s="36"/>
      <c r="QYQ237" s="36"/>
      <c r="QYR237" s="36"/>
      <c r="QYS237" s="36"/>
      <c r="QYT237" s="36"/>
      <c r="QYU237" s="36"/>
      <c r="QYV237" s="36"/>
      <c r="QYW237" s="36"/>
      <c r="QYX237" s="36"/>
      <c r="QYY237" s="36"/>
      <c r="QYZ237" s="36"/>
      <c r="QZA237" s="36"/>
      <c r="QZB237" s="36"/>
      <c r="QZC237" s="36"/>
      <c r="QZD237" s="36"/>
      <c r="QZE237" s="36"/>
      <c r="QZF237" s="36"/>
      <c r="QZG237" s="36"/>
      <c r="QZH237" s="36"/>
      <c r="QZI237" s="36"/>
      <c r="QZJ237" s="36"/>
      <c r="QZK237" s="36"/>
      <c r="QZL237" s="36"/>
      <c r="QZM237" s="36"/>
      <c r="QZN237" s="36"/>
      <c r="QZO237" s="36"/>
      <c r="QZP237" s="36"/>
      <c r="QZQ237" s="36"/>
      <c r="QZR237" s="36"/>
      <c r="QZS237" s="36"/>
      <c r="QZT237" s="36"/>
      <c r="QZU237" s="36"/>
      <c r="QZV237" s="36"/>
      <c r="QZW237" s="36"/>
      <c r="QZX237" s="36"/>
      <c r="QZY237" s="36"/>
      <c r="QZZ237" s="36"/>
      <c r="RAA237" s="36"/>
      <c r="RAB237" s="36"/>
      <c r="RAC237" s="36"/>
      <c r="RAD237" s="36"/>
      <c r="RAE237" s="36"/>
      <c r="RAF237" s="36"/>
      <c r="RAG237" s="36"/>
      <c r="RAH237" s="36"/>
      <c r="RAI237" s="36"/>
      <c r="RAJ237" s="36"/>
      <c r="RAK237" s="36"/>
      <c r="RAL237" s="36"/>
      <c r="RAM237" s="36"/>
      <c r="RAN237" s="36"/>
      <c r="RAO237" s="36"/>
      <c r="RAP237" s="36"/>
      <c r="RAQ237" s="36"/>
      <c r="RAR237" s="36"/>
      <c r="RAS237" s="36"/>
      <c r="RAT237" s="36"/>
      <c r="RAU237" s="36"/>
      <c r="RAV237" s="36"/>
      <c r="RAW237" s="36"/>
      <c r="RAX237" s="36"/>
      <c r="RAY237" s="36"/>
      <c r="RAZ237" s="36"/>
      <c r="RBA237" s="36"/>
      <c r="RBB237" s="36"/>
      <c r="RBC237" s="36"/>
      <c r="RBD237" s="36"/>
      <c r="RBE237" s="36"/>
      <c r="RBF237" s="36"/>
      <c r="RBG237" s="36"/>
      <c r="RBH237" s="36"/>
      <c r="RBI237" s="36"/>
      <c r="RBJ237" s="36"/>
      <c r="RBK237" s="36"/>
      <c r="RBL237" s="36"/>
      <c r="RBM237" s="36"/>
      <c r="RBN237" s="36"/>
      <c r="RBO237" s="36"/>
      <c r="RBP237" s="36"/>
      <c r="RBQ237" s="36"/>
      <c r="RBR237" s="36"/>
      <c r="RBS237" s="36"/>
      <c r="RBT237" s="36"/>
      <c r="RBU237" s="36"/>
      <c r="RBV237" s="36"/>
      <c r="RBW237" s="36"/>
      <c r="RBX237" s="36"/>
      <c r="RBY237" s="36"/>
      <c r="RBZ237" s="36"/>
      <c r="RCA237" s="36"/>
      <c r="RCB237" s="36"/>
      <c r="RCC237" s="36"/>
      <c r="RCD237" s="36"/>
      <c r="RCE237" s="36"/>
      <c r="RCF237" s="36"/>
      <c r="RCG237" s="36"/>
      <c r="RCH237" s="36"/>
      <c r="RCI237" s="36"/>
      <c r="RCJ237" s="36"/>
      <c r="RCK237" s="36"/>
      <c r="RCL237" s="36"/>
      <c r="RCM237" s="36"/>
      <c r="RCN237" s="36"/>
      <c r="RCO237" s="36"/>
      <c r="RCP237" s="36"/>
      <c r="RCQ237" s="36"/>
      <c r="RCR237" s="36"/>
      <c r="RCS237" s="36"/>
      <c r="RCT237" s="36"/>
      <c r="RCU237" s="36"/>
      <c r="RCV237" s="36"/>
      <c r="RCW237" s="36"/>
      <c r="RCX237" s="36"/>
      <c r="RCY237" s="36"/>
      <c r="RCZ237" s="36"/>
      <c r="RDA237" s="36"/>
      <c r="RDB237" s="36"/>
      <c r="RDC237" s="36"/>
      <c r="RDD237" s="36"/>
      <c r="RDE237" s="36"/>
      <c r="RDF237" s="36"/>
      <c r="RDG237" s="36"/>
      <c r="RDH237" s="36"/>
      <c r="RDI237" s="36"/>
      <c r="RDJ237" s="36"/>
      <c r="RDK237" s="36"/>
      <c r="RDL237" s="36"/>
      <c r="RDM237" s="36"/>
      <c r="RDN237" s="36"/>
      <c r="RDO237" s="36"/>
      <c r="RDP237" s="36"/>
      <c r="RDQ237" s="36"/>
      <c r="RDR237" s="36"/>
      <c r="RDS237" s="36"/>
      <c r="RDT237" s="36"/>
      <c r="RDU237" s="36"/>
      <c r="RDV237" s="36"/>
      <c r="RDW237" s="36"/>
      <c r="RDX237" s="36"/>
      <c r="RDY237" s="36"/>
      <c r="RDZ237" s="36"/>
      <c r="REA237" s="36"/>
      <c r="REB237" s="36"/>
      <c r="REC237" s="36"/>
      <c r="RED237" s="36"/>
      <c r="REE237" s="36"/>
      <c r="REF237" s="36"/>
      <c r="REG237" s="36"/>
      <c r="REH237" s="36"/>
      <c r="REI237" s="36"/>
      <c r="REJ237" s="36"/>
      <c r="REK237" s="36"/>
      <c r="REL237" s="36"/>
      <c r="REM237" s="36"/>
      <c r="REN237" s="36"/>
      <c r="REO237" s="36"/>
      <c r="REP237" s="36"/>
      <c r="REQ237" s="36"/>
      <c r="RER237" s="36"/>
      <c r="RES237" s="36"/>
      <c r="RET237" s="36"/>
      <c r="REU237" s="36"/>
      <c r="REV237" s="36"/>
      <c r="REW237" s="36"/>
      <c r="REX237" s="36"/>
      <c r="REY237" s="36"/>
      <c r="REZ237" s="36"/>
      <c r="RFA237" s="36"/>
      <c r="RFB237" s="36"/>
      <c r="RFC237" s="36"/>
      <c r="RFD237" s="36"/>
      <c r="RFE237" s="36"/>
      <c r="RFF237" s="36"/>
      <c r="RFG237" s="36"/>
      <c r="RFH237" s="36"/>
      <c r="RFI237" s="36"/>
      <c r="RFJ237" s="36"/>
      <c r="RFK237" s="36"/>
      <c r="RFL237" s="36"/>
      <c r="RFM237" s="36"/>
      <c r="RFN237" s="36"/>
      <c r="RFO237" s="36"/>
      <c r="RFP237" s="36"/>
      <c r="RFQ237" s="36"/>
      <c r="RFR237" s="36"/>
      <c r="RFS237" s="36"/>
      <c r="RFT237" s="36"/>
      <c r="RFU237" s="36"/>
      <c r="RFV237" s="36"/>
      <c r="RFW237" s="36"/>
      <c r="RFX237" s="36"/>
      <c r="RFY237" s="36"/>
      <c r="RFZ237" s="36"/>
      <c r="RGA237" s="36"/>
      <c r="RGB237" s="36"/>
      <c r="RGC237" s="36"/>
      <c r="RGD237" s="36"/>
      <c r="RGE237" s="36"/>
      <c r="RGF237" s="36"/>
      <c r="RGG237" s="36"/>
      <c r="RGH237" s="36"/>
      <c r="RGI237" s="36"/>
      <c r="RGJ237" s="36"/>
      <c r="RGK237" s="36"/>
      <c r="RGL237" s="36"/>
      <c r="RGM237" s="36"/>
      <c r="RGN237" s="36"/>
      <c r="RGO237" s="36"/>
      <c r="RGP237" s="36"/>
      <c r="RGQ237" s="36"/>
      <c r="RGR237" s="36"/>
      <c r="RGS237" s="36"/>
      <c r="RGT237" s="36"/>
      <c r="RGU237" s="36"/>
      <c r="RGV237" s="36"/>
      <c r="RGW237" s="36"/>
      <c r="RGX237" s="36"/>
      <c r="RGY237" s="36"/>
      <c r="RGZ237" s="36"/>
      <c r="RHA237" s="36"/>
      <c r="RHB237" s="36"/>
      <c r="RHC237" s="36"/>
      <c r="RHD237" s="36"/>
      <c r="RHE237" s="36"/>
      <c r="RHF237" s="36"/>
      <c r="RHG237" s="36"/>
      <c r="RHH237" s="36"/>
      <c r="RHI237" s="36"/>
      <c r="RHJ237" s="36"/>
      <c r="RHK237" s="36"/>
      <c r="RHL237" s="36"/>
      <c r="RHM237" s="36"/>
      <c r="RHN237" s="36"/>
      <c r="RHO237" s="36"/>
      <c r="RHP237" s="36"/>
      <c r="RHQ237" s="36"/>
      <c r="RHR237" s="36"/>
      <c r="RHS237" s="36"/>
      <c r="RHT237" s="36"/>
      <c r="RHU237" s="36"/>
      <c r="RHV237" s="36"/>
      <c r="RHW237" s="36"/>
      <c r="RHX237" s="36"/>
      <c r="RHY237" s="36"/>
      <c r="RHZ237" s="36"/>
      <c r="RIA237" s="36"/>
      <c r="RIB237" s="36"/>
      <c r="RIC237" s="36"/>
      <c r="RID237" s="36"/>
      <c r="RIE237" s="36"/>
      <c r="RIF237" s="36"/>
      <c r="RIG237" s="36"/>
      <c r="RIH237" s="36"/>
      <c r="RII237" s="36"/>
      <c r="RIJ237" s="36"/>
      <c r="RIK237" s="36"/>
      <c r="RIL237" s="36"/>
      <c r="RIM237" s="36"/>
      <c r="RIN237" s="36"/>
      <c r="RIO237" s="36"/>
      <c r="RIP237" s="36"/>
      <c r="RIQ237" s="36"/>
      <c r="RIR237" s="36"/>
      <c r="RIS237" s="36"/>
      <c r="RIT237" s="36"/>
      <c r="RIU237" s="36"/>
      <c r="RIV237" s="36"/>
      <c r="RIW237" s="36"/>
      <c r="RIX237" s="36"/>
      <c r="RIY237" s="36"/>
      <c r="RIZ237" s="36"/>
      <c r="RJA237" s="36"/>
      <c r="RJB237" s="36"/>
      <c r="RJC237" s="36"/>
      <c r="RJD237" s="36"/>
      <c r="RJE237" s="36"/>
      <c r="RJF237" s="36"/>
      <c r="RJG237" s="36"/>
      <c r="RJH237" s="36"/>
      <c r="RJI237" s="36"/>
      <c r="RJJ237" s="36"/>
      <c r="RJK237" s="36"/>
      <c r="RJL237" s="36"/>
      <c r="RJM237" s="36"/>
      <c r="RJN237" s="36"/>
      <c r="RJO237" s="36"/>
      <c r="RJP237" s="36"/>
      <c r="RJQ237" s="36"/>
      <c r="RJR237" s="36"/>
      <c r="RJS237" s="36"/>
      <c r="RJT237" s="36"/>
      <c r="RJU237" s="36"/>
      <c r="RJV237" s="36"/>
      <c r="RJW237" s="36"/>
      <c r="RJX237" s="36"/>
      <c r="RJY237" s="36"/>
      <c r="RJZ237" s="36"/>
      <c r="RKA237" s="36"/>
      <c r="RKB237" s="36"/>
      <c r="RKC237" s="36"/>
      <c r="RKD237" s="36"/>
      <c r="RKE237" s="36"/>
      <c r="RKF237" s="36"/>
      <c r="RKG237" s="36"/>
      <c r="RKH237" s="36"/>
      <c r="RKI237" s="36"/>
      <c r="RKJ237" s="36"/>
      <c r="RKK237" s="36"/>
      <c r="RKL237" s="36"/>
      <c r="RKM237" s="36"/>
      <c r="RKN237" s="36"/>
      <c r="RKO237" s="36"/>
      <c r="RKP237" s="36"/>
      <c r="RKQ237" s="36"/>
      <c r="RKR237" s="36"/>
      <c r="RKS237" s="36"/>
      <c r="RKT237" s="36"/>
      <c r="RKU237" s="36"/>
      <c r="RKV237" s="36"/>
      <c r="RKW237" s="36"/>
      <c r="RKX237" s="36"/>
      <c r="RKY237" s="36"/>
      <c r="RKZ237" s="36"/>
      <c r="RLA237" s="36"/>
      <c r="RLB237" s="36"/>
      <c r="RLC237" s="36"/>
      <c r="RLD237" s="36"/>
      <c r="RLE237" s="36"/>
      <c r="RLF237" s="36"/>
      <c r="RLG237" s="36"/>
      <c r="RLH237" s="36"/>
      <c r="RLI237" s="36"/>
      <c r="RLJ237" s="36"/>
      <c r="RLK237" s="36"/>
      <c r="RLL237" s="36"/>
      <c r="RLM237" s="36"/>
      <c r="RLN237" s="36"/>
      <c r="RLO237" s="36"/>
      <c r="RLP237" s="36"/>
      <c r="RLQ237" s="36"/>
      <c r="RLR237" s="36"/>
      <c r="RLS237" s="36"/>
      <c r="RLT237" s="36"/>
      <c r="RLU237" s="36"/>
      <c r="RLV237" s="36"/>
      <c r="RLW237" s="36"/>
      <c r="RLX237" s="36"/>
      <c r="RLY237" s="36"/>
      <c r="RLZ237" s="36"/>
      <c r="RMA237" s="36"/>
      <c r="RMB237" s="36"/>
      <c r="RMC237" s="36"/>
      <c r="RMD237" s="36"/>
      <c r="RME237" s="36"/>
      <c r="RMF237" s="36"/>
      <c r="RMG237" s="36"/>
      <c r="RMH237" s="36"/>
      <c r="RMI237" s="36"/>
      <c r="RMJ237" s="36"/>
      <c r="RMK237" s="36"/>
      <c r="RML237" s="36"/>
      <c r="RMM237" s="36"/>
      <c r="RMN237" s="36"/>
      <c r="RMO237" s="36"/>
      <c r="RMP237" s="36"/>
      <c r="RMQ237" s="36"/>
      <c r="RMR237" s="36"/>
      <c r="RMS237" s="36"/>
      <c r="RMT237" s="36"/>
      <c r="RMU237" s="36"/>
      <c r="RMV237" s="36"/>
      <c r="RMW237" s="36"/>
      <c r="RMX237" s="36"/>
      <c r="RMY237" s="36"/>
      <c r="RMZ237" s="36"/>
      <c r="RNA237" s="36"/>
      <c r="RNB237" s="36"/>
      <c r="RNC237" s="36"/>
      <c r="RND237" s="36"/>
      <c r="RNE237" s="36"/>
      <c r="RNF237" s="36"/>
      <c r="RNG237" s="36"/>
      <c r="RNH237" s="36"/>
      <c r="RNI237" s="36"/>
      <c r="RNJ237" s="36"/>
      <c r="RNK237" s="36"/>
      <c r="RNL237" s="36"/>
      <c r="RNM237" s="36"/>
      <c r="RNN237" s="36"/>
      <c r="RNO237" s="36"/>
      <c r="RNP237" s="36"/>
      <c r="RNQ237" s="36"/>
      <c r="RNR237" s="36"/>
      <c r="RNS237" s="36"/>
      <c r="RNT237" s="36"/>
      <c r="RNU237" s="36"/>
      <c r="RNV237" s="36"/>
      <c r="RNW237" s="36"/>
      <c r="RNX237" s="36"/>
      <c r="RNY237" s="36"/>
      <c r="RNZ237" s="36"/>
      <c r="ROA237" s="36"/>
      <c r="ROB237" s="36"/>
      <c r="ROC237" s="36"/>
      <c r="ROD237" s="36"/>
      <c r="ROE237" s="36"/>
      <c r="ROF237" s="36"/>
      <c r="ROG237" s="36"/>
      <c r="ROH237" s="36"/>
      <c r="ROI237" s="36"/>
      <c r="ROJ237" s="36"/>
      <c r="ROK237" s="36"/>
      <c r="ROL237" s="36"/>
      <c r="ROM237" s="36"/>
      <c r="RON237" s="36"/>
      <c r="ROO237" s="36"/>
      <c r="ROP237" s="36"/>
      <c r="ROQ237" s="36"/>
      <c r="ROR237" s="36"/>
      <c r="ROS237" s="36"/>
      <c r="ROT237" s="36"/>
      <c r="ROU237" s="36"/>
      <c r="ROV237" s="36"/>
      <c r="ROW237" s="36"/>
      <c r="ROX237" s="36"/>
      <c r="ROY237" s="36"/>
      <c r="ROZ237" s="36"/>
      <c r="RPA237" s="36"/>
      <c r="RPB237" s="36"/>
      <c r="RPC237" s="36"/>
      <c r="RPD237" s="36"/>
      <c r="RPE237" s="36"/>
      <c r="RPF237" s="36"/>
      <c r="RPG237" s="36"/>
      <c r="RPH237" s="36"/>
      <c r="RPI237" s="36"/>
      <c r="RPJ237" s="36"/>
      <c r="RPK237" s="36"/>
      <c r="RPL237" s="36"/>
      <c r="RPM237" s="36"/>
      <c r="RPN237" s="36"/>
      <c r="RPO237" s="36"/>
      <c r="RPP237" s="36"/>
      <c r="RPQ237" s="36"/>
      <c r="RPR237" s="36"/>
      <c r="RPS237" s="36"/>
      <c r="RPT237" s="36"/>
      <c r="RPU237" s="36"/>
      <c r="RPV237" s="36"/>
      <c r="RPW237" s="36"/>
      <c r="RPX237" s="36"/>
      <c r="RPY237" s="36"/>
      <c r="RPZ237" s="36"/>
      <c r="RQA237" s="36"/>
      <c r="RQB237" s="36"/>
      <c r="RQC237" s="36"/>
      <c r="RQD237" s="36"/>
      <c r="RQE237" s="36"/>
      <c r="RQF237" s="36"/>
      <c r="RQG237" s="36"/>
      <c r="RQH237" s="36"/>
      <c r="RQI237" s="36"/>
      <c r="RQJ237" s="36"/>
      <c r="RQK237" s="36"/>
      <c r="RQL237" s="36"/>
      <c r="RQM237" s="36"/>
      <c r="RQN237" s="36"/>
      <c r="RQO237" s="36"/>
      <c r="RQP237" s="36"/>
      <c r="RQQ237" s="36"/>
      <c r="RQR237" s="36"/>
      <c r="RQS237" s="36"/>
      <c r="RQT237" s="36"/>
      <c r="RQU237" s="36"/>
      <c r="RQV237" s="36"/>
      <c r="RQW237" s="36"/>
      <c r="RQX237" s="36"/>
      <c r="RQY237" s="36"/>
      <c r="RQZ237" s="36"/>
      <c r="RRA237" s="36"/>
      <c r="RRB237" s="36"/>
      <c r="RRC237" s="36"/>
      <c r="RRD237" s="36"/>
      <c r="RRE237" s="36"/>
      <c r="RRF237" s="36"/>
      <c r="RRG237" s="36"/>
      <c r="RRH237" s="36"/>
      <c r="RRI237" s="36"/>
      <c r="RRJ237" s="36"/>
      <c r="RRK237" s="36"/>
      <c r="RRL237" s="36"/>
      <c r="RRM237" s="36"/>
      <c r="RRN237" s="36"/>
      <c r="RRO237" s="36"/>
      <c r="RRP237" s="36"/>
      <c r="RRQ237" s="36"/>
      <c r="RRR237" s="36"/>
      <c r="RRS237" s="36"/>
      <c r="RRT237" s="36"/>
      <c r="RRU237" s="36"/>
      <c r="RRV237" s="36"/>
      <c r="RRW237" s="36"/>
      <c r="RRX237" s="36"/>
      <c r="RRY237" s="36"/>
      <c r="RRZ237" s="36"/>
      <c r="RSA237" s="36"/>
      <c r="RSB237" s="36"/>
      <c r="RSC237" s="36"/>
      <c r="RSD237" s="36"/>
      <c r="RSE237" s="36"/>
      <c r="RSF237" s="36"/>
      <c r="RSG237" s="36"/>
      <c r="RSH237" s="36"/>
      <c r="RSI237" s="36"/>
      <c r="RSJ237" s="36"/>
      <c r="RSK237" s="36"/>
      <c r="RSL237" s="36"/>
      <c r="RSM237" s="36"/>
      <c r="RSN237" s="36"/>
      <c r="RSO237" s="36"/>
      <c r="RSP237" s="36"/>
      <c r="RSQ237" s="36"/>
      <c r="RSR237" s="36"/>
      <c r="RSS237" s="36"/>
      <c r="RST237" s="36"/>
      <c r="RSU237" s="36"/>
      <c r="RSV237" s="36"/>
      <c r="RSW237" s="36"/>
      <c r="RSX237" s="36"/>
      <c r="RSY237" s="36"/>
      <c r="RSZ237" s="36"/>
      <c r="RTA237" s="36"/>
      <c r="RTB237" s="36"/>
      <c r="RTC237" s="36"/>
      <c r="RTD237" s="36"/>
      <c r="RTE237" s="36"/>
      <c r="RTF237" s="36"/>
      <c r="RTG237" s="36"/>
      <c r="RTH237" s="36"/>
      <c r="RTI237" s="36"/>
      <c r="RTJ237" s="36"/>
      <c r="RTK237" s="36"/>
      <c r="RTL237" s="36"/>
      <c r="RTM237" s="36"/>
      <c r="RTN237" s="36"/>
      <c r="RTO237" s="36"/>
      <c r="RTP237" s="36"/>
      <c r="RTQ237" s="36"/>
      <c r="RTR237" s="36"/>
      <c r="RTS237" s="36"/>
      <c r="RTT237" s="36"/>
      <c r="RTU237" s="36"/>
      <c r="RTV237" s="36"/>
      <c r="RTW237" s="36"/>
      <c r="RTX237" s="36"/>
      <c r="RTY237" s="36"/>
      <c r="RTZ237" s="36"/>
      <c r="RUA237" s="36"/>
      <c r="RUB237" s="36"/>
      <c r="RUC237" s="36"/>
      <c r="RUD237" s="36"/>
      <c r="RUE237" s="36"/>
      <c r="RUF237" s="36"/>
      <c r="RUG237" s="36"/>
      <c r="RUH237" s="36"/>
      <c r="RUI237" s="36"/>
      <c r="RUJ237" s="36"/>
      <c r="RUK237" s="36"/>
      <c r="RUL237" s="36"/>
      <c r="RUM237" s="36"/>
      <c r="RUN237" s="36"/>
      <c r="RUO237" s="36"/>
      <c r="RUP237" s="36"/>
      <c r="RUQ237" s="36"/>
      <c r="RUR237" s="36"/>
      <c r="RUS237" s="36"/>
      <c r="RUT237" s="36"/>
      <c r="RUU237" s="36"/>
      <c r="RUV237" s="36"/>
      <c r="RUW237" s="36"/>
      <c r="RUX237" s="36"/>
      <c r="RUY237" s="36"/>
      <c r="RUZ237" s="36"/>
      <c r="RVA237" s="36"/>
      <c r="RVB237" s="36"/>
      <c r="RVC237" s="36"/>
      <c r="RVD237" s="36"/>
      <c r="RVE237" s="36"/>
      <c r="RVF237" s="36"/>
      <c r="RVG237" s="36"/>
      <c r="RVH237" s="36"/>
      <c r="RVI237" s="36"/>
      <c r="RVJ237" s="36"/>
      <c r="RVK237" s="36"/>
      <c r="RVL237" s="36"/>
      <c r="RVM237" s="36"/>
      <c r="RVN237" s="36"/>
      <c r="RVO237" s="36"/>
      <c r="RVP237" s="36"/>
      <c r="RVQ237" s="36"/>
      <c r="RVR237" s="36"/>
      <c r="RVS237" s="36"/>
      <c r="RVT237" s="36"/>
      <c r="RVU237" s="36"/>
      <c r="RVV237" s="36"/>
      <c r="RVW237" s="36"/>
      <c r="RVX237" s="36"/>
      <c r="RVY237" s="36"/>
      <c r="RVZ237" s="36"/>
      <c r="RWA237" s="36"/>
      <c r="RWB237" s="36"/>
      <c r="RWC237" s="36"/>
      <c r="RWD237" s="36"/>
      <c r="RWE237" s="36"/>
      <c r="RWF237" s="36"/>
      <c r="RWG237" s="36"/>
      <c r="RWH237" s="36"/>
      <c r="RWI237" s="36"/>
      <c r="RWJ237" s="36"/>
      <c r="RWK237" s="36"/>
      <c r="RWL237" s="36"/>
      <c r="RWM237" s="36"/>
      <c r="RWN237" s="36"/>
      <c r="RWO237" s="36"/>
      <c r="RWP237" s="36"/>
      <c r="RWQ237" s="36"/>
      <c r="RWR237" s="36"/>
      <c r="RWS237" s="36"/>
      <c r="RWT237" s="36"/>
      <c r="RWU237" s="36"/>
      <c r="RWV237" s="36"/>
      <c r="RWW237" s="36"/>
      <c r="RWX237" s="36"/>
      <c r="RWY237" s="36"/>
      <c r="RWZ237" s="36"/>
      <c r="RXA237" s="36"/>
      <c r="RXB237" s="36"/>
      <c r="RXC237" s="36"/>
      <c r="RXD237" s="36"/>
      <c r="RXE237" s="36"/>
      <c r="RXF237" s="36"/>
      <c r="RXG237" s="36"/>
      <c r="RXH237" s="36"/>
      <c r="RXI237" s="36"/>
      <c r="RXJ237" s="36"/>
      <c r="RXK237" s="36"/>
      <c r="RXL237" s="36"/>
      <c r="RXM237" s="36"/>
      <c r="RXN237" s="36"/>
      <c r="RXO237" s="36"/>
      <c r="RXP237" s="36"/>
      <c r="RXQ237" s="36"/>
      <c r="RXR237" s="36"/>
      <c r="RXS237" s="36"/>
      <c r="RXT237" s="36"/>
      <c r="RXU237" s="36"/>
      <c r="RXV237" s="36"/>
      <c r="RXW237" s="36"/>
      <c r="RXX237" s="36"/>
      <c r="RXY237" s="36"/>
      <c r="RXZ237" s="36"/>
      <c r="RYA237" s="36"/>
      <c r="RYB237" s="36"/>
      <c r="RYC237" s="36"/>
      <c r="RYD237" s="36"/>
      <c r="RYE237" s="36"/>
      <c r="RYF237" s="36"/>
      <c r="RYG237" s="36"/>
      <c r="RYH237" s="36"/>
      <c r="RYI237" s="36"/>
      <c r="RYJ237" s="36"/>
      <c r="RYK237" s="36"/>
      <c r="RYL237" s="36"/>
      <c r="RYM237" s="36"/>
      <c r="RYN237" s="36"/>
      <c r="RYO237" s="36"/>
      <c r="RYP237" s="36"/>
      <c r="RYQ237" s="36"/>
      <c r="RYR237" s="36"/>
      <c r="RYS237" s="36"/>
      <c r="RYT237" s="36"/>
      <c r="RYU237" s="36"/>
      <c r="RYV237" s="36"/>
      <c r="RYW237" s="36"/>
      <c r="RYX237" s="36"/>
      <c r="RYY237" s="36"/>
      <c r="RYZ237" s="36"/>
      <c r="RZA237" s="36"/>
      <c r="RZB237" s="36"/>
      <c r="RZC237" s="36"/>
      <c r="RZD237" s="36"/>
      <c r="RZE237" s="36"/>
      <c r="RZF237" s="36"/>
      <c r="RZG237" s="36"/>
      <c r="RZH237" s="36"/>
      <c r="RZI237" s="36"/>
      <c r="RZJ237" s="36"/>
      <c r="RZK237" s="36"/>
      <c r="RZL237" s="36"/>
      <c r="RZM237" s="36"/>
      <c r="RZN237" s="36"/>
      <c r="RZO237" s="36"/>
      <c r="RZP237" s="36"/>
      <c r="RZQ237" s="36"/>
      <c r="RZR237" s="36"/>
      <c r="RZS237" s="36"/>
      <c r="RZT237" s="36"/>
      <c r="RZU237" s="36"/>
      <c r="RZV237" s="36"/>
      <c r="RZW237" s="36"/>
      <c r="RZX237" s="36"/>
      <c r="RZY237" s="36"/>
      <c r="RZZ237" s="36"/>
      <c r="SAA237" s="36"/>
      <c r="SAB237" s="36"/>
      <c r="SAC237" s="36"/>
      <c r="SAD237" s="36"/>
      <c r="SAE237" s="36"/>
      <c r="SAF237" s="36"/>
      <c r="SAG237" s="36"/>
      <c r="SAH237" s="36"/>
      <c r="SAI237" s="36"/>
      <c r="SAJ237" s="36"/>
      <c r="SAK237" s="36"/>
      <c r="SAL237" s="36"/>
      <c r="SAM237" s="36"/>
      <c r="SAN237" s="36"/>
      <c r="SAO237" s="36"/>
      <c r="SAP237" s="36"/>
      <c r="SAQ237" s="36"/>
      <c r="SAR237" s="36"/>
      <c r="SAS237" s="36"/>
      <c r="SAT237" s="36"/>
      <c r="SAU237" s="36"/>
      <c r="SAV237" s="36"/>
      <c r="SAW237" s="36"/>
      <c r="SAX237" s="36"/>
      <c r="SAY237" s="36"/>
      <c r="SAZ237" s="36"/>
      <c r="SBA237" s="36"/>
      <c r="SBB237" s="36"/>
      <c r="SBC237" s="36"/>
      <c r="SBD237" s="36"/>
      <c r="SBE237" s="36"/>
      <c r="SBF237" s="36"/>
      <c r="SBG237" s="36"/>
      <c r="SBH237" s="36"/>
      <c r="SBI237" s="36"/>
      <c r="SBJ237" s="36"/>
      <c r="SBK237" s="36"/>
      <c r="SBL237" s="36"/>
      <c r="SBM237" s="36"/>
      <c r="SBN237" s="36"/>
      <c r="SBO237" s="36"/>
      <c r="SBP237" s="36"/>
      <c r="SBQ237" s="36"/>
      <c r="SBR237" s="36"/>
      <c r="SBS237" s="36"/>
      <c r="SBT237" s="36"/>
      <c r="SBU237" s="36"/>
      <c r="SBV237" s="36"/>
      <c r="SBW237" s="36"/>
      <c r="SBX237" s="36"/>
      <c r="SBY237" s="36"/>
      <c r="SBZ237" s="36"/>
      <c r="SCA237" s="36"/>
      <c r="SCB237" s="36"/>
      <c r="SCC237" s="36"/>
      <c r="SCD237" s="36"/>
      <c r="SCE237" s="36"/>
      <c r="SCF237" s="36"/>
      <c r="SCG237" s="36"/>
      <c r="SCH237" s="36"/>
      <c r="SCI237" s="36"/>
      <c r="SCJ237" s="36"/>
      <c r="SCK237" s="36"/>
      <c r="SCL237" s="36"/>
      <c r="SCM237" s="36"/>
      <c r="SCN237" s="36"/>
      <c r="SCO237" s="36"/>
      <c r="SCP237" s="36"/>
      <c r="SCQ237" s="36"/>
      <c r="SCR237" s="36"/>
      <c r="SCS237" s="36"/>
      <c r="SCT237" s="36"/>
      <c r="SCU237" s="36"/>
      <c r="SCV237" s="36"/>
      <c r="SCW237" s="36"/>
      <c r="SCX237" s="36"/>
      <c r="SCY237" s="36"/>
      <c r="SCZ237" s="36"/>
      <c r="SDA237" s="36"/>
      <c r="SDB237" s="36"/>
      <c r="SDC237" s="36"/>
      <c r="SDD237" s="36"/>
      <c r="SDE237" s="36"/>
      <c r="SDF237" s="36"/>
      <c r="SDG237" s="36"/>
      <c r="SDH237" s="36"/>
      <c r="SDI237" s="36"/>
      <c r="SDJ237" s="36"/>
      <c r="SDK237" s="36"/>
      <c r="SDL237" s="36"/>
      <c r="SDM237" s="36"/>
      <c r="SDN237" s="36"/>
      <c r="SDO237" s="36"/>
      <c r="SDP237" s="36"/>
      <c r="SDQ237" s="36"/>
      <c r="SDR237" s="36"/>
      <c r="SDS237" s="36"/>
      <c r="SDT237" s="36"/>
      <c r="SDU237" s="36"/>
      <c r="SDV237" s="36"/>
      <c r="SDW237" s="36"/>
      <c r="SDX237" s="36"/>
      <c r="SDY237" s="36"/>
      <c r="SDZ237" s="36"/>
      <c r="SEA237" s="36"/>
      <c r="SEB237" s="36"/>
      <c r="SEC237" s="36"/>
      <c r="SED237" s="36"/>
      <c r="SEE237" s="36"/>
      <c r="SEF237" s="36"/>
      <c r="SEG237" s="36"/>
      <c r="SEH237" s="36"/>
      <c r="SEI237" s="36"/>
      <c r="SEJ237" s="36"/>
      <c r="SEK237" s="36"/>
      <c r="SEL237" s="36"/>
      <c r="SEM237" s="36"/>
      <c r="SEN237" s="36"/>
      <c r="SEO237" s="36"/>
      <c r="SEP237" s="36"/>
      <c r="SEQ237" s="36"/>
      <c r="SER237" s="36"/>
      <c r="SES237" s="36"/>
      <c r="SET237" s="36"/>
      <c r="SEU237" s="36"/>
      <c r="SEV237" s="36"/>
      <c r="SEW237" s="36"/>
      <c r="SEX237" s="36"/>
      <c r="SEY237" s="36"/>
      <c r="SEZ237" s="36"/>
      <c r="SFA237" s="36"/>
      <c r="SFB237" s="36"/>
      <c r="SFC237" s="36"/>
      <c r="SFD237" s="36"/>
      <c r="SFE237" s="36"/>
      <c r="SFF237" s="36"/>
      <c r="SFG237" s="36"/>
      <c r="SFH237" s="36"/>
      <c r="SFI237" s="36"/>
      <c r="SFJ237" s="36"/>
      <c r="SFK237" s="36"/>
      <c r="SFL237" s="36"/>
      <c r="SFM237" s="36"/>
      <c r="SFN237" s="36"/>
      <c r="SFO237" s="36"/>
      <c r="SFP237" s="36"/>
      <c r="SFQ237" s="36"/>
      <c r="SFR237" s="36"/>
      <c r="SFS237" s="36"/>
      <c r="SFT237" s="36"/>
      <c r="SFU237" s="36"/>
      <c r="SFV237" s="36"/>
      <c r="SFW237" s="36"/>
      <c r="SFX237" s="36"/>
      <c r="SFY237" s="36"/>
      <c r="SFZ237" s="36"/>
      <c r="SGA237" s="36"/>
      <c r="SGB237" s="36"/>
      <c r="SGC237" s="36"/>
      <c r="SGD237" s="36"/>
      <c r="SGE237" s="36"/>
      <c r="SGF237" s="36"/>
      <c r="SGG237" s="36"/>
      <c r="SGH237" s="36"/>
      <c r="SGI237" s="36"/>
      <c r="SGJ237" s="36"/>
      <c r="SGK237" s="36"/>
      <c r="SGL237" s="36"/>
      <c r="SGM237" s="36"/>
      <c r="SGN237" s="36"/>
      <c r="SGO237" s="36"/>
      <c r="SGP237" s="36"/>
      <c r="SGQ237" s="36"/>
      <c r="SGR237" s="36"/>
      <c r="SGS237" s="36"/>
      <c r="SGT237" s="36"/>
      <c r="SGU237" s="36"/>
      <c r="SGV237" s="36"/>
      <c r="SGW237" s="36"/>
      <c r="SGX237" s="36"/>
      <c r="SGY237" s="36"/>
      <c r="SGZ237" s="36"/>
      <c r="SHA237" s="36"/>
      <c r="SHB237" s="36"/>
      <c r="SHC237" s="36"/>
      <c r="SHD237" s="36"/>
      <c r="SHE237" s="36"/>
      <c r="SHF237" s="36"/>
      <c r="SHG237" s="36"/>
      <c r="SHH237" s="36"/>
      <c r="SHI237" s="36"/>
      <c r="SHJ237" s="36"/>
      <c r="SHK237" s="36"/>
      <c r="SHL237" s="36"/>
      <c r="SHM237" s="36"/>
      <c r="SHN237" s="36"/>
      <c r="SHO237" s="36"/>
      <c r="SHP237" s="36"/>
      <c r="SHQ237" s="36"/>
      <c r="SHR237" s="36"/>
      <c r="SHS237" s="36"/>
      <c r="SHT237" s="36"/>
      <c r="SHU237" s="36"/>
      <c r="SHV237" s="36"/>
      <c r="SHW237" s="36"/>
      <c r="SHX237" s="36"/>
      <c r="SHY237" s="36"/>
      <c r="SHZ237" s="36"/>
      <c r="SIA237" s="36"/>
      <c r="SIB237" s="36"/>
      <c r="SIC237" s="36"/>
      <c r="SID237" s="36"/>
      <c r="SIE237" s="36"/>
      <c r="SIF237" s="36"/>
      <c r="SIG237" s="36"/>
      <c r="SIH237" s="36"/>
      <c r="SII237" s="36"/>
      <c r="SIJ237" s="36"/>
      <c r="SIK237" s="36"/>
      <c r="SIL237" s="36"/>
      <c r="SIM237" s="36"/>
      <c r="SIN237" s="36"/>
      <c r="SIO237" s="36"/>
      <c r="SIP237" s="36"/>
      <c r="SIQ237" s="36"/>
      <c r="SIR237" s="36"/>
      <c r="SIS237" s="36"/>
      <c r="SIT237" s="36"/>
      <c r="SIU237" s="36"/>
      <c r="SIV237" s="36"/>
      <c r="SIW237" s="36"/>
      <c r="SIX237" s="36"/>
      <c r="SIY237" s="36"/>
      <c r="SIZ237" s="36"/>
      <c r="SJA237" s="36"/>
      <c r="SJB237" s="36"/>
      <c r="SJC237" s="36"/>
      <c r="SJD237" s="36"/>
      <c r="SJE237" s="36"/>
      <c r="SJF237" s="36"/>
      <c r="SJG237" s="36"/>
      <c r="SJH237" s="36"/>
      <c r="SJI237" s="36"/>
      <c r="SJJ237" s="36"/>
      <c r="SJK237" s="36"/>
      <c r="SJL237" s="36"/>
      <c r="SJM237" s="36"/>
      <c r="SJN237" s="36"/>
      <c r="SJO237" s="36"/>
      <c r="SJP237" s="36"/>
      <c r="SJQ237" s="36"/>
      <c r="SJR237" s="36"/>
      <c r="SJS237" s="36"/>
      <c r="SJT237" s="36"/>
      <c r="SJU237" s="36"/>
      <c r="SJV237" s="36"/>
      <c r="SJW237" s="36"/>
      <c r="SJX237" s="36"/>
      <c r="SJY237" s="36"/>
      <c r="SJZ237" s="36"/>
      <c r="SKA237" s="36"/>
      <c r="SKB237" s="36"/>
      <c r="SKC237" s="36"/>
      <c r="SKD237" s="36"/>
      <c r="SKE237" s="36"/>
      <c r="SKF237" s="36"/>
      <c r="SKG237" s="36"/>
      <c r="SKH237" s="36"/>
      <c r="SKI237" s="36"/>
      <c r="SKJ237" s="36"/>
      <c r="SKK237" s="36"/>
      <c r="SKL237" s="36"/>
      <c r="SKM237" s="36"/>
      <c r="SKN237" s="36"/>
      <c r="SKO237" s="36"/>
      <c r="SKP237" s="36"/>
      <c r="SKQ237" s="36"/>
      <c r="SKR237" s="36"/>
      <c r="SKS237" s="36"/>
      <c r="SKT237" s="36"/>
      <c r="SKU237" s="36"/>
      <c r="SKV237" s="36"/>
      <c r="SKW237" s="36"/>
      <c r="SKX237" s="36"/>
      <c r="SKY237" s="36"/>
      <c r="SKZ237" s="36"/>
      <c r="SLA237" s="36"/>
      <c r="SLB237" s="36"/>
      <c r="SLC237" s="36"/>
      <c r="SLD237" s="36"/>
      <c r="SLE237" s="36"/>
      <c r="SLF237" s="36"/>
      <c r="SLG237" s="36"/>
      <c r="SLH237" s="36"/>
      <c r="SLI237" s="36"/>
      <c r="SLJ237" s="36"/>
      <c r="SLK237" s="36"/>
      <c r="SLL237" s="36"/>
      <c r="SLM237" s="36"/>
      <c r="SLN237" s="36"/>
      <c r="SLO237" s="36"/>
      <c r="SLP237" s="36"/>
      <c r="SLQ237" s="36"/>
      <c r="SLR237" s="36"/>
      <c r="SLS237" s="36"/>
      <c r="SLT237" s="36"/>
      <c r="SLU237" s="36"/>
      <c r="SLV237" s="36"/>
      <c r="SLW237" s="36"/>
      <c r="SLX237" s="36"/>
      <c r="SLY237" s="36"/>
      <c r="SLZ237" s="36"/>
      <c r="SMA237" s="36"/>
      <c r="SMB237" s="36"/>
      <c r="SMC237" s="36"/>
      <c r="SMD237" s="36"/>
      <c r="SME237" s="36"/>
      <c r="SMF237" s="36"/>
      <c r="SMG237" s="36"/>
      <c r="SMH237" s="36"/>
      <c r="SMI237" s="36"/>
      <c r="SMJ237" s="36"/>
      <c r="SMK237" s="36"/>
      <c r="SML237" s="36"/>
      <c r="SMM237" s="36"/>
      <c r="SMN237" s="36"/>
      <c r="SMO237" s="36"/>
      <c r="SMP237" s="36"/>
      <c r="SMQ237" s="36"/>
      <c r="SMR237" s="36"/>
      <c r="SMS237" s="36"/>
      <c r="SMT237" s="36"/>
      <c r="SMU237" s="36"/>
      <c r="SMV237" s="36"/>
      <c r="SMW237" s="36"/>
      <c r="SMX237" s="36"/>
      <c r="SMY237" s="36"/>
      <c r="SMZ237" s="36"/>
      <c r="SNA237" s="36"/>
      <c r="SNB237" s="36"/>
      <c r="SNC237" s="36"/>
      <c r="SND237" s="36"/>
      <c r="SNE237" s="36"/>
      <c r="SNF237" s="36"/>
      <c r="SNG237" s="36"/>
      <c r="SNH237" s="36"/>
      <c r="SNI237" s="36"/>
      <c r="SNJ237" s="36"/>
      <c r="SNK237" s="36"/>
      <c r="SNL237" s="36"/>
      <c r="SNM237" s="36"/>
      <c r="SNN237" s="36"/>
      <c r="SNO237" s="36"/>
      <c r="SNP237" s="36"/>
      <c r="SNQ237" s="36"/>
      <c r="SNR237" s="36"/>
      <c r="SNS237" s="36"/>
      <c r="SNT237" s="36"/>
      <c r="SNU237" s="36"/>
      <c r="SNV237" s="36"/>
      <c r="SNW237" s="36"/>
      <c r="SNX237" s="36"/>
      <c r="SNY237" s="36"/>
      <c r="SNZ237" s="36"/>
      <c r="SOA237" s="36"/>
      <c r="SOB237" s="36"/>
      <c r="SOC237" s="36"/>
      <c r="SOD237" s="36"/>
      <c r="SOE237" s="36"/>
      <c r="SOF237" s="36"/>
      <c r="SOG237" s="36"/>
      <c r="SOH237" s="36"/>
      <c r="SOI237" s="36"/>
      <c r="SOJ237" s="36"/>
      <c r="SOK237" s="36"/>
      <c r="SOL237" s="36"/>
      <c r="SOM237" s="36"/>
      <c r="SON237" s="36"/>
      <c r="SOO237" s="36"/>
      <c r="SOP237" s="36"/>
      <c r="SOQ237" s="36"/>
      <c r="SOR237" s="36"/>
      <c r="SOS237" s="36"/>
      <c r="SOT237" s="36"/>
      <c r="SOU237" s="36"/>
      <c r="SOV237" s="36"/>
      <c r="SOW237" s="36"/>
      <c r="SOX237" s="36"/>
      <c r="SOY237" s="36"/>
      <c r="SOZ237" s="36"/>
      <c r="SPA237" s="36"/>
      <c r="SPB237" s="36"/>
      <c r="SPC237" s="36"/>
      <c r="SPD237" s="36"/>
      <c r="SPE237" s="36"/>
      <c r="SPF237" s="36"/>
      <c r="SPG237" s="36"/>
      <c r="SPH237" s="36"/>
      <c r="SPI237" s="36"/>
      <c r="SPJ237" s="36"/>
      <c r="SPK237" s="36"/>
      <c r="SPL237" s="36"/>
      <c r="SPM237" s="36"/>
      <c r="SPN237" s="36"/>
      <c r="SPO237" s="36"/>
      <c r="SPP237" s="36"/>
      <c r="SPQ237" s="36"/>
      <c r="SPR237" s="36"/>
      <c r="SPS237" s="36"/>
      <c r="SPT237" s="36"/>
      <c r="SPU237" s="36"/>
      <c r="SPV237" s="36"/>
      <c r="SPW237" s="36"/>
      <c r="SPX237" s="36"/>
      <c r="SPY237" s="36"/>
      <c r="SPZ237" s="36"/>
      <c r="SQA237" s="36"/>
      <c r="SQB237" s="36"/>
      <c r="SQC237" s="36"/>
      <c r="SQD237" s="36"/>
      <c r="SQE237" s="36"/>
      <c r="SQF237" s="36"/>
      <c r="SQG237" s="36"/>
      <c r="SQH237" s="36"/>
      <c r="SQI237" s="36"/>
      <c r="SQJ237" s="36"/>
      <c r="SQK237" s="36"/>
      <c r="SQL237" s="36"/>
      <c r="SQM237" s="36"/>
      <c r="SQN237" s="36"/>
      <c r="SQO237" s="36"/>
      <c r="SQP237" s="36"/>
      <c r="SQQ237" s="36"/>
      <c r="SQR237" s="36"/>
      <c r="SQS237" s="36"/>
      <c r="SQT237" s="36"/>
      <c r="SQU237" s="36"/>
      <c r="SQV237" s="36"/>
      <c r="SQW237" s="36"/>
      <c r="SQX237" s="36"/>
      <c r="SQY237" s="36"/>
      <c r="SQZ237" s="36"/>
      <c r="SRA237" s="36"/>
      <c r="SRB237" s="36"/>
      <c r="SRC237" s="36"/>
      <c r="SRD237" s="36"/>
      <c r="SRE237" s="36"/>
      <c r="SRF237" s="36"/>
      <c r="SRG237" s="36"/>
      <c r="SRH237" s="36"/>
      <c r="SRI237" s="36"/>
      <c r="SRJ237" s="36"/>
      <c r="SRK237" s="36"/>
      <c r="SRL237" s="36"/>
      <c r="SRM237" s="36"/>
      <c r="SRN237" s="36"/>
      <c r="SRO237" s="36"/>
      <c r="SRP237" s="36"/>
      <c r="SRQ237" s="36"/>
      <c r="SRR237" s="36"/>
      <c r="SRS237" s="36"/>
      <c r="SRT237" s="36"/>
      <c r="SRU237" s="36"/>
      <c r="SRV237" s="36"/>
      <c r="SRW237" s="36"/>
      <c r="SRX237" s="36"/>
      <c r="SRY237" s="36"/>
      <c r="SRZ237" s="36"/>
      <c r="SSA237" s="36"/>
      <c r="SSB237" s="36"/>
      <c r="SSC237" s="36"/>
      <c r="SSD237" s="36"/>
      <c r="SSE237" s="36"/>
      <c r="SSF237" s="36"/>
      <c r="SSG237" s="36"/>
      <c r="SSH237" s="36"/>
      <c r="SSI237" s="36"/>
      <c r="SSJ237" s="36"/>
      <c r="SSK237" s="36"/>
      <c r="SSL237" s="36"/>
      <c r="SSM237" s="36"/>
      <c r="SSN237" s="36"/>
      <c r="SSO237" s="36"/>
      <c r="SSP237" s="36"/>
      <c r="SSQ237" s="36"/>
      <c r="SSR237" s="36"/>
      <c r="SSS237" s="36"/>
      <c r="SST237" s="36"/>
      <c r="SSU237" s="36"/>
      <c r="SSV237" s="36"/>
      <c r="SSW237" s="36"/>
      <c r="SSX237" s="36"/>
      <c r="SSY237" s="36"/>
      <c r="SSZ237" s="36"/>
      <c r="STA237" s="36"/>
      <c r="STB237" s="36"/>
      <c r="STC237" s="36"/>
      <c r="STD237" s="36"/>
      <c r="STE237" s="36"/>
      <c r="STF237" s="36"/>
      <c r="STG237" s="36"/>
      <c r="STH237" s="36"/>
      <c r="STI237" s="36"/>
      <c r="STJ237" s="36"/>
      <c r="STK237" s="36"/>
      <c r="STL237" s="36"/>
      <c r="STM237" s="36"/>
      <c r="STN237" s="36"/>
      <c r="STO237" s="36"/>
      <c r="STP237" s="36"/>
      <c r="STQ237" s="36"/>
      <c r="STR237" s="36"/>
      <c r="STS237" s="36"/>
      <c r="STT237" s="36"/>
      <c r="STU237" s="36"/>
      <c r="STV237" s="36"/>
      <c r="STW237" s="36"/>
      <c r="STX237" s="36"/>
      <c r="STY237" s="36"/>
      <c r="STZ237" s="36"/>
      <c r="SUA237" s="36"/>
      <c r="SUB237" s="36"/>
      <c r="SUC237" s="36"/>
      <c r="SUD237" s="36"/>
      <c r="SUE237" s="36"/>
      <c r="SUF237" s="36"/>
      <c r="SUG237" s="36"/>
      <c r="SUH237" s="36"/>
      <c r="SUI237" s="36"/>
      <c r="SUJ237" s="36"/>
      <c r="SUK237" s="36"/>
      <c r="SUL237" s="36"/>
      <c r="SUM237" s="36"/>
      <c r="SUN237" s="36"/>
      <c r="SUO237" s="36"/>
      <c r="SUP237" s="36"/>
      <c r="SUQ237" s="36"/>
      <c r="SUR237" s="36"/>
      <c r="SUS237" s="36"/>
      <c r="SUT237" s="36"/>
      <c r="SUU237" s="36"/>
      <c r="SUV237" s="36"/>
      <c r="SUW237" s="36"/>
      <c r="SUX237" s="36"/>
      <c r="SUY237" s="36"/>
      <c r="SUZ237" s="36"/>
      <c r="SVA237" s="36"/>
      <c r="SVB237" s="36"/>
      <c r="SVC237" s="36"/>
      <c r="SVD237" s="36"/>
      <c r="SVE237" s="36"/>
      <c r="SVF237" s="36"/>
      <c r="SVG237" s="36"/>
      <c r="SVH237" s="36"/>
      <c r="SVI237" s="36"/>
      <c r="SVJ237" s="36"/>
      <c r="SVK237" s="36"/>
      <c r="SVL237" s="36"/>
      <c r="SVM237" s="36"/>
      <c r="SVN237" s="36"/>
      <c r="SVO237" s="36"/>
      <c r="SVP237" s="36"/>
      <c r="SVQ237" s="36"/>
      <c r="SVR237" s="36"/>
      <c r="SVS237" s="36"/>
      <c r="SVT237" s="36"/>
      <c r="SVU237" s="36"/>
      <c r="SVV237" s="36"/>
      <c r="SVW237" s="36"/>
      <c r="SVX237" s="36"/>
      <c r="SVY237" s="36"/>
      <c r="SVZ237" s="36"/>
      <c r="SWA237" s="36"/>
      <c r="SWB237" s="36"/>
      <c r="SWC237" s="36"/>
      <c r="SWD237" s="36"/>
      <c r="SWE237" s="36"/>
      <c r="SWF237" s="36"/>
      <c r="SWG237" s="36"/>
      <c r="SWH237" s="36"/>
      <c r="SWI237" s="36"/>
      <c r="SWJ237" s="36"/>
      <c r="SWK237" s="36"/>
      <c r="SWL237" s="36"/>
      <c r="SWM237" s="36"/>
      <c r="SWN237" s="36"/>
      <c r="SWO237" s="36"/>
      <c r="SWP237" s="36"/>
      <c r="SWQ237" s="36"/>
      <c r="SWR237" s="36"/>
      <c r="SWS237" s="36"/>
      <c r="SWT237" s="36"/>
      <c r="SWU237" s="36"/>
      <c r="SWV237" s="36"/>
      <c r="SWW237" s="36"/>
      <c r="SWX237" s="36"/>
      <c r="SWY237" s="36"/>
      <c r="SWZ237" s="36"/>
      <c r="SXA237" s="36"/>
      <c r="SXB237" s="36"/>
      <c r="SXC237" s="36"/>
      <c r="SXD237" s="36"/>
      <c r="SXE237" s="36"/>
      <c r="SXF237" s="36"/>
      <c r="SXG237" s="36"/>
      <c r="SXH237" s="36"/>
      <c r="SXI237" s="36"/>
      <c r="SXJ237" s="36"/>
      <c r="SXK237" s="36"/>
      <c r="SXL237" s="36"/>
      <c r="SXM237" s="36"/>
      <c r="SXN237" s="36"/>
      <c r="SXO237" s="36"/>
      <c r="SXP237" s="36"/>
      <c r="SXQ237" s="36"/>
      <c r="SXR237" s="36"/>
      <c r="SXS237" s="36"/>
      <c r="SXT237" s="36"/>
      <c r="SXU237" s="36"/>
      <c r="SXV237" s="36"/>
      <c r="SXW237" s="36"/>
      <c r="SXX237" s="36"/>
      <c r="SXY237" s="36"/>
      <c r="SXZ237" s="36"/>
      <c r="SYA237" s="36"/>
      <c r="SYB237" s="36"/>
      <c r="SYC237" s="36"/>
      <c r="SYD237" s="36"/>
      <c r="SYE237" s="36"/>
      <c r="SYF237" s="36"/>
      <c r="SYG237" s="36"/>
      <c r="SYH237" s="36"/>
      <c r="SYI237" s="36"/>
      <c r="SYJ237" s="36"/>
      <c r="SYK237" s="36"/>
      <c r="SYL237" s="36"/>
      <c r="SYM237" s="36"/>
      <c r="SYN237" s="36"/>
      <c r="SYO237" s="36"/>
      <c r="SYP237" s="36"/>
      <c r="SYQ237" s="36"/>
      <c r="SYR237" s="36"/>
      <c r="SYS237" s="36"/>
      <c r="SYT237" s="36"/>
      <c r="SYU237" s="36"/>
      <c r="SYV237" s="36"/>
      <c r="SYW237" s="36"/>
      <c r="SYX237" s="36"/>
      <c r="SYY237" s="36"/>
      <c r="SYZ237" s="36"/>
      <c r="SZA237" s="36"/>
      <c r="SZB237" s="36"/>
      <c r="SZC237" s="36"/>
      <c r="SZD237" s="36"/>
      <c r="SZE237" s="36"/>
      <c r="SZF237" s="36"/>
      <c r="SZG237" s="36"/>
      <c r="SZH237" s="36"/>
      <c r="SZI237" s="36"/>
      <c r="SZJ237" s="36"/>
      <c r="SZK237" s="36"/>
      <c r="SZL237" s="36"/>
      <c r="SZM237" s="36"/>
      <c r="SZN237" s="36"/>
      <c r="SZO237" s="36"/>
      <c r="SZP237" s="36"/>
      <c r="SZQ237" s="36"/>
      <c r="SZR237" s="36"/>
      <c r="SZS237" s="36"/>
      <c r="SZT237" s="36"/>
      <c r="SZU237" s="36"/>
      <c r="SZV237" s="36"/>
      <c r="SZW237" s="36"/>
      <c r="SZX237" s="36"/>
      <c r="SZY237" s="36"/>
      <c r="SZZ237" s="36"/>
      <c r="TAA237" s="36"/>
      <c r="TAB237" s="36"/>
      <c r="TAC237" s="36"/>
      <c r="TAD237" s="36"/>
      <c r="TAE237" s="36"/>
      <c r="TAF237" s="36"/>
      <c r="TAG237" s="36"/>
      <c r="TAH237" s="36"/>
      <c r="TAI237" s="36"/>
      <c r="TAJ237" s="36"/>
      <c r="TAK237" s="36"/>
      <c r="TAL237" s="36"/>
      <c r="TAM237" s="36"/>
      <c r="TAN237" s="36"/>
      <c r="TAO237" s="36"/>
      <c r="TAP237" s="36"/>
      <c r="TAQ237" s="36"/>
      <c r="TAR237" s="36"/>
      <c r="TAS237" s="36"/>
      <c r="TAT237" s="36"/>
      <c r="TAU237" s="36"/>
      <c r="TAV237" s="36"/>
      <c r="TAW237" s="36"/>
      <c r="TAX237" s="36"/>
      <c r="TAY237" s="36"/>
      <c r="TAZ237" s="36"/>
      <c r="TBA237" s="36"/>
      <c r="TBB237" s="36"/>
      <c r="TBC237" s="36"/>
      <c r="TBD237" s="36"/>
      <c r="TBE237" s="36"/>
      <c r="TBF237" s="36"/>
      <c r="TBG237" s="36"/>
      <c r="TBH237" s="36"/>
      <c r="TBI237" s="36"/>
      <c r="TBJ237" s="36"/>
      <c r="TBK237" s="36"/>
      <c r="TBL237" s="36"/>
      <c r="TBM237" s="36"/>
      <c r="TBN237" s="36"/>
      <c r="TBO237" s="36"/>
      <c r="TBP237" s="36"/>
      <c r="TBQ237" s="36"/>
      <c r="TBR237" s="36"/>
      <c r="TBS237" s="36"/>
      <c r="TBT237" s="36"/>
      <c r="TBU237" s="36"/>
      <c r="TBV237" s="36"/>
      <c r="TBW237" s="36"/>
      <c r="TBX237" s="36"/>
      <c r="TBY237" s="36"/>
      <c r="TBZ237" s="36"/>
      <c r="TCA237" s="36"/>
      <c r="TCB237" s="36"/>
      <c r="TCC237" s="36"/>
      <c r="TCD237" s="36"/>
      <c r="TCE237" s="36"/>
      <c r="TCF237" s="36"/>
      <c r="TCG237" s="36"/>
      <c r="TCH237" s="36"/>
      <c r="TCI237" s="36"/>
      <c r="TCJ237" s="36"/>
      <c r="TCK237" s="36"/>
      <c r="TCL237" s="36"/>
      <c r="TCM237" s="36"/>
      <c r="TCN237" s="36"/>
      <c r="TCO237" s="36"/>
      <c r="TCP237" s="36"/>
      <c r="TCQ237" s="36"/>
      <c r="TCR237" s="36"/>
      <c r="TCS237" s="36"/>
      <c r="TCT237" s="36"/>
      <c r="TCU237" s="36"/>
      <c r="TCV237" s="36"/>
      <c r="TCW237" s="36"/>
      <c r="TCX237" s="36"/>
      <c r="TCY237" s="36"/>
      <c r="TCZ237" s="36"/>
      <c r="TDA237" s="36"/>
      <c r="TDB237" s="36"/>
      <c r="TDC237" s="36"/>
      <c r="TDD237" s="36"/>
      <c r="TDE237" s="36"/>
      <c r="TDF237" s="36"/>
      <c r="TDG237" s="36"/>
      <c r="TDH237" s="36"/>
      <c r="TDI237" s="36"/>
      <c r="TDJ237" s="36"/>
      <c r="TDK237" s="36"/>
      <c r="TDL237" s="36"/>
      <c r="TDM237" s="36"/>
      <c r="TDN237" s="36"/>
      <c r="TDO237" s="36"/>
      <c r="TDP237" s="36"/>
      <c r="TDQ237" s="36"/>
      <c r="TDR237" s="36"/>
      <c r="TDS237" s="36"/>
      <c r="TDT237" s="36"/>
      <c r="TDU237" s="36"/>
      <c r="TDV237" s="36"/>
      <c r="TDW237" s="36"/>
      <c r="TDX237" s="36"/>
      <c r="TDY237" s="36"/>
      <c r="TDZ237" s="36"/>
      <c r="TEA237" s="36"/>
      <c r="TEB237" s="36"/>
      <c r="TEC237" s="36"/>
      <c r="TED237" s="36"/>
      <c r="TEE237" s="36"/>
      <c r="TEF237" s="36"/>
      <c r="TEG237" s="36"/>
      <c r="TEH237" s="36"/>
      <c r="TEI237" s="36"/>
      <c r="TEJ237" s="36"/>
      <c r="TEK237" s="36"/>
      <c r="TEL237" s="36"/>
      <c r="TEM237" s="36"/>
      <c r="TEN237" s="36"/>
      <c r="TEO237" s="36"/>
      <c r="TEP237" s="36"/>
      <c r="TEQ237" s="36"/>
      <c r="TER237" s="36"/>
      <c r="TES237" s="36"/>
      <c r="TET237" s="36"/>
      <c r="TEU237" s="36"/>
      <c r="TEV237" s="36"/>
      <c r="TEW237" s="36"/>
      <c r="TEX237" s="36"/>
      <c r="TEY237" s="36"/>
      <c r="TEZ237" s="36"/>
      <c r="TFA237" s="36"/>
      <c r="TFB237" s="36"/>
      <c r="TFC237" s="36"/>
      <c r="TFD237" s="36"/>
      <c r="TFE237" s="36"/>
      <c r="TFF237" s="36"/>
      <c r="TFG237" s="36"/>
      <c r="TFH237" s="36"/>
      <c r="TFI237" s="36"/>
      <c r="TFJ237" s="36"/>
      <c r="TFK237" s="36"/>
      <c r="TFL237" s="36"/>
      <c r="TFM237" s="36"/>
      <c r="TFN237" s="36"/>
      <c r="TFO237" s="36"/>
      <c r="TFP237" s="36"/>
      <c r="TFQ237" s="36"/>
      <c r="TFR237" s="36"/>
      <c r="TFS237" s="36"/>
      <c r="TFT237" s="36"/>
      <c r="TFU237" s="36"/>
      <c r="TFV237" s="36"/>
      <c r="TFW237" s="36"/>
      <c r="TFX237" s="36"/>
      <c r="TFY237" s="36"/>
      <c r="TFZ237" s="36"/>
      <c r="TGA237" s="36"/>
      <c r="TGB237" s="36"/>
      <c r="TGC237" s="36"/>
      <c r="TGD237" s="36"/>
      <c r="TGE237" s="36"/>
      <c r="TGF237" s="36"/>
      <c r="TGG237" s="36"/>
      <c r="TGH237" s="36"/>
      <c r="TGI237" s="36"/>
      <c r="TGJ237" s="36"/>
      <c r="TGK237" s="36"/>
      <c r="TGL237" s="36"/>
      <c r="TGM237" s="36"/>
      <c r="TGN237" s="36"/>
      <c r="TGO237" s="36"/>
      <c r="TGP237" s="36"/>
      <c r="TGQ237" s="36"/>
      <c r="TGR237" s="36"/>
      <c r="TGS237" s="36"/>
      <c r="TGT237" s="36"/>
      <c r="TGU237" s="36"/>
      <c r="TGV237" s="36"/>
      <c r="TGW237" s="36"/>
      <c r="TGX237" s="36"/>
      <c r="TGY237" s="36"/>
      <c r="TGZ237" s="36"/>
      <c r="THA237" s="36"/>
      <c r="THB237" s="36"/>
      <c r="THC237" s="36"/>
      <c r="THD237" s="36"/>
      <c r="THE237" s="36"/>
      <c r="THF237" s="36"/>
      <c r="THG237" s="36"/>
      <c r="THH237" s="36"/>
      <c r="THI237" s="36"/>
      <c r="THJ237" s="36"/>
      <c r="THK237" s="36"/>
      <c r="THL237" s="36"/>
      <c r="THM237" s="36"/>
      <c r="THN237" s="36"/>
      <c r="THO237" s="36"/>
      <c r="THP237" s="36"/>
      <c r="THQ237" s="36"/>
      <c r="THR237" s="36"/>
      <c r="THS237" s="36"/>
      <c r="THT237" s="36"/>
      <c r="THU237" s="36"/>
      <c r="THV237" s="36"/>
      <c r="THW237" s="36"/>
      <c r="THX237" s="36"/>
      <c r="THY237" s="36"/>
      <c r="THZ237" s="36"/>
      <c r="TIA237" s="36"/>
      <c r="TIB237" s="36"/>
      <c r="TIC237" s="36"/>
      <c r="TID237" s="36"/>
      <c r="TIE237" s="36"/>
      <c r="TIF237" s="36"/>
      <c r="TIG237" s="36"/>
      <c r="TIH237" s="36"/>
      <c r="TII237" s="36"/>
      <c r="TIJ237" s="36"/>
      <c r="TIK237" s="36"/>
      <c r="TIL237" s="36"/>
      <c r="TIM237" s="36"/>
      <c r="TIN237" s="36"/>
      <c r="TIO237" s="36"/>
      <c r="TIP237" s="36"/>
      <c r="TIQ237" s="36"/>
      <c r="TIR237" s="36"/>
      <c r="TIS237" s="36"/>
      <c r="TIT237" s="36"/>
      <c r="TIU237" s="36"/>
      <c r="TIV237" s="36"/>
      <c r="TIW237" s="36"/>
      <c r="TIX237" s="36"/>
      <c r="TIY237" s="36"/>
      <c r="TIZ237" s="36"/>
      <c r="TJA237" s="36"/>
      <c r="TJB237" s="36"/>
      <c r="TJC237" s="36"/>
      <c r="TJD237" s="36"/>
      <c r="TJE237" s="36"/>
      <c r="TJF237" s="36"/>
      <c r="TJG237" s="36"/>
      <c r="TJH237" s="36"/>
      <c r="TJI237" s="36"/>
      <c r="TJJ237" s="36"/>
      <c r="TJK237" s="36"/>
      <c r="TJL237" s="36"/>
      <c r="TJM237" s="36"/>
      <c r="TJN237" s="36"/>
      <c r="TJO237" s="36"/>
      <c r="TJP237" s="36"/>
      <c r="TJQ237" s="36"/>
      <c r="TJR237" s="36"/>
      <c r="TJS237" s="36"/>
      <c r="TJT237" s="36"/>
      <c r="TJU237" s="36"/>
      <c r="TJV237" s="36"/>
      <c r="TJW237" s="36"/>
      <c r="TJX237" s="36"/>
      <c r="TJY237" s="36"/>
      <c r="TJZ237" s="36"/>
      <c r="TKA237" s="36"/>
      <c r="TKB237" s="36"/>
      <c r="TKC237" s="36"/>
      <c r="TKD237" s="36"/>
      <c r="TKE237" s="36"/>
      <c r="TKF237" s="36"/>
      <c r="TKG237" s="36"/>
      <c r="TKH237" s="36"/>
      <c r="TKI237" s="36"/>
      <c r="TKJ237" s="36"/>
      <c r="TKK237" s="36"/>
      <c r="TKL237" s="36"/>
      <c r="TKM237" s="36"/>
      <c r="TKN237" s="36"/>
      <c r="TKO237" s="36"/>
      <c r="TKP237" s="36"/>
      <c r="TKQ237" s="36"/>
      <c r="TKR237" s="36"/>
      <c r="TKS237" s="36"/>
      <c r="TKT237" s="36"/>
      <c r="TKU237" s="36"/>
      <c r="TKV237" s="36"/>
      <c r="TKW237" s="36"/>
      <c r="TKX237" s="36"/>
      <c r="TKY237" s="36"/>
      <c r="TKZ237" s="36"/>
      <c r="TLA237" s="36"/>
      <c r="TLB237" s="36"/>
      <c r="TLC237" s="36"/>
      <c r="TLD237" s="36"/>
      <c r="TLE237" s="36"/>
      <c r="TLF237" s="36"/>
      <c r="TLG237" s="36"/>
      <c r="TLH237" s="36"/>
      <c r="TLI237" s="36"/>
      <c r="TLJ237" s="36"/>
      <c r="TLK237" s="36"/>
      <c r="TLL237" s="36"/>
      <c r="TLM237" s="36"/>
      <c r="TLN237" s="36"/>
      <c r="TLO237" s="36"/>
      <c r="TLP237" s="36"/>
      <c r="TLQ237" s="36"/>
      <c r="TLR237" s="36"/>
      <c r="TLS237" s="36"/>
      <c r="TLT237" s="36"/>
      <c r="TLU237" s="36"/>
      <c r="TLV237" s="36"/>
      <c r="TLW237" s="36"/>
      <c r="TLX237" s="36"/>
      <c r="TLY237" s="36"/>
      <c r="TLZ237" s="36"/>
      <c r="TMA237" s="36"/>
      <c r="TMB237" s="36"/>
      <c r="TMC237" s="36"/>
      <c r="TMD237" s="36"/>
      <c r="TME237" s="36"/>
      <c r="TMF237" s="36"/>
      <c r="TMG237" s="36"/>
      <c r="TMH237" s="36"/>
      <c r="TMI237" s="36"/>
      <c r="TMJ237" s="36"/>
      <c r="TMK237" s="36"/>
      <c r="TML237" s="36"/>
      <c r="TMM237" s="36"/>
      <c r="TMN237" s="36"/>
      <c r="TMO237" s="36"/>
      <c r="TMP237" s="36"/>
      <c r="TMQ237" s="36"/>
      <c r="TMR237" s="36"/>
      <c r="TMS237" s="36"/>
      <c r="TMT237" s="36"/>
      <c r="TMU237" s="36"/>
      <c r="TMV237" s="36"/>
      <c r="TMW237" s="36"/>
      <c r="TMX237" s="36"/>
      <c r="TMY237" s="36"/>
      <c r="TMZ237" s="36"/>
      <c r="TNA237" s="36"/>
      <c r="TNB237" s="36"/>
      <c r="TNC237" s="36"/>
      <c r="TND237" s="36"/>
      <c r="TNE237" s="36"/>
      <c r="TNF237" s="36"/>
      <c r="TNG237" s="36"/>
      <c r="TNH237" s="36"/>
      <c r="TNI237" s="36"/>
      <c r="TNJ237" s="36"/>
      <c r="TNK237" s="36"/>
      <c r="TNL237" s="36"/>
      <c r="TNM237" s="36"/>
      <c r="TNN237" s="36"/>
      <c r="TNO237" s="36"/>
      <c r="TNP237" s="36"/>
      <c r="TNQ237" s="36"/>
      <c r="TNR237" s="36"/>
      <c r="TNS237" s="36"/>
      <c r="TNT237" s="36"/>
      <c r="TNU237" s="36"/>
      <c r="TNV237" s="36"/>
      <c r="TNW237" s="36"/>
      <c r="TNX237" s="36"/>
      <c r="TNY237" s="36"/>
      <c r="TNZ237" s="36"/>
      <c r="TOA237" s="36"/>
      <c r="TOB237" s="36"/>
      <c r="TOC237" s="36"/>
      <c r="TOD237" s="36"/>
      <c r="TOE237" s="36"/>
      <c r="TOF237" s="36"/>
      <c r="TOG237" s="36"/>
      <c r="TOH237" s="36"/>
      <c r="TOI237" s="36"/>
      <c r="TOJ237" s="36"/>
      <c r="TOK237" s="36"/>
      <c r="TOL237" s="36"/>
      <c r="TOM237" s="36"/>
      <c r="TON237" s="36"/>
      <c r="TOO237" s="36"/>
      <c r="TOP237" s="36"/>
      <c r="TOQ237" s="36"/>
      <c r="TOR237" s="36"/>
      <c r="TOS237" s="36"/>
      <c r="TOT237" s="36"/>
      <c r="TOU237" s="36"/>
      <c r="TOV237" s="36"/>
      <c r="TOW237" s="36"/>
      <c r="TOX237" s="36"/>
      <c r="TOY237" s="36"/>
      <c r="TOZ237" s="36"/>
      <c r="TPA237" s="36"/>
      <c r="TPB237" s="36"/>
      <c r="TPC237" s="36"/>
      <c r="TPD237" s="36"/>
      <c r="TPE237" s="36"/>
      <c r="TPF237" s="36"/>
      <c r="TPG237" s="36"/>
      <c r="TPH237" s="36"/>
      <c r="TPI237" s="36"/>
      <c r="TPJ237" s="36"/>
      <c r="TPK237" s="36"/>
      <c r="TPL237" s="36"/>
      <c r="TPM237" s="36"/>
      <c r="TPN237" s="36"/>
      <c r="TPO237" s="36"/>
      <c r="TPP237" s="36"/>
      <c r="TPQ237" s="36"/>
      <c r="TPR237" s="36"/>
      <c r="TPS237" s="36"/>
      <c r="TPT237" s="36"/>
      <c r="TPU237" s="36"/>
      <c r="TPV237" s="36"/>
      <c r="TPW237" s="36"/>
      <c r="TPX237" s="36"/>
      <c r="TPY237" s="36"/>
      <c r="TPZ237" s="36"/>
      <c r="TQA237" s="36"/>
      <c r="TQB237" s="36"/>
      <c r="TQC237" s="36"/>
      <c r="TQD237" s="36"/>
      <c r="TQE237" s="36"/>
      <c r="TQF237" s="36"/>
      <c r="TQG237" s="36"/>
      <c r="TQH237" s="36"/>
      <c r="TQI237" s="36"/>
      <c r="TQJ237" s="36"/>
      <c r="TQK237" s="36"/>
      <c r="TQL237" s="36"/>
      <c r="TQM237" s="36"/>
      <c r="TQN237" s="36"/>
      <c r="TQO237" s="36"/>
      <c r="TQP237" s="36"/>
      <c r="TQQ237" s="36"/>
      <c r="TQR237" s="36"/>
      <c r="TQS237" s="36"/>
      <c r="TQT237" s="36"/>
      <c r="TQU237" s="36"/>
      <c r="TQV237" s="36"/>
      <c r="TQW237" s="36"/>
      <c r="TQX237" s="36"/>
      <c r="TQY237" s="36"/>
      <c r="TQZ237" s="36"/>
      <c r="TRA237" s="36"/>
      <c r="TRB237" s="36"/>
      <c r="TRC237" s="36"/>
      <c r="TRD237" s="36"/>
      <c r="TRE237" s="36"/>
      <c r="TRF237" s="36"/>
      <c r="TRG237" s="36"/>
      <c r="TRH237" s="36"/>
      <c r="TRI237" s="36"/>
      <c r="TRJ237" s="36"/>
      <c r="TRK237" s="36"/>
      <c r="TRL237" s="36"/>
      <c r="TRM237" s="36"/>
      <c r="TRN237" s="36"/>
      <c r="TRO237" s="36"/>
      <c r="TRP237" s="36"/>
      <c r="TRQ237" s="36"/>
      <c r="TRR237" s="36"/>
      <c r="TRS237" s="36"/>
      <c r="TRT237" s="36"/>
      <c r="TRU237" s="36"/>
      <c r="TRV237" s="36"/>
      <c r="TRW237" s="36"/>
      <c r="TRX237" s="36"/>
      <c r="TRY237" s="36"/>
      <c r="TRZ237" s="36"/>
      <c r="TSA237" s="36"/>
      <c r="TSB237" s="36"/>
      <c r="TSC237" s="36"/>
      <c r="TSD237" s="36"/>
      <c r="TSE237" s="36"/>
      <c r="TSF237" s="36"/>
      <c r="TSG237" s="36"/>
      <c r="TSH237" s="36"/>
      <c r="TSI237" s="36"/>
      <c r="TSJ237" s="36"/>
      <c r="TSK237" s="36"/>
      <c r="TSL237" s="36"/>
      <c r="TSM237" s="36"/>
      <c r="TSN237" s="36"/>
      <c r="TSO237" s="36"/>
      <c r="TSP237" s="36"/>
      <c r="TSQ237" s="36"/>
      <c r="TSR237" s="36"/>
      <c r="TSS237" s="36"/>
      <c r="TST237" s="36"/>
      <c r="TSU237" s="36"/>
      <c r="TSV237" s="36"/>
      <c r="TSW237" s="36"/>
      <c r="TSX237" s="36"/>
      <c r="TSY237" s="36"/>
      <c r="TSZ237" s="36"/>
      <c r="TTA237" s="36"/>
      <c r="TTB237" s="36"/>
      <c r="TTC237" s="36"/>
      <c r="TTD237" s="36"/>
      <c r="TTE237" s="36"/>
      <c r="TTF237" s="36"/>
      <c r="TTG237" s="36"/>
      <c r="TTH237" s="36"/>
      <c r="TTI237" s="36"/>
      <c r="TTJ237" s="36"/>
      <c r="TTK237" s="36"/>
      <c r="TTL237" s="36"/>
      <c r="TTM237" s="36"/>
      <c r="TTN237" s="36"/>
      <c r="TTO237" s="36"/>
      <c r="TTP237" s="36"/>
      <c r="TTQ237" s="36"/>
      <c r="TTR237" s="36"/>
      <c r="TTS237" s="36"/>
      <c r="TTT237" s="36"/>
      <c r="TTU237" s="36"/>
      <c r="TTV237" s="36"/>
      <c r="TTW237" s="36"/>
      <c r="TTX237" s="36"/>
      <c r="TTY237" s="36"/>
      <c r="TTZ237" s="36"/>
      <c r="TUA237" s="36"/>
      <c r="TUB237" s="36"/>
      <c r="TUC237" s="36"/>
      <c r="TUD237" s="36"/>
      <c r="TUE237" s="36"/>
      <c r="TUF237" s="36"/>
      <c r="TUG237" s="36"/>
      <c r="TUH237" s="36"/>
      <c r="TUI237" s="36"/>
      <c r="TUJ237" s="36"/>
      <c r="TUK237" s="36"/>
      <c r="TUL237" s="36"/>
      <c r="TUM237" s="36"/>
      <c r="TUN237" s="36"/>
      <c r="TUO237" s="36"/>
      <c r="TUP237" s="36"/>
      <c r="TUQ237" s="36"/>
      <c r="TUR237" s="36"/>
      <c r="TUS237" s="36"/>
      <c r="TUT237" s="36"/>
      <c r="TUU237" s="36"/>
      <c r="TUV237" s="36"/>
      <c r="TUW237" s="36"/>
      <c r="TUX237" s="36"/>
      <c r="TUY237" s="36"/>
      <c r="TUZ237" s="36"/>
      <c r="TVA237" s="36"/>
      <c r="TVB237" s="36"/>
      <c r="TVC237" s="36"/>
      <c r="TVD237" s="36"/>
      <c r="TVE237" s="36"/>
      <c r="TVF237" s="36"/>
      <c r="TVG237" s="36"/>
      <c r="TVH237" s="36"/>
      <c r="TVI237" s="36"/>
      <c r="TVJ237" s="36"/>
      <c r="TVK237" s="36"/>
      <c r="TVL237" s="36"/>
      <c r="TVM237" s="36"/>
      <c r="TVN237" s="36"/>
      <c r="TVO237" s="36"/>
      <c r="TVP237" s="36"/>
      <c r="TVQ237" s="36"/>
      <c r="TVR237" s="36"/>
      <c r="TVS237" s="36"/>
      <c r="TVT237" s="36"/>
      <c r="TVU237" s="36"/>
      <c r="TVV237" s="36"/>
      <c r="TVW237" s="36"/>
      <c r="TVX237" s="36"/>
      <c r="TVY237" s="36"/>
      <c r="TVZ237" s="36"/>
      <c r="TWA237" s="36"/>
      <c r="TWB237" s="36"/>
      <c r="TWC237" s="36"/>
      <c r="TWD237" s="36"/>
      <c r="TWE237" s="36"/>
      <c r="TWF237" s="36"/>
      <c r="TWG237" s="36"/>
      <c r="TWH237" s="36"/>
      <c r="TWI237" s="36"/>
      <c r="TWJ237" s="36"/>
      <c r="TWK237" s="36"/>
      <c r="TWL237" s="36"/>
      <c r="TWM237" s="36"/>
      <c r="TWN237" s="36"/>
      <c r="TWO237" s="36"/>
      <c r="TWP237" s="36"/>
      <c r="TWQ237" s="36"/>
      <c r="TWR237" s="36"/>
      <c r="TWS237" s="36"/>
      <c r="TWT237" s="36"/>
      <c r="TWU237" s="36"/>
      <c r="TWV237" s="36"/>
      <c r="TWW237" s="36"/>
      <c r="TWX237" s="36"/>
      <c r="TWY237" s="36"/>
      <c r="TWZ237" s="36"/>
      <c r="TXA237" s="36"/>
      <c r="TXB237" s="36"/>
      <c r="TXC237" s="36"/>
      <c r="TXD237" s="36"/>
      <c r="TXE237" s="36"/>
      <c r="TXF237" s="36"/>
      <c r="TXG237" s="36"/>
      <c r="TXH237" s="36"/>
      <c r="TXI237" s="36"/>
      <c r="TXJ237" s="36"/>
      <c r="TXK237" s="36"/>
      <c r="TXL237" s="36"/>
      <c r="TXM237" s="36"/>
      <c r="TXN237" s="36"/>
      <c r="TXO237" s="36"/>
      <c r="TXP237" s="36"/>
      <c r="TXQ237" s="36"/>
      <c r="TXR237" s="36"/>
      <c r="TXS237" s="36"/>
      <c r="TXT237" s="36"/>
      <c r="TXU237" s="36"/>
      <c r="TXV237" s="36"/>
      <c r="TXW237" s="36"/>
      <c r="TXX237" s="36"/>
      <c r="TXY237" s="36"/>
      <c r="TXZ237" s="36"/>
      <c r="TYA237" s="36"/>
      <c r="TYB237" s="36"/>
      <c r="TYC237" s="36"/>
      <c r="TYD237" s="36"/>
      <c r="TYE237" s="36"/>
      <c r="TYF237" s="36"/>
      <c r="TYG237" s="36"/>
      <c r="TYH237" s="36"/>
      <c r="TYI237" s="36"/>
      <c r="TYJ237" s="36"/>
      <c r="TYK237" s="36"/>
      <c r="TYL237" s="36"/>
      <c r="TYM237" s="36"/>
      <c r="TYN237" s="36"/>
      <c r="TYO237" s="36"/>
      <c r="TYP237" s="36"/>
      <c r="TYQ237" s="36"/>
      <c r="TYR237" s="36"/>
      <c r="TYS237" s="36"/>
      <c r="TYT237" s="36"/>
      <c r="TYU237" s="36"/>
      <c r="TYV237" s="36"/>
      <c r="TYW237" s="36"/>
      <c r="TYX237" s="36"/>
      <c r="TYY237" s="36"/>
      <c r="TYZ237" s="36"/>
      <c r="TZA237" s="36"/>
      <c r="TZB237" s="36"/>
      <c r="TZC237" s="36"/>
      <c r="TZD237" s="36"/>
      <c r="TZE237" s="36"/>
      <c r="TZF237" s="36"/>
      <c r="TZG237" s="36"/>
      <c r="TZH237" s="36"/>
      <c r="TZI237" s="36"/>
      <c r="TZJ237" s="36"/>
      <c r="TZK237" s="36"/>
      <c r="TZL237" s="36"/>
      <c r="TZM237" s="36"/>
      <c r="TZN237" s="36"/>
      <c r="TZO237" s="36"/>
      <c r="TZP237" s="36"/>
      <c r="TZQ237" s="36"/>
      <c r="TZR237" s="36"/>
      <c r="TZS237" s="36"/>
      <c r="TZT237" s="36"/>
      <c r="TZU237" s="36"/>
      <c r="TZV237" s="36"/>
      <c r="TZW237" s="36"/>
      <c r="TZX237" s="36"/>
      <c r="TZY237" s="36"/>
      <c r="TZZ237" s="36"/>
      <c r="UAA237" s="36"/>
      <c r="UAB237" s="36"/>
      <c r="UAC237" s="36"/>
      <c r="UAD237" s="36"/>
      <c r="UAE237" s="36"/>
      <c r="UAF237" s="36"/>
      <c r="UAG237" s="36"/>
      <c r="UAH237" s="36"/>
      <c r="UAI237" s="36"/>
      <c r="UAJ237" s="36"/>
      <c r="UAK237" s="36"/>
      <c r="UAL237" s="36"/>
      <c r="UAM237" s="36"/>
      <c r="UAN237" s="36"/>
      <c r="UAO237" s="36"/>
      <c r="UAP237" s="36"/>
      <c r="UAQ237" s="36"/>
      <c r="UAR237" s="36"/>
      <c r="UAS237" s="36"/>
      <c r="UAT237" s="36"/>
      <c r="UAU237" s="36"/>
      <c r="UAV237" s="36"/>
      <c r="UAW237" s="36"/>
      <c r="UAX237" s="36"/>
      <c r="UAY237" s="36"/>
      <c r="UAZ237" s="36"/>
      <c r="UBA237" s="36"/>
      <c r="UBB237" s="36"/>
      <c r="UBC237" s="36"/>
      <c r="UBD237" s="36"/>
      <c r="UBE237" s="36"/>
      <c r="UBF237" s="36"/>
      <c r="UBG237" s="36"/>
      <c r="UBH237" s="36"/>
      <c r="UBI237" s="36"/>
      <c r="UBJ237" s="36"/>
      <c r="UBK237" s="36"/>
      <c r="UBL237" s="36"/>
      <c r="UBM237" s="36"/>
      <c r="UBN237" s="36"/>
      <c r="UBO237" s="36"/>
      <c r="UBP237" s="36"/>
      <c r="UBQ237" s="36"/>
      <c r="UBR237" s="36"/>
      <c r="UBS237" s="36"/>
      <c r="UBT237" s="36"/>
      <c r="UBU237" s="36"/>
      <c r="UBV237" s="36"/>
      <c r="UBW237" s="36"/>
      <c r="UBX237" s="36"/>
      <c r="UBY237" s="36"/>
      <c r="UBZ237" s="36"/>
      <c r="UCA237" s="36"/>
      <c r="UCB237" s="36"/>
      <c r="UCC237" s="36"/>
      <c r="UCD237" s="36"/>
      <c r="UCE237" s="36"/>
      <c r="UCF237" s="36"/>
      <c r="UCG237" s="36"/>
      <c r="UCH237" s="36"/>
      <c r="UCI237" s="36"/>
      <c r="UCJ237" s="36"/>
      <c r="UCK237" s="36"/>
      <c r="UCL237" s="36"/>
      <c r="UCM237" s="36"/>
      <c r="UCN237" s="36"/>
      <c r="UCO237" s="36"/>
      <c r="UCP237" s="36"/>
      <c r="UCQ237" s="36"/>
      <c r="UCR237" s="36"/>
      <c r="UCS237" s="36"/>
      <c r="UCT237" s="36"/>
      <c r="UCU237" s="36"/>
      <c r="UCV237" s="36"/>
      <c r="UCW237" s="36"/>
      <c r="UCX237" s="36"/>
      <c r="UCY237" s="36"/>
      <c r="UCZ237" s="36"/>
      <c r="UDA237" s="36"/>
      <c r="UDB237" s="36"/>
      <c r="UDC237" s="36"/>
      <c r="UDD237" s="36"/>
      <c r="UDE237" s="36"/>
      <c r="UDF237" s="36"/>
      <c r="UDG237" s="36"/>
      <c r="UDH237" s="36"/>
      <c r="UDI237" s="36"/>
      <c r="UDJ237" s="36"/>
      <c r="UDK237" s="36"/>
      <c r="UDL237" s="36"/>
      <c r="UDM237" s="36"/>
      <c r="UDN237" s="36"/>
      <c r="UDO237" s="36"/>
      <c r="UDP237" s="36"/>
      <c r="UDQ237" s="36"/>
      <c r="UDR237" s="36"/>
      <c r="UDS237" s="36"/>
      <c r="UDT237" s="36"/>
      <c r="UDU237" s="36"/>
      <c r="UDV237" s="36"/>
      <c r="UDW237" s="36"/>
      <c r="UDX237" s="36"/>
      <c r="UDY237" s="36"/>
      <c r="UDZ237" s="36"/>
      <c r="UEA237" s="36"/>
      <c r="UEB237" s="36"/>
      <c r="UEC237" s="36"/>
      <c r="UED237" s="36"/>
      <c r="UEE237" s="36"/>
      <c r="UEF237" s="36"/>
      <c r="UEG237" s="36"/>
      <c r="UEH237" s="36"/>
      <c r="UEI237" s="36"/>
      <c r="UEJ237" s="36"/>
      <c r="UEK237" s="36"/>
      <c r="UEL237" s="36"/>
      <c r="UEM237" s="36"/>
      <c r="UEN237" s="36"/>
      <c r="UEO237" s="36"/>
      <c r="UEP237" s="36"/>
      <c r="UEQ237" s="36"/>
      <c r="UER237" s="36"/>
      <c r="UES237" s="36"/>
      <c r="UET237" s="36"/>
      <c r="UEU237" s="36"/>
      <c r="UEV237" s="36"/>
      <c r="UEW237" s="36"/>
      <c r="UEX237" s="36"/>
      <c r="UEY237" s="36"/>
      <c r="UEZ237" s="36"/>
      <c r="UFA237" s="36"/>
      <c r="UFB237" s="36"/>
      <c r="UFC237" s="36"/>
      <c r="UFD237" s="36"/>
      <c r="UFE237" s="36"/>
      <c r="UFF237" s="36"/>
      <c r="UFG237" s="36"/>
      <c r="UFH237" s="36"/>
      <c r="UFI237" s="36"/>
      <c r="UFJ237" s="36"/>
      <c r="UFK237" s="36"/>
      <c r="UFL237" s="36"/>
      <c r="UFM237" s="36"/>
      <c r="UFN237" s="36"/>
      <c r="UFO237" s="36"/>
      <c r="UFP237" s="36"/>
      <c r="UFQ237" s="36"/>
      <c r="UFR237" s="36"/>
      <c r="UFS237" s="36"/>
      <c r="UFT237" s="36"/>
      <c r="UFU237" s="36"/>
      <c r="UFV237" s="36"/>
      <c r="UFW237" s="36"/>
      <c r="UFX237" s="36"/>
      <c r="UFY237" s="36"/>
      <c r="UFZ237" s="36"/>
      <c r="UGA237" s="36"/>
      <c r="UGB237" s="36"/>
      <c r="UGC237" s="36"/>
      <c r="UGD237" s="36"/>
      <c r="UGE237" s="36"/>
      <c r="UGF237" s="36"/>
      <c r="UGG237" s="36"/>
      <c r="UGH237" s="36"/>
      <c r="UGI237" s="36"/>
      <c r="UGJ237" s="36"/>
      <c r="UGK237" s="36"/>
      <c r="UGL237" s="36"/>
      <c r="UGM237" s="36"/>
      <c r="UGN237" s="36"/>
      <c r="UGO237" s="36"/>
      <c r="UGP237" s="36"/>
      <c r="UGQ237" s="36"/>
      <c r="UGR237" s="36"/>
      <c r="UGS237" s="36"/>
      <c r="UGT237" s="36"/>
      <c r="UGU237" s="36"/>
      <c r="UGV237" s="36"/>
      <c r="UGW237" s="36"/>
      <c r="UGX237" s="36"/>
      <c r="UGY237" s="36"/>
      <c r="UGZ237" s="36"/>
      <c r="UHA237" s="36"/>
      <c r="UHB237" s="36"/>
      <c r="UHC237" s="36"/>
      <c r="UHD237" s="36"/>
      <c r="UHE237" s="36"/>
      <c r="UHF237" s="36"/>
      <c r="UHG237" s="36"/>
      <c r="UHH237" s="36"/>
      <c r="UHI237" s="36"/>
      <c r="UHJ237" s="36"/>
      <c r="UHK237" s="36"/>
      <c r="UHL237" s="36"/>
      <c r="UHM237" s="36"/>
      <c r="UHN237" s="36"/>
      <c r="UHO237" s="36"/>
      <c r="UHP237" s="36"/>
      <c r="UHQ237" s="36"/>
      <c r="UHR237" s="36"/>
      <c r="UHS237" s="36"/>
      <c r="UHT237" s="36"/>
      <c r="UHU237" s="36"/>
      <c r="UHV237" s="36"/>
      <c r="UHW237" s="36"/>
      <c r="UHX237" s="36"/>
      <c r="UHY237" s="36"/>
      <c r="UHZ237" s="36"/>
      <c r="UIA237" s="36"/>
      <c r="UIB237" s="36"/>
      <c r="UIC237" s="36"/>
      <c r="UID237" s="36"/>
      <c r="UIE237" s="36"/>
      <c r="UIF237" s="36"/>
      <c r="UIG237" s="36"/>
      <c r="UIH237" s="36"/>
      <c r="UII237" s="36"/>
      <c r="UIJ237" s="36"/>
      <c r="UIK237" s="36"/>
      <c r="UIL237" s="36"/>
      <c r="UIM237" s="36"/>
      <c r="UIN237" s="36"/>
      <c r="UIO237" s="36"/>
      <c r="UIP237" s="36"/>
      <c r="UIQ237" s="36"/>
      <c r="UIR237" s="36"/>
      <c r="UIS237" s="36"/>
      <c r="UIT237" s="36"/>
      <c r="UIU237" s="36"/>
      <c r="UIV237" s="36"/>
      <c r="UIW237" s="36"/>
      <c r="UIX237" s="36"/>
      <c r="UIY237" s="36"/>
      <c r="UIZ237" s="36"/>
      <c r="UJA237" s="36"/>
      <c r="UJB237" s="36"/>
      <c r="UJC237" s="36"/>
      <c r="UJD237" s="36"/>
      <c r="UJE237" s="36"/>
      <c r="UJF237" s="36"/>
      <c r="UJG237" s="36"/>
      <c r="UJH237" s="36"/>
      <c r="UJI237" s="36"/>
      <c r="UJJ237" s="36"/>
      <c r="UJK237" s="36"/>
      <c r="UJL237" s="36"/>
      <c r="UJM237" s="36"/>
      <c r="UJN237" s="36"/>
      <c r="UJO237" s="36"/>
      <c r="UJP237" s="36"/>
      <c r="UJQ237" s="36"/>
      <c r="UJR237" s="36"/>
      <c r="UJS237" s="36"/>
      <c r="UJT237" s="36"/>
      <c r="UJU237" s="36"/>
      <c r="UJV237" s="36"/>
      <c r="UJW237" s="36"/>
      <c r="UJX237" s="36"/>
      <c r="UJY237" s="36"/>
      <c r="UJZ237" s="36"/>
      <c r="UKA237" s="36"/>
      <c r="UKB237" s="36"/>
      <c r="UKC237" s="36"/>
      <c r="UKD237" s="36"/>
      <c r="UKE237" s="36"/>
      <c r="UKF237" s="36"/>
      <c r="UKG237" s="36"/>
      <c r="UKH237" s="36"/>
      <c r="UKI237" s="36"/>
      <c r="UKJ237" s="36"/>
      <c r="UKK237" s="36"/>
      <c r="UKL237" s="36"/>
      <c r="UKM237" s="36"/>
      <c r="UKN237" s="36"/>
      <c r="UKO237" s="36"/>
      <c r="UKP237" s="36"/>
      <c r="UKQ237" s="36"/>
      <c r="UKR237" s="36"/>
      <c r="UKS237" s="36"/>
      <c r="UKT237" s="36"/>
      <c r="UKU237" s="36"/>
      <c r="UKV237" s="36"/>
      <c r="UKW237" s="36"/>
      <c r="UKX237" s="36"/>
      <c r="UKY237" s="36"/>
      <c r="UKZ237" s="36"/>
      <c r="ULA237" s="36"/>
      <c r="ULB237" s="36"/>
      <c r="ULC237" s="36"/>
      <c r="ULD237" s="36"/>
      <c r="ULE237" s="36"/>
      <c r="ULF237" s="36"/>
      <c r="ULG237" s="36"/>
      <c r="ULH237" s="36"/>
      <c r="ULI237" s="36"/>
      <c r="ULJ237" s="36"/>
      <c r="ULK237" s="36"/>
      <c r="ULL237" s="36"/>
      <c r="ULM237" s="36"/>
      <c r="ULN237" s="36"/>
      <c r="ULO237" s="36"/>
      <c r="ULP237" s="36"/>
      <c r="ULQ237" s="36"/>
      <c r="ULR237" s="36"/>
      <c r="ULS237" s="36"/>
      <c r="ULT237" s="36"/>
      <c r="ULU237" s="36"/>
      <c r="ULV237" s="36"/>
      <c r="ULW237" s="36"/>
      <c r="ULX237" s="36"/>
      <c r="ULY237" s="36"/>
      <c r="ULZ237" s="36"/>
      <c r="UMA237" s="36"/>
      <c r="UMB237" s="36"/>
      <c r="UMC237" s="36"/>
      <c r="UMD237" s="36"/>
      <c r="UME237" s="36"/>
      <c r="UMF237" s="36"/>
      <c r="UMG237" s="36"/>
      <c r="UMH237" s="36"/>
      <c r="UMI237" s="36"/>
      <c r="UMJ237" s="36"/>
      <c r="UMK237" s="36"/>
      <c r="UML237" s="36"/>
      <c r="UMM237" s="36"/>
      <c r="UMN237" s="36"/>
      <c r="UMO237" s="36"/>
      <c r="UMP237" s="36"/>
      <c r="UMQ237" s="36"/>
      <c r="UMR237" s="36"/>
      <c r="UMS237" s="36"/>
      <c r="UMT237" s="36"/>
      <c r="UMU237" s="36"/>
      <c r="UMV237" s="36"/>
      <c r="UMW237" s="36"/>
      <c r="UMX237" s="36"/>
      <c r="UMY237" s="36"/>
      <c r="UMZ237" s="36"/>
      <c r="UNA237" s="36"/>
      <c r="UNB237" s="36"/>
      <c r="UNC237" s="36"/>
      <c r="UND237" s="36"/>
      <c r="UNE237" s="36"/>
      <c r="UNF237" s="36"/>
      <c r="UNG237" s="36"/>
      <c r="UNH237" s="36"/>
      <c r="UNI237" s="36"/>
      <c r="UNJ237" s="36"/>
      <c r="UNK237" s="36"/>
      <c r="UNL237" s="36"/>
      <c r="UNM237" s="36"/>
      <c r="UNN237" s="36"/>
      <c r="UNO237" s="36"/>
      <c r="UNP237" s="36"/>
      <c r="UNQ237" s="36"/>
      <c r="UNR237" s="36"/>
      <c r="UNS237" s="36"/>
      <c r="UNT237" s="36"/>
      <c r="UNU237" s="36"/>
      <c r="UNV237" s="36"/>
      <c r="UNW237" s="36"/>
      <c r="UNX237" s="36"/>
      <c r="UNY237" s="36"/>
      <c r="UNZ237" s="36"/>
      <c r="UOA237" s="36"/>
      <c r="UOB237" s="36"/>
      <c r="UOC237" s="36"/>
      <c r="UOD237" s="36"/>
      <c r="UOE237" s="36"/>
      <c r="UOF237" s="36"/>
      <c r="UOG237" s="36"/>
      <c r="UOH237" s="36"/>
      <c r="UOI237" s="36"/>
      <c r="UOJ237" s="36"/>
      <c r="UOK237" s="36"/>
      <c r="UOL237" s="36"/>
      <c r="UOM237" s="36"/>
      <c r="UON237" s="36"/>
      <c r="UOO237" s="36"/>
      <c r="UOP237" s="36"/>
      <c r="UOQ237" s="36"/>
      <c r="UOR237" s="36"/>
      <c r="UOS237" s="36"/>
      <c r="UOT237" s="36"/>
      <c r="UOU237" s="36"/>
      <c r="UOV237" s="36"/>
      <c r="UOW237" s="36"/>
      <c r="UOX237" s="36"/>
      <c r="UOY237" s="36"/>
      <c r="UOZ237" s="36"/>
      <c r="UPA237" s="36"/>
      <c r="UPB237" s="36"/>
      <c r="UPC237" s="36"/>
      <c r="UPD237" s="36"/>
      <c r="UPE237" s="36"/>
      <c r="UPF237" s="36"/>
      <c r="UPG237" s="36"/>
      <c r="UPH237" s="36"/>
      <c r="UPI237" s="36"/>
      <c r="UPJ237" s="36"/>
      <c r="UPK237" s="36"/>
      <c r="UPL237" s="36"/>
      <c r="UPM237" s="36"/>
      <c r="UPN237" s="36"/>
      <c r="UPO237" s="36"/>
      <c r="UPP237" s="36"/>
      <c r="UPQ237" s="36"/>
      <c r="UPR237" s="36"/>
      <c r="UPS237" s="36"/>
      <c r="UPT237" s="36"/>
      <c r="UPU237" s="36"/>
      <c r="UPV237" s="36"/>
      <c r="UPW237" s="36"/>
      <c r="UPX237" s="36"/>
      <c r="UPY237" s="36"/>
      <c r="UPZ237" s="36"/>
      <c r="UQA237" s="36"/>
      <c r="UQB237" s="36"/>
      <c r="UQC237" s="36"/>
      <c r="UQD237" s="36"/>
      <c r="UQE237" s="36"/>
      <c r="UQF237" s="36"/>
      <c r="UQG237" s="36"/>
      <c r="UQH237" s="36"/>
      <c r="UQI237" s="36"/>
      <c r="UQJ237" s="36"/>
      <c r="UQK237" s="36"/>
      <c r="UQL237" s="36"/>
      <c r="UQM237" s="36"/>
      <c r="UQN237" s="36"/>
      <c r="UQO237" s="36"/>
      <c r="UQP237" s="36"/>
      <c r="UQQ237" s="36"/>
      <c r="UQR237" s="36"/>
      <c r="UQS237" s="36"/>
      <c r="UQT237" s="36"/>
      <c r="UQU237" s="36"/>
      <c r="UQV237" s="36"/>
      <c r="UQW237" s="36"/>
      <c r="UQX237" s="36"/>
      <c r="UQY237" s="36"/>
      <c r="UQZ237" s="36"/>
      <c r="URA237" s="36"/>
      <c r="URB237" s="36"/>
      <c r="URC237" s="36"/>
      <c r="URD237" s="36"/>
      <c r="URE237" s="36"/>
      <c r="URF237" s="36"/>
      <c r="URG237" s="36"/>
      <c r="URH237" s="36"/>
      <c r="URI237" s="36"/>
      <c r="URJ237" s="36"/>
      <c r="URK237" s="36"/>
      <c r="URL237" s="36"/>
      <c r="URM237" s="36"/>
      <c r="URN237" s="36"/>
      <c r="URO237" s="36"/>
      <c r="URP237" s="36"/>
      <c r="URQ237" s="36"/>
      <c r="URR237" s="36"/>
      <c r="URS237" s="36"/>
      <c r="URT237" s="36"/>
      <c r="URU237" s="36"/>
      <c r="URV237" s="36"/>
      <c r="URW237" s="36"/>
      <c r="URX237" s="36"/>
      <c r="URY237" s="36"/>
      <c r="URZ237" s="36"/>
      <c r="USA237" s="36"/>
      <c r="USB237" s="36"/>
      <c r="USC237" s="36"/>
      <c r="USD237" s="36"/>
      <c r="USE237" s="36"/>
      <c r="USF237" s="36"/>
      <c r="USG237" s="36"/>
      <c r="USH237" s="36"/>
      <c r="USI237" s="36"/>
      <c r="USJ237" s="36"/>
      <c r="USK237" s="36"/>
      <c r="USL237" s="36"/>
      <c r="USM237" s="36"/>
      <c r="USN237" s="36"/>
      <c r="USO237" s="36"/>
      <c r="USP237" s="36"/>
      <c r="USQ237" s="36"/>
      <c r="USR237" s="36"/>
      <c r="USS237" s="36"/>
      <c r="UST237" s="36"/>
      <c r="USU237" s="36"/>
      <c r="USV237" s="36"/>
      <c r="USW237" s="36"/>
      <c r="USX237" s="36"/>
      <c r="USY237" s="36"/>
      <c r="USZ237" s="36"/>
      <c r="UTA237" s="36"/>
      <c r="UTB237" s="36"/>
      <c r="UTC237" s="36"/>
      <c r="UTD237" s="36"/>
      <c r="UTE237" s="36"/>
      <c r="UTF237" s="36"/>
      <c r="UTG237" s="36"/>
      <c r="UTH237" s="36"/>
      <c r="UTI237" s="36"/>
      <c r="UTJ237" s="36"/>
      <c r="UTK237" s="36"/>
      <c r="UTL237" s="36"/>
      <c r="UTM237" s="36"/>
      <c r="UTN237" s="36"/>
      <c r="UTO237" s="36"/>
      <c r="UTP237" s="36"/>
      <c r="UTQ237" s="36"/>
      <c r="UTR237" s="36"/>
      <c r="UTS237" s="36"/>
      <c r="UTT237" s="36"/>
      <c r="UTU237" s="36"/>
      <c r="UTV237" s="36"/>
      <c r="UTW237" s="36"/>
      <c r="UTX237" s="36"/>
      <c r="UTY237" s="36"/>
      <c r="UTZ237" s="36"/>
      <c r="UUA237" s="36"/>
      <c r="UUB237" s="36"/>
      <c r="UUC237" s="36"/>
      <c r="UUD237" s="36"/>
      <c r="UUE237" s="36"/>
      <c r="UUF237" s="36"/>
      <c r="UUG237" s="36"/>
      <c r="UUH237" s="36"/>
      <c r="UUI237" s="36"/>
      <c r="UUJ237" s="36"/>
      <c r="UUK237" s="36"/>
      <c r="UUL237" s="36"/>
      <c r="UUM237" s="36"/>
      <c r="UUN237" s="36"/>
      <c r="UUO237" s="36"/>
      <c r="UUP237" s="36"/>
      <c r="UUQ237" s="36"/>
      <c r="UUR237" s="36"/>
      <c r="UUS237" s="36"/>
      <c r="UUT237" s="36"/>
      <c r="UUU237" s="36"/>
      <c r="UUV237" s="36"/>
      <c r="UUW237" s="36"/>
      <c r="UUX237" s="36"/>
      <c r="UUY237" s="36"/>
      <c r="UUZ237" s="36"/>
      <c r="UVA237" s="36"/>
      <c r="UVB237" s="36"/>
      <c r="UVC237" s="36"/>
      <c r="UVD237" s="36"/>
      <c r="UVE237" s="36"/>
      <c r="UVF237" s="36"/>
      <c r="UVG237" s="36"/>
      <c r="UVH237" s="36"/>
      <c r="UVI237" s="36"/>
      <c r="UVJ237" s="36"/>
      <c r="UVK237" s="36"/>
      <c r="UVL237" s="36"/>
      <c r="UVM237" s="36"/>
      <c r="UVN237" s="36"/>
      <c r="UVO237" s="36"/>
      <c r="UVP237" s="36"/>
      <c r="UVQ237" s="36"/>
      <c r="UVR237" s="36"/>
      <c r="UVS237" s="36"/>
      <c r="UVT237" s="36"/>
      <c r="UVU237" s="36"/>
      <c r="UVV237" s="36"/>
      <c r="UVW237" s="36"/>
      <c r="UVX237" s="36"/>
      <c r="UVY237" s="36"/>
      <c r="UVZ237" s="36"/>
      <c r="UWA237" s="36"/>
      <c r="UWB237" s="36"/>
      <c r="UWC237" s="36"/>
      <c r="UWD237" s="36"/>
      <c r="UWE237" s="36"/>
      <c r="UWF237" s="36"/>
      <c r="UWG237" s="36"/>
      <c r="UWH237" s="36"/>
      <c r="UWI237" s="36"/>
      <c r="UWJ237" s="36"/>
      <c r="UWK237" s="36"/>
      <c r="UWL237" s="36"/>
      <c r="UWM237" s="36"/>
      <c r="UWN237" s="36"/>
      <c r="UWO237" s="36"/>
      <c r="UWP237" s="36"/>
      <c r="UWQ237" s="36"/>
      <c r="UWR237" s="36"/>
      <c r="UWS237" s="36"/>
      <c r="UWT237" s="36"/>
      <c r="UWU237" s="36"/>
      <c r="UWV237" s="36"/>
      <c r="UWW237" s="36"/>
      <c r="UWX237" s="36"/>
      <c r="UWY237" s="36"/>
      <c r="UWZ237" s="36"/>
      <c r="UXA237" s="36"/>
      <c r="UXB237" s="36"/>
      <c r="UXC237" s="36"/>
      <c r="UXD237" s="36"/>
      <c r="UXE237" s="36"/>
      <c r="UXF237" s="36"/>
      <c r="UXG237" s="36"/>
      <c r="UXH237" s="36"/>
      <c r="UXI237" s="36"/>
      <c r="UXJ237" s="36"/>
      <c r="UXK237" s="36"/>
      <c r="UXL237" s="36"/>
      <c r="UXM237" s="36"/>
      <c r="UXN237" s="36"/>
      <c r="UXO237" s="36"/>
      <c r="UXP237" s="36"/>
      <c r="UXQ237" s="36"/>
      <c r="UXR237" s="36"/>
      <c r="UXS237" s="36"/>
      <c r="UXT237" s="36"/>
      <c r="UXU237" s="36"/>
      <c r="UXV237" s="36"/>
      <c r="UXW237" s="36"/>
      <c r="UXX237" s="36"/>
      <c r="UXY237" s="36"/>
      <c r="UXZ237" s="36"/>
      <c r="UYA237" s="36"/>
      <c r="UYB237" s="36"/>
      <c r="UYC237" s="36"/>
      <c r="UYD237" s="36"/>
      <c r="UYE237" s="36"/>
      <c r="UYF237" s="36"/>
      <c r="UYG237" s="36"/>
      <c r="UYH237" s="36"/>
      <c r="UYI237" s="36"/>
      <c r="UYJ237" s="36"/>
      <c r="UYK237" s="36"/>
      <c r="UYL237" s="36"/>
      <c r="UYM237" s="36"/>
      <c r="UYN237" s="36"/>
      <c r="UYO237" s="36"/>
      <c r="UYP237" s="36"/>
      <c r="UYQ237" s="36"/>
      <c r="UYR237" s="36"/>
      <c r="UYS237" s="36"/>
      <c r="UYT237" s="36"/>
      <c r="UYU237" s="36"/>
      <c r="UYV237" s="36"/>
      <c r="UYW237" s="36"/>
      <c r="UYX237" s="36"/>
      <c r="UYY237" s="36"/>
      <c r="UYZ237" s="36"/>
      <c r="UZA237" s="36"/>
      <c r="UZB237" s="36"/>
      <c r="UZC237" s="36"/>
      <c r="UZD237" s="36"/>
      <c r="UZE237" s="36"/>
      <c r="UZF237" s="36"/>
      <c r="UZG237" s="36"/>
      <c r="UZH237" s="36"/>
      <c r="UZI237" s="36"/>
      <c r="UZJ237" s="36"/>
      <c r="UZK237" s="36"/>
      <c r="UZL237" s="36"/>
      <c r="UZM237" s="36"/>
      <c r="UZN237" s="36"/>
      <c r="UZO237" s="36"/>
      <c r="UZP237" s="36"/>
      <c r="UZQ237" s="36"/>
      <c r="UZR237" s="36"/>
      <c r="UZS237" s="36"/>
      <c r="UZT237" s="36"/>
      <c r="UZU237" s="36"/>
      <c r="UZV237" s="36"/>
      <c r="UZW237" s="36"/>
      <c r="UZX237" s="36"/>
      <c r="UZY237" s="36"/>
      <c r="UZZ237" s="36"/>
      <c r="VAA237" s="36"/>
      <c r="VAB237" s="36"/>
      <c r="VAC237" s="36"/>
      <c r="VAD237" s="36"/>
      <c r="VAE237" s="36"/>
      <c r="VAF237" s="36"/>
      <c r="VAG237" s="36"/>
      <c r="VAH237" s="36"/>
      <c r="VAI237" s="36"/>
      <c r="VAJ237" s="36"/>
      <c r="VAK237" s="36"/>
      <c r="VAL237" s="36"/>
      <c r="VAM237" s="36"/>
      <c r="VAN237" s="36"/>
      <c r="VAO237" s="36"/>
      <c r="VAP237" s="36"/>
      <c r="VAQ237" s="36"/>
      <c r="VAR237" s="36"/>
      <c r="VAS237" s="36"/>
      <c r="VAT237" s="36"/>
      <c r="VAU237" s="36"/>
      <c r="VAV237" s="36"/>
      <c r="VAW237" s="36"/>
      <c r="VAX237" s="36"/>
      <c r="VAY237" s="36"/>
      <c r="VAZ237" s="36"/>
      <c r="VBA237" s="36"/>
      <c r="VBB237" s="36"/>
      <c r="VBC237" s="36"/>
      <c r="VBD237" s="36"/>
      <c r="VBE237" s="36"/>
      <c r="VBF237" s="36"/>
      <c r="VBG237" s="36"/>
      <c r="VBH237" s="36"/>
      <c r="VBI237" s="36"/>
      <c r="VBJ237" s="36"/>
      <c r="VBK237" s="36"/>
      <c r="VBL237" s="36"/>
      <c r="VBM237" s="36"/>
      <c r="VBN237" s="36"/>
      <c r="VBO237" s="36"/>
      <c r="VBP237" s="36"/>
      <c r="VBQ237" s="36"/>
      <c r="VBR237" s="36"/>
      <c r="VBS237" s="36"/>
      <c r="VBT237" s="36"/>
      <c r="VBU237" s="36"/>
      <c r="VBV237" s="36"/>
      <c r="VBW237" s="36"/>
      <c r="VBX237" s="36"/>
      <c r="VBY237" s="36"/>
      <c r="VBZ237" s="36"/>
      <c r="VCA237" s="36"/>
      <c r="VCB237" s="36"/>
      <c r="VCC237" s="36"/>
      <c r="VCD237" s="36"/>
      <c r="VCE237" s="36"/>
      <c r="VCF237" s="36"/>
      <c r="VCG237" s="36"/>
      <c r="VCH237" s="36"/>
      <c r="VCI237" s="36"/>
      <c r="VCJ237" s="36"/>
      <c r="VCK237" s="36"/>
      <c r="VCL237" s="36"/>
      <c r="VCM237" s="36"/>
      <c r="VCN237" s="36"/>
      <c r="VCO237" s="36"/>
      <c r="VCP237" s="36"/>
      <c r="VCQ237" s="36"/>
      <c r="VCR237" s="36"/>
      <c r="VCS237" s="36"/>
      <c r="VCT237" s="36"/>
      <c r="VCU237" s="36"/>
      <c r="VCV237" s="36"/>
      <c r="VCW237" s="36"/>
      <c r="VCX237" s="36"/>
      <c r="VCY237" s="36"/>
      <c r="VCZ237" s="36"/>
      <c r="VDA237" s="36"/>
      <c r="VDB237" s="36"/>
      <c r="VDC237" s="36"/>
      <c r="VDD237" s="36"/>
      <c r="VDE237" s="36"/>
      <c r="VDF237" s="36"/>
      <c r="VDG237" s="36"/>
      <c r="VDH237" s="36"/>
      <c r="VDI237" s="36"/>
      <c r="VDJ237" s="36"/>
      <c r="VDK237" s="36"/>
      <c r="VDL237" s="36"/>
      <c r="VDM237" s="36"/>
      <c r="VDN237" s="36"/>
      <c r="VDO237" s="36"/>
      <c r="VDP237" s="36"/>
      <c r="VDQ237" s="36"/>
      <c r="VDR237" s="36"/>
      <c r="VDS237" s="36"/>
      <c r="VDT237" s="36"/>
      <c r="VDU237" s="36"/>
      <c r="VDV237" s="36"/>
      <c r="VDW237" s="36"/>
      <c r="VDX237" s="36"/>
      <c r="VDY237" s="36"/>
      <c r="VDZ237" s="36"/>
      <c r="VEA237" s="36"/>
      <c r="VEB237" s="36"/>
      <c r="VEC237" s="36"/>
      <c r="VED237" s="36"/>
      <c r="VEE237" s="36"/>
      <c r="VEF237" s="36"/>
      <c r="VEG237" s="36"/>
      <c r="VEH237" s="36"/>
      <c r="VEI237" s="36"/>
      <c r="VEJ237" s="36"/>
      <c r="VEK237" s="36"/>
      <c r="VEL237" s="36"/>
      <c r="VEM237" s="36"/>
      <c r="VEN237" s="36"/>
      <c r="VEO237" s="36"/>
      <c r="VEP237" s="36"/>
      <c r="VEQ237" s="36"/>
      <c r="VER237" s="36"/>
      <c r="VES237" s="36"/>
      <c r="VET237" s="36"/>
      <c r="VEU237" s="36"/>
      <c r="VEV237" s="36"/>
      <c r="VEW237" s="36"/>
      <c r="VEX237" s="36"/>
      <c r="VEY237" s="36"/>
      <c r="VEZ237" s="36"/>
      <c r="VFA237" s="36"/>
      <c r="VFB237" s="36"/>
      <c r="VFC237" s="36"/>
      <c r="VFD237" s="36"/>
      <c r="VFE237" s="36"/>
      <c r="VFF237" s="36"/>
      <c r="VFG237" s="36"/>
      <c r="VFH237" s="36"/>
      <c r="VFI237" s="36"/>
      <c r="VFJ237" s="36"/>
      <c r="VFK237" s="36"/>
      <c r="VFL237" s="36"/>
      <c r="VFM237" s="36"/>
      <c r="VFN237" s="36"/>
      <c r="VFO237" s="36"/>
      <c r="VFP237" s="36"/>
      <c r="VFQ237" s="36"/>
      <c r="VFR237" s="36"/>
      <c r="VFS237" s="36"/>
      <c r="VFT237" s="36"/>
      <c r="VFU237" s="36"/>
      <c r="VFV237" s="36"/>
      <c r="VFW237" s="36"/>
      <c r="VFX237" s="36"/>
      <c r="VFY237" s="36"/>
      <c r="VFZ237" s="36"/>
      <c r="VGA237" s="36"/>
      <c r="VGB237" s="36"/>
      <c r="VGC237" s="36"/>
      <c r="VGD237" s="36"/>
      <c r="VGE237" s="36"/>
      <c r="VGF237" s="36"/>
      <c r="VGG237" s="36"/>
      <c r="VGH237" s="36"/>
      <c r="VGI237" s="36"/>
      <c r="VGJ237" s="36"/>
      <c r="VGK237" s="36"/>
      <c r="VGL237" s="36"/>
      <c r="VGM237" s="36"/>
      <c r="VGN237" s="36"/>
      <c r="VGO237" s="36"/>
      <c r="VGP237" s="36"/>
      <c r="VGQ237" s="36"/>
      <c r="VGR237" s="36"/>
      <c r="VGS237" s="36"/>
      <c r="VGT237" s="36"/>
      <c r="VGU237" s="36"/>
      <c r="VGV237" s="36"/>
      <c r="VGW237" s="36"/>
      <c r="VGX237" s="36"/>
      <c r="VGY237" s="36"/>
      <c r="VGZ237" s="36"/>
      <c r="VHA237" s="36"/>
      <c r="VHB237" s="36"/>
      <c r="VHC237" s="36"/>
      <c r="VHD237" s="36"/>
      <c r="VHE237" s="36"/>
      <c r="VHF237" s="36"/>
      <c r="VHG237" s="36"/>
      <c r="VHH237" s="36"/>
      <c r="VHI237" s="36"/>
      <c r="VHJ237" s="36"/>
      <c r="VHK237" s="36"/>
      <c r="VHL237" s="36"/>
      <c r="VHM237" s="36"/>
      <c r="VHN237" s="36"/>
      <c r="VHO237" s="36"/>
      <c r="VHP237" s="36"/>
      <c r="VHQ237" s="36"/>
      <c r="VHR237" s="36"/>
      <c r="VHS237" s="36"/>
      <c r="VHT237" s="36"/>
      <c r="VHU237" s="36"/>
      <c r="VHV237" s="36"/>
      <c r="VHW237" s="36"/>
      <c r="VHX237" s="36"/>
      <c r="VHY237" s="36"/>
      <c r="VHZ237" s="36"/>
      <c r="VIA237" s="36"/>
      <c r="VIB237" s="36"/>
      <c r="VIC237" s="36"/>
      <c r="VID237" s="36"/>
      <c r="VIE237" s="36"/>
      <c r="VIF237" s="36"/>
      <c r="VIG237" s="36"/>
      <c r="VIH237" s="36"/>
      <c r="VII237" s="36"/>
      <c r="VIJ237" s="36"/>
      <c r="VIK237" s="36"/>
      <c r="VIL237" s="36"/>
      <c r="VIM237" s="36"/>
      <c r="VIN237" s="36"/>
      <c r="VIO237" s="36"/>
      <c r="VIP237" s="36"/>
      <c r="VIQ237" s="36"/>
      <c r="VIR237" s="36"/>
      <c r="VIS237" s="36"/>
      <c r="VIT237" s="36"/>
      <c r="VIU237" s="36"/>
      <c r="VIV237" s="36"/>
      <c r="VIW237" s="36"/>
      <c r="VIX237" s="36"/>
      <c r="VIY237" s="36"/>
      <c r="VIZ237" s="36"/>
      <c r="VJA237" s="36"/>
      <c r="VJB237" s="36"/>
      <c r="VJC237" s="36"/>
      <c r="VJD237" s="36"/>
      <c r="VJE237" s="36"/>
      <c r="VJF237" s="36"/>
      <c r="VJG237" s="36"/>
      <c r="VJH237" s="36"/>
      <c r="VJI237" s="36"/>
      <c r="VJJ237" s="36"/>
      <c r="VJK237" s="36"/>
      <c r="VJL237" s="36"/>
      <c r="VJM237" s="36"/>
      <c r="VJN237" s="36"/>
      <c r="VJO237" s="36"/>
      <c r="VJP237" s="36"/>
      <c r="VJQ237" s="36"/>
      <c r="VJR237" s="36"/>
      <c r="VJS237" s="36"/>
      <c r="VJT237" s="36"/>
      <c r="VJU237" s="36"/>
      <c r="VJV237" s="36"/>
      <c r="VJW237" s="36"/>
      <c r="VJX237" s="36"/>
      <c r="VJY237" s="36"/>
      <c r="VJZ237" s="36"/>
      <c r="VKA237" s="36"/>
      <c r="VKB237" s="36"/>
      <c r="VKC237" s="36"/>
      <c r="VKD237" s="36"/>
      <c r="VKE237" s="36"/>
      <c r="VKF237" s="36"/>
      <c r="VKG237" s="36"/>
      <c r="VKH237" s="36"/>
      <c r="VKI237" s="36"/>
      <c r="VKJ237" s="36"/>
      <c r="VKK237" s="36"/>
      <c r="VKL237" s="36"/>
      <c r="VKM237" s="36"/>
      <c r="VKN237" s="36"/>
      <c r="VKO237" s="36"/>
      <c r="VKP237" s="36"/>
      <c r="VKQ237" s="36"/>
      <c r="VKR237" s="36"/>
      <c r="VKS237" s="36"/>
      <c r="VKT237" s="36"/>
      <c r="VKU237" s="36"/>
      <c r="VKV237" s="36"/>
      <c r="VKW237" s="36"/>
      <c r="VKX237" s="36"/>
      <c r="VKY237" s="36"/>
      <c r="VKZ237" s="36"/>
      <c r="VLA237" s="36"/>
      <c r="VLB237" s="36"/>
      <c r="VLC237" s="36"/>
      <c r="VLD237" s="36"/>
      <c r="VLE237" s="36"/>
      <c r="VLF237" s="36"/>
      <c r="VLG237" s="36"/>
      <c r="VLH237" s="36"/>
      <c r="VLI237" s="36"/>
      <c r="VLJ237" s="36"/>
      <c r="VLK237" s="36"/>
      <c r="VLL237" s="36"/>
      <c r="VLM237" s="36"/>
      <c r="VLN237" s="36"/>
      <c r="VLO237" s="36"/>
      <c r="VLP237" s="36"/>
      <c r="VLQ237" s="36"/>
      <c r="VLR237" s="36"/>
      <c r="VLS237" s="36"/>
      <c r="VLT237" s="36"/>
      <c r="VLU237" s="36"/>
      <c r="VLV237" s="36"/>
      <c r="VLW237" s="36"/>
      <c r="VLX237" s="36"/>
      <c r="VLY237" s="36"/>
      <c r="VLZ237" s="36"/>
      <c r="VMA237" s="36"/>
      <c r="VMB237" s="36"/>
      <c r="VMC237" s="36"/>
      <c r="VMD237" s="36"/>
      <c r="VME237" s="36"/>
      <c r="VMF237" s="36"/>
      <c r="VMG237" s="36"/>
      <c r="VMH237" s="36"/>
      <c r="VMI237" s="36"/>
      <c r="VMJ237" s="36"/>
      <c r="VMK237" s="36"/>
      <c r="VML237" s="36"/>
      <c r="VMM237" s="36"/>
      <c r="VMN237" s="36"/>
      <c r="VMO237" s="36"/>
      <c r="VMP237" s="36"/>
      <c r="VMQ237" s="36"/>
      <c r="VMR237" s="36"/>
      <c r="VMS237" s="36"/>
      <c r="VMT237" s="36"/>
      <c r="VMU237" s="36"/>
      <c r="VMV237" s="36"/>
      <c r="VMW237" s="36"/>
      <c r="VMX237" s="36"/>
      <c r="VMY237" s="36"/>
      <c r="VMZ237" s="36"/>
      <c r="VNA237" s="36"/>
      <c r="VNB237" s="36"/>
      <c r="VNC237" s="36"/>
      <c r="VND237" s="36"/>
      <c r="VNE237" s="36"/>
      <c r="VNF237" s="36"/>
      <c r="VNG237" s="36"/>
      <c r="VNH237" s="36"/>
      <c r="VNI237" s="36"/>
      <c r="VNJ237" s="36"/>
      <c r="VNK237" s="36"/>
      <c r="VNL237" s="36"/>
      <c r="VNM237" s="36"/>
      <c r="VNN237" s="36"/>
      <c r="VNO237" s="36"/>
      <c r="VNP237" s="36"/>
      <c r="VNQ237" s="36"/>
      <c r="VNR237" s="36"/>
      <c r="VNS237" s="36"/>
      <c r="VNT237" s="36"/>
      <c r="VNU237" s="36"/>
      <c r="VNV237" s="36"/>
      <c r="VNW237" s="36"/>
      <c r="VNX237" s="36"/>
      <c r="VNY237" s="36"/>
      <c r="VNZ237" s="36"/>
      <c r="VOA237" s="36"/>
      <c r="VOB237" s="36"/>
      <c r="VOC237" s="36"/>
      <c r="VOD237" s="36"/>
      <c r="VOE237" s="36"/>
      <c r="VOF237" s="36"/>
      <c r="VOG237" s="36"/>
      <c r="VOH237" s="36"/>
      <c r="VOI237" s="36"/>
      <c r="VOJ237" s="36"/>
      <c r="VOK237" s="36"/>
      <c r="VOL237" s="36"/>
      <c r="VOM237" s="36"/>
      <c r="VON237" s="36"/>
      <c r="VOO237" s="36"/>
      <c r="VOP237" s="36"/>
      <c r="VOQ237" s="36"/>
      <c r="VOR237" s="36"/>
      <c r="VOS237" s="36"/>
      <c r="VOT237" s="36"/>
      <c r="VOU237" s="36"/>
      <c r="VOV237" s="36"/>
      <c r="VOW237" s="36"/>
      <c r="VOX237" s="36"/>
      <c r="VOY237" s="36"/>
      <c r="VOZ237" s="36"/>
      <c r="VPA237" s="36"/>
      <c r="VPB237" s="36"/>
      <c r="VPC237" s="36"/>
      <c r="VPD237" s="36"/>
      <c r="VPE237" s="36"/>
      <c r="VPF237" s="36"/>
      <c r="VPG237" s="36"/>
      <c r="VPH237" s="36"/>
      <c r="VPI237" s="36"/>
      <c r="VPJ237" s="36"/>
      <c r="VPK237" s="36"/>
      <c r="VPL237" s="36"/>
      <c r="VPM237" s="36"/>
      <c r="VPN237" s="36"/>
      <c r="VPO237" s="36"/>
      <c r="VPP237" s="36"/>
      <c r="VPQ237" s="36"/>
      <c r="VPR237" s="36"/>
      <c r="VPS237" s="36"/>
      <c r="VPT237" s="36"/>
      <c r="VPU237" s="36"/>
      <c r="VPV237" s="36"/>
      <c r="VPW237" s="36"/>
      <c r="VPX237" s="36"/>
      <c r="VPY237" s="36"/>
      <c r="VPZ237" s="36"/>
      <c r="VQA237" s="36"/>
      <c r="VQB237" s="36"/>
      <c r="VQC237" s="36"/>
      <c r="VQD237" s="36"/>
      <c r="VQE237" s="36"/>
      <c r="VQF237" s="36"/>
      <c r="VQG237" s="36"/>
      <c r="VQH237" s="36"/>
      <c r="VQI237" s="36"/>
      <c r="VQJ237" s="36"/>
      <c r="VQK237" s="36"/>
      <c r="VQL237" s="36"/>
      <c r="VQM237" s="36"/>
      <c r="VQN237" s="36"/>
      <c r="VQO237" s="36"/>
      <c r="VQP237" s="36"/>
      <c r="VQQ237" s="36"/>
      <c r="VQR237" s="36"/>
      <c r="VQS237" s="36"/>
      <c r="VQT237" s="36"/>
      <c r="VQU237" s="36"/>
      <c r="VQV237" s="36"/>
      <c r="VQW237" s="36"/>
      <c r="VQX237" s="36"/>
      <c r="VQY237" s="36"/>
      <c r="VQZ237" s="36"/>
      <c r="VRA237" s="36"/>
      <c r="VRB237" s="36"/>
      <c r="VRC237" s="36"/>
      <c r="VRD237" s="36"/>
      <c r="VRE237" s="36"/>
      <c r="VRF237" s="36"/>
      <c r="VRG237" s="36"/>
      <c r="VRH237" s="36"/>
      <c r="VRI237" s="36"/>
      <c r="VRJ237" s="36"/>
      <c r="VRK237" s="36"/>
      <c r="VRL237" s="36"/>
      <c r="VRM237" s="36"/>
      <c r="VRN237" s="36"/>
      <c r="VRO237" s="36"/>
      <c r="VRP237" s="36"/>
      <c r="VRQ237" s="36"/>
      <c r="VRR237" s="36"/>
      <c r="VRS237" s="36"/>
      <c r="VRT237" s="36"/>
      <c r="VRU237" s="36"/>
      <c r="VRV237" s="36"/>
      <c r="VRW237" s="36"/>
      <c r="VRX237" s="36"/>
      <c r="VRY237" s="36"/>
      <c r="VRZ237" s="36"/>
      <c r="VSA237" s="36"/>
      <c r="VSB237" s="36"/>
      <c r="VSC237" s="36"/>
      <c r="VSD237" s="36"/>
      <c r="VSE237" s="36"/>
      <c r="VSF237" s="36"/>
      <c r="VSG237" s="36"/>
      <c r="VSH237" s="36"/>
      <c r="VSI237" s="36"/>
      <c r="VSJ237" s="36"/>
      <c r="VSK237" s="36"/>
      <c r="VSL237" s="36"/>
      <c r="VSM237" s="36"/>
      <c r="VSN237" s="36"/>
      <c r="VSO237" s="36"/>
      <c r="VSP237" s="36"/>
      <c r="VSQ237" s="36"/>
      <c r="VSR237" s="36"/>
      <c r="VSS237" s="36"/>
      <c r="VST237" s="36"/>
      <c r="VSU237" s="36"/>
      <c r="VSV237" s="36"/>
      <c r="VSW237" s="36"/>
      <c r="VSX237" s="36"/>
      <c r="VSY237" s="36"/>
      <c r="VSZ237" s="36"/>
      <c r="VTA237" s="36"/>
      <c r="VTB237" s="36"/>
      <c r="VTC237" s="36"/>
      <c r="VTD237" s="36"/>
      <c r="VTE237" s="36"/>
      <c r="VTF237" s="36"/>
      <c r="VTG237" s="36"/>
      <c r="VTH237" s="36"/>
      <c r="VTI237" s="36"/>
      <c r="VTJ237" s="36"/>
      <c r="VTK237" s="36"/>
      <c r="VTL237" s="36"/>
      <c r="VTM237" s="36"/>
      <c r="VTN237" s="36"/>
      <c r="VTO237" s="36"/>
      <c r="VTP237" s="36"/>
      <c r="VTQ237" s="36"/>
      <c r="VTR237" s="36"/>
      <c r="VTS237" s="36"/>
      <c r="VTT237" s="36"/>
      <c r="VTU237" s="36"/>
      <c r="VTV237" s="36"/>
      <c r="VTW237" s="36"/>
      <c r="VTX237" s="36"/>
      <c r="VTY237" s="36"/>
      <c r="VTZ237" s="36"/>
      <c r="VUA237" s="36"/>
      <c r="VUB237" s="36"/>
      <c r="VUC237" s="36"/>
      <c r="VUD237" s="36"/>
      <c r="VUE237" s="36"/>
      <c r="VUF237" s="36"/>
      <c r="VUG237" s="36"/>
      <c r="VUH237" s="36"/>
      <c r="VUI237" s="36"/>
      <c r="VUJ237" s="36"/>
      <c r="VUK237" s="36"/>
      <c r="VUL237" s="36"/>
      <c r="VUM237" s="36"/>
      <c r="VUN237" s="36"/>
      <c r="VUO237" s="36"/>
      <c r="VUP237" s="36"/>
      <c r="VUQ237" s="36"/>
      <c r="VUR237" s="36"/>
      <c r="VUS237" s="36"/>
      <c r="VUT237" s="36"/>
      <c r="VUU237" s="36"/>
      <c r="VUV237" s="36"/>
      <c r="VUW237" s="36"/>
      <c r="VUX237" s="36"/>
      <c r="VUY237" s="36"/>
      <c r="VUZ237" s="36"/>
      <c r="VVA237" s="36"/>
      <c r="VVB237" s="36"/>
      <c r="VVC237" s="36"/>
      <c r="VVD237" s="36"/>
      <c r="VVE237" s="36"/>
      <c r="VVF237" s="36"/>
      <c r="VVG237" s="36"/>
      <c r="VVH237" s="36"/>
      <c r="VVI237" s="36"/>
      <c r="VVJ237" s="36"/>
      <c r="VVK237" s="36"/>
      <c r="VVL237" s="36"/>
      <c r="VVM237" s="36"/>
      <c r="VVN237" s="36"/>
      <c r="VVO237" s="36"/>
      <c r="VVP237" s="36"/>
      <c r="VVQ237" s="36"/>
      <c r="VVR237" s="36"/>
      <c r="VVS237" s="36"/>
      <c r="VVT237" s="36"/>
      <c r="VVU237" s="36"/>
      <c r="VVV237" s="36"/>
      <c r="VVW237" s="36"/>
      <c r="VVX237" s="36"/>
      <c r="VVY237" s="36"/>
      <c r="VVZ237" s="36"/>
      <c r="VWA237" s="36"/>
      <c r="VWB237" s="36"/>
      <c r="VWC237" s="36"/>
      <c r="VWD237" s="36"/>
      <c r="VWE237" s="36"/>
      <c r="VWF237" s="36"/>
      <c r="VWG237" s="36"/>
      <c r="VWH237" s="36"/>
      <c r="VWI237" s="36"/>
      <c r="VWJ237" s="36"/>
      <c r="VWK237" s="36"/>
      <c r="VWL237" s="36"/>
      <c r="VWM237" s="36"/>
      <c r="VWN237" s="36"/>
      <c r="VWO237" s="36"/>
      <c r="VWP237" s="36"/>
      <c r="VWQ237" s="36"/>
      <c r="VWR237" s="36"/>
      <c r="VWS237" s="36"/>
      <c r="VWT237" s="36"/>
      <c r="VWU237" s="36"/>
      <c r="VWV237" s="36"/>
      <c r="VWW237" s="36"/>
      <c r="VWX237" s="36"/>
      <c r="VWY237" s="36"/>
      <c r="VWZ237" s="36"/>
      <c r="VXA237" s="36"/>
      <c r="VXB237" s="36"/>
      <c r="VXC237" s="36"/>
      <c r="VXD237" s="36"/>
      <c r="VXE237" s="36"/>
      <c r="VXF237" s="36"/>
      <c r="VXG237" s="36"/>
      <c r="VXH237" s="36"/>
      <c r="VXI237" s="36"/>
      <c r="VXJ237" s="36"/>
      <c r="VXK237" s="36"/>
      <c r="VXL237" s="36"/>
      <c r="VXM237" s="36"/>
      <c r="VXN237" s="36"/>
      <c r="VXO237" s="36"/>
      <c r="VXP237" s="36"/>
      <c r="VXQ237" s="36"/>
      <c r="VXR237" s="36"/>
      <c r="VXS237" s="36"/>
      <c r="VXT237" s="36"/>
      <c r="VXU237" s="36"/>
      <c r="VXV237" s="36"/>
      <c r="VXW237" s="36"/>
      <c r="VXX237" s="36"/>
      <c r="VXY237" s="36"/>
      <c r="VXZ237" s="36"/>
      <c r="VYA237" s="36"/>
      <c r="VYB237" s="36"/>
      <c r="VYC237" s="36"/>
      <c r="VYD237" s="36"/>
      <c r="VYE237" s="36"/>
      <c r="VYF237" s="36"/>
      <c r="VYG237" s="36"/>
      <c r="VYH237" s="36"/>
      <c r="VYI237" s="36"/>
      <c r="VYJ237" s="36"/>
      <c r="VYK237" s="36"/>
      <c r="VYL237" s="36"/>
      <c r="VYM237" s="36"/>
      <c r="VYN237" s="36"/>
      <c r="VYO237" s="36"/>
      <c r="VYP237" s="36"/>
      <c r="VYQ237" s="36"/>
      <c r="VYR237" s="36"/>
      <c r="VYS237" s="36"/>
      <c r="VYT237" s="36"/>
      <c r="VYU237" s="36"/>
      <c r="VYV237" s="36"/>
      <c r="VYW237" s="36"/>
      <c r="VYX237" s="36"/>
      <c r="VYY237" s="36"/>
      <c r="VYZ237" s="36"/>
      <c r="VZA237" s="36"/>
      <c r="VZB237" s="36"/>
      <c r="VZC237" s="36"/>
      <c r="VZD237" s="36"/>
      <c r="VZE237" s="36"/>
      <c r="VZF237" s="36"/>
      <c r="VZG237" s="36"/>
      <c r="VZH237" s="36"/>
      <c r="VZI237" s="36"/>
      <c r="VZJ237" s="36"/>
      <c r="VZK237" s="36"/>
      <c r="VZL237" s="36"/>
      <c r="VZM237" s="36"/>
      <c r="VZN237" s="36"/>
      <c r="VZO237" s="36"/>
      <c r="VZP237" s="36"/>
      <c r="VZQ237" s="36"/>
      <c r="VZR237" s="36"/>
      <c r="VZS237" s="36"/>
      <c r="VZT237" s="36"/>
      <c r="VZU237" s="36"/>
      <c r="VZV237" s="36"/>
      <c r="VZW237" s="36"/>
      <c r="VZX237" s="36"/>
      <c r="VZY237" s="36"/>
      <c r="VZZ237" s="36"/>
      <c r="WAA237" s="36"/>
      <c r="WAB237" s="36"/>
      <c r="WAC237" s="36"/>
      <c r="WAD237" s="36"/>
      <c r="WAE237" s="36"/>
      <c r="WAF237" s="36"/>
      <c r="WAG237" s="36"/>
      <c r="WAH237" s="36"/>
      <c r="WAI237" s="36"/>
      <c r="WAJ237" s="36"/>
      <c r="WAK237" s="36"/>
      <c r="WAL237" s="36"/>
      <c r="WAM237" s="36"/>
      <c r="WAN237" s="36"/>
      <c r="WAO237" s="36"/>
      <c r="WAP237" s="36"/>
      <c r="WAQ237" s="36"/>
      <c r="WAR237" s="36"/>
      <c r="WAS237" s="36"/>
      <c r="WAT237" s="36"/>
      <c r="WAU237" s="36"/>
      <c r="WAV237" s="36"/>
      <c r="WAW237" s="36"/>
      <c r="WAX237" s="36"/>
      <c r="WAY237" s="36"/>
      <c r="WAZ237" s="36"/>
      <c r="WBA237" s="36"/>
      <c r="WBB237" s="36"/>
      <c r="WBC237" s="36"/>
      <c r="WBD237" s="36"/>
      <c r="WBE237" s="36"/>
      <c r="WBF237" s="36"/>
      <c r="WBG237" s="36"/>
      <c r="WBH237" s="36"/>
      <c r="WBI237" s="36"/>
      <c r="WBJ237" s="36"/>
      <c r="WBK237" s="36"/>
      <c r="WBL237" s="36"/>
      <c r="WBM237" s="36"/>
      <c r="WBN237" s="36"/>
      <c r="WBO237" s="36"/>
      <c r="WBP237" s="36"/>
      <c r="WBQ237" s="36"/>
      <c r="WBR237" s="36"/>
      <c r="WBS237" s="36"/>
      <c r="WBT237" s="36"/>
      <c r="WBU237" s="36"/>
      <c r="WBV237" s="36"/>
      <c r="WBW237" s="36"/>
      <c r="WBX237" s="36"/>
      <c r="WBY237" s="36"/>
      <c r="WBZ237" s="36"/>
      <c r="WCA237" s="36"/>
      <c r="WCB237" s="36"/>
      <c r="WCC237" s="36"/>
      <c r="WCD237" s="36"/>
      <c r="WCE237" s="36"/>
      <c r="WCF237" s="36"/>
      <c r="WCG237" s="36"/>
      <c r="WCH237" s="36"/>
      <c r="WCI237" s="36"/>
      <c r="WCJ237" s="36"/>
      <c r="WCK237" s="36"/>
      <c r="WCL237" s="36"/>
      <c r="WCM237" s="36"/>
      <c r="WCN237" s="36"/>
      <c r="WCO237" s="36"/>
      <c r="WCP237" s="36"/>
      <c r="WCQ237" s="36"/>
      <c r="WCR237" s="36"/>
      <c r="WCS237" s="36"/>
      <c r="WCT237" s="36"/>
      <c r="WCU237" s="36"/>
      <c r="WCV237" s="36"/>
      <c r="WCW237" s="36"/>
      <c r="WCX237" s="36"/>
      <c r="WCY237" s="36"/>
      <c r="WCZ237" s="36"/>
      <c r="WDA237" s="36"/>
      <c r="WDB237" s="36"/>
      <c r="WDC237" s="36"/>
      <c r="WDD237" s="36"/>
      <c r="WDE237" s="36"/>
      <c r="WDF237" s="36"/>
      <c r="WDG237" s="36"/>
      <c r="WDH237" s="36"/>
      <c r="WDI237" s="36"/>
      <c r="WDJ237" s="36"/>
      <c r="WDK237" s="36"/>
      <c r="WDL237" s="36"/>
      <c r="WDM237" s="36"/>
      <c r="WDN237" s="36"/>
      <c r="WDO237" s="36"/>
      <c r="WDP237" s="36"/>
      <c r="WDQ237" s="36"/>
      <c r="WDR237" s="36"/>
      <c r="WDS237" s="36"/>
      <c r="WDT237" s="36"/>
      <c r="WDU237" s="36"/>
      <c r="WDV237" s="36"/>
      <c r="WDW237" s="36"/>
      <c r="WDX237" s="36"/>
      <c r="WDY237" s="36"/>
      <c r="WDZ237" s="36"/>
      <c r="WEA237" s="36"/>
      <c r="WEB237" s="36"/>
      <c r="WEC237" s="36"/>
      <c r="WED237" s="36"/>
      <c r="WEE237" s="36"/>
      <c r="WEF237" s="36"/>
      <c r="WEG237" s="36"/>
      <c r="WEH237" s="36"/>
      <c r="WEI237" s="36"/>
      <c r="WEJ237" s="36"/>
      <c r="WEK237" s="36"/>
      <c r="WEL237" s="36"/>
      <c r="WEM237" s="36"/>
      <c r="WEN237" s="36"/>
      <c r="WEO237" s="36"/>
      <c r="WEP237" s="36"/>
      <c r="WEQ237" s="36"/>
      <c r="WER237" s="36"/>
      <c r="WES237" s="36"/>
      <c r="WET237" s="36"/>
      <c r="WEU237" s="36"/>
      <c r="WEV237" s="36"/>
      <c r="WEW237" s="36"/>
      <c r="WEX237" s="36"/>
      <c r="WEY237" s="36"/>
      <c r="WEZ237" s="36"/>
      <c r="WFA237" s="36"/>
      <c r="WFB237" s="36"/>
      <c r="WFC237" s="36"/>
      <c r="WFD237" s="36"/>
      <c r="WFE237" s="36"/>
      <c r="WFF237" s="36"/>
      <c r="WFG237" s="36"/>
      <c r="WFH237" s="36"/>
      <c r="WFI237" s="36"/>
      <c r="WFJ237" s="36"/>
      <c r="WFK237" s="36"/>
      <c r="WFL237" s="36"/>
      <c r="WFM237" s="36"/>
      <c r="WFN237" s="36"/>
      <c r="WFO237" s="36"/>
      <c r="WFP237" s="36"/>
      <c r="WFQ237" s="36"/>
      <c r="WFR237" s="36"/>
      <c r="WFS237" s="36"/>
      <c r="WFT237" s="36"/>
      <c r="WFU237" s="36"/>
      <c r="WFV237" s="36"/>
      <c r="WFW237" s="36"/>
      <c r="WFX237" s="36"/>
      <c r="WFY237" s="36"/>
      <c r="WFZ237" s="36"/>
      <c r="WGA237" s="36"/>
      <c r="WGB237" s="36"/>
      <c r="WGC237" s="36"/>
      <c r="WGD237" s="36"/>
      <c r="WGE237" s="36"/>
      <c r="WGF237" s="36"/>
      <c r="WGG237" s="36"/>
      <c r="WGH237" s="36"/>
      <c r="WGI237" s="36"/>
      <c r="WGJ237" s="36"/>
      <c r="WGK237" s="36"/>
      <c r="WGL237" s="36"/>
      <c r="WGM237" s="36"/>
      <c r="WGN237" s="36"/>
      <c r="WGO237" s="36"/>
      <c r="WGP237" s="36"/>
      <c r="WGQ237" s="36"/>
      <c r="WGR237" s="36"/>
      <c r="WGS237" s="36"/>
      <c r="WGT237" s="36"/>
      <c r="WGU237" s="36"/>
      <c r="WGV237" s="36"/>
      <c r="WGW237" s="36"/>
      <c r="WGX237" s="36"/>
      <c r="WGY237" s="36"/>
      <c r="WGZ237" s="36"/>
      <c r="WHA237" s="36"/>
      <c r="WHB237" s="36"/>
      <c r="WHC237" s="36"/>
      <c r="WHD237" s="36"/>
      <c r="WHE237" s="36"/>
      <c r="WHF237" s="36"/>
      <c r="WHG237" s="36"/>
      <c r="WHH237" s="36"/>
      <c r="WHI237" s="36"/>
      <c r="WHJ237" s="36"/>
      <c r="WHK237" s="36"/>
      <c r="WHL237" s="36"/>
      <c r="WHM237" s="36"/>
      <c r="WHN237" s="36"/>
      <c r="WHO237" s="36"/>
      <c r="WHP237" s="36"/>
      <c r="WHQ237" s="36"/>
      <c r="WHR237" s="36"/>
      <c r="WHS237" s="36"/>
      <c r="WHT237" s="36"/>
      <c r="WHU237" s="36"/>
      <c r="WHV237" s="36"/>
      <c r="WHW237" s="36"/>
      <c r="WHX237" s="36"/>
      <c r="WHY237" s="36"/>
      <c r="WHZ237" s="36"/>
      <c r="WIA237" s="36"/>
      <c r="WIB237" s="36"/>
      <c r="WIC237" s="36"/>
      <c r="WID237" s="36"/>
      <c r="WIE237" s="36"/>
      <c r="WIF237" s="36"/>
      <c r="WIG237" s="36"/>
      <c r="WIH237" s="36"/>
      <c r="WII237" s="36"/>
      <c r="WIJ237" s="36"/>
      <c r="WIK237" s="36"/>
      <c r="WIL237" s="36"/>
      <c r="WIM237" s="36"/>
      <c r="WIN237" s="36"/>
      <c r="WIO237" s="36"/>
      <c r="WIP237" s="36"/>
      <c r="WIQ237" s="36"/>
      <c r="WIR237" s="36"/>
      <c r="WIS237" s="36"/>
      <c r="WIT237" s="36"/>
      <c r="WIU237" s="36"/>
      <c r="WIV237" s="36"/>
      <c r="WIW237" s="36"/>
      <c r="WIX237" s="36"/>
      <c r="WIY237" s="36"/>
      <c r="WIZ237" s="36"/>
      <c r="WJA237" s="36"/>
      <c r="WJB237" s="36"/>
      <c r="WJC237" s="36"/>
      <c r="WJD237" s="36"/>
      <c r="WJE237" s="36"/>
      <c r="WJF237" s="36"/>
      <c r="WJG237" s="36"/>
      <c r="WJH237" s="36"/>
      <c r="WJI237" s="36"/>
      <c r="WJJ237" s="36"/>
      <c r="WJK237" s="36"/>
      <c r="WJL237" s="36"/>
      <c r="WJM237" s="36"/>
      <c r="WJN237" s="36"/>
      <c r="WJO237" s="36"/>
      <c r="WJP237" s="36"/>
      <c r="WJQ237" s="36"/>
      <c r="WJR237" s="36"/>
      <c r="WJS237" s="36"/>
      <c r="WJT237" s="36"/>
      <c r="WJU237" s="36"/>
      <c r="WJV237" s="36"/>
      <c r="WJW237" s="36"/>
      <c r="WJX237" s="36"/>
      <c r="WJY237" s="36"/>
      <c r="WJZ237" s="36"/>
      <c r="WKA237" s="36"/>
      <c r="WKB237" s="36"/>
      <c r="WKC237" s="36"/>
      <c r="WKD237" s="36"/>
      <c r="WKE237" s="36"/>
      <c r="WKF237" s="36"/>
      <c r="WKG237" s="36"/>
      <c r="WKH237" s="36"/>
      <c r="WKI237" s="36"/>
      <c r="WKJ237" s="36"/>
      <c r="WKK237" s="36"/>
      <c r="WKL237" s="36"/>
      <c r="WKM237" s="36"/>
      <c r="WKN237" s="36"/>
      <c r="WKO237" s="36"/>
      <c r="WKP237" s="36"/>
      <c r="WKQ237" s="36"/>
      <c r="WKR237" s="36"/>
      <c r="WKS237" s="36"/>
      <c r="WKT237" s="36"/>
      <c r="WKU237" s="36"/>
      <c r="WKV237" s="36"/>
      <c r="WKW237" s="36"/>
      <c r="WKX237" s="36"/>
      <c r="WKY237" s="36"/>
      <c r="WKZ237" s="36"/>
      <c r="WLA237" s="36"/>
      <c r="WLB237" s="36"/>
      <c r="WLC237" s="36"/>
      <c r="WLD237" s="36"/>
      <c r="WLE237" s="36"/>
      <c r="WLF237" s="36"/>
      <c r="WLG237" s="36"/>
      <c r="WLH237" s="36"/>
      <c r="WLI237" s="36"/>
      <c r="WLJ237" s="36"/>
      <c r="WLK237" s="36"/>
      <c r="WLL237" s="36"/>
      <c r="WLM237" s="36"/>
      <c r="WLN237" s="36"/>
      <c r="WLO237" s="36"/>
      <c r="WLP237" s="36"/>
      <c r="WLQ237" s="36"/>
      <c r="WLR237" s="36"/>
      <c r="WLS237" s="36"/>
      <c r="WLT237" s="36"/>
      <c r="WLU237" s="36"/>
      <c r="WLV237" s="36"/>
      <c r="WLW237" s="36"/>
      <c r="WLX237" s="36"/>
      <c r="WLY237" s="36"/>
      <c r="WLZ237" s="36"/>
      <c r="WMA237" s="36"/>
      <c r="WMB237" s="36"/>
      <c r="WMC237" s="36"/>
      <c r="WMD237" s="36"/>
      <c r="WME237" s="36"/>
      <c r="WMF237" s="36"/>
      <c r="WMG237" s="36"/>
      <c r="WMH237" s="36"/>
      <c r="WMI237" s="36"/>
      <c r="WMJ237" s="36"/>
      <c r="WMK237" s="36"/>
      <c r="WML237" s="36"/>
      <c r="WMM237" s="36"/>
      <c r="WMN237" s="36"/>
      <c r="WMO237" s="36"/>
      <c r="WMP237" s="36"/>
      <c r="WMQ237" s="36"/>
      <c r="WMR237" s="36"/>
      <c r="WMS237" s="36"/>
      <c r="WMT237" s="36"/>
      <c r="WMU237" s="36"/>
      <c r="WMV237" s="36"/>
      <c r="WMW237" s="36"/>
      <c r="WMX237" s="36"/>
      <c r="WMY237" s="36"/>
      <c r="WMZ237" s="36"/>
      <c r="WNA237" s="36"/>
      <c r="WNB237" s="36"/>
      <c r="WNC237" s="36"/>
      <c r="WND237" s="36"/>
      <c r="WNE237" s="36"/>
      <c r="WNF237" s="36"/>
      <c r="WNG237" s="36"/>
      <c r="WNH237" s="36"/>
      <c r="WNI237" s="36"/>
      <c r="WNJ237" s="36"/>
      <c r="WNK237" s="36"/>
      <c r="WNL237" s="36"/>
      <c r="WNM237" s="36"/>
      <c r="WNN237" s="36"/>
      <c r="WNO237" s="36"/>
      <c r="WNP237" s="36"/>
      <c r="WNQ237" s="36"/>
      <c r="WNR237" s="36"/>
      <c r="WNS237" s="36"/>
      <c r="WNT237" s="36"/>
      <c r="WNU237" s="36"/>
      <c r="WNV237" s="36"/>
      <c r="WNW237" s="36"/>
      <c r="WNX237" s="36"/>
      <c r="WNY237" s="36"/>
      <c r="WNZ237" s="36"/>
      <c r="WOA237" s="36"/>
      <c r="WOB237" s="36"/>
      <c r="WOC237" s="36"/>
      <c r="WOD237" s="36"/>
      <c r="WOE237" s="36"/>
      <c r="WOF237" s="36"/>
      <c r="WOG237" s="36"/>
      <c r="WOH237" s="36"/>
      <c r="WOI237" s="36"/>
      <c r="WOJ237" s="36"/>
      <c r="WOK237" s="36"/>
      <c r="WOL237" s="36"/>
      <c r="WOM237" s="36"/>
      <c r="WON237" s="36"/>
      <c r="WOO237" s="36"/>
      <c r="WOP237" s="36"/>
      <c r="WOQ237" s="36"/>
      <c r="WOR237" s="36"/>
      <c r="WOS237" s="36"/>
      <c r="WOT237" s="36"/>
      <c r="WOU237" s="36"/>
      <c r="WOV237" s="36"/>
      <c r="WOW237" s="36"/>
      <c r="WOX237" s="36"/>
      <c r="WOY237" s="36"/>
      <c r="WOZ237" s="36"/>
      <c r="WPA237" s="36"/>
      <c r="WPB237" s="36"/>
      <c r="WPC237" s="36"/>
      <c r="WPD237" s="36"/>
      <c r="WPE237" s="36"/>
      <c r="WPF237" s="36"/>
      <c r="WPG237" s="36"/>
      <c r="WPH237" s="36"/>
      <c r="WPI237" s="36"/>
      <c r="WPJ237" s="36"/>
      <c r="WPK237" s="36"/>
      <c r="WPL237" s="36"/>
      <c r="WPM237" s="36"/>
      <c r="WPN237" s="36"/>
      <c r="WPO237" s="36"/>
      <c r="WPP237" s="36"/>
      <c r="WPQ237" s="36"/>
      <c r="WPR237" s="36"/>
      <c r="WPS237" s="36"/>
      <c r="WPT237" s="36"/>
      <c r="WPU237" s="36"/>
      <c r="WPV237" s="36"/>
      <c r="WPW237" s="36"/>
      <c r="WPX237" s="36"/>
      <c r="WPY237" s="36"/>
      <c r="WPZ237" s="36"/>
      <c r="WQA237" s="36"/>
      <c r="WQB237" s="36"/>
      <c r="WQC237" s="36"/>
      <c r="WQD237" s="36"/>
      <c r="WQE237" s="36"/>
      <c r="WQF237" s="36"/>
      <c r="WQG237" s="36"/>
      <c r="WQH237" s="36"/>
      <c r="WQI237" s="36"/>
      <c r="WQJ237" s="36"/>
      <c r="WQK237" s="36"/>
      <c r="WQL237" s="36"/>
      <c r="WQM237" s="36"/>
      <c r="WQN237" s="36"/>
      <c r="WQO237" s="36"/>
      <c r="WQP237" s="36"/>
      <c r="WQQ237" s="36"/>
      <c r="WQR237" s="36"/>
      <c r="WQS237" s="36"/>
      <c r="WQT237" s="36"/>
      <c r="WQU237" s="36"/>
      <c r="WQV237" s="36"/>
      <c r="WQW237" s="36"/>
      <c r="WQX237" s="36"/>
      <c r="WQY237" s="36"/>
      <c r="WQZ237" s="36"/>
      <c r="WRA237" s="36"/>
      <c r="WRB237" s="36"/>
      <c r="WRC237" s="36"/>
      <c r="WRD237" s="36"/>
      <c r="WRE237" s="36"/>
      <c r="WRF237" s="36"/>
      <c r="WRG237" s="36"/>
      <c r="WRH237" s="36"/>
      <c r="WRI237" s="36"/>
      <c r="WRJ237" s="36"/>
      <c r="WRK237" s="36"/>
      <c r="WRL237" s="36"/>
      <c r="WRM237" s="36"/>
      <c r="WRN237" s="36"/>
      <c r="WRO237" s="36"/>
      <c r="WRP237" s="36"/>
      <c r="WRQ237" s="36"/>
      <c r="WRR237" s="36"/>
      <c r="WRS237" s="36"/>
      <c r="WRT237" s="36"/>
      <c r="WRU237" s="36"/>
      <c r="WRV237" s="36"/>
      <c r="WRW237" s="36"/>
      <c r="WRX237" s="36"/>
      <c r="WRY237" s="36"/>
      <c r="WRZ237" s="36"/>
      <c r="WSA237" s="36"/>
      <c r="WSB237" s="36"/>
      <c r="WSC237" s="36"/>
      <c r="WSD237" s="36"/>
      <c r="WSE237" s="36"/>
      <c r="WSF237" s="36"/>
      <c r="WSG237" s="36"/>
      <c r="WSH237" s="36"/>
      <c r="WSI237" s="36"/>
      <c r="WSJ237" s="36"/>
      <c r="WSK237" s="36"/>
      <c r="WSL237" s="36"/>
      <c r="WSM237" s="36"/>
      <c r="WSN237" s="36"/>
      <c r="WSO237" s="36"/>
      <c r="WSP237" s="36"/>
      <c r="WSQ237" s="36"/>
      <c r="WSR237" s="36"/>
      <c r="WSS237" s="36"/>
      <c r="WST237" s="36"/>
      <c r="WSU237" s="36"/>
      <c r="WSV237" s="36"/>
      <c r="WSW237" s="36"/>
      <c r="WSX237" s="36"/>
      <c r="WSY237" s="36"/>
      <c r="WSZ237" s="36"/>
      <c r="WTA237" s="36"/>
      <c r="WTB237" s="36"/>
      <c r="WTC237" s="36"/>
      <c r="WTD237" s="36"/>
      <c r="WTE237" s="36"/>
      <c r="WTF237" s="36"/>
      <c r="WTG237" s="36"/>
      <c r="WTH237" s="36"/>
      <c r="WTI237" s="36"/>
      <c r="WTJ237" s="36"/>
      <c r="WTK237" s="36"/>
      <c r="WTL237" s="36"/>
      <c r="WTM237" s="36"/>
      <c r="WTN237" s="36"/>
      <c r="WTO237" s="36"/>
      <c r="WTP237" s="36"/>
      <c r="WTQ237" s="36"/>
      <c r="WTR237" s="36"/>
      <c r="WTS237" s="36"/>
      <c r="WTT237" s="36"/>
      <c r="WTU237" s="36"/>
      <c r="WTV237" s="36"/>
      <c r="WTW237" s="36"/>
      <c r="WTX237" s="36"/>
      <c r="WTY237" s="36"/>
      <c r="WTZ237" s="36"/>
      <c r="WUA237" s="36"/>
      <c r="WUB237" s="36"/>
      <c r="WUC237" s="36"/>
      <c r="WUD237" s="36"/>
      <c r="WUE237" s="36"/>
      <c r="WUF237" s="36"/>
      <c r="WUG237" s="36"/>
      <c r="WUH237" s="36"/>
      <c r="WUI237" s="36"/>
      <c r="WUJ237" s="36"/>
      <c r="WUK237" s="36"/>
      <c r="WUL237" s="36"/>
      <c r="WUM237" s="36"/>
      <c r="WUN237" s="36"/>
      <c r="WUO237" s="36"/>
      <c r="WUP237" s="36"/>
      <c r="WUQ237" s="36"/>
      <c r="WUR237" s="36"/>
      <c r="WUS237" s="36"/>
      <c r="WUT237" s="36"/>
      <c r="WUU237" s="36"/>
      <c r="WUV237" s="36"/>
      <c r="WUW237" s="36"/>
      <c r="WUX237" s="36"/>
      <c r="WUY237" s="36"/>
      <c r="WUZ237" s="36"/>
      <c r="WVA237" s="36"/>
      <c r="WVB237" s="36"/>
      <c r="WVC237" s="36"/>
      <c r="WVD237" s="36"/>
      <c r="WVE237" s="36"/>
      <c r="WVF237" s="36"/>
      <c r="WVG237" s="36"/>
      <c r="WVH237" s="36"/>
      <c r="WVI237" s="36"/>
      <c r="WVJ237" s="36"/>
      <c r="WVK237" s="36"/>
      <c r="WVL237" s="36"/>
      <c r="WVM237" s="36"/>
      <c r="WVN237" s="36"/>
      <c r="WVO237" s="36"/>
      <c r="WVP237" s="36"/>
      <c r="WVQ237" s="36"/>
      <c r="WVR237" s="36"/>
      <c r="WVS237" s="36"/>
      <c r="WVT237" s="36"/>
      <c r="WVU237" s="36"/>
      <c r="WVV237" s="36"/>
      <c r="WVW237" s="36"/>
      <c r="WVX237" s="36"/>
      <c r="WVY237" s="36"/>
      <c r="WVZ237" s="36"/>
      <c r="WWA237" s="36"/>
      <c r="WWB237" s="36"/>
      <c r="WWC237" s="36"/>
      <c r="WWD237" s="36"/>
      <c r="WWE237" s="36"/>
      <c r="WWF237" s="36"/>
      <c r="WWG237" s="36"/>
      <c r="WWH237" s="36"/>
      <c r="WWI237" s="36"/>
      <c r="WWJ237" s="36"/>
      <c r="WWK237" s="36"/>
      <c r="WWL237" s="36"/>
      <c r="WWM237" s="36"/>
      <c r="WWN237" s="36"/>
      <c r="WWO237" s="36"/>
      <c r="WWP237" s="36"/>
      <c r="WWQ237" s="36"/>
      <c r="WWR237" s="36"/>
      <c r="WWS237" s="36"/>
      <c r="WWT237" s="36"/>
      <c r="WWU237" s="36"/>
      <c r="WWV237" s="36"/>
      <c r="WWW237" s="36"/>
      <c r="WWX237" s="36"/>
      <c r="WWY237" s="36"/>
      <c r="WWZ237" s="36"/>
      <c r="WXA237" s="36"/>
      <c r="WXB237" s="36"/>
      <c r="WXC237" s="36"/>
      <c r="WXD237" s="36"/>
      <c r="WXE237" s="36"/>
      <c r="WXF237" s="36"/>
      <c r="WXG237" s="36"/>
      <c r="WXH237" s="36"/>
      <c r="WXI237" s="36"/>
      <c r="WXJ237" s="36"/>
      <c r="WXK237" s="36"/>
      <c r="WXL237" s="36"/>
      <c r="WXM237" s="36"/>
      <c r="WXN237" s="36"/>
      <c r="WXO237" s="36"/>
      <c r="WXP237" s="36"/>
      <c r="WXQ237" s="36"/>
      <c r="WXR237" s="36"/>
      <c r="WXS237" s="36"/>
      <c r="WXT237" s="36"/>
      <c r="WXU237" s="36"/>
      <c r="WXV237" s="36"/>
      <c r="WXW237" s="36"/>
      <c r="WXX237" s="36"/>
      <c r="WXY237" s="36"/>
      <c r="WXZ237" s="36"/>
      <c r="WYA237" s="36"/>
      <c r="WYB237" s="36"/>
      <c r="WYC237" s="36"/>
      <c r="WYD237" s="36"/>
      <c r="WYE237" s="36"/>
      <c r="WYF237" s="36"/>
      <c r="WYG237" s="36"/>
      <c r="WYH237" s="36"/>
      <c r="WYI237" s="36"/>
      <c r="WYJ237" s="36"/>
      <c r="WYK237" s="36"/>
      <c r="WYL237" s="36"/>
      <c r="WYM237" s="36"/>
      <c r="WYN237" s="36"/>
      <c r="WYO237" s="36"/>
      <c r="WYP237" s="36"/>
      <c r="WYQ237" s="36"/>
      <c r="WYR237" s="36"/>
      <c r="WYS237" s="36"/>
      <c r="WYT237" s="36"/>
      <c r="WYU237" s="36"/>
      <c r="WYV237" s="36"/>
      <c r="WYW237" s="36"/>
      <c r="WYX237" s="36"/>
      <c r="WYY237" s="36"/>
      <c r="WYZ237" s="36"/>
      <c r="WZA237" s="36"/>
      <c r="WZB237" s="36"/>
      <c r="WZC237" s="36"/>
      <c r="WZD237" s="36"/>
      <c r="WZE237" s="36"/>
      <c r="WZF237" s="36"/>
      <c r="WZG237" s="36"/>
      <c r="WZH237" s="36"/>
      <c r="WZI237" s="36"/>
      <c r="WZJ237" s="36"/>
      <c r="WZK237" s="36"/>
      <c r="WZL237" s="36"/>
      <c r="WZM237" s="36"/>
      <c r="WZN237" s="36"/>
      <c r="WZO237" s="36"/>
      <c r="WZP237" s="36"/>
      <c r="WZQ237" s="36"/>
      <c r="WZR237" s="36"/>
      <c r="WZS237" s="36"/>
      <c r="WZT237" s="36"/>
      <c r="WZU237" s="36"/>
      <c r="WZV237" s="36"/>
      <c r="WZW237" s="36"/>
      <c r="WZX237" s="36"/>
      <c r="WZY237" s="36"/>
      <c r="WZZ237" s="36"/>
      <c r="XAA237" s="36"/>
      <c r="XAB237" s="36"/>
      <c r="XAC237" s="36"/>
      <c r="XAD237" s="36"/>
      <c r="XAE237" s="36"/>
      <c r="XAF237" s="36"/>
      <c r="XAG237" s="36"/>
      <c r="XAH237" s="36"/>
      <c r="XAI237" s="36"/>
      <c r="XAJ237" s="36"/>
      <c r="XAK237" s="36"/>
      <c r="XAL237" s="36"/>
      <c r="XAM237" s="36"/>
      <c r="XAN237" s="36"/>
      <c r="XAO237" s="36"/>
      <c r="XAP237" s="36"/>
      <c r="XAQ237" s="36"/>
      <c r="XAR237" s="36"/>
      <c r="XAS237" s="36"/>
      <c r="XAT237" s="36"/>
      <c r="XAU237" s="36"/>
      <c r="XAV237" s="36"/>
      <c r="XAW237" s="36"/>
      <c r="XAX237" s="36"/>
      <c r="XAY237" s="36"/>
      <c r="XAZ237" s="36"/>
      <c r="XBA237" s="36"/>
      <c r="XBB237" s="36"/>
      <c r="XBC237" s="36"/>
      <c r="XBD237" s="36"/>
      <c r="XBE237" s="36"/>
      <c r="XBF237" s="36"/>
      <c r="XBG237" s="36"/>
      <c r="XBH237" s="36"/>
      <c r="XBI237" s="36"/>
      <c r="XBJ237" s="36"/>
      <c r="XBK237" s="36"/>
      <c r="XBL237" s="36"/>
      <c r="XBM237" s="36"/>
      <c r="XBN237" s="36"/>
      <c r="XBO237" s="36"/>
      <c r="XBP237" s="36"/>
      <c r="XBQ237" s="36"/>
      <c r="XBR237" s="36"/>
      <c r="XBS237" s="36"/>
      <c r="XBT237" s="36"/>
      <c r="XBU237" s="36"/>
      <c r="XBV237" s="36"/>
      <c r="XBW237" s="36"/>
      <c r="XBX237" s="36"/>
      <c r="XBY237" s="36"/>
      <c r="XBZ237" s="36"/>
      <c r="XCA237" s="36"/>
      <c r="XCB237" s="36"/>
      <c r="XCC237" s="36"/>
      <c r="XCD237" s="36"/>
      <c r="XCE237" s="36"/>
      <c r="XCF237" s="36"/>
      <c r="XCG237" s="36"/>
      <c r="XCH237" s="36"/>
      <c r="XCI237" s="36"/>
      <c r="XCJ237" s="36"/>
      <c r="XCK237" s="36"/>
      <c r="XCL237" s="36"/>
      <c r="XCM237" s="36"/>
      <c r="XCN237" s="36"/>
      <c r="XCO237" s="36"/>
      <c r="XCP237" s="36"/>
      <c r="XCQ237" s="36"/>
      <c r="XCR237" s="36"/>
      <c r="XCS237" s="36"/>
      <c r="XCT237" s="36"/>
      <c r="XCU237" s="36"/>
      <c r="XCV237" s="36"/>
      <c r="XCW237" s="36"/>
      <c r="XCX237" s="36"/>
      <c r="XCY237" s="36"/>
      <c r="XCZ237" s="36"/>
      <c r="XDA237" s="36"/>
      <c r="XDB237" s="36"/>
      <c r="XDC237" s="36"/>
      <c r="XDD237" s="36"/>
      <c r="XDE237" s="36"/>
      <c r="XDF237" s="36"/>
      <c r="XDG237" s="36"/>
      <c r="XDH237" s="36"/>
      <c r="XDI237" s="36"/>
      <c r="XDJ237" s="36"/>
      <c r="XDK237" s="36"/>
      <c r="XDL237" s="36"/>
      <c r="XDM237" s="36"/>
      <c r="XDN237" s="36"/>
      <c r="XDO237" s="36"/>
      <c r="XDP237" s="36"/>
      <c r="XDQ237" s="36"/>
      <c r="XDR237" s="36"/>
      <c r="XDS237" s="36"/>
      <c r="XDT237" s="36"/>
      <c r="XDU237" s="36"/>
      <c r="XDV237" s="36"/>
      <c r="XDW237" s="36"/>
      <c r="XDX237" s="36"/>
      <c r="XDY237" s="36"/>
      <c r="XDZ237" s="36"/>
      <c r="XEA237" s="36"/>
      <c r="XEB237" s="36"/>
      <c r="XEC237" s="36"/>
      <c r="XED237" s="36"/>
      <c r="XEE237" s="36"/>
      <c r="XEF237" s="36"/>
      <c r="XEG237" s="36"/>
      <c r="XEH237" s="36"/>
      <c r="XEI237" s="36"/>
      <c r="XEJ237" s="36"/>
      <c r="XEK237" s="36"/>
      <c r="XEL237" s="36"/>
      <c r="XEM237" s="36"/>
      <c r="XEN237" s="36"/>
      <c r="XEO237" s="36"/>
      <c r="XEP237" s="36"/>
      <c r="XEQ237" s="36"/>
      <c r="XER237" s="36"/>
      <c r="XES237" s="36"/>
      <c r="XET237" s="36"/>
      <c r="XEU237" s="36"/>
      <c r="XEV237" s="36"/>
      <c r="XEW237" s="36"/>
      <c r="XEX237" s="36"/>
      <c r="XEY237" s="36"/>
      <c r="XEZ237" s="36"/>
      <c r="XFA237" s="36"/>
      <c r="XFB237" s="36"/>
      <c r="XFC237" s="36"/>
    </row>
    <row r="238" spans="1:16383" ht="15" hidden="1" thickTop="1">
      <c r="B238" s="412" t="str">
        <f t="shared" ref="B238:B244" si="17">D$238</f>
        <v>Autre #3</v>
      </c>
      <c r="C238" s="2086" t="s">
        <v>275</v>
      </c>
      <c r="D238" s="832" t="str">
        <f>nAutre3</f>
        <v>Autre #3</v>
      </c>
      <c r="E238" s="1370" t="s">
        <v>224</v>
      </c>
      <c r="F238" s="1945" t="str">
        <f>IFERROR(G238/G$248,"")</f>
        <v/>
      </c>
      <c r="G238" s="1946">
        <f>SUMIFS(F$92:F$101,PlanRotationPaturageS0,$B238)+SUMIFS(F$78:F$87,PlanRotationS0,$B238)</f>
        <v>0</v>
      </c>
      <c r="H238" s="837" t="str">
        <f>IFERROR(I238/I$248,"")</f>
        <v/>
      </c>
      <c r="I238" s="845">
        <f>SUMIFS(H$92:H$101,PlanRotationPaturageS1,$B238)+SUMIFS(H$78:H$87,PlanRotationS1,$B238)</f>
        <v>0</v>
      </c>
      <c r="J238" s="839" t="str">
        <f>IFERROR(K238/K$248,"")</f>
        <v/>
      </c>
      <c r="K238" s="845">
        <f>SUMIFS(J$92:J$101,PlanRotationPaturageS2,$B238)+SUMIFS(J$78:J$87,PlanRotationS2,$B238)</f>
        <v>0</v>
      </c>
      <c r="L238" s="842" t="str">
        <f>IFERROR(M238/M$248,"")</f>
        <v/>
      </c>
      <c r="M238" s="845">
        <f>SUMIFS(L$92:L$101,PlanRotationPaturageS3,$B238)+SUMIFS(L$78:L$87,PlanRotationS3,$B238)</f>
        <v>0</v>
      </c>
      <c r="N238" s="842" t="str">
        <f>IFERROR(O238/O$248,"")</f>
        <v/>
      </c>
      <c r="O238" s="845">
        <f>SUMIFS(N$92:N$101,PlanRotationPaturageS4,$B238)+SUMIFS(N$78:N$87,PlanRotationS4,$B238)</f>
        <v>0</v>
      </c>
      <c r="P238" s="842" t="str">
        <f>IFERROR(Q238/Q$248,"")</f>
        <v/>
      </c>
      <c r="Q238" s="845">
        <f>SUMIFS(P$92:P$101,PlanRotationPaturageS5,$B238)+SUMIFS(P$78:P$87,PlanRotationS5,$B238)</f>
        <v>0</v>
      </c>
    </row>
    <row r="239" spans="1:16383" hidden="1">
      <c r="B239" s="412" t="str">
        <f t="shared" si="17"/>
        <v>Autre #3</v>
      </c>
      <c r="D239" s="765" t="s">
        <v>281</v>
      </c>
      <c r="E239" s="1371" t="s">
        <v>254</v>
      </c>
      <c r="F239" s="1953"/>
      <c r="G239" s="1946">
        <f ca="1">OFFSET(RéfChamps!$DR$55,0,IF(ProdS0="Biologique",0,3))</f>
        <v>0</v>
      </c>
      <c r="H239" s="469"/>
      <c r="I239" s="834">
        <f ca="1">OFFSET(RéfChamps!$DR$55,0,IF(ProdS1="Biologique",0,3))</f>
        <v>0</v>
      </c>
      <c r="J239" s="996"/>
      <c r="K239" s="834">
        <f ca="1">OFFSET(RéfChamps!$DR$55,0,IF(ProdS2="Biologique",0,3))</f>
        <v>0</v>
      </c>
      <c r="L239" s="999"/>
      <c r="M239" s="834">
        <f ca="1">OFFSET(RéfChamps!$DR$55,0,IF(ProdS3="Biologique",0,3))</f>
        <v>0</v>
      </c>
      <c r="N239" s="999"/>
      <c r="O239" s="834">
        <f ca="1">OFFSET(RéfChamps!$DR$55,0,IF(ProdS4="Biologique",0,3))</f>
        <v>0</v>
      </c>
      <c r="P239" s="999"/>
      <c r="Q239" s="834">
        <f ca="1">OFFSET(RéfChamps!$DR$55,0,IF(ProdS5="Biologique",0,3))</f>
        <v>0</v>
      </c>
      <c r="S239" s="14"/>
    </row>
    <row r="240" spans="1:16383" hidden="1">
      <c r="B240" s="412" t="str">
        <f t="shared" si="17"/>
        <v>Autre #3</v>
      </c>
      <c r="D240" s="765" t="s">
        <v>252</v>
      </c>
      <c r="E240" s="1371" t="s">
        <v>937</v>
      </c>
      <c r="F240" s="1945"/>
      <c r="G240" s="1946">
        <f ca="1">OFFSET(RéfChamps!$DP$5,0,IF(ProdS0="Biologique",0,3))</f>
        <v>0</v>
      </c>
      <c r="H240" s="469"/>
      <c r="I240" s="1468">
        <f ca="1">OFFSET(RéfChamps!$DP$5,0,IF(ProdS1="Biologique",0,3))</f>
        <v>0</v>
      </c>
      <c r="J240" s="996"/>
      <c r="K240" s="1072">
        <f ca="1">OFFSET(RéfChamps!$DP$5,0,IF(ProdS2="Biologique",0,3))</f>
        <v>0</v>
      </c>
      <c r="L240" s="1073"/>
      <c r="M240" s="1072">
        <f ca="1">OFFSET(RéfChamps!$DP$5,0,IF(ProdS3="Biologique",0,3))</f>
        <v>0</v>
      </c>
      <c r="N240" s="1073"/>
      <c r="O240" s="1072">
        <f ca="1">OFFSET(RéfChamps!$DP$5,0,IF(ProdS4="Biologique",0,3))</f>
        <v>0</v>
      </c>
      <c r="P240" s="1073"/>
      <c r="Q240" s="1072">
        <f ca="1">OFFSET(RéfChamps!$DP$5,0,IF(ProdS5="Biologique",0,3))</f>
        <v>0</v>
      </c>
    </row>
    <row r="241" spans="1:16383" hidden="1">
      <c r="B241" s="412" t="str">
        <f t="shared" si="17"/>
        <v>Autre #3</v>
      </c>
      <c r="D241" s="765" t="s">
        <v>253</v>
      </c>
      <c r="E241" s="1371" t="s">
        <v>225</v>
      </c>
      <c r="F241" s="1945"/>
      <c r="G241" s="1946">
        <f ca="1">OFFSET(RéfChamps!$DQ$5,0,IF(PrixS0="Biologique",0,3))</f>
        <v>0</v>
      </c>
      <c r="H241" s="469"/>
      <c r="I241" s="835">
        <f ca="1">OFFSET(RéfChamps!$DQ$5,0,IF(PrixS1="Biologique",0,3))</f>
        <v>0</v>
      </c>
      <c r="J241" s="996"/>
      <c r="K241" s="835">
        <f ca="1">OFFSET(RéfChamps!$DQ$5,0,IF(PrixS2="Biologique",0,3))</f>
        <v>0</v>
      </c>
      <c r="L241" s="1000"/>
      <c r="M241" s="835">
        <f ca="1">OFFSET(RéfChamps!$DQ$5,0,IF(PrixS3="Biologique",0,3))</f>
        <v>0</v>
      </c>
      <c r="N241" s="1000"/>
      <c r="O241" s="835">
        <f ca="1">OFFSET(RéfChamps!$DQ$5,0,IF(PrixS4="Biologique",0,3))</f>
        <v>0</v>
      </c>
      <c r="P241" s="1000"/>
      <c r="Q241" s="835">
        <f ca="1">OFFSET(RéfChamps!$DQ$5,0,IF(PrixS5="Biologique",0,3))</f>
        <v>0</v>
      </c>
    </row>
    <row r="242" spans="1:16383" hidden="1">
      <c r="B242" s="412" t="str">
        <f t="shared" si="17"/>
        <v>Autre #3</v>
      </c>
      <c r="D242" s="765" t="s">
        <v>282</v>
      </c>
      <c r="E242" s="1371" t="s">
        <v>254</v>
      </c>
      <c r="F242" s="1945"/>
      <c r="G242" s="1946">
        <f ca="1">SUMPRODUCT(OFFSET(RéfChamps!$DP$5:$DP$9,0,IF(ProdS0="Biologique",0,3)),OFFSET(RéfChamps!$DQ$5:$DQ$9,0,IF(PrixS0="Biologique",0,3)))</f>
        <v>0</v>
      </c>
      <c r="H242" s="469"/>
      <c r="I242" s="835">
        <f ca="1">SUMPRODUCT(OFFSET(RéfChamps!$DP$5:$DP$9,0,IF(ProdS1="Biologique",0,3)),OFFSET(RéfChamps!$DQ$5:$DQ$9,0,IF(PrixS1="Biologique",0,3)))</f>
        <v>0</v>
      </c>
      <c r="J242" s="997"/>
      <c r="K242" s="835">
        <f ca="1">SUMPRODUCT(OFFSET(RéfChamps!$DP$5:$DP$9,0,IF(ProdS2="Biologique",0,3)),OFFSET(RéfChamps!$DQ$5:$DQ$9,0,IF(PrixS2="Biologique",0,3)))</f>
        <v>0</v>
      </c>
      <c r="L242" s="1000"/>
      <c r="M242" s="835">
        <f ca="1">SUMPRODUCT(OFFSET(RéfChamps!$DP$5:$DP$9,0,IF(ProdS3="Biologique",0,3)),OFFSET(RéfChamps!$DQ$5:$DQ$9,0,IF(PrixS3="Biologique",0,3)))</f>
        <v>0</v>
      </c>
      <c r="N242" s="1000"/>
      <c r="O242" s="835">
        <f ca="1">SUMPRODUCT(OFFSET(RéfChamps!$DP$5:$DP$9,0,IF(ProdS4="Biologique",0,3)),OFFSET(RéfChamps!$DQ$5:$DQ$9,0,IF(PrixS4="Biologique",0,3)))</f>
        <v>0</v>
      </c>
      <c r="P242" s="1000"/>
      <c r="Q242" s="835">
        <f ca="1">SUMPRODUCT(OFFSET(RéfChamps!$DP$5:$DP$9,0,IF(ProdS5="Biologique",0,3)),OFFSET(RéfChamps!$DQ$5:$DQ$9,0,IF(PrixS5="Biologique",0,3)))</f>
        <v>0</v>
      </c>
    </row>
    <row r="243" spans="1:16383" s="346" customFormat="1" ht="15" hidden="1" thickBot="1">
      <c r="A243" s="413"/>
      <c r="B243" s="428" t="str">
        <f t="shared" si="17"/>
        <v>Autre #3</v>
      </c>
      <c r="D243" s="765" t="s">
        <v>1457</v>
      </c>
      <c r="E243" s="1371" t="s">
        <v>254</v>
      </c>
      <c r="F243" s="1945"/>
      <c r="G243" s="1951">
        <f ca="1">IFERROR(G242-G239,"Erreur")</f>
        <v>0</v>
      </c>
      <c r="H243" s="469"/>
      <c r="I243" s="846">
        <f ca="1">IFERROR(I242-I239,"Erreur")</f>
        <v>0</v>
      </c>
      <c r="J243" s="998"/>
      <c r="K243" s="846">
        <f ca="1">IFERROR(K242-K239,"Erreur")</f>
        <v>0</v>
      </c>
      <c r="L243" s="1001"/>
      <c r="M243" s="846">
        <f ca="1">IFERROR(M242-M239,"Erreur")</f>
        <v>0</v>
      </c>
      <c r="N243" s="1001"/>
      <c r="O243" s="846">
        <f ca="1">IFERROR(O242-O239,"Erreur")</f>
        <v>0</v>
      </c>
      <c r="P243" s="1001"/>
      <c r="Q243" s="846">
        <f ca="1">IFERROR(Q242-Q239,"Erreur")</f>
        <v>0</v>
      </c>
      <c r="R243" s="1698"/>
    </row>
    <row r="244" spans="1:16383" s="28" customFormat="1" ht="15.75" hidden="1" thickTop="1" thickBot="1">
      <c r="A244" s="411"/>
      <c r="B244" s="428" t="str">
        <f t="shared" si="17"/>
        <v>Autre #3</v>
      </c>
      <c r="C244" s="36"/>
      <c r="D244" s="2085" t="str">
        <f>"Détails pour """&amp;LOWER(D238)&amp;""""</f>
        <v>Détails pour "autre #3"</v>
      </c>
      <c r="E244" s="1371"/>
      <c r="F244" s="1952"/>
      <c r="G244" s="1946"/>
      <c r="H244" s="994"/>
      <c r="I244" s="1612"/>
      <c r="J244" s="1002"/>
      <c r="K244" s="1612"/>
      <c r="L244" s="1002"/>
      <c r="M244" s="1612"/>
      <c r="N244" s="1002"/>
      <c r="O244" s="1612"/>
      <c r="P244" s="1002"/>
      <c r="Q244" s="1612"/>
      <c r="R244" s="1701"/>
      <c r="S244" s="36"/>
      <c r="T244" s="36"/>
      <c r="U244" s="36"/>
      <c r="V244" s="36"/>
      <c r="W244" s="36"/>
      <c r="X244" s="36"/>
      <c r="Y244" s="36"/>
      <c r="Z244" s="36"/>
      <c r="AA244" s="36"/>
      <c r="AB244" s="36"/>
      <c r="AC244" s="36"/>
      <c r="AD244" s="36"/>
      <c r="AE244" s="36"/>
      <c r="AF244" s="36"/>
      <c r="AG244" s="36"/>
      <c r="AH244" s="36"/>
      <c r="AI244" s="36"/>
      <c r="AJ244" s="36"/>
      <c r="AK244" s="36"/>
      <c r="AL244" s="36"/>
      <c r="AM244" s="36"/>
      <c r="AN244" s="36"/>
      <c r="AO244" s="36"/>
      <c r="AP244" s="36"/>
      <c r="AQ244" s="36"/>
      <c r="AR244" s="36"/>
      <c r="AS244" s="36"/>
      <c r="AT244" s="36"/>
      <c r="AU244" s="36"/>
      <c r="AV244" s="36"/>
      <c r="AW244" s="36"/>
      <c r="AX244" s="36"/>
      <c r="AY244" s="36"/>
      <c r="AZ244" s="36"/>
      <c r="BA244" s="36"/>
      <c r="BB244" s="36"/>
      <c r="BC244" s="36"/>
      <c r="BD244" s="36"/>
      <c r="BE244" s="36"/>
      <c r="BF244" s="36"/>
      <c r="BG244" s="36"/>
      <c r="BH244" s="36"/>
      <c r="BI244" s="36"/>
      <c r="BJ244" s="36"/>
      <c r="BK244" s="36"/>
      <c r="BL244" s="36"/>
      <c r="BM244" s="36"/>
      <c r="BN244" s="36"/>
      <c r="BO244" s="36"/>
      <c r="BP244" s="36"/>
      <c r="BQ244" s="36"/>
      <c r="BR244" s="36"/>
      <c r="BS244" s="36"/>
      <c r="BT244" s="36"/>
      <c r="BU244" s="36"/>
      <c r="BV244" s="36"/>
      <c r="BW244" s="36"/>
      <c r="BX244" s="36"/>
      <c r="BY244" s="36"/>
      <c r="BZ244" s="36"/>
      <c r="CA244" s="36"/>
      <c r="CB244" s="36"/>
      <c r="CC244" s="36"/>
      <c r="CD244" s="36"/>
      <c r="CE244" s="36"/>
      <c r="CF244" s="36"/>
      <c r="CG244" s="36"/>
      <c r="CH244" s="36"/>
      <c r="CI244" s="36"/>
      <c r="CJ244" s="36"/>
      <c r="CK244" s="36"/>
      <c r="CL244" s="36"/>
      <c r="CM244" s="36"/>
      <c r="CN244" s="36"/>
      <c r="CO244" s="36"/>
      <c r="CP244" s="36"/>
      <c r="CQ244" s="36"/>
      <c r="CR244" s="36"/>
      <c r="CS244" s="36"/>
      <c r="CT244" s="36"/>
      <c r="CU244" s="36"/>
      <c r="CV244" s="36"/>
      <c r="CW244" s="36"/>
      <c r="CX244" s="36"/>
      <c r="CY244" s="36"/>
      <c r="CZ244" s="36"/>
      <c r="DA244" s="36"/>
      <c r="DB244" s="36"/>
      <c r="DC244" s="36"/>
      <c r="DD244" s="36"/>
      <c r="DE244" s="36"/>
      <c r="DF244" s="36"/>
      <c r="DG244" s="36"/>
      <c r="DH244" s="36"/>
      <c r="DI244" s="36"/>
      <c r="DJ244" s="36"/>
      <c r="DK244" s="36"/>
      <c r="DL244" s="36"/>
      <c r="DM244" s="36"/>
      <c r="DN244" s="36"/>
      <c r="DO244" s="36"/>
      <c r="DP244" s="36"/>
      <c r="DQ244" s="36"/>
      <c r="DR244" s="36"/>
      <c r="DS244" s="36"/>
      <c r="DT244" s="36"/>
      <c r="DU244" s="36"/>
      <c r="DV244" s="36"/>
      <c r="DW244" s="36"/>
      <c r="DX244" s="36"/>
      <c r="DY244" s="36"/>
      <c r="DZ244" s="36"/>
      <c r="EA244" s="36"/>
      <c r="EB244" s="36"/>
      <c r="EC244" s="36"/>
      <c r="ED244" s="36"/>
      <c r="EE244" s="36"/>
      <c r="EF244" s="36"/>
      <c r="EG244" s="36"/>
      <c r="EH244" s="36"/>
      <c r="EI244" s="36"/>
      <c r="EJ244" s="36"/>
      <c r="EK244" s="36"/>
      <c r="EL244" s="36"/>
      <c r="EM244" s="36"/>
      <c r="EN244" s="36"/>
      <c r="EO244" s="36"/>
      <c r="EP244" s="36"/>
      <c r="EQ244" s="36"/>
      <c r="ER244" s="36"/>
      <c r="ES244" s="36"/>
      <c r="ET244" s="36"/>
      <c r="EU244" s="36"/>
      <c r="EV244" s="36"/>
      <c r="EW244" s="36"/>
      <c r="EX244" s="36"/>
      <c r="EY244" s="36"/>
      <c r="EZ244" s="36"/>
      <c r="FA244" s="36"/>
      <c r="FB244" s="36"/>
      <c r="FC244" s="36"/>
      <c r="FD244" s="36"/>
      <c r="FE244" s="36"/>
      <c r="FF244" s="36"/>
      <c r="FG244" s="36"/>
      <c r="FH244" s="36"/>
      <c r="FI244" s="36"/>
      <c r="FJ244" s="36"/>
      <c r="FK244" s="36"/>
      <c r="FL244" s="36"/>
      <c r="FM244" s="36"/>
      <c r="FN244" s="36"/>
      <c r="FO244" s="36"/>
      <c r="FP244" s="36"/>
      <c r="FQ244" s="36"/>
      <c r="FR244" s="36"/>
      <c r="FS244" s="36"/>
      <c r="FT244" s="36"/>
      <c r="FU244" s="36"/>
      <c r="FV244" s="36"/>
      <c r="FW244" s="36"/>
      <c r="FX244" s="36"/>
      <c r="FY244" s="36"/>
      <c r="FZ244" s="36"/>
      <c r="GA244" s="36"/>
      <c r="GB244" s="36"/>
      <c r="GC244" s="36"/>
      <c r="GD244" s="36"/>
      <c r="GE244" s="36"/>
      <c r="GF244" s="36"/>
      <c r="GG244" s="36"/>
      <c r="GH244" s="36"/>
      <c r="GI244" s="36"/>
      <c r="GJ244" s="36"/>
      <c r="GK244" s="36"/>
      <c r="GL244" s="36"/>
      <c r="GM244" s="36"/>
      <c r="GN244" s="36"/>
      <c r="GO244" s="36"/>
      <c r="GP244" s="36"/>
      <c r="GQ244" s="36"/>
      <c r="GR244" s="36"/>
      <c r="GS244" s="36"/>
      <c r="GT244" s="36"/>
      <c r="GU244" s="36"/>
      <c r="GV244" s="36"/>
      <c r="GW244" s="36"/>
      <c r="GX244" s="36"/>
      <c r="GY244" s="36"/>
      <c r="GZ244" s="36"/>
      <c r="HA244" s="36"/>
      <c r="HB244" s="36"/>
      <c r="HC244" s="36"/>
      <c r="HD244" s="36"/>
      <c r="HE244" s="36"/>
      <c r="HF244" s="36"/>
      <c r="HG244" s="36"/>
      <c r="HH244" s="36"/>
      <c r="HI244" s="36"/>
      <c r="HJ244" s="36"/>
      <c r="HK244" s="36"/>
      <c r="HL244" s="36"/>
      <c r="HM244" s="36"/>
      <c r="HN244" s="36"/>
      <c r="HO244" s="36"/>
      <c r="HP244" s="36"/>
      <c r="HQ244" s="36"/>
      <c r="HR244" s="36"/>
      <c r="HS244" s="36"/>
      <c r="HT244" s="36"/>
      <c r="HU244" s="36"/>
      <c r="HV244" s="36"/>
      <c r="HW244" s="36"/>
      <c r="HX244" s="36"/>
      <c r="HY244" s="36"/>
      <c r="HZ244" s="36"/>
      <c r="IA244" s="36"/>
      <c r="IB244" s="36"/>
      <c r="IC244" s="36"/>
      <c r="ID244" s="36"/>
      <c r="IE244" s="36"/>
      <c r="IF244" s="36"/>
      <c r="IG244" s="36"/>
      <c r="IH244" s="36"/>
      <c r="II244" s="36"/>
      <c r="IJ244" s="36"/>
      <c r="IK244" s="36"/>
      <c r="IL244" s="36"/>
      <c r="IM244" s="36"/>
      <c r="IN244" s="36"/>
      <c r="IO244" s="36"/>
      <c r="IP244" s="36"/>
      <c r="IQ244" s="36"/>
      <c r="IR244" s="36"/>
      <c r="IS244" s="36"/>
      <c r="IT244" s="36"/>
      <c r="IU244" s="36"/>
      <c r="IV244" s="36"/>
      <c r="IW244" s="36"/>
      <c r="IX244" s="36"/>
      <c r="IY244" s="36"/>
      <c r="IZ244" s="36"/>
      <c r="JA244" s="36"/>
      <c r="JB244" s="36"/>
      <c r="JC244" s="36"/>
      <c r="JD244" s="36"/>
      <c r="JE244" s="36"/>
      <c r="JF244" s="36"/>
      <c r="JG244" s="36"/>
      <c r="JH244" s="36"/>
      <c r="JI244" s="36"/>
      <c r="JJ244" s="36"/>
      <c r="JK244" s="36"/>
      <c r="JL244" s="36"/>
      <c r="JM244" s="36"/>
      <c r="JN244" s="36"/>
      <c r="JO244" s="36"/>
      <c r="JP244" s="36"/>
      <c r="JQ244" s="36"/>
      <c r="JR244" s="36"/>
      <c r="JS244" s="36"/>
      <c r="JT244" s="36"/>
      <c r="JU244" s="36"/>
      <c r="JV244" s="36"/>
      <c r="JW244" s="36"/>
      <c r="JX244" s="36"/>
      <c r="JY244" s="36"/>
      <c r="JZ244" s="36"/>
      <c r="KA244" s="36"/>
      <c r="KB244" s="36"/>
      <c r="KC244" s="36"/>
      <c r="KD244" s="36"/>
      <c r="KE244" s="36"/>
      <c r="KF244" s="36"/>
      <c r="KG244" s="36"/>
      <c r="KH244" s="36"/>
      <c r="KI244" s="36"/>
      <c r="KJ244" s="36"/>
      <c r="KK244" s="36"/>
      <c r="KL244" s="36"/>
      <c r="KM244" s="36"/>
      <c r="KN244" s="36"/>
      <c r="KO244" s="36"/>
      <c r="KP244" s="36"/>
      <c r="KQ244" s="36"/>
      <c r="KR244" s="36"/>
      <c r="KS244" s="36"/>
      <c r="KT244" s="36"/>
      <c r="KU244" s="36"/>
      <c r="KV244" s="36"/>
      <c r="KW244" s="36"/>
      <c r="KX244" s="36"/>
      <c r="KY244" s="36"/>
      <c r="KZ244" s="36"/>
      <c r="LA244" s="36"/>
      <c r="LB244" s="36"/>
      <c r="LC244" s="36"/>
      <c r="LD244" s="36"/>
      <c r="LE244" s="36"/>
      <c r="LF244" s="36"/>
      <c r="LG244" s="36"/>
      <c r="LH244" s="36"/>
      <c r="LI244" s="36"/>
      <c r="LJ244" s="36"/>
      <c r="LK244" s="36"/>
      <c r="LL244" s="36"/>
      <c r="LM244" s="36"/>
      <c r="LN244" s="36"/>
      <c r="LO244" s="36"/>
      <c r="LP244" s="36"/>
      <c r="LQ244" s="36"/>
      <c r="LR244" s="36"/>
      <c r="LS244" s="36"/>
      <c r="LT244" s="36"/>
      <c r="LU244" s="36"/>
      <c r="LV244" s="36"/>
      <c r="LW244" s="36"/>
      <c r="LX244" s="36"/>
      <c r="LY244" s="36"/>
      <c r="LZ244" s="36"/>
      <c r="MA244" s="36"/>
      <c r="MB244" s="36"/>
      <c r="MC244" s="36"/>
      <c r="MD244" s="36"/>
      <c r="ME244" s="36"/>
      <c r="MF244" s="36"/>
      <c r="MG244" s="36"/>
      <c r="MH244" s="36"/>
      <c r="MI244" s="36"/>
      <c r="MJ244" s="36"/>
      <c r="MK244" s="36"/>
      <c r="ML244" s="36"/>
      <c r="MM244" s="36"/>
      <c r="MN244" s="36"/>
      <c r="MO244" s="36"/>
      <c r="MP244" s="36"/>
      <c r="MQ244" s="36"/>
      <c r="MR244" s="36"/>
      <c r="MS244" s="36"/>
      <c r="MT244" s="36"/>
      <c r="MU244" s="36"/>
      <c r="MV244" s="36"/>
      <c r="MW244" s="36"/>
      <c r="MX244" s="36"/>
      <c r="MY244" s="36"/>
      <c r="MZ244" s="36"/>
      <c r="NA244" s="36"/>
      <c r="NB244" s="36"/>
      <c r="NC244" s="36"/>
      <c r="ND244" s="36"/>
      <c r="NE244" s="36"/>
      <c r="NF244" s="36"/>
      <c r="NG244" s="36"/>
      <c r="NH244" s="36"/>
      <c r="NI244" s="36"/>
      <c r="NJ244" s="36"/>
      <c r="NK244" s="36"/>
      <c r="NL244" s="36"/>
      <c r="NM244" s="36"/>
      <c r="NN244" s="36"/>
      <c r="NO244" s="36"/>
      <c r="NP244" s="36"/>
      <c r="NQ244" s="36"/>
      <c r="NR244" s="36"/>
      <c r="NS244" s="36"/>
      <c r="NT244" s="36"/>
      <c r="NU244" s="36"/>
      <c r="NV244" s="36"/>
      <c r="NW244" s="36"/>
      <c r="NX244" s="36"/>
      <c r="NY244" s="36"/>
      <c r="NZ244" s="36"/>
      <c r="OA244" s="36"/>
      <c r="OB244" s="36"/>
      <c r="OC244" s="36"/>
      <c r="OD244" s="36"/>
      <c r="OE244" s="36"/>
      <c r="OF244" s="36"/>
      <c r="OG244" s="36"/>
      <c r="OH244" s="36"/>
      <c r="OI244" s="36"/>
      <c r="OJ244" s="36"/>
      <c r="OK244" s="36"/>
      <c r="OL244" s="36"/>
      <c r="OM244" s="36"/>
      <c r="ON244" s="36"/>
      <c r="OO244" s="36"/>
      <c r="OP244" s="36"/>
      <c r="OQ244" s="36"/>
      <c r="OR244" s="36"/>
      <c r="OS244" s="36"/>
      <c r="OT244" s="36"/>
      <c r="OU244" s="36"/>
      <c r="OV244" s="36"/>
      <c r="OW244" s="36"/>
      <c r="OX244" s="36"/>
      <c r="OY244" s="36"/>
      <c r="OZ244" s="36"/>
      <c r="PA244" s="36"/>
      <c r="PB244" s="36"/>
      <c r="PC244" s="36"/>
      <c r="PD244" s="36"/>
      <c r="PE244" s="36"/>
      <c r="PF244" s="36"/>
      <c r="PG244" s="36"/>
      <c r="PH244" s="36"/>
      <c r="PI244" s="36"/>
      <c r="PJ244" s="36"/>
      <c r="PK244" s="36"/>
      <c r="PL244" s="36"/>
      <c r="PM244" s="36"/>
      <c r="PN244" s="36"/>
      <c r="PO244" s="36"/>
      <c r="PP244" s="36"/>
      <c r="PQ244" s="36"/>
      <c r="PR244" s="36"/>
      <c r="PS244" s="36"/>
      <c r="PT244" s="36"/>
      <c r="PU244" s="36"/>
      <c r="PV244" s="36"/>
      <c r="PW244" s="36"/>
      <c r="PX244" s="36"/>
      <c r="PY244" s="36"/>
      <c r="PZ244" s="36"/>
      <c r="QA244" s="36"/>
      <c r="QB244" s="36"/>
      <c r="QC244" s="36"/>
      <c r="QD244" s="36"/>
      <c r="QE244" s="36"/>
      <c r="QF244" s="36"/>
      <c r="QG244" s="36"/>
      <c r="QH244" s="36"/>
      <c r="QI244" s="36"/>
      <c r="QJ244" s="36"/>
      <c r="QK244" s="36"/>
      <c r="QL244" s="36"/>
      <c r="QM244" s="36"/>
      <c r="QN244" s="36"/>
      <c r="QO244" s="36"/>
      <c r="QP244" s="36"/>
      <c r="QQ244" s="36"/>
      <c r="QR244" s="36"/>
      <c r="QS244" s="36"/>
      <c r="QT244" s="36"/>
      <c r="QU244" s="36"/>
      <c r="QV244" s="36"/>
      <c r="QW244" s="36"/>
      <c r="QX244" s="36"/>
      <c r="QY244" s="36"/>
      <c r="QZ244" s="36"/>
      <c r="RA244" s="36"/>
      <c r="RB244" s="36"/>
      <c r="RC244" s="36"/>
      <c r="RD244" s="36"/>
      <c r="RE244" s="36"/>
      <c r="RF244" s="36"/>
      <c r="RG244" s="36"/>
      <c r="RH244" s="36"/>
      <c r="RI244" s="36"/>
      <c r="RJ244" s="36"/>
      <c r="RK244" s="36"/>
      <c r="RL244" s="36"/>
      <c r="RM244" s="36"/>
      <c r="RN244" s="36"/>
      <c r="RO244" s="36"/>
      <c r="RP244" s="36"/>
      <c r="RQ244" s="36"/>
      <c r="RR244" s="36"/>
      <c r="RS244" s="36"/>
      <c r="RT244" s="36"/>
      <c r="RU244" s="36"/>
      <c r="RV244" s="36"/>
      <c r="RW244" s="36"/>
      <c r="RX244" s="36"/>
      <c r="RY244" s="36"/>
      <c r="RZ244" s="36"/>
      <c r="SA244" s="36"/>
      <c r="SB244" s="36"/>
      <c r="SC244" s="36"/>
      <c r="SD244" s="36"/>
      <c r="SE244" s="36"/>
      <c r="SF244" s="36"/>
      <c r="SG244" s="36"/>
      <c r="SH244" s="36"/>
      <c r="SI244" s="36"/>
      <c r="SJ244" s="36"/>
      <c r="SK244" s="36"/>
      <c r="SL244" s="36"/>
      <c r="SM244" s="36"/>
      <c r="SN244" s="36"/>
      <c r="SO244" s="36"/>
      <c r="SP244" s="36"/>
      <c r="SQ244" s="36"/>
      <c r="SR244" s="36"/>
      <c r="SS244" s="36"/>
      <c r="ST244" s="36"/>
      <c r="SU244" s="36"/>
      <c r="SV244" s="36"/>
      <c r="SW244" s="36"/>
      <c r="SX244" s="36"/>
      <c r="SY244" s="36"/>
      <c r="SZ244" s="36"/>
      <c r="TA244" s="36"/>
      <c r="TB244" s="36"/>
      <c r="TC244" s="36"/>
      <c r="TD244" s="36"/>
      <c r="TE244" s="36"/>
      <c r="TF244" s="36"/>
      <c r="TG244" s="36"/>
      <c r="TH244" s="36"/>
      <c r="TI244" s="36"/>
      <c r="TJ244" s="36"/>
      <c r="TK244" s="36"/>
      <c r="TL244" s="36"/>
      <c r="TM244" s="36"/>
      <c r="TN244" s="36"/>
      <c r="TO244" s="36"/>
      <c r="TP244" s="36"/>
      <c r="TQ244" s="36"/>
      <c r="TR244" s="36"/>
      <c r="TS244" s="36"/>
      <c r="TT244" s="36"/>
      <c r="TU244" s="36"/>
      <c r="TV244" s="36"/>
      <c r="TW244" s="36"/>
      <c r="TX244" s="36"/>
      <c r="TY244" s="36"/>
      <c r="TZ244" s="36"/>
      <c r="UA244" s="36"/>
      <c r="UB244" s="36"/>
      <c r="UC244" s="36"/>
      <c r="UD244" s="36"/>
      <c r="UE244" s="36"/>
      <c r="UF244" s="36"/>
      <c r="UG244" s="36"/>
      <c r="UH244" s="36"/>
      <c r="UI244" s="36"/>
      <c r="UJ244" s="36"/>
      <c r="UK244" s="36"/>
      <c r="UL244" s="36"/>
      <c r="UM244" s="36"/>
      <c r="UN244" s="36"/>
      <c r="UO244" s="36"/>
      <c r="UP244" s="36"/>
      <c r="UQ244" s="36"/>
      <c r="UR244" s="36"/>
      <c r="US244" s="36"/>
      <c r="UT244" s="36"/>
      <c r="UU244" s="36"/>
      <c r="UV244" s="36"/>
      <c r="UW244" s="36"/>
      <c r="UX244" s="36"/>
      <c r="UY244" s="36"/>
      <c r="UZ244" s="36"/>
      <c r="VA244" s="36"/>
      <c r="VB244" s="36"/>
      <c r="VC244" s="36"/>
      <c r="VD244" s="36"/>
      <c r="VE244" s="36"/>
      <c r="VF244" s="36"/>
      <c r="VG244" s="36"/>
      <c r="VH244" s="36"/>
      <c r="VI244" s="36"/>
      <c r="VJ244" s="36"/>
      <c r="VK244" s="36"/>
      <c r="VL244" s="36"/>
      <c r="VM244" s="36"/>
      <c r="VN244" s="36"/>
      <c r="VO244" s="36"/>
      <c r="VP244" s="36"/>
      <c r="VQ244" s="36"/>
      <c r="VR244" s="36"/>
      <c r="VS244" s="36"/>
      <c r="VT244" s="36"/>
      <c r="VU244" s="36"/>
      <c r="VV244" s="36"/>
      <c r="VW244" s="36"/>
      <c r="VX244" s="36"/>
      <c r="VY244" s="36"/>
      <c r="VZ244" s="36"/>
      <c r="WA244" s="36"/>
      <c r="WB244" s="36"/>
      <c r="WC244" s="36"/>
      <c r="WD244" s="36"/>
      <c r="WE244" s="36"/>
      <c r="WF244" s="36"/>
      <c r="WG244" s="36"/>
      <c r="WH244" s="36"/>
      <c r="WI244" s="36"/>
      <c r="WJ244" s="36"/>
      <c r="WK244" s="36"/>
      <c r="WL244" s="36"/>
      <c r="WM244" s="36"/>
      <c r="WN244" s="36"/>
      <c r="WO244" s="36"/>
      <c r="WP244" s="36"/>
      <c r="WQ244" s="36"/>
      <c r="WR244" s="36"/>
      <c r="WS244" s="36"/>
      <c r="WT244" s="36"/>
      <c r="WU244" s="36"/>
      <c r="WV244" s="36"/>
      <c r="WW244" s="36"/>
      <c r="WX244" s="36"/>
      <c r="WY244" s="36"/>
      <c r="WZ244" s="36"/>
      <c r="XA244" s="36"/>
      <c r="XB244" s="36"/>
      <c r="XC244" s="36"/>
      <c r="XD244" s="36"/>
      <c r="XE244" s="36"/>
      <c r="XF244" s="36"/>
      <c r="XG244" s="36"/>
      <c r="XH244" s="36"/>
      <c r="XI244" s="36"/>
      <c r="XJ244" s="36"/>
      <c r="XK244" s="36"/>
      <c r="XL244" s="36"/>
      <c r="XM244" s="36"/>
      <c r="XN244" s="36"/>
      <c r="XO244" s="36"/>
      <c r="XP244" s="36"/>
      <c r="XQ244" s="36"/>
      <c r="XR244" s="36"/>
      <c r="XS244" s="36"/>
      <c r="XT244" s="36"/>
      <c r="XU244" s="36"/>
      <c r="XV244" s="36"/>
      <c r="XW244" s="36"/>
      <c r="XX244" s="36"/>
      <c r="XY244" s="36"/>
      <c r="XZ244" s="36"/>
      <c r="YA244" s="36"/>
      <c r="YB244" s="36"/>
      <c r="YC244" s="36"/>
      <c r="YD244" s="36"/>
      <c r="YE244" s="36"/>
      <c r="YF244" s="36"/>
      <c r="YG244" s="36"/>
      <c r="YH244" s="36"/>
      <c r="YI244" s="36"/>
      <c r="YJ244" s="36"/>
      <c r="YK244" s="36"/>
      <c r="YL244" s="36"/>
      <c r="YM244" s="36"/>
      <c r="YN244" s="36"/>
      <c r="YO244" s="36"/>
      <c r="YP244" s="36"/>
      <c r="YQ244" s="36"/>
      <c r="YR244" s="36"/>
      <c r="YS244" s="36"/>
      <c r="YT244" s="36"/>
      <c r="YU244" s="36"/>
      <c r="YV244" s="36"/>
      <c r="YW244" s="36"/>
      <c r="YX244" s="36"/>
      <c r="YY244" s="36"/>
      <c r="YZ244" s="36"/>
      <c r="ZA244" s="36"/>
      <c r="ZB244" s="36"/>
      <c r="ZC244" s="36"/>
      <c r="ZD244" s="36"/>
      <c r="ZE244" s="36"/>
      <c r="ZF244" s="36"/>
      <c r="ZG244" s="36"/>
      <c r="ZH244" s="36"/>
      <c r="ZI244" s="36"/>
      <c r="ZJ244" s="36"/>
      <c r="ZK244" s="36"/>
      <c r="ZL244" s="36"/>
      <c r="ZM244" s="36"/>
      <c r="ZN244" s="36"/>
      <c r="ZO244" s="36"/>
      <c r="ZP244" s="36"/>
      <c r="ZQ244" s="36"/>
      <c r="ZR244" s="36"/>
      <c r="ZS244" s="36"/>
      <c r="ZT244" s="36"/>
      <c r="ZU244" s="36"/>
      <c r="ZV244" s="36"/>
      <c r="ZW244" s="36"/>
      <c r="ZX244" s="36"/>
      <c r="ZY244" s="36"/>
      <c r="ZZ244" s="36"/>
      <c r="AAA244" s="36"/>
      <c r="AAB244" s="36"/>
      <c r="AAC244" s="36"/>
      <c r="AAD244" s="36"/>
      <c r="AAE244" s="36"/>
      <c r="AAF244" s="36"/>
      <c r="AAG244" s="36"/>
      <c r="AAH244" s="36"/>
      <c r="AAI244" s="36"/>
      <c r="AAJ244" s="36"/>
      <c r="AAK244" s="36"/>
      <c r="AAL244" s="36"/>
      <c r="AAM244" s="36"/>
      <c r="AAN244" s="36"/>
      <c r="AAO244" s="36"/>
      <c r="AAP244" s="36"/>
      <c r="AAQ244" s="36"/>
      <c r="AAR244" s="36"/>
      <c r="AAS244" s="36"/>
      <c r="AAT244" s="36"/>
      <c r="AAU244" s="36"/>
      <c r="AAV244" s="36"/>
      <c r="AAW244" s="36"/>
      <c r="AAX244" s="36"/>
      <c r="AAY244" s="36"/>
      <c r="AAZ244" s="36"/>
      <c r="ABA244" s="36"/>
      <c r="ABB244" s="36"/>
      <c r="ABC244" s="36"/>
      <c r="ABD244" s="36"/>
      <c r="ABE244" s="36"/>
      <c r="ABF244" s="36"/>
      <c r="ABG244" s="36"/>
      <c r="ABH244" s="36"/>
      <c r="ABI244" s="36"/>
      <c r="ABJ244" s="36"/>
      <c r="ABK244" s="36"/>
      <c r="ABL244" s="36"/>
      <c r="ABM244" s="36"/>
      <c r="ABN244" s="36"/>
      <c r="ABO244" s="36"/>
      <c r="ABP244" s="36"/>
      <c r="ABQ244" s="36"/>
      <c r="ABR244" s="36"/>
      <c r="ABS244" s="36"/>
      <c r="ABT244" s="36"/>
      <c r="ABU244" s="36"/>
      <c r="ABV244" s="36"/>
      <c r="ABW244" s="36"/>
      <c r="ABX244" s="36"/>
      <c r="ABY244" s="36"/>
      <c r="ABZ244" s="36"/>
      <c r="ACA244" s="36"/>
      <c r="ACB244" s="36"/>
      <c r="ACC244" s="36"/>
      <c r="ACD244" s="36"/>
      <c r="ACE244" s="36"/>
      <c r="ACF244" s="36"/>
      <c r="ACG244" s="36"/>
      <c r="ACH244" s="36"/>
      <c r="ACI244" s="36"/>
      <c r="ACJ244" s="36"/>
      <c r="ACK244" s="36"/>
      <c r="ACL244" s="36"/>
      <c r="ACM244" s="36"/>
      <c r="ACN244" s="36"/>
      <c r="ACO244" s="36"/>
      <c r="ACP244" s="36"/>
      <c r="ACQ244" s="36"/>
      <c r="ACR244" s="36"/>
      <c r="ACS244" s="36"/>
      <c r="ACT244" s="36"/>
      <c r="ACU244" s="36"/>
      <c r="ACV244" s="36"/>
      <c r="ACW244" s="36"/>
      <c r="ACX244" s="36"/>
      <c r="ACY244" s="36"/>
      <c r="ACZ244" s="36"/>
      <c r="ADA244" s="36"/>
      <c r="ADB244" s="36"/>
      <c r="ADC244" s="36"/>
      <c r="ADD244" s="36"/>
      <c r="ADE244" s="36"/>
      <c r="ADF244" s="36"/>
      <c r="ADG244" s="36"/>
      <c r="ADH244" s="36"/>
      <c r="ADI244" s="36"/>
      <c r="ADJ244" s="36"/>
      <c r="ADK244" s="36"/>
      <c r="ADL244" s="36"/>
      <c r="ADM244" s="36"/>
      <c r="ADN244" s="36"/>
      <c r="ADO244" s="36"/>
      <c r="ADP244" s="36"/>
      <c r="ADQ244" s="36"/>
      <c r="ADR244" s="36"/>
      <c r="ADS244" s="36"/>
      <c r="ADT244" s="36"/>
      <c r="ADU244" s="36"/>
      <c r="ADV244" s="36"/>
      <c r="ADW244" s="36"/>
      <c r="ADX244" s="36"/>
      <c r="ADY244" s="36"/>
      <c r="ADZ244" s="36"/>
      <c r="AEA244" s="36"/>
      <c r="AEB244" s="36"/>
      <c r="AEC244" s="36"/>
      <c r="AED244" s="36"/>
      <c r="AEE244" s="36"/>
      <c r="AEF244" s="36"/>
      <c r="AEG244" s="36"/>
      <c r="AEH244" s="36"/>
      <c r="AEI244" s="36"/>
      <c r="AEJ244" s="36"/>
      <c r="AEK244" s="36"/>
      <c r="AEL244" s="36"/>
      <c r="AEM244" s="36"/>
      <c r="AEN244" s="36"/>
      <c r="AEO244" s="36"/>
      <c r="AEP244" s="36"/>
      <c r="AEQ244" s="36"/>
      <c r="AER244" s="36"/>
      <c r="AES244" s="36"/>
      <c r="AET244" s="36"/>
      <c r="AEU244" s="36"/>
      <c r="AEV244" s="36"/>
      <c r="AEW244" s="36"/>
      <c r="AEX244" s="36"/>
      <c r="AEY244" s="36"/>
      <c r="AEZ244" s="36"/>
      <c r="AFA244" s="36"/>
      <c r="AFB244" s="36"/>
      <c r="AFC244" s="36"/>
      <c r="AFD244" s="36"/>
      <c r="AFE244" s="36"/>
      <c r="AFF244" s="36"/>
      <c r="AFG244" s="36"/>
      <c r="AFH244" s="36"/>
      <c r="AFI244" s="36"/>
      <c r="AFJ244" s="36"/>
      <c r="AFK244" s="36"/>
      <c r="AFL244" s="36"/>
      <c r="AFM244" s="36"/>
      <c r="AFN244" s="36"/>
      <c r="AFO244" s="36"/>
      <c r="AFP244" s="36"/>
      <c r="AFQ244" s="36"/>
      <c r="AFR244" s="36"/>
      <c r="AFS244" s="36"/>
      <c r="AFT244" s="36"/>
      <c r="AFU244" s="36"/>
      <c r="AFV244" s="36"/>
      <c r="AFW244" s="36"/>
      <c r="AFX244" s="36"/>
      <c r="AFY244" s="36"/>
      <c r="AFZ244" s="36"/>
      <c r="AGA244" s="36"/>
      <c r="AGB244" s="36"/>
      <c r="AGC244" s="36"/>
      <c r="AGD244" s="36"/>
      <c r="AGE244" s="36"/>
      <c r="AGF244" s="36"/>
      <c r="AGG244" s="36"/>
      <c r="AGH244" s="36"/>
      <c r="AGI244" s="36"/>
      <c r="AGJ244" s="36"/>
      <c r="AGK244" s="36"/>
      <c r="AGL244" s="36"/>
      <c r="AGM244" s="36"/>
      <c r="AGN244" s="36"/>
      <c r="AGO244" s="36"/>
      <c r="AGP244" s="36"/>
      <c r="AGQ244" s="36"/>
      <c r="AGR244" s="36"/>
      <c r="AGS244" s="36"/>
      <c r="AGT244" s="36"/>
      <c r="AGU244" s="36"/>
      <c r="AGV244" s="36"/>
      <c r="AGW244" s="36"/>
      <c r="AGX244" s="36"/>
      <c r="AGY244" s="36"/>
      <c r="AGZ244" s="36"/>
      <c r="AHA244" s="36"/>
      <c r="AHB244" s="36"/>
      <c r="AHC244" s="36"/>
      <c r="AHD244" s="36"/>
      <c r="AHE244" s="36"/>
      <c r="AHF244" s="36"/>
      <c r="AHG244" s="36"/>
      <c r="AHH244" s="36"/>
      <c r="AHI244" s="36"/>
      <c r="AHJ244" s="36"/>
      <c r="AHK244" s="36"/>
      <c r="AHL244" s="36"/>
      <c r="AHM244" s="36"/>
      <c r="AHN244" s="36"/>
      <c r="AHO244" s="36"/>
      <c r="AHP244" s="36"/>
      <c r="AHQ244" s="36"/>
      <c r="AHR244" s="36"/>
      <c r="AHS244" s="36"/>
      <c r="AHT244" s="36"/>
      <c r="AHU244" s="36"/>
      <c r="AHV244" s="36"/>
      <c r="AHW244" s="36"/>
      <c r="AHX244" s="36"/>
      <c r="AHY244" s="36"/>
      <c r="AHZ244" s="36"/>
      <c r="AIA244" s="36"/>
      <c r="AIB244" s="36"/>
      <c r="AIC244" s="36"/>
      <c r="AID244" s="36"/>
      <c r="AIE244" s="36"/>
      <c r="AIF244" s="36"/>
      <c r="AIG244" s="36"/>
      <c r="AIH244" s="36"/>
      <c r="AII244" s="36"/>
      <c r="AIJ244" s="36"/>
      <c r="AIK244" s="36"/>
      <c r="AIL244" s="36"/>
      <c r="AIM244" s="36"/>
      <c r="AIN244" s="36"/>
      <c r="AIO244" s="36"/>
      <c r="AIP244" s="36"/>
      <c r="AIQ244" s="36"/>
      <c r="AIR244" s="36"/>
      <c r="AIS244" s="36"/>
      <c r="AIT244" s="36"/>
      <c r="AIU244" s="36"/>
      <c r="AIV244" s="36"/>
      <c r="AIW244" s="36"/>
      <c r="AIX244" s="36"/>
      <c r="AIY244" s="36"/>
      <c r="AIZ244" s="36"/>
      <c r="AJA244" s="36"/>
      <c r="AJB244" s="36"/>
      <c r="AJC244" s="36"/>
      <c r="AJD244" s="36"/>
      <c r="AJE244" s="36"/>
      <c r="AJF244" s="36"/>
      <c r="AJG244" s="36"/>
      <c r="AJH244" s="36"/>
      <c r="AJI244" s="36"/>
      <c r="AJJ244" s="36"/>
      <c r="AJK244" s="36"/>
      <c r="AJL244" s="36"/>
      <c r="AJM244" s="36"/>
      <c r="AJN244" s="36"/>
      <c r="AJO244" s="36"/>
      <c r="AJP244" s="36"/>
      <c r="AJQ244" s="36"/>
      <c r="AJR244" s="36"/>
      <c r="AJS244" s="36"/>
      <c r="AJT244" s="36"/>
      <c r="AJU244" s="36"/>
      <c r="AJV244" s="36"/>
      <c r="AJW244" s="36"/>
      <c r="AJX244" s="36"/>
      <c r="AJY244" s="36"/>
      <c r="AJZ244" s="36"/>
      <c r="AKA244" s="36"/>
      <c r="AKB244" s="36"/>
      <c r="AKC244" s="36"/>
      <c r="AKD244" s="36"/>
      <c r="AKE244" s="36"/>
      <c r="AKF244" s="36"/>
      <c r="AKG244" s="36"/>
      <c r="AKH244" s="36"/>
      <c r="AKI244" s="36"/>
      <c r="AKJ244" s="36"/>
      <c r="AKK244" s="36"/>
      <c r="AKL244" s="36"/>
      <c r="AKM244" s="36"/>
      <c r="AKN244" s="36"/>
      <c r="AKO244" s="36"/>
      <c r="AKP244" s="36"/>
      <c r="AKQ244" s="36"/>
      <c r="AKR244" s="36"/>
      <c r="AKS244" s="36"/>
      <c r="AKT244" s="36"/>
      <c r="AKU244" s="36"/>
      <c r="AKV244" s="36"/>
      <c r="AKW244" s="36"/>
      <c r="AKX244" s="36"/>
      <c r="AKY244" s="36"/>
      <c r="AKZ244" s="36"/>
      <c r="ALA244" s="36"/>
      <c r="ALB244" s="36"/>
      <c r="ALC244" s="36"/>
      <c r="ALD244" s="36"/>
      <c r="ALE244" s="36"/>
      <c r="ALF244" s="36"/>
      <c r="ALG244" s="36"/>
      <c r="ALH244" s="36"/>
      <c r="ALI244" s="36"/>
      <c r="ALJ244" s="36"/>
      <c r="ALK244" s="36"/>
      <c r="ALL244" s="36"/>
      <c r="ALM244" s="36"/>
      <c r="ALN244" s="36"/>
      <c r="ALO244" s="36"/>
      <c r="ALP244" s="36"/>
      <c r="ALQ244" s="36"/>
      <c r="ALR244" s="36"/>
      <c r="ALS244" s="36"/>
      <c r="ALT244" s="36"/>
      <c r="ALU244" s="36"/>
      <c r="ALV244" s="36"/>
      <c r="ALW244" s="36"/>
      <c r="ALX244" s="36"/>
      <c r="ALY244" s="36"/>
      <c r="ALZ244" s="36"/>
      <c r="AMA244" s="36"/>
      <c r="AMB244" s="36"/>
      <c r="AMC244" s="36"/>
      <c r="AMD244" s="36"/>
      <c r="AME244" s="36"/>
      <c r="AMF244" s="36"/>
      <c r="AMG244" s="36"/>
      <c r="AMH244" s="36"/>
      <c r="AMI244" s="36"/>
      <c r="AMJ244" s="36"/>
      <c r="AMK244" s="36"/>
      <c r="AML244" s="36"/>
      <c r="AMM244" s="36"/>
      <c r="AMN244" s="36"/>
      <c r="AMO244" s="36"/>
      <c r="AMP244" s="36"/>
      <c r="AMQ244" s="36"/>
      <c r="AMR244" s="36"/>
      <c r="AMS244" s="36"/>
      <c r="AMT244" s="36"/>
      <c r="AMU244" s="36"/>
      <c r="AMV244" s="36"/>
      <c r="AMW244" s="36"/>
      <c r="AMX244" s="36"/>
      <c r="AMY244" s="36"/>
      <c r="AMZ244" s="36"/>
      <c r="ANA244" s="36"/>
      <c r="ANB244" s="36"/>
      <c r="ANC244" s="36"/>
      <c r="AND244" s="36"/>
      <c r="ANE244" s="36"/>
      <c r="ANF244" s="36"/>
      <c r="ANG244" s="36"/>
      <c r="ANH244" s="36"/>
      <c r="ANI244" s="36"/>
      <c r="ANJ244" s="36"/>
      <c r="ANK244" s="36"/>
      <c r="ANL244" s="36"/>
      <c r="ANM244" s="36"/>
      <c r="ANN244" s="36"/>
      <c r="ANO244" s="36"/>
      <c r="ANP244" s="36"/>
      <c r="ANQ244" s="36"/>
      <c r="ANR244" s="36"/>
      <c r="ANS244" s="36"/>
      <c r="ANT244" s="36"/>
      <c r="ANU244" s="36"/>
      <c r="ANV244" s="36"/>
      <c r="ANW244" s="36"/>
      <c r="ANX244" s="36"/>
      <c r="ANY244" s="36"/>
      <c r="ANZ244" s="36"/>
      <c r="AOA244" s="36"/>
      <c r="AOB244" s="36"/>
      <c r="AOC244" s="36"/>
      <c r="AOD244" s="36"/>
      <c r="AOE244" s="36"/>
      <c r="AOF244" s="36"/>
      <c r="AOG244" s="36"/>
      <c r="AOH244" s="36"/>
      <c r="AOI244" s="36"/>
      <c r="AOJ244" s="36"/>
      <c r="AOK244" s="36"/>
      <c r="AOL244" s="36"/>
      <c r="AOM244" s="36"/>
      <c r="AON244" s="36"/>
      <c r="AOO244" s="36"/>
      <c r="AOP244" s="36"/>
      <c r="AOQ244" s="36"/>
      <c r="AOR244" s="36"/>
      <c r="AOS244" s="36"/>
      <c r="AOT244" s="36"/>
      <c r="AOU244" s="36"/>
      <c r="AOV244" s="36"/>
      <c r="AOW244" s="36"/>
      <c r="AOX244" s="36"/>
      <c r="AOY244" s="36"/>
      <c r="AOZ244" s="36"/>
      <c r="APA244" s="36"/>
      <c r="APB244" s="36"/>
      <c r="APC244" s="36"/>
      <c r="APD244" s="36"/>
      <c r="APE244" s="36"/>
      <c r="APF244" s="36"/>
      <c r="APG244" s="36"/>
      <c r="APH244" s="36"/>
      <c r="API244" s="36"/>
      <c r="APJ244" s="36"/>
      <c r="APK244" s="36"/>
      <c r="APL244" s="36"/>
      <c r="APM244" s="36"/>
      <c r="APN244" s="36"/>
      <c r="APO244" s="36"/>
      <c r="APP244" s="36"/>
      <c r="APQ244" s="36"/>
      <c r="APR244" s="36"/>
      <c r="APS244" s="36"/>
      <c r="APT244" s="36"/>
      <c r="APU244" s="36"/>
      <c r="APV244" s="36"/>
      <c r="APW244" s="36"/>
      <c r="APX244" s="36"/>
      <c r="APY244" s="36"/>
      <c r="APZ244" s="36"/>
      <c r="AQA244" s="36"/>
      <c r="AQB244" s="36"/>
      <c r="AQC244" s="36"/>
      <c r="AQD244" s="36"/>
      <c r="AQE244" s="36"/>
      <c r="AQF244" s="36"/>
      <c r="AQG244" s="36"/>
      <c r="AQH244" s="36"/>
      <c r="AQI244" s="36"/>
      <c r="AQJ244" s="36"/>
      <c r="AQK244" s="36"/>
      <c r="AQL244" s="36"/>
      <c r="AQM244" s="36"/>
      <c r="AQN244" s="36"/>
      <c r="AQO244" s="36"/>
      <c r="AQP244" s="36"/>
      <c r="AQQ244" s="36"/>
      <c r="AQR244" s="36"/>
      <c r="AQS244" s="36"/>
      <c r="AQT244" s="36"/>
      <c r="AQU244" s="36"/>
      <c r="AQV244" s="36"/>
      <c r="AQW244" s="36"/>
      <c r="AQX244" s="36"/>
      <c r="AQY244" s="36"/>
      <c r="AQZ244" s="36"/>
      <c r="ARA244" s="36"/>
      <c r="ARB244" s="36"/>
      <c r="ARC244" s="36"/>
      <c r="ARD244" s="36"/>
      <c r="ARE244" s="36"/>
      <c r="ARF244" s="36"/>
      <c r="ARG244" s="36"/>
      <c r="ARH244" s="36"/>
      <c r="ARI244" s="36"/>
      <c r="ARJ244" s="36"/>
      <c r="ARK244" s="36"/>
      <c r="ARL244" s="36"/>
      <c r="ARM244" s="36"/>
      <c r="ARN244" s="36"/>
      <c r="ARO244" s="36"/>
      <c r="ARP244" s="36"/>
      <c r="ARQ244" s="36"/>
      <c r="ARR244" s="36"/>
      <c r="ARS244" s="36"/>
      <c r="ART244" s="36"/>
      <c r="ARU244" s="36"/>
      <c r="ARV244" s="36"/>
      <c r="ARW244" s="36"/>
      <c r="ARX244" s="36"/>
      <c r="ARY244" s="36"/>
      <c r="ARZ244" s="36"/>
      <c r="ASA244" s="36"/>
      <c r="ASB244" s="36"/>
      <c r="ASC244" s="36"/>
      <c r="ASD244" s="36"/>
      <c r="ASE244" s="36"/>
      <c r="ASF244" s="36"/>
      <c r="ASG244" s="36"/>
      <c r="ASH244" s="36"/>
      <c r="ASI244" s="36"/>
      <c r="ASJ244" s="36"/>
      <c r="ASK244" s="36"/>
      <c r="ASL244" s="36"/>
      <c r="ASM244" s="36"/>
      <c r="ASN244" s="36"/>
      <c r="ASO244" s="36"/>
      <c r="ASP244" s="36"/>
      <c r="ASQ244" s="36"/>
      <c r="ASR244" s="36"/>
      <c r="ASS244" s="36"/>
      <c r="AST244" s="36"/>
      <c r="ASU244" s="36"/>
      <c r="ASV244" s="36"/>
      <c r="ASW244" s="36"/>
      <c r="ASX244" s="36"/>
      <c r="ASY244" s="36"/>
      <c r="ASZ244" s="36"/>
      <c r="ATA244" s="36"/>
      <c r="ATB244" s="36"/>
      <c r="ATC244" s="36"/>
      <c r="ATD244" s="36"/>
      <c r="ATE244" s="36"/>
      <c r="ATF244" s="36"/>
      <c r="ATG244" s="36"/>
      <c r="ATH244" s="36"/>
      <c r="ATI244" s="36"/>
      <c r="ATJ244" s="36"/>
      <c r="ATK244" s="36"/>
      <c r="ATL244" s="36"/>
      <c r="ATM244" s="36"/>
      <c r="ATN244" s="36"/>
      <c r="ATO244" s="36"/>
      <c r="ATP244" s="36"/>
      <c r="ATQ244" s="36"/>
      <c r="ATR244" s="36"/>
      <c r="ATS244" s="36"/>
      <c r="ATT244" s="36"/>
      <c r="ATU244" s="36"/>
      <c r="ATV244" s="36"/>
      <c r="ATW244" s="36"/>
      <c r="ATX244" s="36"/>
      <c r="ATY244" s="36"/>
      <c r="ATZ244" s="36"/>
      <c r="AUA244" s="36"/>
      <c r="AUB244" s="36"/>
      <c r="AUC244" s="36"/>
      <c r="AUD244" s="36"/>
      <c r="AUE244" s="36"/>
      <c r="AUF244" s="36"/>
      <c r="AUG244" s="36"/>
      <c r="AUH244" s="36"/>
      <c r="AUI244" s="36"/>
      <c r="AUJ244" s="36"/>
      <c r="AUK244" s="36"/>
      <c r="AUL244" s="36"/>
      <c r="AUM244" s="36"/>
      <c r="AUN244" s="36"/>
      <c r="AUO244" s="36"/>
      <c r="AUP244" s="36"/>
      <c r="AUQ244" s="36"/>
      <c r="AUR244" s="36"/>
      <c r="AUS244" s="36"/>
      <c r="AUT244" s="36"/>
      <c r="AUU244" s="36"/>
      <c r="AUV244" s="36"/>
      <c r="AUW244" s="36"/>
      <c r="AUX244" s="36"/>
      <c r="AUY244" s="36"/>
      <c r="AUZ244" s="36"/>
      <c r="AVA244" s="36"/>
      <c r="AVB244" s="36"/>
      <c r="AVC244" s="36"/>
      <c r="AVD244" s="36"/>
      <c r="AVE244" s="36"/>
      <c r="AVF244" s="36"/>
      <c r="AVG244" s="36"/>
      <c r="AVH244" s="36"/>
      <c r="AVI244" s="36"/>
      <c r="AVJ244" s="36"/>
      <c r="AVK244" s="36"/>
      <c r="AVL244" s="36"/>
      <c r="AVM244" s="36"/>
      <c r="AVN244" s="36"/>
      <c r="AVO244" s="36"/>
      <c r="AVP244" s="36"/>
      <c r="AVQ244" s="36"/>
      <c r="AVR244" s="36"/>
      <c r="AVS244" s="36"/>
      <c r="AVT244" s="36"/>
      <c r="AVU244" s="36"/>
      <c r="AVV244" s="36"/>
      <c r="AVW244" s="36"/>
      <c r="AVX244" s="36"/>
      <c r="AVY244" s="36"/>
      <c r="AVZ244" s="36"/>
      <c r="AWA244" s="36"/>
      <c r="AWB244" s="36"/>
      <c r="AWC244" s="36"/>
      <c r="AWD244" s="36"/>
      <c r="AWE244" s="36"/>
      <c r="AWF244" s="36"/>
      <c r="AWG244" s="36"/>
      <c r="AWH244" s="36"/>
      <c r="AWI244" s="36"/>
      <c r="AWJ244" s="36"/>
      <c r="AWK244" s="36"/>
      <c r="AWL244" s="36"/>
      <c r="AWM244" s="36"/>
      <c r="AWN244" s="36"/>
      <c r="AWO244" s="36"/>
      <c r="AWP244" s="36"/>
      <c r="AWQ244" s="36"/>
      <c r="AWR244" s="36"/>
      <c r="AWS244" s="36"/>
      <c r="AWT244" s="36"/>
      <c r="AWU244" s="36"/>
      <c r="AWV244" s="36"/>
      <c r="AWW244" s="36"/>
      <c r="AWX244" s="36"/>
      <c r="AWY244" s="36"/>
      <c r="AWZ244" s="36"/>
      <c r="AXA244" s="36"/>
      <c r="AXB244" s="36"/>
      <c r="AXC244" s="36"/>
      <c r="AXD244" s="36"/>
      <c r="AXE244" s="36"/>
      <c r="AXF244" s="36"/>
      <c r="AXG244" s="36"/>
      <c r="AXH244" s="36"/>
      <c r="AXI244" s="36"/>
      <c r="AXJ244" s="36"/>
      <c r="AXK244" s="36"/>
      <c r="AXL244" s="36"/>
      <c r="AXM244" s="36"/>
      <c r="AXN244" s="36"/>
      <c r="AXO244" s="36"/>
      <c r="AXP244" s="36"/>
      <c r="AXQ244" s="36"/>
      <c r="AXR244" s="36"/>
      <c r="AXS244" s="36"/>
      <c r="AXT244" s="36"/>
      <c r="AXU244" s="36"/>
      <c r="AXV244" s="36"/>
      <c r="AXW244" s="36"/>
      <c r="AXX244" s="36"/>
      <c r="AXY244" s="36"/>
      <c r="AXZ244" s="36"/>
      <c r="AYA244" s="36"/>
      <c r="AYB244" s="36"/>
      <c r="AYC244" s="36"/>
      <c r="AYD244" s="36"/>
      <c r="AYE244" s="36"/>
      <c r="AYF244" s="36"/>
      <c r="AYG244" s="36"/>
      <c r="AYH244" s="36"/>
      <c r="AYI244" s="36"/>
      <c r="AYJ244" s="36"/>
      <c r="AYK244" s="36"/>
      <c r="AYL244" s="36"/>
      <c r="AYM244" s="36"/>
      <c r="AYN244" s="36"/>
      <c r="AYO244" s="36"/>
      <c r="AYP244" s="36"/>
      <c r="AYQ244" s="36"/>
      <c r="AYR244" s="36"/>
      <c r="AYS244" s="36"/>
      <c r="AYT244" s="36"/>
      <c r="AYU244" s="36"/>
      <c r="AYV244" s="36"/>
      <c r="AYW244" s="36"/>
      <c r="AYX244" s="36"/>
      <c r="AYY244" s="36"/>
      <c r="AYZ244" s="36"/>
      <c r="AZA244" s="36"/>
      <c r="AZB244" s="36"/>
      <c r="AZC244" s="36"/>
      <c r="AZD244" s="36"/>
      <c r="AZE244" s="36"/>
      <c r="AZF244" s="36"/>
      <c r="AZG244" s="36"/>
      <c r="AZH244" s="36"/>
      <c r="AZI244" s="36"/>
      <c r="AZJ244" s="36"/>
      <c r="AZK244" s="36"/>
      <c r="AZL244" s="36"/>
      <c r="AZM244" s="36"/>
      <c r="AZN244" s="36"/>
      <c r="AZO244" s="36"/>
      <c r="AZP244" s="36"/>
      <c r="AZQ244" s="36"/>
      <c r="AZR244" s="36"/>
      <c r="AZS244" s="36"/>
      <c r="AZT244" s="36"/>
      <c r="AZU244" s="36"/>
      <c r="AZV244" s="36"/>
      <c r="AZW244" s="36"/>
      <c r="AZX244" s="36"/>
      <c r="AZY244" s="36"/>
      <c r="AZZ244" s="36"/>
      <c r="BAA244" s="36"/>
      <c r="BAB244" s="36"/>
      <c r="BAC244" s="36"/>
      <c r="BAD244" s="36"/>
      <c r="BAE244" s="36"/>
      <c r="BAF244" s="36"/>
      <c r="BAG244" s="36"/>
      <c r="BAH244" s="36"/>
      <c r="BAI244" s="36"/>
      <c r="BAJ244" s="36"/>
      <c r="BAK244" s="36"/>
      <c r="BAL244" s="36"/>
      <c r="BAM244" s="36"/>
      <c r="BAN244" s="36"/>
      <c r="BAO244" s="36"/>
      <c r="BAP244" s="36"/>
      <c r="BAQ244" s="36"/>
      <c r="BAR244" s="36"/>
      <c r="BAS244" s="36"/>
      <c r="BAT244" s="36"/>
      <c r="BAU244" s="36"/>
      <c r="BAV244" s="36"/>
      <c r="BAW244" s="36"/>
      <c r="BAX244" s="36"/>
      <c r="BAY244" s="36"/>
      <c r="BAZ244" s="36"/>
      <c r="BBA244" s="36"/>
      <c r="BBB244" s="36"/>
      <c r="BBC244" s="36"/>
      <c r="BBD244" s="36"/>
      <c r="BBE244" s="36"/>
      <c r="BBF244" s="36"/>
      <c r="BBG244" s="36"/>
      <c r="BBH244" s="36"/>
      <c r="BBI244" s="36"/>
      <c r="BBJ244" s="36"/>
      <c r="BBK244" s="36"/>
      <c r="BBL244" s="36"/>
      <c r="BBM244" s="36"/>
      <c r="BBN244" s="36"/>
      <c r="BBO244" s="36"/>
      <c r="BBP244" s="36"/>
      <c r="BBQ244" s="36"/>
      <c r="BBR244" s="36"/>
      <c r="BBS244" s="36"/>
      <c r="BBT244" s="36"/>
      <c r="BBU244" s="36"/>
      <c r="BBV244" s="36"/>
      <c r="BBW244" s="36"/>
      <c r="BBX244" s="36"/>
      <c r="BBY244" s="36"/>
      <c r="BBZ244" s="36"/>
      <c r="BCA244" s="36"/>
      <c r="BCB244" s="36"/>
      <c r="BCC244" s="36"/>
      <c r="BCD244" s="36"/>
      <c r="BCE244" s="36"/>
      <c r="BCF244" s="36"/>
      <c r="BCG244" s="36"/>
      <c r="BCH244" s="36"/>
      <c r="BCI244" s="36"/>
      <c r="BCJ244" s="36"/>
      <c r="BCK244" s="36"/>
      <c r="BCL244" s="36"/>
      <c r="BCM244" s="36"/>
      <c r="BCN244" s="36"/>
      <c r="BCO244" s="36"/>
      <c r="BCP244" s="36"/>
      <c r="BCQ244" s="36"/>
      <c r="BCR244" s="36"/>
      <c r="BCS244" s="36"/>
      <c r="BCT244" s="36"/>
      <c r="BCU244" s="36"/>
      <c r="BCV244" s="36"/>
      <c r="BCW244" s="36"/>
      <c r="BCX244" s="36"/>
      <c r="BCY244" s="36"/>
      <c r="BCZ244" s="36"/>
      <c r="BDA244" s="36"/>
      <c r="BDB244" s="36"/>
      <c r="BDC244" s="36"/>
      <c r="BDD244" s="36"/>
      <c r="BDE244" s="36"/>
      <c r="BDF244" s="36"/>
      <c r="BDG244" s="36"/>
      <c r="BDH244" s="36"/>
      <c r="BDI244" s="36"/>
      <c r="BDJ244" s="36"/>
      <c r="BDK244" s="36"/>
      <c r="BDL244" s="36"/>
      <c r="BDM244" s="36"/>
      <c r="BDN244" s="36"/>
      <c r="BDO244" s="36"/>
      <c r="BDP244" s="36"/>
      <c r="BDQ244" s="36"/>
      <c r="BDR244" s="36"/>
      <c r="BDS244" s="36"/>
      <c r="BDT244" s="36"/>
      <c r="BDU244" s="36"/>
      <c r="BDV244" s="36"/>
      <c r="BDW244" s="36"/>
      <c r="BDX244" s="36"/>
      <c r="BDY244" s="36"/>
      <c r="BDZ244" s="36"/>
      <c r="BEA244" s="36"/>
      <c r="BEB244" s="36"/>
      <c r="BEC244" s="36"/>
      <c r="BED244" s="36"/>
      <c r="BEE244" s="36"/>
      <c r="BEF244" s="36"/>
      <c r="BEG244" s="36"/>
      <c r="BEH244" s="36"/>
      <c r="BEI244" s="36"/>
      <c r="BEJ244" s="36"/>
      <c r="BEK244" s="36"/>
      <c r="BEL244" s="36"/>
      <c r="BEM244" s="36"/>
      <c r="BEN244" s="36"/>
      <c r="BEO244" s="36"/>
      <c r="BEP244" s="36"/>
      <c r="BEQ244" s="36"/>
      <c r="BER244" s="36"/>
      <c r="BES244" s="36"/>
      <c r="BET244" s="36"/>
      <c r="BEU244" s="36"/>
      <c r="BEV244" s="36"/>
      <c r="BEW244" s="36"/>
      <c r="BEX244" s="36"/>
      <c r="BEY244" s="36"/>
      <c r="BEZ244" s="36"/>
      <c r="BFA244" s="36"/>
      <c r="BFB244" s="36"/>
      <c r="BFC244" s="36"/>
      <c r="BFD244" s="36"/>
      <c r="BFE244" s="36"/>
      <c r="BFF244" s="36"/>
      <c r="BFG244" s="36"/>
      <c r="BFH244" s="36"/>
      <c r="BFI244" s="36"/>
      <c r="BFJ244" s="36"/>
      <c r="BFK244" s="36"/>
      <c r="BFL244" s="36"/>
      <c r="BFM244" s="36"/>
      <c r="BFN244" s="36"/>
      <c r="BFO244" s="36"/>
      <c r="BFP244" s="36"/>
      <c r="BFQ244" s="36"/>
      <c r="BFR244" s="36"/>
      <c r="BFS244" s="36"/>
      <c r="BFT244" s="36"/>
      <c r="BFU244" s="36"/>
      <c r="BFV244" s="36"/>
      <c r="BFW244" s="36"/>
      <c r="BFX244" s="36"/>
      <c r="BFY244" s="36"/>
      <c r="BFZ244" s="36"/>
      <c r="BGA244" s="36"/>
      <c r="BGB244" s="36"/>
      <c r="BGC244" s="36"/>
      <c r="BGD244" s="36"/>
      <c r="BGE244" s="36"/>
      <c r="BGF244" s="36"/>
      <c r="BGG244" s="36"/>
      <c r="BGH244" s="36"/>
      <c r="BGI244" s="36"/>
      <c r="BGJ244" s="36"/>
      <c r="BGK244" s="36"/>
      <c r="BGL244" s="36"/>
      <c r="BGM244" s="36"/>
      <c r="BGN244" s="36"/>
      <c r="BGO244" s="36"/>
      <c r="BGP244" s="36"/>
      <c r="BGQ244" s="36"/>
      <c r="BGR244" s="36"/>
      <c r="BGS244" s="36"/>
      <c r="BGT244" s="36"/>
      <c r="BGU244" s="36"/>
      <c r="BGV244" s="36"/>
      <c r="BGW244" s="36"/>
      <c r="BGX244" s="36"/>
      <c r="BGY244" s="36"/>
      <c r="BGZ244" s="36"/>
      <c r="BHA244" s="36"/>
      <c r="BHB244" s="36"/>
      <c r="BHC244" s="36"/>
      <c r="BHD244" s="36"/>
      <c r="BHE244" s="36"/>
      <c r="BHF244" s="36"/>
      <c r="BHG244" s="36"/>
      <c r="BHH244" s="36"/>
      <c r="BHI244" s="36"/>
      <c r="BHJ244" s="36"/>
      <c r="BHK244" s="36"/>
      <c r="BHL244" s="36"/>
      <c r="BHM244" s="36"/>
      <c r="BHN244" s="36"/>
      <c r="BHO244" s="36"/>
      <c r="BHP244" s="36"/>
      <c r="BHQ244" s="36"/>
      <c r="BHR244" s="36"/>
      <c r="BHS244" s="36"/>
      <c r="BHT244" s="36"/>
      <c r="BHU244" s="36"/>
      <c r="BHV244" s="36"/>
      <c r="BHW244" s="36"/>
      <c r="BHX244" s="36"/>
      <c r="BHY244" s="36"/>
      <c r="BHZ244" s="36"/>
      <c r="BIA244" s="36"/>
      <c r="BIB244" s="36"/>
      <c r="BIC244" s="36"/>
      <c r="BID244" s="36"/>
      <c r="BIE244" s="36"/>
      <c r="BIF244" s="36"/>
      <c r="BIG244" s="36"/>
      <c r="BIH244" s="36"/>
      <c r="BII244" s="36"/>
      <c r="BIJ244" s="36"/>
      <c r="BIK244" s="36"/>
      <c r="BIL244" s="36"/>
      <c r="BIM244" s="36"/>
      <c r="BIN244" s="36"/>
      <c r="BIO244" s="36"/>
      <c r="BIP244" s="36"/>
      <c r="BIQ244" s="36"/>
      <c r="BIR244" s="36"/>
      <c r="BIS244" s="36"/>
      <c r="BIT244" s="36"/>
      <c r="BIU244" s="36"/>
      <c r="BIV244" s="36"/>
      <c r="BIW244" s="36"/>
      <c r="BIX244" s="36"/>
      <c r="BIY244" s="36"/>
      <c r="BIZ244" s="36"/>
      <c r="BJA244" s="36"/>
      <c r="BJB244" s="36"/>
      <c r="BJC244" s="36"/>
      <c r="BJD244" s="36"/>
      <c r="BJE244" s="36"/>
      <c r="BJF244" s="36"/>
      <c r="BJG244" s="36"/>
      <c r="BJH244" s="36"/>
      <c r="BJI244" s="36"/>
      <c r="BJJ244" s="36"/>
      <c r="BJK244" s="36"/>
      <c r="BJL244" s="36"/>
      <c r="BJM244" s="36"/>
      <c r="BJN244" s="36"/>
      <c r="BJO244" s="36"/>
      <c r="BJP244" s="36"/>
      <c r="BJQ244" s="36"/>
      <c r="BJR244" s="36"/>
      <c r="BJS244" s="36"/>
      <c r="BJT244" s="36"/>
      <c r="BJU244" s="36"/>
      <c r="BJV244" s="36"/>
      <c r="BJW244" s="36"/>
      <c r="BJX244" s="36"/>
      <c r="BJY244" s="36"/>
      <c r="BJZ244" s="36"/>
      <c r="BKA244" s="36"/>
      <c r="BKB244" s="36"/>
      <c r="BKC244" s="36"/>
      <c r="BKD244" s="36"/>
      <c r="BKE244" s="36"/>
      <c r="BKF244" s="36"/>
      <c r="BKG244" s="36"/>
      <c r="BKH244" s="36"/>
      <c r="BKI244" s="36"/>
      <c r="BKJ244" s="36"/>
      <c r="BKK244" s="36"/>
      <c r="BKL244" s="36"/>
      <c r="BKM244" s="36"/>
      <c r="BKN244" s="36"/>
      <c r="BKO244" s="36"/>
      <c r="BKP244" s="36"/>
      <c r="BKQ244" s="36"/>
      <c r="BKR244" s="36"/>
      <c r="BKS244" s="36"/>
      <c r="BKT244" s="36"/>
      <c r="BKU244" s="36"/>
      <c r="BKV244" s="36"/>
      <c r="BKW244" s="36"/>
      <c r="BKX244" s="36"/>
      <c r="BKY244" s="36"/>
      <c r="BKZ244" s="36"/>
      <c r="BLA244" s="36"/>
      <c r="BLB244" s="36"/>
      <c r="BLC244" s="36"/>
      <c r="BLD244" s="36"/>
      <c r="BLE244" s="36"/>
      <c r="BLF244" s="36"/>
      <c r="BLG244" s="36"/>
      <c r="BLH244" s="36"/>
      <c r="BLI244" s="36"/>
      <c r="BLJ244" s="36"/>
      <c r="BLK244" s="36"/>
      <c r="BLL244" s="36"/>
      <c r="BLM244" s="36"/>
      <c r="BLN244" s="36"/>
      <c r="BLO244" s="36"/>
      <c r="BLP244" s="36"/>
      <c r="BLQ244" s="36"/>
      <c r="BLR244" s="36"/>
      <c r="BLS244" s="36"/>
      <c r="BLT244" s="36"/>
      <c r="BLU244" s="36"/>
      <c r="BLV244" s="36"/>
      <c r="BLW244" s="36"/>
      <c r="BLX244" s="36"/>
      <c r="BLY244" s="36"/>
      <c r="BLZ244" s="36"/>
      <c r="BMA244" s="36"/>
      <c r="BMB244" s="36"/>
      <c r="BMC244" s="36"/>
      <c r="BMD244" s="36"/>
      <c r="BME244" s="36"/>
      <c r="BMF244" s="36"/>
      <c r="BMG244" s="36"/>
      <c r="BMH244" s="36"/>
      <c r="BMI244" s="36"/>
      <c r="BMJ244" s="36"/>
      <c r="BMK244" s="36"/>
      <c r="BML244" s="36"/>
      <c r="BMM244" s="36"/>
      <c r="BMN244" s="36"/>
      <c r="BMO244" s="36"/>
      <c r="BMP244" s="36"/>
      <c r="BMQ244" s="36"/>
      <c r="BMR244" s="36"/>
      <c r="BMS244" s="36"/>
      <c r="BMT244" s="36"/>
      <c r="BMU244" s="36"/>
      <c r="BMV244" s="36"/>
      <c r="BMW244" s="36"/>
      <c r="BMX244" s="36"/>
      <c r="BMY244" s="36"/>
      <c r="BMZ244" s="36"/>
      <c r="BNA244" s="36"/>
      <c r="BNB244" s="36"/>
      <c r="BNC244" s="36"/>
      <c r="BND244" s="36"/>
      <c r="BNE244" s="36"/>
      <c r="BNF244" s="36"/>
      <c r="BNG244" s="36"/>
      <c r="BNH244" s="36"/>
      <c r="BNI244" s="36"/>
      <c r="BNJ244" s="36"/>
      <c r="BNK244" s="36"/>
      <c r="BNL244" s="36"/>
      <c r="BNM244" s="36"/>
      <c r="BNN244" s="36"/>
      <c r="BNO244" s="36"/>
      <c r="BNP244" s="36"/>
      <c r="BNQ244" s="36"/>
      <c r="BNR244" s="36"/>
      <c r="BNS244" s="36"/>
      <c r="BNT244" s="36"/>
      <c r="BNU244" s="36"/>
      <c r="BNV244" s="36"/>
      <c r="BNW244" s="36"/>
      <c r="BNX244" s="36"/>
      <c r="BNY244" s="36"/>
      <c r="BNZ244" s="36"/>
      <c r="BOA244" s="36"/>
      <c r="BOB244" s="36"/>
      <c r="BOC244" s="36"/>
      <c r="BOD244" s="36"/>
      <c r="BOE244" s="36"/>
      <c r="BOF244" s="36"/>
      <c r="BOG244" s="36"/>
      <c r="BOH244" s="36"/>
      <c r="BOI244" s="36"/>
      <c r="BOJ244" s="36"/>
      <c r="BOK244" s="36"/>
      <c r="BOL244" s="36"/>
      <c r="BOM244" s="36"/>
      <c r="BON244" s="36"/>
      <c r="BOO244" s="36"/>
      <c r="BOP244" s="36"/>
      <c r="BOQ244" s="36"/>
      <c r="BOR244" s="36"/>
      <c r="BOS244" s="36"/>
      <c r="BOT244" s="36"/>
      <c r="BOU244" s="36"/>
      <c r="BOV244" s="36"/>
      <c r="BOW244" s="36"/>
      <c r="BOX244" s="36"/>
      <c r="BOY244" s="36"/>
      <c r="BOZ244" s="36"/>
      <c r="BPA244" s="36"/>
      <c r="BPB244" s="36"/>
      <c r="BPC244" s="36"/>
      <c r="BPD244" s="36"/>
      <c r="BPE244" s="36"/>
      <c r="BPF244" s="36"/>
      <c r="BPG244" s="36"/>
      <c r="BPH244" s="36"/>
      <c r="BPI244" s="36"/>
      <c r="BPJ244" s="36"/>
      <c r="BPK244" s="36"/>
      <c r="BPL244" s="36"/>
      <c r="BPM244" s="36"/>
      <c r="BPN244" s="36"/>
      <c r="BPO244" s="36"/>
      <c r="BPP244" s="36"/>
      <c r="BPQ244" s="36"/>
      <c r="BPR244" s="36"/>
      <c r="BPS244" s="36"/>
      <c r="BPT244" s="36"/>
      <c r="BPU244" s="36"/>
      <c r="BPV244" s="36"/>
      <c r="BPW244" s="36"/>
      <c r="BPX244" s="36"/>
      <c r="BPY244" s="36"/>
      <c r="BPZ244" s="36"/>
      <c r="BQA244" s="36"/>
      <c r="BQB244" s="36"/>
      <c r="BQC244" s="36"/>
      <c r="BQD244" s="36"/>
      <c r="BQE244" s="36"/>
      <c r="BQF244" s="36"/>
      <c r="BQG244" s="36"/>
      <c r="BQH244" s="36"/>
      <c r="BQI244" s="36"/>
      <c r="BQJ244" s="36"/>
      <c r="BQK244" s="36"/>
      <c r="BQL244" s="36"/>
      <c r="BQM244" s="36"/>
      <c r="BQN244" s="36"/>
      <c r="BQO244" s="36"/>
      <c r="BQP244" s="36"/>
      <c r="BQQ244" s="36"/>
      <c r="BQR244" s="36"/>
      <c r="BQS244" s="36"/>
      <c r="BQT244" s="36"/>
      <c r="BQU244" s="36"/>
      <c r="BQV244" s="36"/>
      <c r="BQW244" s="36"/>
      <c r="BQX244" s="36"/>
      <c r="BQY244" s="36"/>
      <c r="BQZ244" s="36"/>
      <c r="BRA244" s="36"/>
      <c r="BRB244" s="36"/>
      <c r="BRC244" s="36"/>
      <c r="BRD244" s="36"/>
      <c r="BRE244" s="36"/>
      <c r="BRF244" s="36"/>
      <c r="BRG244" s="36"/>
      <c r="BRH244" s="36"/>
      <c r="BRI244" s="36"/>
      <c r="BRJ244" s="36"/>
      <c r="BRK244" s="36"/>
      <c r="BRL244" s="36"/>
      <c r="BRM244" s="36"/>
      <c r="BRN244" s="36"/>
      <c r="BRO244" s="36"/>
      <c r="BRP244" s="36"/>
      <c r="BRQ244" s="36"/>
      <c r="BRR244" s="36"/>
      <c r="BRS244" s="36"/>
      <c r="BRT244" s="36"/>
      <c r="BRU244" s="36"/>
      <c r="BRV244" s="36"/>
      <c r="BRW244" s="36"/>
      <c r="BRX244" s="36"/>
      <c r="BRY244" s="36"/>
      <c r="BRZ244" s="36"/>
      <c r="BSA244" s="36"/>
      <c r="BSB244" s="36"/>
      <c r="BSC244" s="36"/>
      <c r="BSD244" s="36"/>
      <c r="BSE244" s="36"/>
      <c r="BSF244" s="36"/>
      <c r="BSG244" s="36"/>
      <c r="BSH244" s="36"/>
      <c r="BSI244" s="36"/>
      <c r="BSJ244" s="36"/>
      <c r="BSK244" s="36"/>
      <c r="BSL244" s="36"/>
      <c r="BSM244" s="36"/>
      <c r="BSN244" s="36"/>
      <c r="BSO244" s="36"/>
      <c r="BSP244" s="36"/>
      <c r="BSQ244" s="36"/>
      <c r="BSR244" s="36"/>
      <c r="BSS244" s="36"/>
      <c r="BST244" s="36"/>
      <c r="BSU244" s="36"/>
      <c r="BSV244" s="36"/>
      <c r="BSW244" s="36"/>
      <c r="BSX244" s="36"/>
      <c r="BSY244" s="36"/>
      <c r="BSZ244" s="36"/>
      <c r="BTA244" s="36"/>
      <c r="BTB244" s="36"/>
      <c r="BTC244" s="36"/>
      <c r="BTD244" s="36"/>
      <c r="BTE244" s="36"/>
      <c r="BTF244" s="36"/>
      <c r="BTG244" s="36"/>
      <c r="BTH244" s="36"/>
      <c r="BTI244" s="36"/>
      <c r="BTJ244" s="36"/>
      <c r="BTK244" s="36"/>
      <c r="BTL244" s="36"/>
      <c r="BTM244" s="36"/>
      <c r="BTN244" s="36"/>
      <c r="BTO244" s="36"/>
      <c r="BTP244" s="36"/>
      <c r="BTQ244" s="36"/>
      <c r="BTR244" s="36"/>
      <c r="BTS244" s="36"/>
      <c r="BTT244" s="36"/>
      <c r="BTU244" s="36"/>
      <c r="BTV244" s="36"/>
      <c r="BTW244" s="36"/>
      <c r="BTX244" s="36"/>
      <c r="BTY244" s="36"/>
      <c r="BTZ244" s="36"/>
      <c r="BUA244" s="36"/>
      <c r="BUB244" s="36"/>
      <c r="BUC244" s="36"/>
      <c r="BUD244" s="36"/>
      <c r="BUE244" s="36"/>
      <c r="BUF244" s="36"/>
      <c r="BUG244" s="36"/>
      <c r="BUH244" s="36"/>
      <c r="BUI244" s="36"/>
      <c r="BUJ244" s="36"/>
      <c r="BUK244" s="36"/>
      <c r="BUL244" s="36"/>
      <c r="BUM244" s="36"/>
      <c r="BUN244" s="36"/>
      <c r="BUO244" s="36"/>
      <c r="BUP244" s="36"/>
      <c r="BUQ244" s="36"/>
      <c r="BUR244" s="36"/>
      <c r="BUS244" s="36"/>
      <c r="BUT244" s="36"/>
      <c r="BUU244" s="36"/>
      <c r="BUV244" s="36"/>
      <c r="BUW244" s="36"/>
      <c r="BUX244" s="36"/>
      <c r="BUY244" s="36"/>
      <c r="BUZ244" s="36"/>
      <c r="BVA244" s="36"/>
      <c r="BVB244" s="36"/>
      <c r="BVC244" s="36"/>
      <c r="BVD244" s="36"/>
      <c r="BVE244" s="36"/>
      <c r="BVF244" s="36"/>
      <c r="BVG244" s="36"/>
      <c r="BVH244" s="36"/>
      <c r="BVI244" s="36"/>
      <c r="BVJ244" s="36"/>
      <c r="BVK244" s="36"/>
      <c r="BVL244" s="36"/>
      <c r="BVM244" s="36"/>
      <c r="BVN244" s="36"/>
      <c r="BVO244" s="36"/>
      <c r="BVP244" s="36"/>
      <c r="BVQ244" s="36"/>
      <c r="BVR244" s="36"/>
      <c r="BVS244" s="36"/>
      <c r="BVT244" s="36"/>
      <c r="BVU244" s="36"/>
      <c r="BVV244" s="36"/>
      <c r="BVW244" s="36"/>
      <c r="BVX244" s="36"/>
      <c r="BVY244" s="36"/>
      <c r="BVZ244" s="36"/>
      <c r="BWA244" s="36"/>
      <c r="BWB244" s="36"/>
      <c r="BWC244" s="36"/>
      <c r="BWD244" s="36"/>
      <c r="BWE244" s="36"/>
      <c r="BWF244" s="36"/>
      <c r="BWG244" s="36"/>
      <c r="BWH244" s="36"/>
      <c r="BWI244" s="36"/>
      <c r="BWJ244" s="36"/>
      <c r="BWK244" s="36"/>
      <c r="BWL244" s="36"/>
      <c r="BWM244" s="36"/>
      <c r="BWN244" s="36"/>
      <c r="BWO244" s="36"/>
      <c r="BWP244" s="36"/>
      <c r="BWQ244" s="36"/>
      <c r="BWR244" s="36"/>
      <c r="BWS244" s="36"/>
      <c r="BWT244" s="36"/>
      <c r="BWU244" s="36"/>
      <c r="BWV244" s="36"/>
      <c r="BWW244" s="36"/>
      <c r="BWX244" s="36"/>
      <c r="BWY244" s="36"/>
      <c r="BWZ244" s="36"/>
      <c r="BXA244" s="36"/>
      <c r="BXB244" s="36"/>
      <c r="BXC244" s="36"/>
      <c r="BXD244" s="36"/>
      <c r="BXE244" s="36"/>
      <c r="BXF244" s="36"/>
      <c r="BXG244" s="36"/>
      <c r="BXH244" s="36"/>
      <c r="BXI244" s="36"/>
      <c r="BXJ244" s="36"/>
      <c r="BXK244" s="36"/>
      <c r="BXL244" s="36"/>
      <c r="BXM244" s="36"/>
      <c r="BXN244" s="36"/>
      <c r="BXO244" s="36"/>
      <c r="BXP244" s="36"/>
      <c r="BXQ244" s="36"/>
      <c r="BXR244" s="36"/>
      <c r="BXS244" s="36"/>
      <c r="BXT244" s="36"/>
      <c r="BXU244" s="36"/>
      <c r="BXV244" s="36"/>
      <c r="BXW244" s="36"/>
      <c r="BXX244" s="36"/>
      <c r="BXY244" s="36"/>
      <c r="BXZ244" s="36"/>
      <c r="BYA244" s="36"/>
      <c r="BYB244" s="36"/>
      <c r="BYC244" s="36"/>
      <c r="BYD244" s="36"/>
      <c r="BYE244" s="36"/>
      <c r="BYF244" s="36"/>
      <c r="BYG244" s="36"/>
      <c r="BYH244" s="36"/>
      <c r="BYI244" s="36"/>
      <c r="BYJ244" s="36"/>
      <c r="BYK244" s="36"/>
      <c r="BYL244" s="36"/>
      <c r="BYM244" s="36"/>
      <c r="BYN244" s="36"/>
      <c r="BYO244" s="36"/>
      <c r="BYP244" s="36"/>
      <c r="BYQ244" s="36"/>
      <c r="BYR244" s="36"/>
      <c r="BYS244" s="36"/>
      <c r="BYT244" s="36"/>
      <c r="BYU244" s="36"/>
      <c r="BYV244" s="36"/>
      <c r="BYW244" s="36"/>
      <c r="BYX244" s="36"/>
      <c r="BYY244" s="36"/>
      <c r="BYZ244" s="36"/>
      <c r="BZA244" s="36"/>
      <c r="BZB244" s="36"/>
      <c r="BZC244" s="36"/>
      <c r="BZD244" s="36"/>
      <c r="BZE244" s="36"/>
      <c r="BZF244" s="36"/>
      <c r="BZG244" s="36"/>
      <c r="BZH244" s="36"/>
      <c r="BZI244" s="36"/>
      <c r="BZJ244" s="36"/>
      <c r="BZK244" s="36"/>
      <c r="BZL244" s="36"/>
      <c r="BZM244" s="36"/>
      <c r="BZN244" s="36"/>
      <c r="BZO244" s="36"/>
      <c r="BZP244" s="36"/>
      <c r="BZQ244" s="36"/>
      <c r="BZR244" s="36"/>
      <c r="BZS244" s="36"/>
      <c r="BZT244" s="36"/>
      <c r="BZU244" s="36"/>
      <c r="BZV244" s="36"/>
      <c r="BZW244" s="36"/>
      <c r="BZX244" s="36"/>
      <c r="BZY244" s="36"/>
      <c r="BZZ244" s="36"/>
      <c r="CAA244" s="36"/>
      <c r="CAB244" s="36"/>
      <c r="CAC244" s="36"/>
      <c r="CAD244" s="36"/>
      <c r="CAE244" s="36"/>
      <c r="CAF244" s="36"/>
      <c r="CAG244" s="36"/>
      <c r="CAH244" s="36"/>
      <c r="CAI244" s="36"/>
      <c r="CAJ244" s="36"/>
      <c r="CAK244" s="36"/>
      <c r="CAL244" s="36"/>
      <c r="CAM244" s="36"/>
      <c r="CAN244" s="36"/>
      <c r="CAO244" s="36"/>
      <c r="CAP244" s="36"/>
      <c r="CAQ244" s="36"/>
      <c r="CAR244" s="36"/>
      <c r="CAS244" s="36"/>
      <c r="CAT244" s="36"/>
      <c r="CAU244" s="36"/>
      <c r="CAV244" s="36"/>
      <c r="CAW244" s="36"/>
      <c r="CAX244" s="36"/>
      <c r="CAY244" s="36"/>
      <c r="CAZ244" s="36"/>
      <c r="CBA244" s="36"/>
      <c r="CBB244" s="36"/>
      <c r="CBC244" s="36"/>
      <c r="CBD244" s="36"/>
      <c r="CBE244" s="36"/>
      <c r="CBF244" s="36"/>
      <c r="CBG244" s="36"/>
      <c r="CBH244" s="36"/>
      <c r="CBI244" s="36"/>
      <c r="CBJ244" s="36"/>
      <c r="CBK244" s="36"/>
      <c r="CBL244" s="36"/>
      <c r="CBM244" s="36"/>
      <c r="CBN244" s="36"/>
      <c r="CBO244" s="36"/>
      <c r="CBP244" s="36"/>
      <c r="CBQ244" s="36"/>
      <c r="CBR244" s="36"/>
      <c r="CBS244" s="36"/>
      <c r="CBT244" s="36"/>
      <c r="CBU244" s="36"/>
      <c r="CBV244" s="36"/>
      <c r="CBW244" s="36"/>
      <c r="CBX244" s="36"/>
      <c r="CBY244" s="36"/>
      <c r="CBZ244" s="36"/>
      <c r="CCA244" s="36"/>
      <c r="CCB244" s="36"/>
      <c r="CCC244" s="36"/>
      <c r="CCD244" s="36"/>
      <c r="CCE244" s="36"/>
      <c r="CCF244" s="36"/>
      <c r="CCG244" s="36"/>
      <c r="CCH244" s="36"/>
      <c r="CCI244" s="36"/>
      <c r="CCJ244" s="36"/>
      <c r="CCK244" s="36"/>
      <c r="CCL244" s="36"/>
      <c r="CCM244" s="36"/>
      <c r="CCN244" s="36"/>
      <c r="CCO244" s="36"/>
      <c r="CCP244" s="36"/>
      <c r="CCQ244" s="36"/>
      <c r="CCR244" s="36"/>
      <c r="CCS244" s="36"/>
      <c r="CCT244" s="36"/>
      <c r="CCU244" s="36"/>
      <c r="CCV244" s="36"/>
      <c r="CCW244" s="36"/>
      <c r="CCX244" s="36"/>
      <c r="CCY244" s="36"/>
      <c r="CCZ244" s="36"/>
      <c r="CDA244" s="36"/>
      <c r="CDB244" s="36"/>
      <c r="CDC244" s="36"/>
      <c r="CDD244" s="36"/>
      <c r="CDE244" s="36"/>
      <c r="CDF244" s="36"/>
      <c r="CDG244" s="36"/>
      <c r="CDH244" s="36"/>
      <c r="CDI244" s="36"/>
      <c r="CDJ244" s="36"/>
      <c r="CDK244" s="36"/>
      <c r="CDL244" s="36"/>
      <c r="CDM244" s="36"/>
      <c r="CDN244" s="36"/>
      <c r="CDO244" s="36"/>
      <c r="CDP244" s="36"/>
      <c r="CDQ244" s="36"/>
      <c r="CDR244" s="36"/>
      <c r="CDS244" s="36"/>
      <c r="CDT244" s="36"/>
      <c r="CDU244" s="36"/>
      <c r="CDV244" s="36"/>
      <c r="CDW244" s="36"/>
      <c r="CDX244" s="36"/>
      <c r="CDY244" s="36"/>
      <c r="CDZ244" s="36"/>
      <c r="CEA244" s="36"/>
      <c r="CEB244" s="36"/>
      <c r="CEC244" s="36"/>
      <c r="CED244" s="36"/>
      <c r="CEE244" s="36"/>
      <c r="CEF244" s="36"/>
      <c r="CEG244" s="36"/>
      <c r="CEH244" s="36"/>
      <c r="CEI244" s="36"/>
      <c r="CEJ244" s="36"/>
      <c r="CEK244" s="36"/>
      <c r="CEL244" s="36"/>
      <c r="CEM244" s="36"/>
      <c r="CEN244" s="36"/>
      <c r="CEO244" s="36"/>
      <c r="CEP244" s="36"/>
      <c r="CEQ244" s="36"/>
      <c r="CER244" s="36"/>
      <c r="CES244" s="36"/>
      <c r="CET244" s="36"/>
      <c r="CEU244" s="36"/>
      <c r="CEV244" s="36"/>
      <c r="CEW244" s="36"/>
      <c r="CEX244" s="36"/>
      <c r="CEY244" s="36"/>
      <c r="CEZ244" s="36"/>
      <c r="CFA244" s="36"/>
      <c r="CFB244" s="36"/>
      <c r="CFC244" s="36"/>
      <c r="CFD244" s="36"/>
      <c r="CFE244" s="36"/>
      <c r="CFF244" s="36"/>
      <c r="CFG244" s="36"/>
      <c r="CFH244" s="36"/>
      <c r="CFI244" s="36"/>
      <c r="CFJ244" s="36"/>
      <c r="CFK244" s="36"/>
      <c r="CFL244" s="36"/>
      <c r="CFM244" s="36"/>
      <c r="CFN244" s="36"/>
      <c r="CFO244" s="36"/>
      <c r="CFP244" s="36"/>
      <c r="CFQ244" s="36"/>
      <c r="CFR244" s="36"/>
      <c r="CFS244" s="36"/>
      <c r="CFT244" s="36"/>
      <c r="CFU244" s="36"/>
      <c r="CFV244" s="36"/>
      <c r="CFW244" s="36"/>
      <c r="CFX244" s="36"/>
      <c r="CFY244" s="36"/>
      <c r="CFZ244" s="36"/>
      <c r="CGA244" s="36"/>
      <c r="CGB244" s="36"/>
      <c r="CGC244" s="36"/>
      <c r="CGD244" s="36"/>
      <c r="CGE244" s="36"/>
      <c r="CGF244" s="36"/>
      <c r="CGG244" s="36"/>
      <c r="CGH244" s="36"/>
      <c r="CGI244" s="36"/>
      <c r="CGJ244" s="36"/>
      <c r="CGK244" s="36"/>
      <c r="CGL244" s="36"/>
      <c r="CGM244" s="36"/>
      <c r="CGN244" s="36"/>
      <c r="CGO244" s="36"/>
      <c r="CGP244" s="36"/>
      <c r="CGQ244" s="36"/>
      <c r="CGR244" s="36"/>
      <c r="CGS244" s="36"/>
      <c r="CGT244" s="36"/>
      <c r="CGU244" s="36"/>
      <c r="CGV244" s="36"/>
      <c r="CGW244" s="36"/>
      <c r="CGX244" s="36"/>
      <c r="CGY244" s="36"/>
      <c r="CGZ244" s="36"/>
      <c r="CHA244" s="36"/>
      <c r="CHB244" s="36"/>
      <c r="CHC244" s="36"/>
      <c r="CHD244" s="36"/>
      <c r="CHE244" s="36"/>
      <c r="CHF244" s="36"/>
      <c r="CHG244" s="36"/>
      <c r="CHH244" s="36"/>
      <c r="CHI244" s="36"/>
      <c r="CHJ244" s="36"/>
      <c r="CHK244" s="36"/>
      <c r="CHL244" s="36"/>
      <c r="CHM244" s="36"/>
      <c r="CHN244" s="36"/>
      <c r="CHO244" s="36"/>
      <c r="CHP244" s="36"/>
      <c r="CHQ244" s="36"/>
      <c r="CHR244" s="36"/>
      <c r="CHS244" s="36"/>
      <c r="CHT244" s="36"/>
      <c r="CHU244" s="36"/>
      <c r="CHV244" s="36"/>
      <c r="CHW244" s="36"/>
      <c r="CHX244" s="36"/>
      <c r="CHY244" s="36"/>
      <c r="CHZ244" s="36"/>
      <c r="CIA244" s="36"/>
      <c r="CIB244" s="36"/>
      <c r="CIC244" s="36"/>
      <c r="CID244" s="36"/>
      <c r="CIE244" s="36"/>
      <c r="CIF244" s="36"/>
      <c r="CIG244" s="36"/>
      <c r="CIH244" s="36"/>
      <c r="CII244" s="36"/>
      <c r="CIJ244" s="36"/>
      <c r="CIK244" s="36"/>
      <c r="CIL244" s="36"/>
      <c r="CIM244" s="36"/>
      <c r="CIN244" s="36"/>
      <c r="CIO244" s="36"/>
      <c r="CIP244" s="36"/>
      <c r="CIQ244" s="36"/>
      <c r="CIR244" s="36"/>
      <c r="CIS244" s="36"/>
      <c r="CIT244" s="36"/>
      <c r="CIU244" s="36"/>
      <c r="CIV244" s="36"/>
      <c r="CIW244" s="36"/>
      <c r="CIX244" s="36"/>
      <c r="CIY244" s="36"/>
      <c r="CIZ244" s="36"/>
      <c r="CJA244" s="36"/>
      <c r="CJB244" s="36"/>
      <c r="CJC244" s="36"/>
      <c r="CJD244" s="36"/>
      <c r="CJE244" s="36"/>
      <c r="CJF244" s="36"/>
      <c r="CJG244" s="36"/>
      <c r="CJH244" s="36"/>
      <c r="CJI244" s="36"/>
      <c r="CJJ244" s="36"/>
      <c r="CJK244" s="36"/>
      <c r="CJL244" s="36"/>
      <c r="CJM244" s="36"/>
      <c r="CJN244" s="36"/>
      <c r="CJO244" s="36"/>
      <c r="CJP244" s="36"/>
      <c r="CJQ244" s="36"/>
      <c r="CJR244" s="36"/>
      <c r="CJS244" s="36"/>
      <c r="CJT244" s="36"/>
      <c r="CJU244" s="36"/>
      <c r="CJV244" s="36"/>
      <c r="CJW244" s="36"/>
      <c r="CJX244" s="36"/>
      <c r="CJY244" s="36"/>
      <c r="CJZ244" s="36"/>
      <c r="CKA244" s="36"/>
      <c r="CKB244" s="36"/>
      <c r="CKC244" s="36"/>
      <c r="CKD244" s="36"/>
      <c r="CKE244" s="36"/>
      <c r="CKF244" s="36"/>
      <c r="CKG244" s="36"/>
      <c r="CKH244" s="36"/>
      <c r="CKI244" s="36"/>
      <c r="CKJ244" s="36"/>
      <c r="CKK244" s="36"/>
      <c r="CKL244" s="36"/>
      <c r="CKM244" s="36"/>
      <c r="CKN244" s="36"/>
      <c r="CKO244" s="36"/>
      <c r="CKP244" s="36"/>
      <c r="CKQ244" s="36"/>
      <c r="CKR244" s="36"/>
      <c r="CKS244" s="36"/>
      <c r="CKT244" s="36"/>
      <c r="CKU244" s="36"/>
      <c r="CKV244" s="36"/>
      <c r="CKW244" s="36"/>
      <c r="CKX244" s="36"/>
      <c r="CKY244" s="36"/>
      <c r="CKZ244" s="36"/>
      <c r="CLA244" s="36"/>
      <c r="CLB244" s="36"/>
      <c r="CLC244" s="36"/>
      <c r="CLD244" s="36"/>
      <c r="CLE244" s="36"/>
      <c r="CLF244" s="36"/>
      <c r="CLG244" s="36"/>
      <c r="CLH244" s="36"/>
      <c r="CLI244" s="36"/>
      <c r="CLJ244" s="36"/>
      <c r="CLK244" s="36"/>
      <c r="CLL244" s="36"/>
      <c r="CLM244" s="36"/>
      <c r="CLN244" s="36"/>
      <c r="CLO244" s="36"/>
      <c r="CLP244" s="36"/>
      <c r="CLQ244" s="36"/>
      <c r="CLR244" s="36"/>
      <c r="CLS244" s="36"/>
      <c r="CLT244" s="36"/>
      <c r="CLU244" s="36"/>
      <c r="CLV244" s="36"/>
      <c r="CLW244" s="36"/>
      <c r="CLX244" s="36"/>
      <c r="CLY244" s="36"/>
      <c r="CLZ244" s="36"/>
      <c r="CMA244" s="36"/>
      <c r="CMB244" s="36"/>
      <c r="CMC244" s="36"/>
      <c r="CMD244" s="36"/>
      <c r="CME244" s="36"/>
      <c r="CMF244" s="36"/>
      <c r="CMG244" s="36"/>
      <c r="CMH244" s="36"/>
      <c r="CMI244" s="36"/>
      <c r="CMJ244" s="36"/>
      <c r="CMK244" s="36"/>
      <c r="CML244" s="36"/>
      <c r="CMM244" s="36"/>
      <c r="CMN244" s="36"/>
      <c r="CMO244" s="36"/>
      <c r="CMP244" s="36"/>
      <c r="CMQ244" s="36"/>
      <c r="CMR244" s="36"/>
      <c r="CMS244" s="36"/>
      <c r="CMT244" s="36"/>
      <c r="CMU244" s="36"/>
      <c r="CMV244" s="36"/>
      <c r="CMW244" s="36"/>
      <c r="CMX244" s="36"/>
      <c r="CMY244" s="36"/>
      <c r="CMZ244" s="36"/>
      <c r="CNA244" s="36"/>
      <c r="CNB244" s="36"/>
      <c r="CNC244" s="36"/>
      <c r="CND244" s="36"/>
      <c r="CNE244" s="36"/>
      <c r="CNF244" s="36"/>
      <c r="CNG244" s="36"/>
      <c r="CNH244" s="36"/>
      <c r="CNI244" s="36"/>
      <c r="CNJ244" s="36"/>
      <c r="CNK244" s="36"/>
      <c r="CNL244" s="36"/>
      <c r="CNM244" s="36"/>
      <c r="CNN244" s="36"/>
      <c r="CNO244" s="36"/>
      <c r="CNP244" s="36"/>
      <c r="CNQ244" s="36"/>
      <c r="CNR244" s="36"/>
      <c r="CNS244" s="36"/>
      <c r="CNT244" s="36"/>
      <c r="CNU244" s="36"/>
      <c r="CNV244" s="36"/>
      <c r="CNW244" s="36"/>
      <c r="CNX244" s="36"/>
      <c r="CNY244" s="36"/>
      <c r="CNZ244" s="36"/>
      <c r="COA244" s="36"/>
      <c r="COB244" s="36"/>
      <c r="COC244" s="36"/>
      <c r="COD244" s="36"/>
      <c r="COE244" s="36"/>
      <c r="COF244" s="36"/>
      <c r="COG244" s="36"/>
      <c r="COH244" s="36"/>
      <c r="COI244" s="36"/>
      <c r="COJ244" s="36"/>
      <c r="COK244" s="36"/>
      <c r="COL244" s="36"/>
      <c r="COM244" s="36"/>
      <c r="CON244" s="36"/>
      <c r="COO244" s="36"/>
      <c r="COP244" s="36"/>
      <c r="COQ244" s="36"/>
      <c r="COR244" s="36"/>
      <c r="COS244" s="36"/>
      <c r="COT244" s="36"/>
      <c r="COU244" s="36"/>
      <c r="COV244" s="36"/>
      <c r="COW244" s="36"/>
      <c r="COX244" s="36"/>
      <c r="COY244" s="36"/>
      <c r="COZ244" s="36"/>
      <c r="CPA244" s="36"/>
      <c r="CPB244" s="36"/>
      <c r="CPC244" s="36"/>
      <c r="CPD244" s="36"/>
      <c r="CPE244" s="36"/>
      <c r="CPF244" s="36"/>
      <c r="CPG244" s="36"/>
      <c r="CPH244" s="36"/>
      <c r="CPI244" s="36"/>
      <c r="CPJ244" s="36"/>
      <c r="CPK244" s="36"/>
      <c r="CPL244" s="36"/>
      <c r="CPM244" s="36"/>
      <c r="CPN244" s="36"/>
      <c r="CPO244" s="36"/>
      <c r="CPP244" s="36"/>
      <c r="CPQ244" s="36"/>
      <c r="CPR244" s="36"/>
      <c r="CPS244" s="36"/>
      <c r="CPT244" s="36"/>
      <c r="CPU244" s="36"/>
      <c r="CPV244" s="36"/>
      <c r="CPW244" s="36"/>
      <c r="CPX244" s="36"/>
      <c r="CPY244" s="36"/>
      <c r="CPZ244" s="36"/>
      <c r="CQA244" s="36"/>
      <c r="CQB244" s="36"/>
      <c r="CQC244" s="36"/>
      <c r="CQD244" s="36"/>
      <c r="CQE244" s="36"/>
      <c r="CQF244" s="36"/>
      <c r="CQG244" s="36"/>
      <c r="CQH244" s="36"/>
      <c r="CQI244" s="36"/>
      <c r="CQJ244" s="36"/>
      <c r="CQK244" s="36"/>
      <c r="CQL244" s="36"/>
      <c r="CQM244" s="36"/>
      <c r="CQN244" s="36"/>
      <c r="CQO244" s="36"/>
      <c r="CQP244" s="36"/>
      <c r="CQQ244" s="36"/>
      <c r="CQR244" s="36"/>
      <c r="CQS244" s="36"/>
      <c r="CQT244" s="36"/>
      <c r="CQU244" s="36"/>
      <c r="CQV244" s="36"/>
      <c r="CQW244" s="36"/>
      <c r="CQX244" s="36"/>
      <c r="CQY244" s="36"/>
      <c r="CQZ244" s="36"/>
      <c r="CRA244" s="36"/>
      <c r="CRB244" s="36"/>
      <c r="CRC244" s="36"/>
      <c r="CRD244" s="36"/>
      <c r="CRE244" s="36"/>
      <c r="CRF244" s="36"/>
      <c r="CRG244" s="36"/>
      <c r="CRH244" s="36"/>
      <c r="CRI244" s="36"/>
      <c r="CRJ244" s="36"/>
      <c r="CRK244" s="36"/>
      <c r="CRL244" s="36"/>
      <c r="CRM244" s="36"/>
      <c r="CRN244" s="36"/>
      <c r="CRO244" s="36"/>
      <c r="CRP244" s="36"/>
      <c r="CRQ244" s="36"/>
      <c r="CRR244" s="36"/>
      <c r="CRS244" s="36"/>
      <c r="CRT244" s="36"/>
      <c r="CRU244" s="36"/>
      <c r="CRV244" s="36"/>
      <c r="CRW244" s="36"/>
      <c r="CRX244" s="36"/>
      <c r="CRY244" s="36"/>
      <c r="CRZ244" s="36"/>
      <c r="CSA244" s="36"/>
      <c r="CSB244" s="36"/>
      <c r="CSC244" s="36"/>
      <c r="CSD244" s="36"/>
      <c r="CSE244" s="36"/>
      <c r="CSF244" s="36"/>
      <c r="CSG244" s="36"/>
      <c r="CSH244" s="36"/>
      <c r="CSI244" s="36"/>
      <c r="CSJ244" s="36"/>
      <c r="CSK244" s="36"/>
      <c r="CSL244" s="36"/>
      <c r="CSM244" s="36"/>
      <c r="CSN244" s="36"/>
      <c r="CSO244" s="36"/>
      <c r="CSP244" s="36"/>
      <c r="CSQ244" s="36"/>
      <c r="CSR244" s="36"/>
      <c r="CSS244" s="36"/>
      <c r="CST244" s="36"/>
      <c r="CSU244" s="36"/>
      <c r="CSV244" s="36"/>
      <c r="CSW244" s="36"/>
      <c r="CSX244" s="36"/>
      <c r="CSY244" s="36"/>
      <c r="CSZ244" s="36"/>
      <c r="CTA244" s="36"/>
      <c r="CTB244" s="36"/>
      <c r="CTC244" s="36"/>
      <c r="CTD244" s="36"/>
      <c r="CTE244" s="36"/>
      <c r="CTF244" s="36"/>
      <c r="CTG244" s="36"/>
      <c r="CTH244" s="36"/>
      <c r="CTI244" s="36"/>
      <c r="CTJ244" s="36"/>
      <c r="CTK244" s="36"/>
      <c r="CTL244" s="36"/>
      <c r="CTM244" s="36"/>
      <c r="CTN244" s="36"/>
      <c r="CTO244" s="36"/>
      <c r="CTP244" s="36"/>
      <c r="CTQ244" s="36"/>
      <c r="CTR244" s="36"/>
      <c r="CTS244" s="36"/>
      <c r="CTT244" s="36"/>
      <c r="CTU244" s="36"/>
      <c r="CTV244" s="36"/>
      <c r="CTW244" s="36"/>
      <c r="CTX244" s="36"/>
      <c r="CTY244" s="36"/>
      <c r="CTZ244" s="36"/>
      <c r="CUA244" s="36"/>
      <c r="CUB244" s="36"/>
      <c r="CUC244" s="36"/>
      <c r="CUD244" s="36"/>
      <c r="CUE244" s="36"/>
      <c r="CUF244" s="36"/>
      <c r="CUG244" s="36"/>
      <c r="CUH244" s="36"/>
      <c r="CUI244" s="36"/>
      <c r="CUJ244" s="36"/>
      <c r="CUK244" s="36"/>
      <c r="CUL244" s="36"/>
      <c r="CUM244" s="36"/>
      <c r="CUN244" s="36"/>
      <c r="CUO244" s="36"/>
      <c r="CUP244" s="36"/>
      <c r="CUQ244" s="36"/>
      <c r="CUR244" s="36"/>
      <c r="CUS244" s="36"/>
      <c r="CUT244" s="36"/>
      <c r="CUU244" s="36"/>
      <c r="CUV244" s="36"/>
      <c r="CUW244" s="36"/>
      <c r="CUX244" s="36"/>
      <c r="CUY244" s="36"/>
      <c r="CUZ244" s="36"/>
      <c r="CVA244" s="36"/>
      <c r="CVB244" s="36"/>
      <c r="CVC244" s="36"/>
      <c r="CVD244" s="36"/>
      <c r="CVE244" s="36"/>
      <c r="CVF244" s="36"/>
      <c r="CVG244" s="36"/>
      <c r="CVH244" s="36"/>
      <c r="CVI244" s="36"/>
      <c r="CVJ244" s="36"/>
      <c r="CVK244" s="36"/>
      <c r="CVL244" s="36"/>
      <c r="CVM244" s="36"/>
      <c r="CVN244" s="36"/>
      <c r="CVO244" s="36"/>
      <c r="CVP244" s="36"/>
      <c r="CVQ244" s="36"/>
      <c r="CVR244" s="36"/>
      <c r="CVS244" s="36"/>
      <c r="CVT244" s="36"/>
      <c r="CVU244" s="36"/>
      <c r="CVV244" s="36"/>
      <c r="CVW244" s="36"/>
      <c r="CVX244" s="36"/>
      <c r="CVY244" s="36"/>
      <c r="CVZ244" s="36"/>
      <c r="CWA244" s="36"/>
      <c r="CWB244" s="36"/>
      <c r="CWC244" s="36"/>
      <c r="CWD244" s="36"/>
      <c r="CWE244" s="36"/>
      <c r="CWF244" s="36"/>
      <c r="CWG244" s="36"/>
      <c r="CWH244" s="36"/>
      <c r="CWI244" s="36"/>
      <c r="CWJ244" s="36"/>
      <c r="CWK244" s="36"/>
      <c r="CWL244" s="36"/>
      <c r="CWM244" s="36"/>
      <c r="CWN244" s="36"/>
      <c r="CWO244" s="36"/>
      <c r="CWP244" s="36"/>
      <c r="CWQ244" s="36"/>
      <c r="CWR244" s="36"/>
      <c r="CWS244" s="36"/>
      <c r="CWT244" s="36"/>
      <c r="CWU244" s="36"/>
      <c r="CWV244" s="36"/>
      <c r="CWW244" s="36"/>
      <c r="CWX244" s="36"/>
      <c r="CWY244" s="36"/>
      <c r="CWZ244" s="36"/>
      <c r="CXA244" s="36"/>
      <c r="CXB244" s="36"/>
      <c r="CXC244" s="36"/>
      <c r="CXD244" s="36"/>
      <c r="CXE244" s="36"/>
      <c r="CXF244" s="36"/>
      <c r="CXG244" s="36"/>
      <c r="CXH244" s="36"/>
      <c r="CXI244" s="36"/>
      <c r="CXJ244" s="36"/>
      <c r="CXK244" s="36"/>
      <c r="CXL244" s="36"/>
      <c r="CXM244" s="36"/>
      <c r="CXN244" s="36"/>
      <c r="CXO244" s="36"/>
      <c r="CXP244" s="36"/>
      <c r="CXQ244" s="36"/>
      <c r="CXR244" s="36"/>
      <c r="CXS244" s="36"/>
      <c r="CXT244" s="36"/>
      <c r="CXU244" s="36"/>
      <c r="CXV244" s="36"/>
      <c r="CXW244" s="36"/>
      <c r="CXX244" s="36"/>
      <c r="CXY244" s="36"/>
      <c r="CXZ244" s="36"/>
      <c r="CYA244" s="36"/>
      <c r="CYB244" s="36"/>
      <c r="CYC244" s="36"/>
      <c r="CYD244" s="36"/>
      <c r="CYE244" s="36"/>
      <c r="CYF244" s="36"/>
      <c r="CYG244" s="36"/>
      <c r="CYH244" s="36"/>
      <c r="CYI244" s="36"/>
      <c r="CYJ244" s="36"/>
      <c r="CYK244" s="36"/>
      <c r="CYL244" s="36"/>
      <c r="CYM244" s="36"/>
      <c r="CYN244" s="36"/>
      <c r="CYO244" s="36"/>
      <c r="CYP244" s="36"/>
      <c r="CYQ244" s="36"/>
      <c r="CYR244" s="36"/>
      <c r="CYS244" s="36"/>
      <c r="CYT244" s="36"/>
      <c r="CYU244" s="36"/>
      <c r="CYV244" s="36"/>
      <c r="CYW244" s="36"/>
      <c r="CYX244" s="36"/>
      <c r="CYY244" s="36"/>
      <c r="CYZ244" s="36"/>
      <c r="CZA244" s="36"/>
      <c r="CZB244" s="36"/>
      <c r="CZC244" s="36"/>
      <c r="CZD244" s="36"/>
      <c r="CZE244" s="36"/>
      <c r="CZF244" s="36"/>
      <c r="CZG244" s="36"/>
      <c r="CZH244" s="36"/>
      <c r="CZI244" s="36"/>
      <c r="CZJ244" s="36"/>
      <c r="CZK244" s="36"/>
      <c r="CZL244" s="36"/>
      <c r="CZM244" s="36"/>
      <c r="CZN244" s="36"/>
      <c r="CZO244" s="36"/>
      <c r="CZP244" s="36"/>
      <c r="CZQ244" s="36"/>
      <c r="CZR244" s="36"/>
      <c r="CZS244" s="36"/>
      <c r="CZT244" s="36"/>
      <c r="CZU244" s="36"/>
      <c r="CZV244" s="36"/>
      <c r="CZW244" s="36"/>
      <c r="CZX244" s="36"/>
      <c r="CZY244" s="36"/>
      <c r="CZZ244" s="36"/>
      <c r="DAA244" s="36"/>
      <c r="DAB244" s="36"/>
      <c r="DAC244" s="36"/>
      <c r="DAD244" s="36"/>
      <c r="DAE244" s="36"/>
      <c r="DAF244" s="36"/>
      <c r="DAG244" s="36"/>
      <c r="DAH244" s="36"/>
      <c r="DAI244" s="36"/>
      <c r="DAJ244" s="36"/>
      <c r="DAK244" s="36"/>
      <c r="DAL244" s="36"/>
      <c r="DAM244" s="36"/>
      <c r="DAN244" s="36"/>
      <c r="DAO244" s="36"/>
      <c r="DAP244" s="36"/>
      <c r="DAQ244" s="36"/>
      <c r="DAR244" s="36"/>
      <c r="DAS244" s="36"/>
      <c r="DAT244" s="36"/>
      <c r="DAU244" s="36"/>
      <c r="DAV244" s="36"/>
      <c r="DAW244" s="36"/>
      <c r="DAX244" s="36"/>
      <c r="DAY244" s="36"/>
      <c r="DAZ244" s="36"/>
      <c r="DBA244" s="36"/>
      <c r="DBB244" s="36"/>
      <c r="DBC244" s="36"/>
      <c r="DBD244" s="36"/>
      <c r="DBE244" s="36"/>
      <c r="DBF244" s="36"/>
      <c r="DBG244" s="36"/>
      <c r="DBH244" s="36"/>
      <c r="DBI244" s="36"/>
      <c r="DBJ244" s="36"/>
      <c r="DBK244" s="36"/>
      <c r="DBL244" s="36"/>
      <c r="DBM244" s="36"/>
      <c r="DBN244" s="36"/>
      <c r="DBO244" s="36"/>
      <c r="DBP244" s="36"/>
      <c r="DBQ244" s="36"/>
      <c r="DBR244" s="36"/>
      <c r="DBS244" s="36"/>
      <c r="DBT244" s="36"/>
      <c r="DBU244" s="36"/>
      <c r="DBV244" s="36"/>
      <c r="DBW244" s="36"/>
      <c r="DBX244" s="36"/>
      <c r="DBY244" s="36"/>
      <c r="DBZ244" s="36"/>
      <c r="DCA244" s="36"/>
      <c r="DCB244" s="36"/>
      <c r="DCC244" s="36"/>
      <c r="DCD244" s="36"/>
      <c r="DCE244" s="36"/>
      <c r="DCF244" s="36"/>
      <c r="DCG244" s="36"/>
      <c r="DCH244" s="36"/>
      <c r="DCI244" s="36"/>
      <c r="DCJ244" s="36"/>
      <c r="DCK244" s="36"/>
      <c r="DCL244" s="36"/>
      <c r="DCM244" s="36"/>
      <c r="DCN244" s="36"/>
      <c r="DCO244" s="36"/>
      <c r="DCP244" s="36"/>
      <c r="DCQ244" s="36"/>
      <c r="DCR244" s="36"/>
      <c r="DCS244" s="36"/>
      <c r="DCT244" s="36"/>
      <c r="DCU244" s="36"/>
      <c r="DCV244" s="36"/>
      <c r="DCW244" s="36"/>
      <c r="DCX244" s="36"/>
      <c r="DCY244" s="36"/>
      <c r="DCZ244" s="36"/>
      <c r="DDA244" s="36"/>
      <c r="DDB244" s="36"/>
      <c r="DDC244" s="36"/>
      <c r="DDD244" s="36"/>
      <c r="DDE244" s="36"/>
      <c r="DDF244" s="36"/>
      <c r="DDG244" s="36"/>
      <c r="DDH244" s="36"/>
      <c r="DDI244" s="36"/>
      <c r="DDJ244" s="36"/>
      <c r="DDK244" s="36"/>
      <c r="DDL244" s="36"/>
      <c r="DDM244" s="36"/>
      <c r="DDN244" s="36"/>
      <c r="DDO244" s="36"/>
      <c r="DDP244" s="36"/>
      <c r="DDQ244" s="36"/>
      <c r="DDR244" s="36"/>
      <c r="DDS244" s="36"/>
      <c r="DDT244" s="36"/>
      <c r="DDU244" s="36"/>
      <c r="DDV244" s="36"/>
      <c r="DDW244" s="36"/>
      <c r="DDX244" s="36"/>
      <c r="DDY244" s="36"/>
      <c r="DDZ244" s="36"/>
      <c r="DEA244" s="36"/>
      <c r="DEB244" s="36"/>
      <c r="DEC244" s="36"/>
      <c r="DED244" s="36"/>
      <c r="DEE244" s="36"/>
      <c r="DEF244" s="36"/>
      <c r="DEG244" s="36"/>
      <c r="DEH244" s="36"/>
      <c r="DEI244" s="36"/>
      <c r="DEJ244" s="36"/>
      <c r="DEK244" s="36"/>
      <c r="DEL244" s="36"/>
      <c r="DEM244" s="36"/>
      <c r="DEN244" s="36"/>
      <c r="DEO244" s="36"/>
      <c r="DEP244" s="36"/>
      <c r="DEQ244" s="36"/>
      <c r="DER244" s="36"/>
      <c r="DES244" s="36"/>
      <c r="DET244" s="36"/>
      <c r="DEU244" s="36"/>
      <c r="DEV244" s="36"/>
      <c r="DEW244" s="36"/>
      <c r="DEX244" s="36"/>
      <c r="DEY244" s="36"/>
      <c r="DEZ244" s="36"/>
      <c r="DFA244" s="36"/>
      <c r="DFB244" s="36"/>
      <c r="DFC244" s="36"/>
      <c r="DFD244" s="36"/>
      <c r="DFE244" s="36"/>
      <c r="DFF244" s="36"/>
      <c r="DFG244" s="36"/>
      <c r="DFH244" s="36"/>
      <c r="DFI244" s="36"/>
      <c r="DFJ244" s="36"/>
      <c r="DFK244" s="36"/>
      <c r="DFL244" s="36"/>
      <c r="DFM244" s="36"/>
      <c r="DFN244" s="36"/>
      <c r="DFO244" s="36"/>
      <c r="DFP244" s="36"/>
      <c r="DFQ244" s="36"/>
      <c r="DFR244" s="36"/>
      <c r="DFS244" s="36"/>
      <c r="DFT244" s="36"/>
      <c r="DFU244" s="36"/>
      <c r="DFV244" s="36"/>
      <c r="DFW244" s="36"/>
      <c r="DFX244" s="36"/>
      <c r="DFY244" s="36"/>
      <c r="DFZ244" s="36"/>
      <c r="DGA244" s="36"/>
      <c r="DGB244" s="36"/>
      <c r="DGC244" s="36"/>
      <c r="DGD244" s="36"/>
      <c r="DGE244" s="36"/>
      <c r="DGF244" s="36"/>
      <c r="DGG244" s="36"/>
      <c r="DGH244" s="36"/>
      <c r="DGI244" s="36"/>
      <c r="DGJ244" s="36"/>
      <c r="DGK244" s="36"/>
      <c r="DGL244" s="36"/>
      <c r="DGM244" s="36"/>
      <c r="DGN244" s="36"/>
      <c r="DGO244" s="36"/>
      <c r="DGP244" s="36"/>
      <c r="DGQ244" s="36"/>
      <c r="DGR244" s="36"/>
      <c r="DGS244" s="36"/>
      <c r="DGT244" s="36"/>
      <c r="DGU244" s="36"/>
      <c r="DGV244" s="36"/>
      <c r="DGW244" s="36"/>
      <c r="DGX244" s="36"/>
      <c r="DGY244" s="36"/>
      <c r="DGZ244" s="36"/>
      <c r="DHA244" s="36"/>
      <c r="DHB244" s="36"/>
      <c r="DHC244" s="36"/>
      <c r="DHD244" s="36"/>
      <c r="DHE244" s="36"/>
      <c r="DHF244" s="36"/>
      <c r="DHG244" s="36"/>
      <c r="DHH244" s="36"/>
      <c r="DHI244" s="36"/>
      <c r="DHJ244" s="36"/>
      <c r="DHK244" s="36"/>
      <c r="DHL244" s="36"/>
      <c r="DHM244" s="36"/>
      <c r="DHN244" s="36"/>
      <c r="DHO244" s="36"/>
      <c r="DHP244" s="36"/>
      <c r="DHQ244" s="36"/>
      <c r="DHR244" s="36"/>
      <c r="DHS244" s="36"/>
      <c r="DHT244" s="36"/>
      <c r="DHU244" s="36"/>
      <c r="DHV244" s="36"/>
      <c r="DHW244" s="36"/>
      <c r="DHX244" s="36"/>
      <c r="DHY244" s="36"/>
      <c r="DHZ244" s="36"/>
      <c r="DIA244" s="36"/>
      <c r="DIB244" s="36"/>
      <c r="DIC244" s="36"/>
      <c r="DID244" s="36"/>
      <c r="DIE244" s="36"/>
      <c r="DIF244" s="36"/>
      <c r="DIG244" s="36"/>
      <c r="DIH244" s="36"/>
      <c r="DII244" s="36"/>
      <c r="DIJ244" s="36"/>
      <c r="DIK244" s="36"/>
      <c r="DIL244" s="36"/>
      <c r="DIM244" s="36"/>
      <c r="DIN244" s="36"/>
      <c r="DIO244" s="36"/>
      <c r="DIP244" s="36"/>
      <c r="DIQ244" s="36"/>
      <c r="DIR244" s="36"/>
      <c r="DIS244" s="36"/>
      <c r="DIT244" s="36"/>
      <c r="DIU244" s="36"/>
      <c r="DIV244" s="36"/>
      <c r="DIW244" s="36"/>
      <c r="DIX244" s="36"/>
      <c r="DIY244" s="36"/>
      <c r="DIZ244" s="36"/>
      <c r="DJA244" s="36"/>
      <c r="DJB244" s="36"/>
      <c r="DJC244" s="36"/>
      <c r="DJD244" s="36"/>
      <c r="DJE244" s="36"/>
      <c r="DJF244" s="36"/>
      <c r="DJG244" s="36"/>
      <c r="DJH244" s="36"/>
      <c r="DJI244" s="36"/>
      <c r="DJJ244" s="36"/>
      <c r="DJK244" s="36"/>
      <c r="DJL244" s="36"/>
      <c r="DJM244" s="36"/>
      <c r="DJN244" s="36"/>
      <c r="DJO244" s="36"/>
      <c r="DJP244" s="36"/>
      <c r="DJQ244" s="36"/>
      <c r="DJR244" s="36"/>
      <c r="DJS244" s="36"/>
      <c r="DJT244" s="36"/>
      <c r="DJU244" s="36"/>
      <c r="DJV244" s="36"/>
      <c r="DJW244" s="36"/>
      <c r="DJX244" s="36"/>
      <c r="DJY244" s="36"/>
      <c r="DJZ244" s="36"/>
      <c r="DKA244" s="36"/>
      <c r="DKB244" s="36"/>
      <c r="DKC244" s="36"/>
      <c r="DKD244" s="36"/>
      <c r="DKE244" s="36"/>
      <c r="DKF244" s="36"/>
      <c r="DKG244" s="36"/>
      <c r="DKH244" s="36"/>
      <c r="DKI244" s="36"/>
      <c r="DKJ244" s="36"/>
      <c r="DKK244" s="36"/>
      <c r="DKL244" s="36"/>
      <c r="DKM244" s="36"/>
      <c r="DKN244" s="36"/>
      <c r="DKO244" s="36"/>
      <c r="DKP244" s="36"/>
      <c r="DKQ244" s="36"/>
      <c r="DKR244" s="36"/>
      <c r="DKS244" s="36"/>
      <c r="DKT244" s="36"/>
      <c r="DKU244" s="36"/>
      <c r="DKV244" s="36"/>
      <c r="DKW244" s="36"/>
      <c r="DKX244" s="36"/>
      <c r="DKY244" s="36"/>
      <c r="DKZ244" s="36"/>
      <c r="DLA244" s="36"/>
      <c r="DLB244" s="36"/>
      <c r="DLC244" s="36"/>
      <c r="DLD244" s="36"/>
      <c r="DLE244" s="36"/>
      <c r="DLF244" s="36"/>
      <c r="DLG244" s="36"/>
      <c r="DLH244" s="36"/>
      <c r="DLI244" s="36"/>
      <c r="DLJ244" s="36"/>
      <c r="DLK244" s="36"/>
      <c r="DLL244" s="36"/>
      <c r="DLM244" s="36"/>
      <c r="DLN244" s="36"/>
      <c r="DLO244" s="36"/>
      <c r="DLP244" s="36"/>
      <c r="DLQ244" s="36"/>
      <c r="DLR244" s="36"/>
      <c r="DLS244" s="36"/>
      <c r="DLT244" s="36"/>
      <c r="DLU244" s="36"/>
      <c r="DLV244" s="36"/>
      <c r="DLW244" s="36"/>
      <c r="DLX244" s="36"/>
      <c r="DLY244" s="36"/>
      <c r="DLZ244" s="36"/>
      <c r="DMA244" s="36"/>
      <c r="DMB244" s="36"/>
      <c r="DMC244" s="36"/>
      <c r="DMD244" s="36"/>
      <c r="DME244" s="36"/>
      <c r="DMF244" s="36"/>
      <c r="DMG244" s="36"/>
      <c r="DMH244" s="36"/>
      <c r="DMI244" s="36"/>
      <c r="DMJ244" s="36"/>
      <c r="DMK244" s="36"/>
      <c r="DML244" s="36"/>
      <c r="DMM244" s="36"/>
      <c r="DMN244" s="36"/>
      <c r="DMO244" s="36"/>
      <c r="DMP244" s="36"/>
      <c r="DMQ244" s="36"/>
      <c r="DMR244" s="36"/>
      <c r="DMS244" s="36"/>
      <c r="DMT244" s="36"/>
      <c r="DMU244" s="36"/>
      <c r="DMV244" s="36"/>
      <c r="DMW244" s="36"/>
      <c r="DMX244" s="36"/>
      <c r="DMY244" s="36"/>
      <c r="DMZ244" s="36"/>
      <c r="DNA244" s="36"/>
      <c r="DNB244" s="36"/>
      <c r="DNC244" s="36"/>
      <c r="DND244" s="36"/>
      <c r="DNE244" s="36"/>
      <c r="DNF244" s="36"/>
      <c r="DNG244" s="36"/>
      <c r="DNH244" s="36"/>
      <c r="DNI244" s="36"/>
      <c r="DNJ244" s="36"/>
      <c r="DNK244" s="36"/>
      <c r="DNL244" s="36"/>
      <c r="DNM244" s="36"/>
      <c r="DNN244" s="36"/>
      <c r="DNO244" s="36"/>
      <c r="DNP244" s="36"/>
      <c r="DNQ244" s="36"/>
      <c r="DNR244" s="36"/>
      <c r="DNS244" s="36"/>
      <c r="DNT244" s="36"/>
      <c r="DNU244" s="36"/>
      <c r="DNV244" s="36"/>
      <c r="DNW244" s="36"/>
      <c r="DNX244" s="36"/>
      <c r="DNY244" s="36"/>
      <c r="DNZ244" s="36"/>
      <c r="DOA244" s="36"/>
      <c r="DOB244" s="36"/>
      <c r="DOC244" s="36"/>
      <c r="DOD244" s="36"/>
      <c r="DOE244" s="36"/>
      <c r="DOF244" s="36"/>
      <c r="DOG244" s="36"/>
      <c r="DOH244" s="36"/>
      <c r="DOI244" s="36"/>
      <c r="DOJ244" s="36"/>
      <c r="DOK244" s="36"/>
      <c r="DOL244" s="36"/>
      <c r="DOM244" s="36"/>
      <c r="DON244" s="36"/>
      <c r="DOO244" s="36"/>
      <c r="DOP244" s="36"/>
      <c r="DOQ244" s="36"/>
      <c r="DOR244" s="36"/>
      <c r="DOS244" s="36"/>
      <c r="DOT244" s="36"/>
      <c r="DOU244" s="36"/>
      <c r="DOV244" s="36"/>
      <c r="DOW244" s="36"/>
      <c r="DOX244" s="36"/>
      <c r="DOY244" s="36"/>
      <c r="DOZ244" s="36"/>
      <c r="DPA244" s="36"/>
      <c r="DPB244" s="36"/>
      <c r="DPC244" s="36"/>
      <c r="DPD244" s="36"/>
      <c r="DPE244" s="36"/>
      <c r="DPF244" s="36"/>
      <c r="DPG244" s="36"/>
      <c r="DPH244" s="36"/>
      <c r="DPI244" s="36"/>
      <c r="DPJ244" s="36"/>
      <c r="DPK244" s="36"/>
      <c r="DPL244" s="36"/>
      <c r="DPM244" s="36"/>
      <c r="DPN244" s="36"/>
      <c r="DPO244" s="36"/>
      <c r="DPP244" s="36"/>
      <c r="DPQ244" s="36"/>
      <c r="DPR244" s="36"/>
      <c r="DPS244" s="36"/>
      <c r="DPT244" s="36"/>
      <c r="DPU244" s="36"/>
      <c r="DPV244" s="36"/>
      <c r="DPW244" s="36"/>
      <c r="DPX244" s="36"/>
      <c r="DPY244" s="36"/>
      <c r="DPZ244" s="36"/>
      <c r="DQA244" s="36"/>
      <c r="DQB244" s="36"/>
      <c r="DQC244" s="36"/>
      <c r="DQD244" s="36"/>
      <c r="DQE244" s="36"/>
      <c r="DQF244" s="36"/>
      <c r="DQG244" s="36"/>
      <c r="DQH244" s="36"/>
      <c r="DQI244" s="36"/>
      <c r="DQJ244" s="36"/>
      <c r="DQK244" s="36"/>
      <c r="DQL244" s="36"/>
      <c r="DQM244" s="36"/>
      <c r="DQN244" s="36"/>
      <c r="DQO244" s="36"/>
      <c r="DQP244" s="36"/>
      <c r="DQQ244" s="36"/>
      <c r="DQR244" s="36"/>
      <c r="DQS244" s="36"/>
      <c r="DQT244" s="36"/>
      <c r="DQU244" s="36"/>
      <c r="DQV244" s="36"/>
      <c r="DQW244" s="36"/>
      <c r="DQX244" s="36"/>
      <c r="DQY244" s="36"/>
      <c r="DQZ244" s="36"/>
      <c r="DRA244" s="36"/>
      <c r="DRB244" s="36"/>
      <c r="DRC244" s="36"/>
      <c r="DRD244" s="36"/>
      <c r="DRE244" s="36"/>
      <c r="DRF244" s="36"/>
      <c r="DRG244" s="36"/>
      <c r="DRH244" s="36"/>
      <c r="DRI244" s="36"/>
      <c r="DRJ244" s="36"/>
      <c r="DRK244" s="36"/>
      <c r="DRL244" s="36"/>
      <c r="DRM244" s="36"/>
      <c r="DRN244" s="36"/>
      <c r="DRO244" s="36"/>
      <c r="DRP244" s="36"/>
      <c r="DRQ244" s="36"/>
      <c r="DRR244" s="36"/>
      <c r="DRS244" s="36"/>
      <c r="DRT244" s="36"/>
      <c r="DRU244" s="36"/>
      <c r="DRV244" s="36"/>
      <c r="DRW244" s="36"/>
      <c r="DRX244" s="36"/>
      <c r="DRY244" s="36"/>
      <c r="DRZ244" s="36"/>
      <c r="DSA244" s="36"/>
      <c r="DSB244" s="36"/>
      <c r="DSC244" s="36"/>
      <c r="DSD244" s="36"/>
      <c r="DSE244" s="36"/>
      <c r="DSF244" s="36"/>
      <c r="DSG244" s="36"/>
      <c r="DSH244" s="36"/>
      <c r="DSI244" s="36"/>
      <c r="DSJ244" s="36"/>
      <c r="DSK244" s="36"/>
      <c r="DSL244" s="36"/>
      <c r="DSM244" s="36"/>
      <c r="DSN244" s="36"/>
      <c r="DSO244" s="36"/>
      <c r="DSP244" s="36"/>
      <c r="DSQ244" s="36"/>
      <c r="DSR244" s="36"/>
      <c r="DSS244" s="36"/>
      <c r="DST244" s="36"/>
      <c r="DSU244" s="36"/>
      <c r="DSV244" s="36"/>
      <c r="DSW244" s="36"/>
      <c r="DSX244" s="36"/>
      <c r="DSY244" s="36"/>
      <c r="DSZ244" s="36"/>
      <c r="DTA244" s="36"/>
      <c r="DTB244" s="36"/>
      <c r="DTC244" s="36"/>
      <c r="DTD244" s="36"/>
      <c r="DTE244" s="36"/>
      <c r="DTF244" s="36"/>
      <c r="DTG244" s="36"/>
      <c r="DTH244" s="36"/>
      <c r="DTI244" s="36"/>
      <c r="DTJ244" s="36"/>
      <c r="DTK244" s="36"/>
      <c r="DTL244" s="36"/>
      <c r="DTM244" s="36"/>
      <c r="DTN244" s="36"/>
      <c r="DTO244" s="36"/>
      <c r="DTP244" s="36"/>
      <c r="DTQ244" s="36"/>
      <c r="DTR244" s="36"/>
      <c r="DTS244" s="36"/>
      <c r="DTT244" s="36"/>
      <c r="DTU244" s="36"/>
      <c r="DTV244" s="36"/>
      <c r="DTW244" s="36"/>
      <c r="DTX244" s="36"/>
      <c r="DTY244" s="36"/>
      <c r="DTZ244" s="36"/>
      <c r="DUA244" s="36"/>
      <c r="DUB244" s="36"/>
      <c r="DUC244" s="36"/>
      <c r="DUD244" s="36"/>
      <c r="DUE244" s="36"/>
      <c r="DUF244" s="36"/>
      <c r="DUG244" s="36"/>
      <c r="DUH244" s="36"/>
      <c r="DUI244" s="36"/>
      <c r="DUJ244" s="36"/>
      <c r="DUK244" s="36"/>
      <c r="DUL244" s="36"/>
      <c r="DUM244" s="36"/>
      <c r="DUN244" s="36"/>
      <c r="DUO244" s="36"/>
      <c r="DUP244" s="36"/>
      <c r="DUQ244" s="36"/>
      <c r="DUR244" s="36"/>
      <c r="DUS244" s="36"/>
      <c r="DUT244" s="36"/>
      <c r="DUU244" s="36"/>
      <c r="DUV244" s="36"/>
      <c r="DUW244" s="36"/>
      <c r="DUX244" s="36"/>
      <c r="DUY244" s="36"/>
      <c r="DUZ244" s="36"/>
      <c r="DVA244" s="36"/>
      <c r="DVB244" s="36"/>
      <c r="DVC244" s="36"/>
      <c r="DVD244" s="36"/>
      <c r="DVE244" s="36"/>
      <c r="DVF244" s="36"/>
      <c r="DVG244" s="36"/>
      <c r="DVH244" s="36"/>
      <c r="DVI244" s="36"/>
      <c r="DVJ244" s="36"/>
      <c r="DVK244" s="36"/>
      <c r="DVL244" s="36"/>
      <c r="DVM244" s="36"/>
      <c r="DVN244" s="36"/>
      <c r="DVO244" s="36"/>
      <c r="DVP244" s="36"/>
      <c r="DVQ244" s="36"/>
      <c r="DVR244" s="36"/>
      <c r="DVS244" s="36"/>
      <c r="DVT244" s="36"/>
      <c r="DVU244" s="36"/>
      <c r="DVV244" s="36"/>
      <c r="DVW244" s="36"/>
      <c r="DVX244" s="36"/>
      <c r="DVY244" s="36"/>
      <c r="DVZ244" s="36"/>
      <c r="DWA244" s="36"/>
      <c r="DWB244" s="36"/>
      <c r="DWC244" s="36"/>
      <c r="DWD244" s="36"/>
      <c r="DWE244" s="36"/>
      <c r="DWF244" s="36"/>
      <c r="DWG244" s="36"/>
      <c r="DWH244" s="36"/>
      <c r="DWI244" s="36"/>
      <c r="DWJ244" s="36"/>
      <c r="DWK244" s="36"/>
      <c r="DWL244" s="36"/>
      <c r="DWM244" s="36"/>
      <c r="DWN244" s="36"/>
      <c r="DWO244" s="36"/>
      <c r="DWP244" s="36"/>
      <c r="DWQ244" s="36"/>
      <c r="DWR244" s="36"/>
      <c r="DWS244" s="36"/>
      <c r="DWT244" s="36"/>
      <c r="DWU244" s="36"/>
      <c r="DWV244" s="36"/>
      <c r="DWW244" s="36"/>
      <c r="DWX244" s="36"/>
      <c r="DWY244" s="36"/>
      <c r="DWZ244" s="36"/>
      <c r="DXA244" s="36"/>
      <c r="DXB244" s="36"/>
      <c r="DXC244" s="36"/>
      <c r="DXD244" s="36"/>
      <c r="DXE244" s="36"/>
      <c r="DXF244" s="36"/>
      <c r="DXG244" s="36"/>
      <c r="DXH244" s="36"/>
      <c r="DXI244" s="36"/>
      <c r="DXJ244" s="36"/>
      <c r="DXK244" s="36"/>
      <c r="DXL244" s="36"/>
      <c r="DXM244" s="36"/>
      <c r="DXN244" s="36"/>
      <c r="DXO244" s="36"/>
      <c r="DXP244" s="36"/>
      <c r="DXQ244" s="36"/>
      <c r="DXR244" s="36"/>
      <c r="DXS244" s="36"/>
      <c r="DXT244" s="36"/>
      <c r="DXU244" s="36"/>
      <c r="DXV244" s="36"/>
      <c r="DXW244" s="36"/>
      <c r="DXX244" s="36"/>
      <c r="DXY244" s="36"/>
      <c r="DXZ244" s="36"/>
      <c r="DYA244" s="36"/>
      <c r="DYB244" s="36"/>
      <c r="DYC244" s="36"/>
      <c r="DYD244" s="36"/>
      <c r="DYE244" s="36"/>
      <c r="DYF244" s="36"/>
      <c r="DYG244" s="36"/>
      <c r="DYH244" s="36"/>
      <c r="DYI244" s="36"/>
      <c r="DYJ244" s="36"/>
      <c r="DYK244" s="36"/>
      <c r="DYL244" s="36"/>
      <c r="DYM244" s="36"/>
      <c r="DYN244" s="36"/>
      <c r="DYO244" s="36"/>
      <c r="DYP244" s="36"/>
      <c r="DYQ244" s="36"/>
      <c r="DYR244" s="36"/>
      <c r="DYS244" s="36"/>
      <c r="DYT244" s="36"/>
      <c r="DYU244" s="36"/>
      <c r="DYV244" s="36"/>
      <c r="DYW244" s="36"/>
      <c r="DYX244" s="36"/>
      <c r="DYY244" s="36"/>
      <c r="DYZ244" s="36"/>
      <c r="DZA244" s="36"/>
      <c r="DZB244" s="36"/>
      <c r="DZC244" s="36"/>
      <c r="DZD244" s="36"/>
      <c r="DZE244" s="36"/>
      <c r="DZF244" s="36"/>
      <c r="DZG244" s="36"/>
      <c r="DZH244" s="36"/>
      <c r="DZI244" s="36"/>
      <c r="DZJ244" s="36"/>
      <c r="DZK244" s="36"/>
      <c r="DZL244" s="36"/>
      <c r="DZM244" s="36"/>
      <c r="DZN244" s="36"/>
      <c r="DZO244" s="36"/>
      <c r="DZP244" s="36"/>
      <c r="DZQ244" s="36"/>
      <c r="DZR244" s="36"/>
      <c r="DZS244" s="36"/>
      <c r="DZT244" s="36"/>
      <c r="DZU244" s="36"/>
      <c r="DZV244" s="36"/>
      <c r="DZW244" s="36"/>
      <c r="DZX244" s="36"/>
      <c r="DZY244" s="36"/>
      <c r="DZZ244" s="36"/>
      <c r="EAA244" s="36"/>
      <c r="EAB244" s="36"/>
      <c r="EAC244" s="36"/>
      <c r="EAD244" s="36"/>
      <c r="EAE244" s="36"/>
      <c r="EAF244" s="36"/>
      <c r="EAG244" s="36"/>
      <c r="EAH244" s="36"/>
      <c r="EAI244" s="36"/>
      <c r="EAJ244" s="36"/>
      <c r="EAK244" s="36"/>
      <c r="EAL244" s="36"/>
      <c r="EAM244" s="36"/>
      <c r="EAN244" s="36"/>
      <c r="EAO244" s="36"/>
      <c r="EAP244" s="36"/>
      <c r="EAQ244" s="36"/>
      <c r="EAR244" s="36"/>
      <c r="EAS244" s="36"/>
      <c r="EAT244" s="36"/>
      <c r="EAU244" s="36"/>
      <c r="EAV244" s="36"/>
      <c r="EAW244" s="36"/>
      <c r="EAX244" s="36"/>
      <c r="EAY244" s="36"/>
      <c r="EAZ244" s="36"/>
      <c r="EBA244" s="36"/>
      <c r="EBB244" s="36"/>
      <c r="EBC244" s="36"/>
      <c r="EBD244" s="36"/>
      <c r="EBE244" s="36"/>
      <c r="EBF244" s="36"/>
      <c r="EBG244" s="36"/>
      <c r="EBH244" s="36"/>
      <c r="EBI244" s="36"/>
      <c r="EBJ244" s="36"/>
      <c r="EBK244" s="36"/>
      <c r="EBL244" s="36"/>
      <c r="EBM244" s="36"/>
      <c r="EBN244" s="36"/>
      <c r="EBO244" s="36"/>
      <c r="EBP244" s="36"/>
      <c r="EBQ244" s="36"/>
      <c r="EBR244" s="36"/>
      <c r="EBS244" s="36"/>
      <c r="EBT244" s="36"/>
      <c r="EBU244" s="36"/>
      <c r="EBV244" s="36"/>
      <c r="EBW244" s="36"/>
      <c r="EBX244" s="36"/>
      <c r="EBY244" s="36"/>
      <c r="EBZ244" s="36"/>
      <c r="ECA244" s="36"/>
      <c r="ECB244" s="36"/>
      <c r="ECC244" s="36"/>
      <c r="ECD244" s="36"/>
      <c r="ECE244" s="36"/>
      <c r="ECF244" s="36"/>
      <c r="ECG244" s="36"/>
      <c r="ECH244" s="36"/>
      <c r="ECI244" s="36"/>
      <c r="ECJ244" s="36"/>
      <c r="ECK244" s="36"/>
      <c r="ECL244" s="36"/>
      <c r="ECM244" s="36"/>
      <c r="ECN244" s="36"/>
      <c r="ECO244" s="36"/>
      <c r="ECP244" s="36"/>
      <c r="ECQ244" s="36"/>
      <c r="ECR244" s="36"/>
      <c r="ECS244" s="36"/>
      <c r="ECT244" s="36"/>
      <c r="ECU244" s="36"/>
      <c r="ECV244" s="36"/>
      <c r="ECW244" s="36"/>
      <c r="ECX244" s="36"/>
      <c r="ECY244" s="36"/>
      <c r="ECZ244" s="36"/>
      <c r="EDA244" s="36"/>
      <c r="EDB244" s="36"/>
      <c r="EDC244" s="36"/>
      <c r="EDD244" s="36"/>
      <c r="EDE244" s="36"/>
      <c r="EDF244" s="36"/>
      <c r="EDG244" s="36"/>
      <c r="EDH244" s="36"/>
      <c r="EDI244" s="36"/>
      <c r="EDJ244" s="36"/>
      <c r="EDK244" s="36"/>
      <c r="EDL244" s="36"/>
      <c r="EDM244" s="36"/>
      <c r="EDN244" s="36"/>
      <c r="EDO244" s="36"/>
      <c r="EDP244" s="36"/>
      <c r="EDQ244" s="36"/>
      <c r="EDR244" s="36"/>
      <c r="EDS244" s="36"/>
      <c r="EDT244" s="36"/>
      <c r="EDU244" s="36"/>
      <c r="EDV244" s="36"/>
      <c r="EDW244" s="36"/>
      <c r="EDX244" s="36"/>
      <c r="EDY244" s="36"/>
      <c r="EDZ244" s="36"/>
      <c r="EEA244" s="36"/>
      <c r="EEB244" s="36"/>
      <c r="EEC244" s="36"/>
      <c r="EED244" s="36"/>
      <c r="EEE244" s="36"/>
      <c r="EEF244" s="36"/>
      <c r="EEG244" s="36"/>
      <c r="EEH244" s="36"/>
      <c r="EEI244" s="36"/>
      <c r="EEJ244" s="36"/>
      <c r="EEK244" s="36"/>
      <c r="EEL244" s="36"/>
      <c r="EEM244" s="36"/>
      <c r="EEN244" s="36"/>
      <c r="EEO244" s="36"/>
      <c r="EEP244" s="36"/>
      <c r="EEQ244" s="36"/>
      <c r="EER244" s="36"/>
      <c r="EES244" s="36"/>
      <c r="EET244" s="36"/>
      <c r="EEU244" s="36"/>
      <c r="EEV244" s="36"/>
      <c r="EEW244" s="36"/>
      <c r="EEX244" s="36"/>
      <c r="EEY244" s="36"/>
      <c r="EEZ244" s="36"/>
      <c r="EFA244" s="36"/>
      <c r="EFB244" s="36"/>
      <c r="EFC244" s="36"/>
      <c r="EFD244" s="36"/>
      <c r="EFE244" s="36"/>
      <c r="EFF244" s="36"/>
      <c r="EFG244" s="36"/>
      <c r="EFH244" s="36"/>
      <c r="EFI244" s="36"/>
      <c r="EFJ244" s="36"/>
      <c r="EFK244" s="36"/>
      <c r="EFL244" s="36"/>
      <c r="EFM244" s="36"/>
      <c r="EFN244" s="36"/>
      <c r="EFO244" s="36"/>
      <c r="EFP244" s="36"/>
      <c r="EFQ244" s="36"/>
      <c r="EFR244" s="36"/>
      <c r="EFS244" s="36"/>
      <c r="EFT244" s="36"/>
      <c r="EFU244" s="36"/>
      <c r="EFV244" s="36"/>
      <c r="EFW244" s="36"/>
      <c r="EFX244" s="36"/>
      <c r="EFY244" s="36"/>
      <c r="EFZ244" s="36"/>
      <c r="EGA244" s="36"/>
      <c r="EGB244" s="36"/>
      <c r="EGC244" s="36"/>
      <c r="EGD244" s="36"/>
      <c r="EGE244" s="36"/>
      <c r="EGF244" s="36"/>
      <c r="EGG244" s="36"/>
      <c r="EGH244" s="36"/>
      <c r="EGI244" s="36"/>
      <c r="EGJ244" s="36"/>
      <c r="EGK244" s="36"/>
      <c r="EGL244" s="36"/>
      <c r="EGM244" s="36"/>
      <c r="EGN244" s="36"/>
      <c r="EGO244" s="36"/>
      <c r="EGP244" s="36"/>
      <c r="EGQ244" s="36"/>
      <c r="EGR244" s="36"/>
      <c r="EGS244" s="36"/>
      <c r="EGT244" s="36"/>
      <c r="EGU244" s="36"/>
      <c r="EGV244" s="36"/>
      <c r="EGW244" s="36"/>
      <c r="EGX244" s="36"/>
      <c r="EGY244" s="36"/>
      <c r="EGZ244" s="36"/>
      <c r="EHA244" s="36"/>
      <c r="EHB244" s="36"/>
      <c r="EHC244" s="36"/>
      <c r="EHD244" s="36"/>
      <c r="EHE244" s="36"/>
      <c r="EHF244" s="36"/>
      <c r="EHG244" s="36"/>
      <c r="EHH244" s="36"/>
      <c r="EHI244" s="36"/>
      <c r="EHJ244" s="36"/>
      <c r="EHK244" s="36"/>
      <c r="EHL244" s="36"/>
      <c r="EHM244" s="36"/>
      <c r="EHN244" s="36"/>
      <c r="EHO244" s="36"/>
      <c r="EHP244" s="36"/>
      <c r="EHQ244" s="36"/>
      <c r="EHR244" s="36"/>
      <c r="EHS244" s="36"/>
      <c r="EHT244" s="36"/>
      <c r="EHU244" s="36"/>
      <c r="EHV244" s="36"/>
      <c r="EHW244" s="36"/>
      <c r="EHX244" s="36"/>
      <c r="EHY244" s="36"/>
      <c r="EHZ244" s="36"/>
      <c r="EIA244" s="36"/>
      <c r="EIB244" s="36"/>
      <c r="EIC244" s="36"/>
      <c r="EID244" s="36"/>
      <c r="EIE244" s="36"/>
      <c r="EIF244" s="36"/>
      <c r="EIG244" s="36"/>
      <c r="EIH244" s="36"/>
      <c r="EII244" s="36"/>
      <c r="EIJ244" s="36"/>
      <c r="EIK244" s="36"/>
      <c r="EIL244" s="36"/>
      <c r="EIM244" s="36"/>
      <c r="EIN244" s="36"/>
      <c r="EIO244" s="36"/>
      <c r="EIP244" s="36"/>
      <c r="EIQ244" s="36"/>
      <c r="EIR244" s="36"/>
      <c r="EIS244" s="36"/>
      <c r="EIT244" s="36"/>
      <c r="EIU244" s="36"/>
      <c r="EIV244" s="36"/>
      <c r="EIW244" s="36"/>
      <c r="EIX244" s="36"/>
      <c r="EIY244" s="36"/>
      <c r="EIZ244" s="36"/>
      <c r="EJA244" s="36"/>
      <c r="EJB244" s="36"/>
      <c r="EJC244" s="36"/>
      <c r="EJD244" s="36"/>
      <c r="EJE244" s="36"/>
      <c r="EJF244" s="36"/>
      <c r="EJG244" s="36"/>
      <c r="EJH244" s="36"/>
      <c r="EJI244" s="36"/>
      <c r="EJJ244" s="36"/>
      <c r="EJK244" s="36"/>
      <c r="EJL244" s="36"/>
      <c r="EJM244" s="36"/>
      <c r="EJN244" s="36"/>
      <c r="EJO244" s="36"/>
      <c r="EJP244" s="36"/>
      <c r="EJQ244" s="36"/>
      <c r="EJR244" s="36"/>
      <c r="EJS244" s="36"/>
      <c r="EJT244" s="36"/>
      <c r="EJU244" s="36"/>
      <c r="EJV244" s="36"/>
      <c r="EJW244" s="36"/>
      <c r="EJX244" s="36"/>
      <c r="EJY244" s="36"/>
      <c r="EJZ244" s="36"/>
      <c r="EKA244" s="36"/>
      <c r="EKB244" s="36"/>
      <c r="EKC244" s="36"/>
      <c r="EKD244" s="36"/>
      <c r="EKE244" s="36"/>
      <c r="EKF244" s="36"/>
      <c r="EKG244" s="36"/>
      <c r="EKH244" s="36"/>
      <c r="EKI244" s="36"/>
      <c r="EKJ244" s="36"/>
      <c r="EKK244" s="36"/>
      <c r="EKL244" s="36"/>
      <c r="EKM244" s="36"/>
      <c r="EKN244" s="36"/>
      <c r="EKO244" s="36"/>
      <c r="EKP244" s="36"/>
      <c r="EKQ244" s="36"/>
      <c r="EKR244" s="36"/>
      <c r="EKS244" s="36"/>
      <c r="EKT244" s="36"/>
      <c r="EKU244" s="36"/>
      <c r="EKV244" s="36"/>
      <c r="EKW244" s="36"/>
      <c r="EKX244" s="36"/>
      <c r="EKY244" s="36"/>
      <c r="EKZ244" s="36"/>
      <c r="ELA244" s="36"/>
      <c r="ELB244" s="36"/>
      <c r="ELC244" s="36"/>
      <c r="ELD244" s="36"/>
      <c r="ELE244" s="36"/>
      <c r="ELF244" s="36"/>
      <c r="ELG244" s="36"/>
      <c r="ELH244" s="36"/>
      <c r="ELI244" s="36"/>
      <c r="ELJ244" s="36"/>
      <c r="ELK244" s="36"/>
      <c r="ELL244" s="36"/>
      <c r="ELM244" s="36"/>
      <c r="ELN244" s="36"/>
      <c r="ELO244" s="36"/>
      <c r="ELP244" s="36"/>
      <c r="ELQ244" s="36"/>
      <c r="ELR244" s="36"/>
      <c r="ELS244" s="36"/>
      <c r="ELT244" s="36"/>
      <c r="ELU244" s="36"/>
      <c r="ELV244" s="36"/>
      <c r="ELW244" s="36"/>
      <c r="ELX244" s="36"/>
      <c r="ELY244" s="36"/>
      <c r="ELZ244" s="36"/>
      <c r="EMA244" s="36"/>
      <c r="EMB244" s="36"/>
      <c r="EMC244" s="36"/>
      <c r="EMD244" s="36"/>
      <c r="EME244" s="36"/>
      <c r="EMF244" s="36"/>
      <c r="EMG244" s="36"/>
      <c r="EMH244" s="36"/>
      <c r="EMI244" s="36"/>
      <c r="EMJ244" s="36"/>
      <c r="EMK244" s="36"/>
      <c r="EML244" s="36"/>
      <c r="EMM244" s="36"/>
      <c r="EMN244" s="36"/>
      <c r="EMO244" s="36"/>
      <c r="EMP244" s="36"/>
      <c r="EMQ244" s="36"/>
      <c r="EMR244" s="36"/>
      <c r="EMS244" s="36"/>
      <c r="EMT244" s="36"/>
      <c r="EMU244" s="36"/>
      <c r="EMV244" s="36"/>
      <c r="EMW244" s="36"/>
      <c r="EMX244" s="36"/>
      <c r="EMY244" s="36"/>
      <c r="EMZ244" s="36"/>
      <c r="ENA244" s="36"/>
      <c r="ENB244" s="36"/>
      <c r="ENC244" s="36"/>
      <c r="END244" s="36"/>
      <c r="ENE244" s="36"/>
      <c r="ENF244" s="36"/>
      <c r="ENG244" s="36"/>
      <c r="ENH244" s="36"/>
      <c r="ENI244" s="36"/>
      <c r="ENJ244" s="36"/>
      <c r="ENK244" s="36"/>
      <c r="ENL244" s="36"/>
      <c r="ENM244" s="36"/>
      <c r="ENN244" s="36"/>
      <c r="ENO244" s="36"/>
      <c r="ENP244" s="36"/>
      <c r="ENQ244" s="36"/>
      <c r="ENR244" s="36"/>
      <c r="ENS244" s="36"/>
      <c r="ENT244" s="36"/>
      <c r="ENU244" s="36"/>
      <c r="ENV244" s="36"/>
      <c r="ENW244" s="36"/>
      <c r="ENX244" s="36"/>
      <c r="ENY244" s="36"/>
      <c r="ENZ244" s="36"/>
      <c r="EOA244" s="36"/>
      <c r="EOB244" s="36"/>
      <c r="EOC244" s="36"/>
      <c r="EOD244" s="36"/>
      <c r="EOE244" s="36"/>
      <c r="EOF244" s="36"/>
      <c r="EOG244" s="36"/>
      <c r="EOH244" s="36"/>
      <c r="EOI244" s="36"/>
      <c r="EOJ244" s="36"/>
      <c r="EOK244" s="36"/>
      <c r="EOL244" s="36"/>
      <c r="EOM244" s="36"/>
      <c r="EON244" s="36"/>
      <c r="EOO244" s="36"/>
      <c r="EOP244" s="36"/>
      <c r="EOQ244" s="36"/>
      <c r="EOR244" s="36"/>
      <c r="EOS244" s="36"/>
      <c r="EOT244" s="36"/>
      <c r="EOU244" s="36"/>
      <c r="EOV244" s="36"/>
      <c r="EOW244" s="36"/>
      <c r="EOX244" s="36"/>
      <c r="EOY244" s="36"/>
      <c r="EOZ244" s="36"/>
      <c r="EPA244" s="36"/>
      <c r="EPB244" s="36"/>
      <c r="EPC244" s="36"/>
      <c r="EPD244" s="36"/>
      <c r="EPE244" s="36"/>
      <c r="EPF244" s="36"/>
      <c r="EPG244" s="36"/>
      <c r="EPH244" s="36"/>
      <c r="EPI244" s="36"/>
      <c r="EPJ244" s="36"/>
      <c r="EPK244" s="36"/>
      <c r="EPL244" s="36"/>
      <c r="EPM244" s="36"/>
      <c r="EPN244" s="36"/>
      <c r="EPO244" s="36"/>
      <c r="EPP244" s="36"/>
      <c r="EPQ244" s="36"/>
      <c r="EPR244" s="36"/>
      <c r="EPS244" s="36"/>
      <c r="EPT244" s="36"/>
      <c r="EPU244" s="36"/>
      <c r="EPV244" s="36"/>
      <c r="EPW244" s="36"/>
      <c r="EPX244" s="36"/>
      <c r="EPY244" s="36"/>
      <c r="EPZ244" s="36"/>
      <c r="EQA244" s="36"/>
      <c r="EQB244" s="36"/>
      <c r="EQC244" s="36"/>
      <c r="EQD244" s="36"/>
      <c r="EQE244" s="36"/>
      <c r="EQF244" s="36"/>
      <c r="EQG244" s="36"/>
      <c r="EQH244" s="36"/>
      <c r="EQI244" s="36"/>
      <c r="EQJ244" s="36"/>
      <c r="EQK244" s="36"/>
      <c r="EQL244" s="36"/>
      <c r="EQM244" s="36"/>
      <c r="EQN244" s="36"/>
      <c r="EQO244" s="36"/>
      <c r="EQP244" s="36"/>
      <c r="EQQ244" s="36"/>
      <c r="EQR244" s="36"/>
      <c r="EQS244" s="36"/>
      <c r="EQT244" s="36"/>
      <c r="EQU244" s="36"/>
      <c r="EQV244" s="36"/>
      <c r="EQW244" s="36"/>
      <c r="EQX244" s="36"/>
      <c r="EQY244" s="36"/>
      <c r="EQZ244" s="36"/>
      <c r="ERA244" s="36"/>
      <c r="ERB244" s="36"/>
      <c r="ERC244" s="36"/>
      <c r="ERD244" s="36"/>
      <c r="ERE244" s="36"/>
      <c r="ERF244" s="36"/>
      <c r="ERG244" s="36"/>
      <c r="ERH244" s="36"/>
      <c r="ERI244" s="36"/>
      <c r="ERJ244" s="36"/>
      <c r="ERK244" s="36"/>
      <c r="ERL244" s="36"/>
      <c r="ERM244" s="36"/>
      <c r="ERN244" s="36"/>
      <c r="ERO244" s="36"/>
      <c r="ERP244" s="36"/>
      <c r="ERQ244" s="36"/>
      <c r="ERR244" s="36"/>
      <c r="ERS244" s="36"/>
      <c r="ERT244" s="36"/>
      <c r="ERU244" s="36"/>
      <c r="ERV244" s="36"/>
      <c r="ERW244" s="36"/>
      <c r="ERX244" s="36"/>
      <c r="ERY244" s="36"/>
      <c r="ERZ244" s="36"/>
      <c r="ESA244" s="36"/>
      <c r="ESB244" s="36"/>
      <c r="ESC244" s="36"/>
      <c r="ESD244" s="36"/>
      <c r="ESE244" s="36"/>
      <c r="ESF244" s="36"/>
      <c r="ESG244" s="36"/>
      <c r="ESH244" s="36"/>
      <c r="ESI244" s="36"/>
      <c r="ESJ244" s="36"/>
      <c r="ESK244" s="36"/>
      <c r="ESL244" s="36"/>
      <c r="ESM244" s="36"/>
      <c r="ESN244" s="36"/>
      <c r="ESO244" s="36"/>
      <c r="ESP244" s="36"/>
      <c r="ESQ244" s="36"/>
      <c r="ESR244" s="36"/>
      <c r="ESS244" s="36"/>
      <c r="EST244" s="36"/>
      <c r="ESU244" s="36"/>
      <c r="ESV244" s="36"/>
      <c r="ESW244" s="36"/>
      <c r="ESX244" s="36"/>
      <c r="ESY244" s="36"/>
      <c r="ESZ244" s="36"/>
      <c r="ETA244" s="36"/>
      <c r="ETB244" s="36"/>
      <c r="ETC244" s="36"/>
      <c r="ETD244" s="36"/>
      <c r="ETE244" s="36"/>
      <c r="ETF244" s="36"/>
      <c r="ETG244" s="36"/>
      <c r="ETH244" s="36"/>
      <c r="ETI244" s="36"/>
      <c r="ETJ244" s="36"/>
      <c r="ETK244" s="36"/>
      <c r="ETL244" s="36"/>
      <c r="ETM244" s="36"/>
      <c r="ETN244" s="36"/>
      <c r="ETO244" s="36"/>
      <c r="ETP244" s="36"/>
      <c r="ETQ244" s="36"/>
      <c r="ETR244" s="36"/>
      <c r="ETS244" s="36"/>
      <c r="ETT244" s="36"/>
      <c r="ETU244" s="36"/>
      <c r="ETV244" s="36"/>
      <c r="ETW244" s="36"/>
      <c r="ETX244" s="36"/>
      <c r="ETY244" s="36"/>
      <c r="ETZ244" s="36"/>
      <c r="EUA244" s="36"/>
      <c r="EUB244" s="36"/>
      <c r="EUC244" s="36"/>
      <c r="EUD244" s="36"/>
      <c r="EUE244" s="36"/>
      <c r="EUF244" s="36"/>
      <c r="EUG244" s="36"/>
      <c r="EUH244" s="36"/>
      <c r="EUI244" s="36"/>
      <c r="EUJ244" s="36"/>
      <c r="EUK244" s="36"/>
      <c r="EUL244" s="36"/>
      <c r="EUM244" s="36"/>
      <c r="EUN244" s="36"/>
      <c r="EUO244" s="36"/>
      <c r="EUP244" s="36"/>
      <c r="EUQ244" s="36"/>
      <c r="EUR244" s="36"/>
      <c r="EUS244" s="36"/>
      <c r="EUT244" s="36"/>
      <c r="EUU244" s="36"/>
      <c r="EUV244" s="36"/>
      <c r="EUW244" s="36"/>
      <c r="EUX244" s="36"/>
      <c r="EUY244" s="36"/>
      <c r="EUZ244" s="36"/>
      <c r="EVA244" s="36"/>
      <c r="EVB244" s="36"/>
      <c r="EVC244" s="36"/>
      <c r="EVD244" s="36"/>
      <c r="EVE244" s="36"/>
      <c r="EVF244" s="36"/>
      <c r="EVG244" s="36"/>
      <c r="EVH244" s="36"/>
      <c r="EVI244" s="36"/>
      <c r="EVJ244" s="36"/>
      <c r="EVK244" s="36"/>
      <c r="EVL244" s="36"/>
      <c r="EVM244" s="36"/>
      <c r="EVN244" s="36"/>
      <c r="EVO244" s="36"/>
      <c r="EVP244" s="36"/>
      <c r="EVQ244" s="36"/>
      <c r="EVR244" s="36"/>
      <c r="EVS244" s="36"/>
      <c r="EVT244" s="36"/>
      <c r="EVU244" s="36"/>
      <c r="EVV244" s="36"/>
      <c r="EVW244" s="36"/>
      <c r="EVX244" s="36"/>
      <c r="EVY244" s="36"/>
      <c r="EVZ244" s="36"/>
      <c r="EWA244" s="36"/>
      <c r="EWB244" s="36"/>
      <c r="EWC244" s="36"/>
      <c r="EWD244" s="36"/>
      <c r="EWE244" s="36"/>
      <c r="EWF244" s="36"/>
      <c r="EWG244" s="36"/>
      <c r="EWH244" s="36"/>
      <c r="EWI244" s="36"/>
      <c r="EWJ244" s="36"/>
      <c r="EWK244" s="36"/>
      <c r="EWL244" s="36"/>
      <c r="EWM244" s="36"/>
      <c r="EWN244" s="36"/>
      <c r="EWO244" s="36"/>
      <c r="EWP244" s="36"/>
      <c r="EWQ244" s="36"/>
      <c r="EWR244" s="36"/>
      <c r="EWS244" s="36"/>
      <c r="EWT244" s="36"/>
      <c r="EWU244" s="36"/>
      <c r="EWV244" s="36"/>
      <c r="EWW244" s="36"/>
      <c r="EWX244" s="36"/>
      <c r="EWY244" s="36"/>
      <c r="EWZ244" s="36"/>
      <c r="EXA244" s="36"/>
      <c r="EXB244" s="36"/>
      <c r="EXC244" s="36"/>
      <c r="EXD244" s="36"/>
      <c r="EXE244" s="36"/>
      <c r="EXF244" s="36"/>
      <c r="EXG244" s="36"/>
      <c r="EXH244" s="36"/>
      <c r="EXI244" s="36"/>
      <c r="EXJ244" s="36"/>
      <c r="EXK244" s="36"/>
      <c r="EXL244" s="36"/>
      <c r="EXM244" s="36"/>
      <c r="EXN244" s="36"/>
      <c r="EXO244" s="36"/>
      <c r="EXP244" s="36"/>
      <c r="EXQ244" s="36"/>
      <c r="EXR244" s="36"/>
      <c r="EXS244" s="36"/>
      <c r="EXT244" s="36"/>
      <c r="EXU244" s="36"/>
      <c r="EXV244" s="36"/>
      <c r="EXW244" s="36"/>
      <c r="EXX244" s="36"/>
      <c r="EXY244" s="36"/>
      <c r="EXZ244" s="36"/>
      <c r="EYA244" s="36"/>
      <c r="EYB244" s="36"/>
      <c r="EYC244" s="36"/>
      <c r="EYD244" s="36"/>
      <c r="EYE244" s="36"/>
      <c r="EYF244" s="36"/>
      <c r="EYG244" s="36"/>
      <c r="EYH244" s="36"/>
      <c r="EYI244" s="36"/>
      <c r="EYJ244" s="36"/>
      <c r="EYK244" s="36"/>
      <c r="EYL244" s="36"/>
      <c r="EYM244" s="36"/>
      <c r="EYN244" s="36"/>
      <c r="EYO244" s="36"/>
      <c r="EYP244" s="36"/>
      <c r="EYQ244" s="36"/>
      <c r="EYR244" s="36"/>
      <c r="EYS244" s="36"/>
      <c r="EYT244" s="36"/>
      <c r="EYU244" s="36"/>
      <c r="EYV244" s="36"/>
      <c r="EYW244" s="36"/>
      <c r="EYX244" s="36"/>
      <c r="EYY244" s="36"/>
      <c r="EYZ244" s="36"/>
      <c r="EZA244" s="36"/>
      <c r="EZB244" s="36"/>
      <c r="EZC244" s="36"/>
      <c r="EZD244" s="36"/>
      <c r="EZE244" s="36"/>
      <c r="EZF244" s="36"/>
      <c r="EZG244" s="36"/>
      <c r="EZH244" s="36"/>
      <c r="EZI244" s="36"/>
      <c r="EZJ244" s="36"/>
      <c r="EZK244" s="36"/>
      <c r="EZL244" s="36"/>
      <c r="EZM244" s="36"/>
      <c r="EZN244" s="36"/>
      <c r="EZO244" s="36"/>
      <c r="EZP244" s="36"/>
      <c r="EZQ244" s="36"/>
      <c r="EZR244" s="36"/>
      <c r="EZS244" s="36"/>
      <c r="EZT244" s="36"/>
      <c r="EZU244" s="36"/>
      <c r="EZV244" s="36"/>
      <c r="EZW244" s="36"/>
      <c r="EZX244" s="36"/>
      <c r="EZY244" s="36"/>
      <c r="EZZ244" s="36"/>
      <c r="FAA244" s="36"/>
      <c r="FAB244" s="36"/>
      <c r="FAC244" s="36"/>
      <c r="FAD244" s="36"/>
      <c r="FAE244" s="36"/>
      <c r="FAF244" s="36"/>
      <c r="FAG244" s="36"/>
      <c r="FAH244" s="36"/>
      <c r="FAI244" s="36"/>
      <c r="FAJ244" s="36"/>
      <c r="FAK244" s="36"/>
      <c r="FAL244" s="36"/>
      <c r="FAM244" s="36"/>
      <c r="FAN244" s="36"/>
      <c r="FAO244" s="36"/>
      <c r="FAP244" s="36"/>
      <c r="FAQ244" s="36"/>
      <c r="FAR244" s="36"/>
      <c r="FAS244" s="36"/>
      <c r="FAT244" s="36"/>
      <c r="FAU244" s="36"/>
      <c r="FAV244" s="36"/>
      <c r="FAW244" s="36"/>
      <c r="FAX244" s="36"/>
      <c r="FAY244" s="36"/>
      <c r="FAZ244" s="36"/>
      <c r="FBA244" s="36"/>
      <c r="FBB244" s="36"/>
      <c r="FBC244" s="36"/>
      <c r="FBD244" s="36"/>
      <c r="FBE244" s="36"/>
      <c r="FBF244" s="36"/>
      <c r="FBG244" s="36"/>
      <c r="FBH244" s="36"/>
      <c r="FBI244" s="36"/>
      <c r="FBJ244" s="36"/>
      <c r="FBK244" s="36"/>
      <c r="FBL244" s="36"/>
      <c r="FBM244" s="36"/>
      <c r="FBN244" s="36"/>
      <c r="FBO244" s="36"/>
      <c r="FBP244" s="36"/>
      <c r="FBQ244" s="36"/>
      <c r="FBR244" s="36"/>
      <c r="FBS244" s="36"/>
      <c r="FBT244" s="36"/>
      <c r="FBU244" s="36"/>
      <c r="FBV244" s="36"/>
      <c r="FBW244" s="36"/>
      <c r="FBX244" s="36"/>
      <c r="FBY244" s="36"/>
      <c r="FBZ244" s="36"/>
      <c r="FCA244" s="36"/>
      <c r="FCB244" s="36"/>
      <c r="FCC244" s="36"/>
      <c r="FCD244" s="36"/>
      <c r="FCE244" s="36"/>
      <c r="FCF244" s="36"/>
      <c r="FCG244" s="36"/>
      <c r="FCH244" s="36"/>
      <c r="FCI244" s="36"/>
      <c r="FCJ244" s="36"/>
      <c r="FCK244" s="36"/>
      <c r="FCL244" s="36"/>
      <c r="FCM244" s="36"/>
      <c r="FCN244" s="36"/>
      <c r="FCO244" s="36"/>
      <c r="FCP244" s="36"/>
      <c r="FCQ244" s="36"/>
      <c r="FCR244" s="36"/>
      <c r="FCS244" s="36"/>
      <c r="FCT244" s="36"/>
      <c r="FCU244" s="36"/>
      <c r="FCV244" s="36"/>
      <c r="FCW244" s="36"/>
      <c r="FCX244" s="36"/>
      <c r="FCY244" s="36"/>
      <c r="FCZ244" s="36"/>
      <c r="FDA244" s="36"/>
      <c r="FDB244" s="36"/>
      <c r="FDC244" s="36"/>
      <c r="FDD244" s="36"/>
      <c r="FDE244" s="36"/>
      <c r="FDF244" s="36"/>
      <c r="FDG244" s="36"/>
      <c r="FDH244" s="36"/>
      <c r="FDI244" s="36"/>
      <c r="FDJ244" s="36"/>
      <c r="FDK244" s="36"/>
      <c r="FDL244" s="36"/>
      <c r="FDM244" s="36"/>
      <c r="FDN244" s="36"/>
      <c r="FDO244" s="36"/>
      <c r="FDP244" s="36"/>
      <c r="FDQ244" s="36"/>
      <c r="FDR244" s="36"/>
      <c r="FDS244" s="36"/>
      <c r="FDT244" s="36"/>
      <c r="FDU244" s="36"/>
      <c r="FDV244" s="36"/>
      <c r="FDW244" s="36"/>
      <c r="FDX244" s="36"/>
      <c r="FDY244" s="36"/>
      <c r="FDZ244" s="36"/>
      <c r="FEA244" s="36"/>
      <c r="FEB244" s="36"/>
      <c r="FEC244" s="36"/>
      <c r="FED244" s="36"/>
      <c r="FEE244" s="36"/>
      <c r="FEF244" s="36"/>
      <c r="FEG244" s="36"/>
      <c r="FEH244" s="36"/>
      <c r="FEI244" s="36"/>
      <c r="FEJ244" s="36"/>
      <c r="FEK244" s="36"/>
      <c r="FEL244" s="36"/>
      <c r="FEM244" s="36"/>
      <c r="FEN244" s="36"/>
      <c r="FEO244" s="36"/>
      <c r="FEP244" s="36"/>
      <c r="FEQ244" s="36"/>
      <c r="FER244" s="36"/>
      <c r="FES244" s="36"/>
      <c r="FET244" s="36"/>
      <c r="FEU244" s="36"/>
      <c r="FEV244" s="36"/>
      <c r="FEW244" s="36"/>
      <c r="FEX244" s="36"/>
      <c r="FEY244" s="36"/>
      <c r="FEZ244" s="36"/>
      <c r="FFA244" s="36"/>
      <c r="FFB244" s="36"/>
      <c r="FFC244" s="36"/>
      <c r="FFD244" s="36"/>
      <c r="FFE244" s="36"/>
      <c r="FFF244" s="36"/>
      <c r="FFG244" s="36"/>
      <c r="FFH244" s="36"/>
      <c r="FFI244" s="36"/>
      <c r="FFJ244" s="36"/>
      <c r="FFK244" s="36"/>
      <c r="FFL244" s="36"/>
      <c r="FFM244" s="36"/>
      <c r="FFN244" s="36"/>
      <c r="FFO244" s="36"/>
      <c r="FFP244" s="36"/>
      <c r="FFQ244" s="36"/>
      <c r="FFR244" s="36"/>
      <c r="FFS244" s="36"/>
      <c r="FFT244" s="36"/>
      <c r="FFU244" s="36"/>
      <c r="FFV244" s="36"/>
      <c r="FFW244" s="36"/>
      <c r="FFX244" s="36"/>
      <c r="FFY244" s="36"/>
      <c r="FFZ244" s="36"/>
      <c r="FGA244" s="36"/>
      <c r="FGB244" s="36"/>
      <c r="FGC244" s="36"/>
      <c r="FGD244" s="36"/>
      <c r="FGE244" s="36"/>
      <c r="FGF244" s="36"/>
      <c r="FGG244" s="36"/>
      <c r="FGH244" s="36"/>
      <c r="FGI244" s="36"/>
      <c r="FGJ244" s="36"/>
      <c r="FGK244" s="36"/>
      <c r="FGL244" s="36"/>
      <c r="FGM244" s="36"/>
      <c r="FGN244" s="36"/>
      <c r="FGO244" s="36"/>
      <c r="FGP244" s="36"/>
      <c r="FGQ244" s="36"/>
      <c r="FGR244" s="36"/>
      <c r="FGS244" s="36"/>
      <c r="FGT244" s="36"/>
      <c r="FGU244" s="36"/>
      <c r="FGV244" s="36"/>
      <c r="FGW244" s="36"/>
      <c r="FGX244" s="36"/>
      <c r="FGY244" s="36"/>
      <c r="FGZ244" s="36"/>
      <c r="FHA244" s="36"/>
      <c r="FHB244" s="36"/>
      <c r="FHC244" s="36"/>
      <c r="FHD244" s="36"/>
      <c r="FHE244" s="36"/>
      <c r="FHF244" s="36"/>
      <c r="FHG244" s="36"/>
      <c r="FHH244" s="36"/>
      <c r="FHI244" s="36"/>
      <c r="FHJ244" s="36"/>
      <c r="FHK244" s="36"/>
      <c r="FHL244" s="36"/>
      <c r="FHM244" s="36"/>
      <c r="FHN244" s="36"/>
      <c r="FHO244" s="36"/>
      <c r="FHP244" s="36"/>
      <c r="FHQ244" s="36"/>
      <c r="FHR244" s="36"/>
      <c r="FHS244" s="36"/>
      <c r="FHT244" s="36"/>
      <c r="FHU244" s="36"/>
      <c r="FHV244" s="36"/>
      <c r="FHW244" s="36"/>
      <c r="FHX244" s="36"/>
      <c r="FHY244" s="36"/>
      <c r="FHZ244" s="36"/>
      <c r="FIA244" s="36"/>
      <c r="FIB244" s="36"/>
      <c r="FIC244" s="36"/>
      <c r="FID244" s="36"/>
      <c r="FIE244" s="36"/>
      <c r="FIF244" s="36"/>
      <c r="FIG244" s="36"/>
      <c r="FIH244" s="36"/>
      <c r="FII244" s="36"/>
      <c r="FIJ244" s="36"/>
      <c r="FIK244" s="36"/>
      <c r="FIL244" s="36"/>
      <c r="FIM244" s="36"/>
      <c r="FIN244" s="36"/>
      <c r="FIO244" s="36"/>
      <c r="FIP244" s="36"/>
      <c r="FIQ244" s="36"/>
      <c r="FIR244" s="36"/>
      <c r="FIS244" s="36"/>
      <c r="FIT244" s="36"/>
      <c r="FIU244" s="36"/>
      <c r="FIV244" s="36"/>
      <c r="FIW244" s="36"/>
      <c r="FIX244" s="36"/>
      <c r="FIY244" s="36"/>
      <c r="FIZ244" s="36"/>
      <c r="FJA244" s="36"/>
      <c r="FJB244" s="36"/>
      <c r="FJC244" s="36"/>
      <c r="FJD244" s="36"/>
      <c r="FJE244" s="36"/>
      <c r="FJF244" s="36"/>
      <c r="FJG244" s="36"/>
      <c r="FJH244" s="36"/>
      <c r="FJI244" s="36"/>
      <c r="FJJ244" s="36"/>
      <c r="FJK244" s="36"/>
      <c r="FJL244" s="36"/>
      <c r="FJM244" s="36"/>
      <c r="FJN244" s="36"/>
      <c r="FJO244" s="36"/>
      <c r="FJP244" s="36"/>
      <c r="FJQ244" s="36"/>
      <c r="FJR244" s="36"/>
      <c r="FJS244" s="36"/>
      <c r="FJT244" s="36"/>
      <c r="FJU244" s="36"/>
      <c r="FJV244" s="36"/>
      <c r="FJW244" s="36"/>
      <c r="FJX244" s="36"/>
      <c r="FJY244" s="36"/>
      <c r="FJZ244" s="36"/>
      <c r="FKA244" s="36"/>
      <c r="FKB244" s="36"/>
      <c r="FKC244" s="36"/>
      <c r="FKD244" s="36"/>
      <c r="FKE244" s="36"/>
      <c r="FKF244" s="36"/>
      <c r="FKG244" s="36"/>
      <c r="FKH244" s="36"/>
      <c r="FKI244" s="36"/>
      <c r="FKJ244" s="36"/>
      <c r="FKK244" s="36"/>
      <c r="FKL244" s="36"/>
      <c r="FKM244" s="36"/>
      <c r="FKN244" s="36"/>
      <c r="FKO244" s="36"/>
      <c r="FKP244" s="36"/>
      <c r="FKQ244" s="36"/>
      <c r="FKR244" s="36"/>
      <c r="FKS244" s="36"/>
      <c r="FKT244" s="36"/>
      <c r="FKU244" s="36"/>
      <c r="FKV244" s="36"/>
      <c r="FKW244" s="36"/>
      <c r="FKX244" s="36"/>
      <c r="FKY244" s="36"/>
      <c r="FKZ244" s="36"/>
      <c r="FLA244" s="36"/>
      <c r="FLB244" s="36"/>
      <c r="FLC244" s="36"/>
      <c r="FLD244" s="36"/>
      <c r="FLE244" s="36"/>
      <c r="FLF244" s="36"/>
      <c r="FLG244" s="36"/>
      <c r="FLH244" s="36"/>
      <c r="FLI244" s="36"/>
      <c r="FLJ244" s="36"/>
      <c r="FLK244" s="36"/>
      <c r="FLL244" s="36"/>
      <c r="FLM244" s="36"/>
      <c r="FLN244" s="36"/>
      <c r="FLO244" s="36"/>
      <c r="FLP244" s="36"/>
      <c r="FLQ244" s="36"/>
      <c r="FLR244" s="36"/>
      <c r="FLS244" s="36"/>
      <c r="FLT244" s="36"/>
      <c r="FLU244" s="36"/>
      <c r="FLV244" s="36"/>
      <c r="FLW244" s="36"/>
      <c r="FLX244" s="36"/>
      <c r="FLY244" s="36"/>
      <c r="FLZ244" s="36"/>
      <c r="FMA244" s="36"/>
      <c r="FMB244" s="36"/>
      <c r="FMC244" s="36"/>
      <c r="FMD244" s="36"/>
      <c r="FME244" s="36"/>
      <c r="FMF244" s="36"/>
      <c r="FMG244" s="36"/>
      <c r="FMH244" s="36"/>
      <c r="FMI244" s="36"/>
      <c r="FMJ244" s="36"/>
      <c r="FMK244" s="36"/>
      <c r="FML244" s="36"/>
      <c r="FMM244" s="36"/>
      <c r="FMN244" s="36"/>
      <c r="FMO244" s="36"/>
      <c r="FMP244" s="36"/>
      <c r="FMQ244" s="36"/>
      <c r="FMR244" s="36"/>
      <c r="FMS244" s="36"/>
      <c r="FMT244" s="36"/>
      <c r="FMU244" s="36"/>
      <c r="FMV244" s="36"/>
      <c r="FMW244" s="36"/>
      <c r="FMX244" s="36"/>
      <c r="FMY244" s="36"/>
      <c r="FMZ244" s="36"/>
      <c r="FNA244" s="36"/>
      <c r="FNB244" s="36"/>
      <c r="FNC244" s="36"/>
      <c r="FND244" s="36"/>
      <c r="FNE244" s="36"/>
      <c r="FNF244" s="36"/>
      <c r="FNG244" s="36"/>
      <c r="FNH244" s="36"/>
      <c r="FNI244" s="36"/>
      <c r="FNJ244" s="36"/>
      <c r="FNK244" s="36"/>
      <c r="FNL244" s="36"/>
      <c r="FNM244" s="36"/>
      <c r="FNN244" s="36"/>
      <c r="FNO244" s="36"/>
      <c r="FNP244" s="36"/>
      <c r="FNQ244" s="36"/>
      <c r="FNR244" s="36"/>
      <c r="FNS244" s="36"/>
      <c r="FNT244" s="36"/>
      <c r="FNU244" s="36"/>
      <c r="FNV244" s="36"/>
      <c r="FNW244" s="36"/>
      <c r="FNX244" s="36"/>
      <c r="FNY244" s="36"/>
      <c r="FNZ244" s="36"/>
      <c r="FOA244" s="36"/>
      <c r="FOB244" s="36"/>
      <c r="FOC244" s="36"/>
      <c r="FOD244" s="36"/>
      <c r="FOE244" s="36"/>
      <c r="FOF244" s="36"/>
      <c r="FOG244" s="36"/>
      <c r="FOH244" s="36"/>
      <c r="FOI244" s="36"/>
      <c r="FOJ244" s="36"/>
      <c r="FOK244" s="36"/>
      <c r="FOL244" s="36"/>
      <c r="FOM244" s="36"/>
      <c r="FON244" s="36"/>
      <c r="FOO244" s="36"/>
      <c r="FOP244" s="36"/>
      <c r="FOQ244" s="36"/>
      <c r="FOR244" s="36"/>
      <c r="FOS244" s="36"/>
      <c r="FOT244" s="36"/>
      <c r="FOU244" s="36"/>
      <c r="FOV244" s="36"/>
      <c r="FOW244" s="36"/>
      <c r="FOX244" s="36"/>
      <c r="FOY244" s="36"/>
      <c r="FOZ244" s="36"/>
      <c r="FPA244" s="36"/>
      <c r="FPB244" s="36"/>
      <c r="FPC244" s="36"/>
      <c r="FPD244" s="36"/>
      <c r="FPE244" s="36"/>
      <c r="FPF244" s="36"/>
      <c r="FPG244" s="36"/>
      <c r="FPH244" s="36"/>
      <c r="FPI244" s="36"/>
      <c r="FPJ244" s="36"/>
      <c r="FPK244" s="36"/>
      <c r="FPL244" s="36"/>
      <c r="FPM244" s="36"/>
      <c r="FPN244" s="36"/>
      <c r="FPO244" s="36"/>
      <c r="FPP244" s="36"/>
      <c r="FPQ244" s="36"/>
      <c r="FPR244" s="36"/>
      <c r="FPS244" s="36"/>
      <c r="FPT244" s="36"/>
      <c r="FPU244" s="36"/>
      <c r="FPV244" s="36"/>
      <c r="FPW244" s="36"/>
      <c r="FPX244" s="36"/>
      <c r="FPY244" s="36"/>
      <c r="FPZ244" s="36"/>
      <c r="FQA244" s="36"/>
      <c r="FQB244" s="36"/>
      <c r="FQC244" s="36"/>
      <c r="FQD244" s="36"/>
      <c r="FQE244" s="36"/>
      <c r="FQF244" s="36"/>
      <c r="FQG244" s="36"/>
      <c r="FQH244" s="36"/>
      <c r="FQI244" s="36"/>
      <c r="FQJ244" s="36"/>
      <c r="FQK244" s="36"/>
      <c r="FQL244" s="36"/>
      <c r="FQM244" s="36"/>
      <c r="FQN244" s="36"/>
      <c r="FQO244" s="36"/>
      <c r="FQP244" s="36"/>
      <c r="FQQ244" s="36"/>
      <c r="FQR244" s="36"/>
      <c r="FQS244" s="36"/>
      <c r="FQT244" s="36"/>
      <c r="FQU244" s="36"/>
      <c r="FQV244" s="36"/>
      <c r="FQW244" s="36"/>
      <c r="FQX244" s="36"/>
      <c r="FQY244" s="36"/>
      <c r="FQZ244" s="36"/>
      <c r="FRA244" s="36"/>
      <c r="FRB244" s="36"/>
      <c r="FRC244" s="36"/>
      <c r="FRD244" s="36"/>
      <c r="FRE244" s="36"/>
      <c r="FRF244" s="36"/>
      <c r="FRG244" s="36"/>
      <c r="FRH244" s="36"/>
      <c r="FRI244" s="36"/>
      <c r="FRJ244" s="36"/>
      <c r="FRK244" s="36"/>
      <c r="FRL244" s="36"/>
      <c r="FRM244" s="36"/>
      <c r="FRN244" s="36"/>
      <c r="FRO244" s="36"/>
      <c r="FRP244" s="36"/>
      <c r="FRQ244" s="36"/>
      <c r="FRR244" s="36"/>
      <c r="FRS244" s="36"/>
      <c r="FRT244" s="36"/>
      <c r="FRU244" s="36"/>
      <c r="FRV244" s="36"/>
      <c r="FRW244" s="36"/>
      <c r="FRX244" s="36"/>
      <c r="FRY244" s="36"/>
      <c r="FRZ244" s="36"/>
      <c r="FSA244" s="36"/>
      <c r="FSB244" s="36"/>
      <c r="FSC244" s="36"/>
      <c r="FSD244" s="36"/>
      <c r="FSE244" s="36"/>
      <c r="FSF244" s="36"/>
      <c r="FSG244" s="36"/>
      <c r="FSH244" s="36"/>
      <c r="FSI244" s="36"/>
      <c r="FSJ244" s="36"/>
      <c r="FSK244" s="36"/>
      <c r="FSL244" s="36"/>
      <c r="FSM244" s="36"/>
      <c r="FSN244" s="36"/>
      <c r="FSO244" s="36"/>
      <c r="FSP244" s="36"/>
      <c r="FSQ244" s="36"/>
      <c r="FSR244" s="36"/>
      <c r="FSS244" s="36"/>
      <c r="FST244" s="36"/>
      <c r="FSU244" s="36"/>
      <c r="FSV244" s="36"/>
      <c r="FSW244" s="36"/>
      <c r="FSX244" s="36"/>
      <c r="FSY244" s="36"/>
      <c r="FSZ244" s="36"/>
      <c r="FTA244" s="36"/>
      <c r="FTB244" s="36"/>
      <c r="FTC244" s="36"/>
      <c r="FTD244" s="36"/>
      <c r="FTE244" s="36"/>
      <c r="FTF244" s="36"/>
      <c r="FTG244" s="36"/>
      <c r="FTH244" s="36"/>
      <c r="FTI244" s="36"/>
      <c r="FTJ244" s="36"/>
      <c r="FTK244" s="36"/>
      <c r="FTL244" s="36"/>
      <c r="FTM244" s="36"/>
      <c r="FTN244" s="36"/>
      <c r="FTO244" s="36"/>
      <c r="FTP244" s="36"/>
      <c r="FTQ244" s="36"/>
      <c r="FTR244" s="36"/>
      <c r="FTS244" s="36"/>
      <c r="FTT244" s="36"/>
      <c r="FTU244" s="36"/>
      <c r="FTV244" s="36"/>
      <c r="FTW244" s="36"/>
      <c r="FTX244" s="36"/>
      <c r="FTY244" s="36"/>
      <c r="FTZ244" s="36"/>
      <c r="FUA244" s="36"/>
      <c r="FUB244" s="36"/>
      <c r="FUC244" s="36"/>
      <c r="FUD244" s="36"/>
      <c r="FUE244" s="36"/>
      <c r="FUF244" s="36"/>
      <c r="FUG244" s="36"/>
      <c r="FUH244" s="36"/>
      <c r="FUI244" s="36"/>
      <c r="FUJ244" s="36"/>
      <c r="FUK244" s="36"/>
      <c r="FUL244" s="36"/>
      <c r="FUM244" s="36"/>
      <c r="FUN244" s="36"/>
      <c r="FUO244" s="36"/>
      <c r="FUP244" s="36"/>
      <c r="FUQ244" s="36"/>
      <c r="FUR244" s="36"/>
      <c r="FUS244" s="36"/>
      <c r="FUT244" s="36"/>
      <c r="FUU244" s="36"/>
      <c r="FUV244" s="36"/>
      <c r="FUW244" s="36"/>
      <c r="FUX244" s="36"/>
      <c r="FUY244" s="36"/>
      <c r="FUZ244" s="36"/>
      <c r="FVA244" s="36"/>
      <c r="FVB244" s="36"/>
      <c r="FVC244" s="36"/>
      <c r="FVD244" s="36"/>
      <c r="FVE244" s="36"/>
      <c r="FVF244" s="36"/>
      <c r="FVG244" s="36"/>
      <c r="FVH244" s="36"/>
      <c r="FVI244" s="36"/>
      <c r="FVJ244" s="36"/>
      <c r="FVK244" s="36"/>
      <c r="FVL244" s="36"/>
      <c r="FVM244" s="36"/>
      <c r="FVN244" s="36"/>
      <c r="FVO244" s="36"/>
      <c r="FVP244" s="36"/>
      <c r="FVQ244" s="36"/>
      <c r="FVR244" s="36"/>
      <c r="FVS244" s="36"/>
      <c r="FVT244" s="36"/>
      <c r="FVU244" s="36"/>
      <c r="FVV244" s="36"/>
      <c r="FVW244" s="36"/>
      <c r="FVX244" s="36"/>
      <c r="FVY244" s="36"/>
      <c r="FVZ244" s="36"/>
      <c r="FWA244" s="36"/>
      <c r="FWB244" s="36"/>
      <c r="FWC244" s="36"/>
      <c r="FWD244" s="36"/>
      <c r="FWE244" s="36"/>
      <c r="FWF244" s="36"/>
      <c r="FWG244" s="36"/>
      <c r="FWH244" s="36"/>
      <c r="FWI244" s="36"/>
      <c r="FWJ244" s="36"/>
      <c r="FWK244" s="36"/>
      <c r="FWL244" s="36"/>
      <c r="FWM244" s="36"/>
      <c r="FWN244" s="36"/>
      <c r="FWO244" s="36"/>
      <c r="FWP244" s="36"/>
      <c r="FWQ244" s="36"/>
      <c r="FWR244" s="36"/>
      <c r="FWS244" s="36"/>
      <c r="FWT244" s="36"/>
      <c r="FWU244" s="36"/>
      <c r="FWV244" s="36"/>
      <c r="FWW244" s="36"/>
      <c r="FWX244" s="36"/>
      <c r="FWY244" s="36"/>
      <c r="FWZ244" s="36"/>
      <c r="FXA244" s="36"/>
      <c r="FXB244" s="36"/>
      <c r="FXC244" s="36"/>
      <c r="FXD244" s="36"/>
      <c r="FXE244" s="36"/>
      <c r="FXF244" s="36"/>
      <c r="FXG244" s="36"/>
      <c r="FXH244" s="36"/>
      <c r="FXI244" s="36"/>
      <c r="FXJ244" s="36"/>
      <c r="FXK244" s="36"/>
      <c r="FXL244" s="36"/>
      <c r="FXM244" s="36"/>
      <c r="FXN244" s="36"/>
      <c r="FXO244" s="36"/>
      <c r="FXP244" s="36"/>
      <c r="FXQ244" s="36"/>
      <c r="FXR244" s="36"/>
      <c r="FXS244" s="36"/>
      <c r="FXT244" s="36"/>
      <c r="FXU244" s="36"/>
      <c r="FXV244" s="36"/>
      <c r="FXW244" s="36"/>
      <c r="FXX244" s="36"/>
      <c r="FXY244" s="36"/>
      <c r="FXZ244" s="36"/>
      <c r="FYA244" s="36"/>
      <c r="FYB244" s="36"/>
      <c r="FYC244" s="36"/>
      <c r="FYD244" s="36"/>
      <c r="FYE244" s="36"/>
      <c r="FYF244" s="36"/>
      <c r="FYG244" s="36"/>
      <c r="FYH244" s="36"/>
      <c r="FYI244" s="36"/>
      <c r="FYJ244" s="36"/>
      <c r="FYK244" s="36"/>
      <c r="FYL244" s="36"/>
      <c r="FYM244" s="36"/>
      <c r="FYN244" s="36"/>
      <c r="FYO244" s="36"/>
      <c r="FYP244" s="36"/>
      <c r="FYQ244" s="36"/>
      <c r="FYR244" s="36"/>
      <c r="FYS244" s="36"/>
      <c r="FYT244" s="36"/>
      <c r="FYU244" s="36"/>
      <c r="FYV244" s="36"/>
      <c r="FYW244" s="36"/>
      <c r="FYX244" s="36"/>
      <c r="FYY244" s="36"/>
      <c r="FYZ244" s="36"/>
      <c r="FZA244" s="36"/>
      <c r="FZB244" s="36"/>
      <c r="FZC244" s="36"/>
      <c r="FZD244" s="36"/>
      <c r="FZE244" s="36"/>
      <c r="FZF244" s="36"/>
      <c r="FZG244" s="36"/>
      <c r="FZH244" s="36"/>
      <c r="FZI244" s="36"/>
      <c r="FZJ244" s="36"/>
      <c r="FZK244" s="36"/>
      <c r="FZL244" s="36"/>
      <c r="FZM244" s="36"/>
      <c r="FZN244" s="36"/>
      <c r="FZO244" s="36"/>
      <c r="FZP244" s="36"/>
      <c r="FZQ244" s="36"/>
      <c r="FZR244" s="36"/>
      <c r="FZS244" s="36"/>
      <c r="FZT244" s="36"/>
      <c r="FZU244" s="36"/>
      <c r="FZV244" s="36"/>
      <c r="FZW244" s="36"/>
      <c r="FZX244" s="36"/>
      <c r="FZY244" s="36"/>
      <c r="FZZ244" s="36"/>
      <c r="GAA244" s="36"/>
      <c r="GAB244" s="36"/>
      <c r="GAC244" s="36"/>
      <c r="GAD244" s="36"/>
      <c r="GAE244" s="36"/>
      <c r="GAF244" s="36"/>
      <c r="GAG244" s="36"/>
      <c r="GAH244" s="36"/>
      <c r="GAI244" s="36"/>
      <c r="GAJ244" s="36"/>
      <c r="GAK244" s="36"/>
      <c r="GAL244" s="36"/>
      <c r="GAM244" s="36"/>
      <c r="GAN244" s="36"/>
      <c r="GAO244" s="36"/>
      <c r="GAP244" s="36"/>
      <c r="GAQ244" s="36"/>
      <c r="GAR244" s="36"/>
      <c r="GAS244" s="36"/>
      <c r="GAT244" s="36"/>
      <c r="GAU244" s="36"/>
      <c r="GAV244" s="36"/>
      <c r="GAW244" s="36"/>
      <c r="GAX244" s="36"/>
      <c r="GAY244" s="36"/>
      <c r="GAZ244" s="36"/>
      <c r="GBA244" s="36"/>
      <c r="GBB244" s="36"/>
      <c r="GBC244" s="36"/>
      <c r="GBD244" s="36"/>
      <c r="GBE244" s="36"/>
      <c r="GBF244" s="36"/>
      <c r="GBG244" s="36"/>
      <c r="GBH244" s="36"/>
      <c r="GBI244" s="36"/>
      <c r="GBJ244" s="36"/>
      <c r="GBK244" s="36"/>
      <c r="GBL244" s="36"/>
      <c r="GBM244" s="36"/>
      <c r="GBN244" s="36"/>
      <c r="GBO244" s="36"/>
      <c r="GBP244" s="36"/>
      <c r="GBQ244" s="36"/>
      <c r="GBR244" s="36"/>
      <c r="GBS244" s="36"/>
      <c r="GBT244" s="36"/>
      <c r="GBU244" s="36"/>
      <c r="GBV244" s="36"/>
      <c r="GBW244" s="36"/>
      <c r="GBX244" s="36"/>
      <c r="GBY244" s="36"/>
      <c r="GBZ244" s="36"/>
      <c r="GCA244" s="36"/>
      <c r="GCB244" s="36"/>
      <c r="GCC244" s="36"/>
      <c r="GCD244" s="36"/>
      <c r="GCE244" s="36"/>
      <c r="GCF244" s="36"/>
      <c r="GCG244" s="36"/>
      <c r="GCH244" s="36"/>
      <c r="GCI244" s="36"/>
      <c r="GCJ244" s="36"/>
      <c r="GCK244" s="36"/>
      <c r="GCL244" s="36"/>
      <c r="GCM244" s="36"/>
      <c r="GCN244" s="36"/>
      <c r="GCO244" s="36"/>
      <c r="GCP244" s="36"/>
      <c r="GCQ244" s="36"/>
      <c r="GCR244" s="36"/>
      <c r="GCS244" s="36"/>
      <c r="GCT244" s="36"/>
      <c r="GCU244" s="36"/>
      <c r="GCV244" s="36"/>
      <c r="GCW244" s="36"/>
      <c r="GCX244" s="36"/>
      <c r="GCY244" s="36"/>
      <c r="GCZ244" s="36"/>
      <c r="GDA244" s="36"/>
      <c r="GDB244" s="36"/>
      <c r="GDC244" s="36"/>
      <c r="GDD244" s="36"/>
      <c r="GDE244" s="36"/>
      <c r="GDF244" s="36"/>
      <c r="GDG244" s="36"/>
      <c r="GDH244" s="36"/>
      <c r="GDI244" s="36"/>
      <c r="GDJ244" s="36"/>
      <c r="GDK244" s="36"/>
      <c r="GDL244" s="36"/>
      <c r="GDM244" s="36"/>
      <c r="GDN244" s="36"/>
      <c r="GDO244" s="36"/>
      <c r="GDP244" s="36"/>
      <c r="GDQ244" s="36"/>
      <c r="GDR244" s="36"/>
      <c r="GDS244" s="36"/>
      <c r="GDT244" s="36"/>
      <c r="GDU244" s="36"/>
      <c r="GDV244" s="36"/>
      <c r="GDW244" s="36"/>
      <c r="GDX244" s="36"/>
      <c r="GDY244" s="36"/>
      <c r="GDZ244" s="36"/>
      <c r="GEA244" s="36"/>
      <c r="GEB244" s="36"/>
      <c r="GEC244" s="36"/>
      <c r="GED244" s="36"/>
      <c r="GEE244" s="36"/>
      <c r="GEF244" s="36"/>
      <c r="GEG244" s="36"/>
      <c r="GEH244" s="36"/>
      <c r="GEI244" s="36"/>
      <c r="GEJ244" s="36"/>
      <c r="GEK244" s="36"/>
      <c r="GEL244" s="36"/>
      <c r="GEM244" s="36"/>
      <c r="GEN244" s="36"/>
      <c r="GEO244" s="36"/>
      <c r="GEP244" s="36"/>
      <c r="GEQ244" s="36"/>
      <c r="GER244" s="36"/>
      <c r="GES244" s="36"/>
      <c r="GET244" s="36"/>
      <c r="GEU244" s="36"/>
      <c r="GEV244" s="36"/>
      <c r="GEW244" s="36"/>
      <c r="GEX244" s="36"/>
      <c r="GEY244" s="36"/>
      <c r="GEZ244" s="36"/>
      <c r="GFA244" s="36"/>
      <c r="GFB244" s="36"/>
      <c r="GFC244" s="36"/>
      <c r="GFD244" s="36"/>
      <c r="GFE244" s="36"/>
      <c r="GFF244" s="36"/>
      <c r="GFG244" s="36"/>
      <c r="GFH244" s="36"/>
      <c r="GFI244" s="36"/>
      <c r="GFJ244" s="36"/>
      <c r="GFK244" s="36"/>
      <c r="GFL244" s="36"/>
      <c r="GFM244" s="36"/>
      <c r="GFN244" s="36"/>
      <c r="GFO244" s="36"/>
      <c r="GFP244" s="36"/>
      <c r="GFQ244" s="36"/>
      <c r="GFR244" s="36"/>
      <c r="GFS244" s="36"/>
      <c r="GFT244" s="36"/>
      <c r="GFU244" s="36"/>
      <c r="GFV244" s="36"/>
      <c r="GFW244" s="36"/>
      <c r="GFX244" s="36"/>
      <c r="GFY244" s="36"/>
      <c r="GFZ244" s="36"/>
      <c r="GGA244" s="36"/>
      <c r="GGB244" s="36"/>
      <c r="GGC244" s="36"/>
      <c r="GGD244" s="36"/>
      <c r="GGE244" s="36"/>
      <c r="GGF244" s="36"/>
      <c r="GGG244" s="36"/>
      <c r="GGH244" s="36"/>
      <c r="GGI244" s="36"/>
      <c r="GGJ244" s="36"/>
      <c r="GGK244" s="36"/>
      <c r="GGL244" s="36"/>
      <c r="GGM244" s="36"/>
      <c r="GGN244" s="36"/>
      <c r="GGO244" s="36"/>
      <c r="GGP244" s="36"/>
      <c r="GGQ244" s="36"/>
      <c r="GGR244" s="36"/>
      <c r="GGS244" s="36"/>
      <c r="GGT244" s="36"/>
      <c r="GGU244" s="36"/>
      <c r="GGV244" s="36"/>
      <c r="GGW244" s="36"/>
      <c r="GGX244" s="36"/>
      <c r="GGY244" s="36"/>
      <c r="GGZ244" s="36"/>
      <c r="GHA244" s="36"/>
      <c r="GHB244" s="36"/>
      <c r="GHC244" s="36"/>
      <c r="GHD244" s="36"/>
      <c r="GHE244" s="36"/>
      <c r="GHF244" s="36"/>
      <c r="GHG244" s="36"/>
      <c r="GHH244" s="36"/>
      <c r="GHI244" s="36"/>
      <c r="GHJ244" s="36"/>
      <c r="GHK244" s="36"/>
      <c r="GHL244" s="36"/>
      <c r="GHM244" s="36"/>
      <c r="GHN244" s="36"/>
      <c r="GHO244" s="36"/>
      <c r="GHP244" s="36"/>
      <c r="GHQ244" s="36"/>
      <c r="GHR244" s="36"/>
      <c r="GHS244" s="36"/>
      <c r="GHT244" s="36"/>
      <c r="GHU244" s="36"/>
      <c r="GHV244" s="36"/>
      <c r="GHW244" s="36"/>
      <c r="GHX244" s="36"/>
      <c r="GHY244" s="36"/>
      <c r="GHZ244" s="36"/>
      <c r="GIA244" s="36"/>
      <c r="GIB244" s="36"/>
      <c r="GIC244" s="36"/>
      <c r="GID244" s="36"/>
      <c r="GIE244" s="36"/>
      <c r="GIF244" s="36"/>
      <c r="GIG244" s="36"/>
      <c r="GIH244" s="36"/>
      <c r="GII244" s="36"/>
      <c r="GIJ244" s="36"/>
      <c r="GIK244" s="36"/>
      <c r="GIL244" s="36"/>
      <c r="GIM244" s="36"/>
      <c r="GIN244" s="36"/>
      <c r="GIO244" s="36"/>
      <c r="GIP244" s="36"/>
      <c r="GIQ244" s="36"/>
      <c r="GIR244" s="36"/>
      <c r="GIS244" s="36"/>
      <c r="GIT244" s="36"/>
      <c r="GIU244" s="36"/>
      <c r="GIV244" s="36"/>
      <c r="GIW244" s="36"/>
      <c r="GIX244" s="36"/>
      <c r="GIY244" s="36"/>
      <c r="GIZ244" s="36"/>
      <c r="GJA244" s="36"/>
      <c r="GJB244" s="36"/>
      <c r="GJC244" s="36"/>
      <c r="GJD244" s="36"/>
      <c r="GJE244" s="36"/>
      <c r="GJF244" s="36"/>
      <c r="GJG244" s="36"/>
      <c r="GJH244" s="36"/>
      <c r="GJI244" s="36"/>
      <c r="GJJ244" s="36"/>
      <c r="GJK244" s="36"/>
      <c r="GJL244" s="36"/>
      <c r="GJM244" s="36"/>
      <c r="GJN244" s="36"/>
      <c r="GJO244" s="36"/>
      <c r="GJP244" s="36"/>
      <c r="GJQ244" s="36"/>
      <c r="GJR244" s="36"/>
      <c r="GJS244" s="36"/>
      <c r="GJT244" s="36"/>
      <c r="GJU244" s="36"/>
      <c r="GJV244" s="36"/>
      <c r="GJW244" s="36"/>
      <c r="GJX244" s="36"/>
      <c r="GJY244" s="36"/>
      <c r="GJZ244" s="36"/>
      <c r="GKA244" s="36"/>
      <c r="GKB244" s="36"/>
      <c r="GKC244" s="36"/>
      <c r="GKD244" s="36"/>
      <c r="GKE244" s="36"/>
      <c r="GKF244" s="36"/>
      <c r="GKG244" s="36"/>
      <c r="GKH244" s="36"/>
      <c r="GKI244" s="36"/>
      <c r="GKJ244" s="36"/>
      <c r="GKK244" s="36"/>
      <c r="GKL244" s="36"/>
      <c r="GKM244" s="36"/>
      <c r="GKN244" s="36"/>
      <c r="GKO244" s="36"/>
      <c r="GKP244" s="36"/>
      <c r="GKQ244" s="36"/>
      <c r="GKR244" s="36"/>
      <c r="GKS244" s="36"/>
      <c r="GKT244" s="36"/>
      <c r="GKU244" s="36"/>
      <c r="GKV244" s="36"/>
      <c r="GKW244" s="36"/>
      <c r="GKX244" s="36"/>
      <c r="GKY244" s="36"/>
      <c r="GKZ244" s="36"/>
      <c r="GLA244" s="36"/>
      <c r="GLB244" s="36"/>
      <c r="GLC244" s="36"/>
      <c r="GLD244" s="36"/>
      <c r="GLE244" s="36"/>
      <c r="GLF244" s="36"/>
      <c r="GLG244" s="36"/>
      <c r="GLH244" s="36"/>
      <c r="GLI244" s="36"/>
      <c r="GLJ244" s="36"/>
      <c r="GLK244" s="36"/>
      <c r="GLL244" s="36"/>
      <c r="GLM244" s="36"/>
      <c r="GLN244" s="36"/>
      <c r="GLO244" s="36"/>
      <c r="GLP244" s="36"/>
      <c r="GLQ244" s="36"/>
      <c r="GLR244" s="36"/>
      <c r="GLS244" s="36"/>
      <c r="GLT244" s="36"/>
      <c r="GLU244" s="36"/>
      <c r="GLV244" s="36"/>
      <c r="GLW244" s="36"/>
      <c r="GLX244" s="36"/>
      <c r="GLY244" s="36"/>
      <c r="GLZ244" s="36"/>
      <c r="GMA244" s="36"/>
      <c r="GMB244" s="36"/>
      <c r="GMC244" s="36"/>
      <c r="GMD244" s="36"/>
      <c r="GME244" s="36"/>
      <c r="GMF244" s="36"/>
      <c r="GMG244" s="36"/>
      <c r="GMH244" s="36"/>
      <c r="GMI244" s="36"/>
      <c r="GMJ244" s="36"/>
      <c r="GMK244" s="36"/>
      <c r="GML244" s="36"/>
      <c r="GMM244" s="36"/>
      <c r="GMN244" s="36"/>
      <c r="GMO244" s="36"/>
      <c r="GMP244" s="36"/>
      <c r="GMQ244" s="36"/>
      <c r="GMR244" s="36"/>
      <c r="GMS244" s="36"/>
      <c r="GMT244" s="36"/>
      <c r="GMU244" s="36"/>
      <c r="GMV244" s="36"/>
      <c r="GMW244" s="36"/>
      <c r="GMX244" s="36"/>
      <c r="GMY244" s="36"/>
      <c r="GMZ244" s="36"/>
      <c r="GNA244" s="36"/>
      <c r="GNB244" s="36"/>
      <c r="GNC244" s="36"/>
      <c r="GND244" s="36"/>
      <c r="GNE244" s="36"/>
      <c r="GNF244" s="36"/>
      <c r="GNG244" s="36"/>
      <c r="GNH244" s="36"/>
      <c r="GNI244" s="36"/>
      <c r="GNJ244" s="36"/>
      <c r="GNK244" s="36"/>
      <c r="GNL244" s="36"/>
      <c r="GNM244" s="36"/>
      <c r="GNN244" s="36"/>
      <c r="GNO244" s="36"/>
      <c r="GNP244" s="36"/>
      <c r="GNQ244" s="36"/>
      <c r="GNR244" s="36"/>
      <c r="GNS244" s="36"/>
      <c r="GNT244" s="36"/>
      <c r="GNU244" s="36"/>
      <c r="GNV244" s="36"/>
      <c r="GNW244" s="36"/>
      <c r="GNX244" s="36"/>
      <c r="GNY244" s="36"/>
      <c r="GNZ244" s="36"/>
      <c r="GOA244" s="36"/>
      <c r="GOB244" s="36"/>
      <c r="GOC244" s="36"/>
      <c r="GOD244" s="36"/>
      <c r="GOE244" s="36"/>
      <c r="GOF244" s="36"/>
      <c r="GOG244" s="36"/>
      <c r="GOH244" s="36"/>
      <c r="GOI244" s="36"/>
      <c r="GOJ244" s="36"/>
      <c r="GOK244" s="36"/>
      <c r="GOL244" s="36"/>
      <c r="GOM244" s="36"/>
      <c r="GON244" s="36"/>
      <c r="GOO244" s="36"/>
      <c r="GOP244" s="36"/>
      <c r="GOQ244" s="36"/>
      <c r="GOR244" s="36"/>
      <c r="GOS244" s="36"/>
      <c r="GOT244" s="36"/>
      <c r="GOU244" s="36"/>
      <c r="GOV244" s="36"/>
      <c r="GOW244" s="36"/>
      <c r="GOX244" s="36"/>
      <c r="GOY244" s="36"/>
      <c r="GOZ244" s="36"/>
      <c r="GPA244" s="36"/>
      <c r="GPB244" s="36"/>
      <c r="GPC244" s="36"/>
      <c r="GPD244" s="36"/>
      <c r="GPE244" s="36"/>
      <c r="GPF244" s="36"/>
      <c r="GPG244" s="36"/>
      <c r="GPH244" s="36"/>
      <c r="GPI244" s="36"/>
      <c r="GPJ244" s="36"/>
      <c r="GPK244" s="36"/>
      <c r="GPL244" s="36"/>
      <c r="GPM244" s="36"/>
      <c r="GPN244" s="36"/>
      <c r="GPO244" s="36"/>
      <c r="GPP244" s="36"/>
      <c r="GPQ244" s="36"/>
      <c r="GPR244" s="36"/>
      <c r="GPS244" s="36"/>
      <c r="GPT244" s="36"/>
      <c r="GPU244" s="36"/>
      <c r="GPV244" s="36"/>
      <c r="GPW244" s="36"/>
      <c r="GPX244" s="36"/>
      <c r="GPY244" s="36"/>
      <c r="GPZ244" s="36"/>
      <c r="GQA244" s="36"/>
      <c r="GQB244" s="36"/>
      <c r="GQC244" s="36"/>
      <c r="GQD244" s="36"/>
      <c r="GQE244" s="36"/>
      <c r="GQF244" s="36"/>
      <c r="GQG244" s="36"/>
      <c r="GQH244" s="36"/>
      <c r="GQI244" s="36"/>
      <c r="GQJ244" s="36"/>
      <c r="GQK244" s="36"/>
      <c r="GQL244" s="36"/>
      <c r="GQM244" s="36"/>
      <c r="GQN244" s="36"/>
      <c r="GQO244" s="36"/>
      <c r="GQP244" s="36"/>
      <c r="GQQ244" s="36"/>
      <c r="GQR244" s="36"/>
      <c r="GQS244" s="36"/>
      <c r="GQT244" s="36"/>
      <c r="GQU244" s="36"/>
      <c r="GQV244" s="36"/>
      <c r="GQW244" s="36"/>
      <c r="GQX244" s="36"/>
      <c r="GQY244" s="36"/>
      <c r="GQZ244" s="36"/>
      <c r="GRA244" s="36"/>
      <c r="GRB244" s="36"/>
      <c r="GRC244" s="36"/>
      <c r="GRD244" s="36"/>
      <c r="GRE244" s="36"/>
      <c r="GRF244" s="36"/>
      <c r="GRG244" s="36"/>
      <c r="GRH244" s="36"/>
      <c r="GRI244" s="36"/>
      <c r="GRJ244" s="36"/>
      <c r="GRK244" s="36"/>
      <c r="GRL244" s="36"/>
      <c r="GRM244" s="36"/>
      <c r="GRN244" s="36"/>
      <c r="GRO244" s="36"/>
      <c r="GRP244" s="36"/>
      <c r="GRQ244" s="36"/>
      <c r="GRR244" s="36"/>
      <c r="GRS244" s="36"/>
      <c r="GRT244" s="36"/>
      <c r="GRU244" s="36"/>
      <c r="GRV244" s="36"/>
      <c r="GRW244" s="36"/>
      <c r="GRX244" s="36"/>
      <c r="GRY244" s="36"/>
      <c r="GRZ244" s="36"/>
      <c r="GSA244" s="36"/>
      <c r="GSB244" s="36"/>
      <c r="GSC244" s="36"/>
      <c r="GSD244" s="36"/>
      <c r="GSE244" s="36"/>
      <c r="GSF244" s="36"/>
      <c r="GSG244" s="36"/>
      <c r="GSH244" s="36"/>
      <c r="GSI244" s="36"/>
      <c r="GSJ244" s="36"/>
      <c r="GSK244" s="36"/>
      <c r="GSL244" s="36"/>
      <c r="GSM244" s="36"/>
      <c r="GSN244" s="36"/>
      <c r="GSO244" s="36"/>
      <c r="GSP244" s="36"/>
      <c r="GSQ244" s="36"/>
      <c r="GSR244" s="36"/>
      <c r="GSS244" s="36"/>
      <c r="GST244" s="36"/>
      <c r="GSU244" s="36"/>
      <c r="GSV244" s="36"/>
      <c r="GSW244" s="36"/>
      <c r="GSX244" s="36"/>
      <c r="GSY244" s="36"/>
      <c r="GSZ244" s="36"/>
      <c r="GTA244" s="36"/>
      <c r="GTB244" s="36"/>
      <c r="GTC244" s="36"/>
      <c r="GTD244" s="36"/>
      <c r="GTE244" s="36"/>
      <c r="GTF244" s="36"/>
      <c r="GTG244" s="36"/>
      <c r="GTH244" s="36"/>
      <c r="GTI244" s="36"/>
      <c r="GTJ244" s="36"/>
      <c r="GTK244" s="36"/>
      <c r="GTL244" s="36"/>
      <c r="GTM244" s="36"/>
      <c r="GTN244" s="36"/>
      <c r="GTO244" s="36"/>
      <c r="GTP244" s="36"/>
      <c r="GTQ244" s="36"/>
      <c r="GTR244" s="36"/>
      <c r="GTS244" s="36"/>
      <c r="GTT244" s="36"/>
      <c r="GTU244" s="36"/>
      <c r="GTV244" s="36"/>
      <c r="GTW244" s="36"/>
      <c r="GTX244" s="36"/>
      <c r="GTY244" s="36"/>
      <c r="GTZ244" s="36"/>
      <c r="GUA244" s="36"/>
      <c r="GUB244" s="36"/>
      <c r="GUC244" s="36"/>
      <c r="GUD244" s="36"/>
      <c r="GUE244" s="36"/>
      <c r="GUF244" s="36"/>
      <c r="GUG244" s="36"/>
      <c r="GUH244" s="36"/>
      <c r="GUI244" s="36"/>
      <c r="GUJ244" s="36"/>
      <c r="GUK244" s="36"/>
      <c r="GUL244" s="36"/>
      <c r="GUM244" s="36"/>
      <c r="GUN244" s="36"/>
      <c r="GUO244" s="36"/>
      <c r="GUP244" s="36"/>
      <c r="GUQ244" s="36"/>
      <c r="GUR244" s="36"/>
      <c r="GUS244" s="36"/>
      <c r="GUT244" s="36"/>
      <c r="GUU244" s="36"/>
      <c r="GUV244" s="36"/>
      <c r="GUW244" s="36"/>
      <c r="GUX244" s="36"/>
      <c r="GUY244" s="36"/>
      <c r="GUZ244" s="36"/>
      <c r="GVA244" s="36"/>
      <c r="GVB244" s="36"/>
      <c r="GVC244" s="36"/>
      <c r="GVD244" s="36"/>
      <c r="GVE244" s="36"/>
      <c r="GVF244" s="36"/>
      <c r="GVG244" s="36"/>
      <c r="GVH244" s="36"/>
      <c r="GVI244" s="36"/>
      <c r="GVJ244" s="36"/>
      <c r="GVK244" s="36"/>
      <c r="GVL244" s="36"/>
      <c r="GVM244" s="36"/>
      <c r="GVN244" s="36"/>
      <c r="GVO244" s="36"/>
      <c r="GVP244" s="36"/>
      <c r="GVQ244" s="36"/>
      <c r="GVR244" s="36"/>
      <c r="GVS244" s="36"/>
      <c r="GVT244" s="36"/>
      <c r="GVU244" s="36"/>
      <c r="GVV244" s="36"/>
      <c r="GVW244" s="36"/>
      <c r="GVX244" s="36"/>
      <c r="GVY244" s="36"/>
      <c r="GVZ244" s="36"/>
      <c r="GWA244" s="36"/>
      <c r="GWB244" s="36"/>
      <c r="GWC244" s="36"/>
      <c r="GWD244" s="36"/>
      <c r="GWE244" s="36"/>
      <c r="GWF244" s="36"/>
      <c r="GWG244" s="36"/>
      <c r="GWH244" s="36"/>
      <c r="GWI244" s="36"/>
      <c r="GWJ244" s="36"/>
      <c r="GWK244" s="36"/>
      <c r="GWL244" s="36"/>
      <c r="GWM244" s="36"/>
      <c r="GWN244" s="36"/>
      <c r="GWO244" s="36"/>
      <c r="GWP244" s="36"/>
      <c r="GWQ244" s="36"/>
      <c r="GWR244" s="36"/>
      <c r="GWS244" s="36"/>
      <c r="GWT244" s="36"/>
      <c r="GWU244" s="36"/>
      <c r="GWV244" s="36"/>
      <c r="GWW244" s="36"/>
      <c r="GWX244" s="36"/>
      <c r="GWY244" s="36"/>
      <c r="GWZ244" s="36"/>
      <c r="GXA244" s="36"/>
      <c r="GXB244" s="36"/>
      <c r="GXC244" s="36"/>
      <c r="GXD244" s="36"/>
      <c r="GXE244" s="36"/>
      <c r="GXF244" s="36"/>
      <c r="GXG244" s="36"/>
      <c r="GXH244" s="36"/>
      <c r="GXI244" s="36"/>
      <c r="GXJ244" s="36"/>
      <c r="GXK244" s="36"/>
      <c r="GXL244" s="36"/>
      <c r="GXM244" s="36"/>
      <c r="GXN244" s="36"/>
      <c r="GXO244" s="36"/>
      <c r="GXP244" s="36"/>
      <c r="GXQ244" s="36"/>
      <c r="GXR244" s="36"/>
      <c r="GXS244" s="36"/>
      <c r="GXT244" s="36"/>
      <c r="GXU244" s="36"/>
      <c r="GXV244" s="36"/>
      <c r="GXW244" s="36"/>
      <c r="GXX244" s="36"/>
      <c r="GXY244" s="36"/>
      <c r="GXZ244" s="36"/>
      <c r="GYA244" s="36"/>
      <c r="GYB244" s="36"/>
      <c r="GYC244" s="36"/>
      <c r="GYD244" s="36"/>
      <c r="GYE244" s="36"/>
      <c r="GYF244" s="36"/>
      <c r="GYG244" s="36"/>
      <c r="GYH244" s="36"/>
      <c r="GYI244" s="36"/>
      <c r="GYJ244" s="36"/>
      <c r="GYK244" s="36"/>
      <c r="GYL244" s="36"/>
      <c r="GYM244" s="36"/>
      <c r="GYN244" s="36"/>
      <c r="GYO244" s="36"/>
      <c r="GYP244" s="36"/>
      <c r="GYQ244" s="36"/>
      <c r="GYR244" s="36"/>
      <c r="GYS244" s="36"/>
      <c r="GYT244" s="36"/>
      <c r="GYU244" s="36"/>
      <c r="GYV244" s="36"/>
      <c r="GYW244" s="36"/>
      <c r="GYX244" s="36"/>
      <c r="GYY244" s="36"/>
      <c r="GYZ244" s="36"/>
      <c r="GZA244" s="36"/>
      <c r="GZB244" s="36"/>
      <c r="GZC244" s="36"/>
      <c r="GZD244" s="36"/>
      <c r="GZE244" s="36"/>
      <c r="GZF244" s="36"/>
      <c r="GZG244" s="36"/>
      <c r="GZH244" s="36"/>
      <c r="GZI244" s="36"/>
      <c r="GZJ244" s="36"/>
      <c r="GZK244" s="36"/>
      <c r="GZL244" s="36"/>
      <c r="GZM244" s="36"/>
      <c r="GZN244" s="36"/>
      <c r="GZO244" s="36"/>
      <c r="GZP244" s="36"/>
      <c r="GZQ244" s="36"/>
      <c r="GZR244" s="36"/>
      <c r="GZS244" s="36"/>
      <c r="GZT244" s="36"/>
      <c r="GZU244" s="36"/>
      <c r="GZV244" s="36"/>
      <c r="GZW244" s="36"/>
      <c r="GZX244" s="36"/>
      <c r="GZY244" s="36"/>
      <c r="GZZ244" s="36"/>
      <c r="HAA244" s="36"/>
      <c r="HAB244" s="36"/>
      <c r="HAC244" s="36"/>
      <c r="HAD244" s="36"/>
      <c r="HAE244" s="36"/>
      <c r="HAF244" s="36"/>
      <c r="HAG244" s="36"/>
      <c r="HAH244" s="36"/>
      <c r="HAI244" s="36"/>
      <c r="HAJ244" s="36"/>
      <c r="HAK244" s="36"/>
      <c r="HAL244" s="36"/>
      <c r="HAM244" s="36"/>
      <c r="HAN244" s="36"/>
      <c r="HAO244" s="36"/>
      <c r="HAP244" s="36"/>
      <c r="HAQ244" s="36"/>
      <c r="HAR244" s="36"/>
      <c r="HAS244" s="36"/>
      <c r="HAT244" s="36"/>
      <c r="HAU244" s="36"/>
      <c r="HAV244" s="36"/>
      <c r="HAW244" s="36"/>
      <c r="HAX244" s="36"/>
      <c r="HAY244" s="36"/>
      <c r="HAZ244" s="36"/>
      <c r="HBA244" s="36"/>
      <c r="HBB244" s="36"/>
      <c r="HBC244" s="36"/>
      <c r="HBD244" s="36"/>
      <c r="HBE244" s="36"/>
      <c r="HBF244" s="36"/>
      <c r="HBG244" s="36"/>
      <c r="HBH244" s="36"/>
      <c r="HBI244" s="36"/>
      <c r="HBJ244" s="36"/>
      <c r="HBK244" s="36"/>
      <c r="HBL244" s="36"/>
      <c r="HBM244" s="36"/>
      <c r="HBN244" s="36"/>
      <c r="HBO244" s="36"/>
      <c r="HBP244" s="36"/>
      <c r="HBQ244" s="36"/>
      <c r="HBR244" s="36"/>
      <c r="HBS244" s="36"/>
      <c r="HBT244" s="36"/>
      <c r="HBU244" s="36"/>
      <c r="HBV244" s="36"/>
      <c r="HBW244" s="36"/>
      <c r="HBX244" s="36"/>
      <c r="HBY244" s="36"/>
      <c r="HBZ244" s="36"/>
      <c r="HCA244" s="36"/>
      <c r="HCB244" s="36"/>
      <c r="HCC244" s="36"/>
      <c r="HCD244" s="36"/>
      <c r="HCE244" s="36"/>
      <c r="HCF244" s="36"/>
      <c r="HCG244" s="36"/>
      <c r="HCH244" s="36"/>
      <c r="HCI244" s="36"/>
      <c r="HCJ244" s="36"/>
      <c r="HCK244" s="36"/>
      <c r="HCL244" s="36"/>
      <c r="HCM244" s="36"/>
      <c r="HCN244" s="36"/>
      <c r="HCO244" s="36"/>
      <c r="HCP244" s="36"/>
      <c r="HCQ244" s="36"/>
      <c r="HCR244" s="36"/>
      <c r="HCS244" s="36"/>
      <c r="HCT244" s="36"/>
      <c r="HCU244" s="36"/>
      <c r="HCV244" s="36"/>
      <c r="HCW244" s="36"/>
      <c r="HCX244" s="36"/>
      <c r="HCY244" s="36"/>
      <c r="HCZ244" s="36"/>
      <c r="HDA244" s="36"/>
      <c r="HDB244" s="36"/>
      <c r="HDC244" s="36"/>
      <c r="HDD244" s="36"/>
      <c r="HDE244" s="36"/>
      <c r="HDF244" s="36"/>
      <c r="HDG244" s="36"/>
      <c r="HDH244" s="36"/>
      <c r="HDI244" s="36"/>
      <c r="HDJ244" s="36"/>
      <c r="HDK244" s="36"/>
      <c r="HDL244" s="36"/>
      <c r="HDM244" s="36"/>
      <c r="HDN244" s="36"/>
      <c r="HDO244" s="36"/>
      <c r="HDP244" s="36"/>
      <c r="HDQ244" s="36"/>
      <c r="HDR244" s="36"/>
      <c r="HDS244" s="36"/>
      <c r="HDT244" s="36"/>
      <c r="HDU244" s="36"/>
      <c r="HDV244" s="36"/>
      <c r="HDW244" s="36"/>
      <c r="HDX244" s="36"/>
      <c r="HDY244" s="36"/>
      <c r="HDZ244" s="36"/>
      <c r="HEA244" s="36"/>
      <c r="HEB244" s="36"/>
      <c r="HEC244" s="36"/>
      <c r="HED244" s="36"/>
      <c r="HEE244" s="36"/>
      <c r="HEF244" s="36"/>
      <c r="HEG244" s="36"/>
      <c r="HEH244" s="36"/>
      <c r="HEI244" s="36"/>
      <c r="HEJ244" s="36"/>
      <c r="HEK244" s="36"/>
      <c r="HEL244" s="36"/>
      <c r="HEM244" s="36"/>
      <c r="HEN244" s="36"/>
      <c r="HEO244" s="36"/>
      <c r="HEP244" s="36"/>
      <c r="HEQ244" s="36"/>
      <c r="HER244" s="36"/>
      <c r="HES244" s="36"/>
      <c r="HET244" s="36"/>
      <c r="HEU244" s="36"/>
      <c r="HEV244" s="36"/>
      <c r="HEW244" s="36"/>
      <c r="HEX244" s="36"/>
      <c r="HEY244" s="36"/>
      <c r="HEZ244" s="36"/>
      <c r="HFA244" s="36"/>
      <c r="HFB244" s="36"/>
      <c r="HFC244" s="36"/>
      <c r="HFD244" s="36"/>
      <c r="HFE244" s="36"/>
      <c r="HFF244" s="36"/>
      <c r="HFG244" s="36"/>
      <c r="HFH244" s="36"/>
      <c r="HFI244" s="36"/>
      <c r="HFJ244" s="36"/>
      <c r="HFK244" s="36"/>
      <c r="HFL244" s="36"/>
      <c r="HFM244" s="36"/>
      <c r="HFN244" s="36"/>
      <c r="HFO244" s="36"/>
      <c r="HFP244" s="36"/>
      <c r="HFQ244" s="36"/>
      <c r="HFR244" s="36"/>
      <c r="HFS244" s="36"/>
      <c r="HFT244" s="36"/>
      <c r="HFU244" s="36"/>
      <c r="HFV244" s="36"/>
      <c r="HFW244" s="36"/>
      <c r="HFX244" s="36"/>
      <c r="HFY244" s="36"/>
      <c r="HFZ244" s="36"/>
      <c r="HGA244" s="36"/>
      <c r="HGB244" s="36"/>
      <c r="HGC244" s="36"/>
      <c r="HGD244" s="36"/>
      <c r="HGE244" s="36"/>
      <c r="HGF244" s="36"/>
      <c r="HGG244" s="36"/>
      <c r="HGH244" s="36"/>
      <c r="HGI244" s="36"/>
      <c r="HGJ244" s="36"/>
      <c r="HGK244" s="36"/>
      <c r="HGL244" s="36"/>
      <c r="HGM244" s="36"/>
      <c r="HGN244" s="36"/>
      <c r="HGO244" s="36"/>
      <c r="HGP244" s="36"/>
      <c r="HGQ244" s="36"/>
      <c r="HGR244" s="36"/>
      <c r="HGS244" s="36"/>
      <c r="HGT244" s="36"/>
      <c r="HGU244" s="36"/>
      <c r="HGV244" s="36"/>
      <c r="HGW244" s="36"/>
      <c r="HGX244" s="36"/>
      <c r="HGY244" s="36"/>
      <c r="HGZ244" s="36"/>
      <c r="HHA244" s="36"/>
      <c r="HHB244" s="36"/>
      <c r="HHC244" s="36"/>
      <c r="HHD244" s="36"/>
      <c r="HHE244" s="36"/>
      <c r="HHF244" s="36"/>
      <c r="HHG244" s="36"/>
      <c r="HHH244" s="36"/>
      <c r="HHI244" s="36"/>
      <c r="HHJ244" s="36"/>
      <c r="HHK244" s="36"/>
      <c r="HHL244" s="36"/>
      <c r="HHM244" s="36"/>
      <c r="HHN244" s="36"/>
      <c r="HHO244" s="36"/>
      <c r="HHP244" s="36"/>
      <c r="HHQ244" s="36"/>
      <c r="HHR244" s="36"/>
      <c r="HHS244" s="36"/>
      <c r="HHT244" s="36"/>
      <c r="HHU244" s="36"/>
      <c r="HHV244" s="36"/>
      <c r="HHW244" s="36"/>
      <c r="HHX244" s="36"/>
      <c r="HHY244" s="36"/>
      <c r="HHZ244" s="36"/>
      <c r="HIA244" s="36"/>
      <c r="HIB244" s="36"/>
      <c r="HIC244" s="36"/>
      <c r="HID244" s="36"/>
      <c r="HIE244" s="36"/>
      <c r="HIF244" s="36"/>
      <c r="HIG244" s="36"/>
      <c r="HIH244" s="36"/>
      <c r="HII244" s="36"/>
      <c r="HIJ244" s="36"/>
      <c r="HIK244" s="36"/>
      <c r="HIL244" s="36"/>
      <c r="HIM244" s="36"/>
      <c r="HIN244" s="36"/>
      <c r="HIO244" s="36"/>
      <c r="HIP244" s="36"/>
      <c r="HIQ244" s="36"/>
      <c r="HIR244" s="36"/>
      <c r="HIS244" s="36"/>
      <c r="HIT244" s="36"/>
      <c r="HIU244" s="36"/>
      <c r="HIV244" s="36"/>
      <c r="HIW244" s="36"/>
      <c r="HIX244" s="36"/>
      <c r="HIY244" s="36"/>
      <c r="HIZ244" s="36"/>
      <c r="HJA244" s="36"/>
      <c r="HJB244" s="36"/>
      <c r="HJC244" s="36"/>
      <c r="HJD244" s="36"/>
      <c r="HJE244" s="36"/>
      <c r="HJF244" s="36"/>
      <c r="HJG244" s="36"/>
      <c r="HJH244" s="36"/>
      <c r="HJI244" s="36"/>
      <c r="HJJ244" s="36"/>
      <c r="HJK244" s="36"/>
      <c r="HJL244" s="36"/>
      <c r="HJM244" s="36"/>
      <c r="HJN244" s="36"/>
      <c r="HJO244" s="36"/>
      <c r="HJP244" s="36"/>
      <c r="HJQ244" s="36"/>
      <c r="HJR244" s="36"/>
      <c r="HJS244" s="36"/>
      <c r="HJT244" s="36"/>
      <c r="HJU244" s="36"/>
      <c r="HJV244" s="36"/>
      <c r="HJW244" s="36"/>
      <c r="HJX244" s="36"/>
      <c r="HJY244" s="36"/>
      <c r="HJZ244" s="36"/>
      <c r="HKA244" s="36"/>
      <c r="HKB244" s="36"/>
      <c r="HKC244" s="36"/>
      <c r="HKD244" s="36"/>
      <c r="HKE244" s="36"/>
      <c r="HKF244" s="36"/>
      <c r="HKG244" s="36"/>
      <c r="HKH244" s="36"/>
      <c r="HKI244" s="36"/>
      <c r="HKJ244" s="36"/>
      <c r="HKK244" s="36"/>
      <c r="HKL244" s="36"/>
      <c r="HKM244" s="36"/>
      <c r="HKN244" s="36"/>
      <c r="HKO244" s="36"/>
      <c r="HKP244" s="36"/>
      <c r="HKQ244" s="36"/>
      <c r="HKR244" s="36"/>
      <c r="HKS244" s="36"/>
      <c r="HKT244" s="36"/>
      <c r="HKU244" s="36"/>
      <c r="HKV244" s="36"/>
      <c r="HKW244" s="36"/>
      <c r="HKX244" s="36"/>
      <c r="HKY244" s="36"/>
      <c r="HKZ244" s="36"/>
      <c r="HLA244" s="36"/>
      <c r="HLB244" s="36"/>
      <c r="HLC244" s="36"/>
      <c r="HLD244" s="36"/>
      <c r="HLE244" s="36"/>
      <c r="HLF244" s="36"/>
      <c r="HLG244" s="36"/>
      <c r="HLH244" s="36"/>
      <c r="HLI244" s="36"/>
      <c r="HLJ244" s="36"/>
      <c r="HLK244" s="36"/>
      <c r="HLL244" s="36"/>
      <c r="HLM244" s="36"/>
      <c r="HLN244" s="36"/>
      <c r="HLO244" s="36"/>
      <c r="HLP244" s="36"/>
      <c r="HLQ244" s="36"/>
      <c r="HLR244" s="36"/>
      <c r="HLS244" s="36"/>
      <c r="HLT244" s="36"/>
      <c r="HLU244" s="36"/>
      <c r="HLV244" s="36"/>
      <c r="HLW244" s="36"/>
      <c r="HLX244" s="36"/>
      <c r="HLY244" s="36"/>
      <c r="HLZ244" s="36"/>
      <c r="HMA244" s="36"/>
      <c r="HMB244" s="36"/>
      <c r="HMC244" s="36"/>
      <c r="HMD244" s="36"/>
      <c r="HME244" s="36"/>
      <c r="HMF244" s="36"/>
      <c r="HMG244" s="36"/>
      <c r="HMH244" s="36"/>
      <c r="HMI244" s="36"/>
      <c r="HMJ244" s="36"/>
      <c r="HMK244" s="36"/>
      <c r="HML244" s="36"/>
      <c r="HMM244" s="36"/>
      <c r="HMN244" s="36"/>
      <c r="HMO244" s="36"/>
      <c r="HMP244" s="36"/>
      <c r="HMQ244" s="36"/>
      <c r="HMR244" s="36"/>
      <c r="HMS244" s="36"/>
      <c r="HMT244" s="36"/>
      <c r="HMU244" s="36"/>
      <c r="HMV244" s="36"/>
      <c r="HMW244" s="36"/>
      <c r="HMX244" s="36"/>
      <c r="HMY244" s="36"/>
      <c r="HMZ244" s="36"/>
      <c r="HNA244" s="36"/>
      <c r="HNB244" s="36"/>
      <c r="HNC244" s="36"/>
      <c r="HND244" s="36"/>
      <c r="HNE244" s="36"/>
      <c r="HNF244" s="36"/>
      <c r="HNG244" s="36"/>
      <c r="HNH244" s="36"/>
      <c r="HNI244" s="36"/>
      <c r="HNJ244" s="36"/>
      <c r="HNK244" s="36"/>
      <c r="HNL244" s="36"/>
      <c r="HNM244" s="36"/>
      <c r="HNN244" s="36"/>
      <c r="HNO244" s="36"/>
      <c r="HNP244" s="36"/>
      <c r="HNQ244" s="36"/>
      <c r="HNR244" s="36"/>
      <c r="HNS244" s="36"/>
      <c r="HNT244" s="36"/>
      <c r="HNU244" s="36"/>
      <c r="HNV244" s="36"/>
      <c r="HNW244" s="36"/>
      <c r="HNX244" s="36"/>
      <c r="HNY244" s="36"/>
      <c r="HNZ244" s="36"/>
      <c r="HOA244" s="36"/>
      <c r="HOB244" s="36"/>
      <c r="HOC244" s="36"/>
      <c r="HOD244" s="36"/>
      <c r="HOE244" s="36"/>
      <c r="HOF244" s="36"/>
      <c r="HOG244" s="36"/>
      <c r="HOH244" s="36"/>
      <c r="HOI244" s="36"/>
      <c r="HOJ244" s="36"/>
      <c r="HOK244" s="36"/>
      <c r="HOL244" s="36"/>
      <c r="HOM244" s="36"/>
      <c r="HON244" s="36"/>
      <c r="HOO244" s="36"/>
      <c r="HOP244" s="36"/>
      <c r="HOQ244" s="36"/>
      <c r="HOR244" s="36"/>
      <c r="HOS244" s="36"/>
      <c r="HOT244" s="36"/>
      <c r="HOU244" s="36"/>
      <c r="HOV244" s="36"/>
      <c r="HOW244" s="36"/>
      <c r="HOX244" s="36"/>
      <c r="HOY244" s="36"/>
      <c r="HOZ244" s="36"/>
      <c r="HPA244" s="36"/>
      <c r="HPB244" s="36"/>
      <c r="HPC244" s="36"/>
      <c r="HPD244" s="36"/>
      <c r="HPE244" s="36"/>
      <c r="HPF244" s="36"/>
      <c r="HPG244" s="36"/>
      <c r="HPH244" s="36"/>
      <c r="HPI244" s="36"/>
      <c r="HPJ244" s="36"/>
      <c r="HPK244" s="36"/>
      <c r="HPL244" s="36"/>
      <c r="HPM244" s="36"/>
      <c r="HPN244" s="36"/>
      <c r="HPO244" s="36"/>
      <c r="HPP244" s="36"/>
      <c r="HPQ244" s="36"/>
      <c r="HPR244" s="36"/>
      <c r="HPS244" s="36"/>
      <c r="HPT244" s="36"/>
      <c r="HPU244" s="36"/>
      <c r="HPV244" s="36"/>
      <c r="HPW244" s="36"/>
      <c r="HPX244" s="36"/>
      <c r="HPY244" s="36"/>
      <c r="HPZ244" s="36"/>
      <c r="HQA244" s="36"/>
      <c r="HQB244" s="36"/>
      <c r="HQC244" s="36"/>
      <c r="HQD244" s="36"/>
      <c r="HQE244" s="36"/>
      <c r="HQF244" s="36"/>
      <c r="HQG244" s="36"/>
      <c r="HQH244" s="36"/>
      <c r="HQI244" s="36"/>
      <c r="HQJ244" s="36"/>
      <c r="HQK244" s="36"/>
      <c r="HQL244" s="36"/>
      <c r="HQM244" s="36"/>
      <c r="HQN244" s="36"/>
      <c r="HQO244" s="36"/>
      <c r="HQP244" s="36"/>
      <c r="HQQ244" s="36"/>
      <c r="HQR244" s="36"/>
      <c r="HQS244" s="36"/>
      <c r="HQT244" s="36"/>
      <c r="HQU244" s="36"/>
      <c r="HQV244" s="36"/>
      <c r="HQW244" s="36"/>
      <c r="HQX244" s="36"/>
      <c r="HQY244" s="36"/>
      <c r="HQZ244" s="36"/>
      <c r="HRA244" s="36"/>
      <c r="HRB244" s="36"/>
      <c r="HRC244" s="36"/>
      <c r="HRD244" s="36"/>
      <c r="HRE244" s="36"/>
      <c r="HRF244" s="36"/>
      <c r="HRG244" s="36"/>
      <c r="HRH244" s="36"/>
      <c r="HRI244" s="36"/>
      <c r="HRJ244" s="36"/>
      <c r="HRK244" s="36"/>
      <c r="HRL244" s="36"/>
      <c r="HRM244" s="36"/>
      <c r="HRN244" s="36"/>
      <c r="HRO244" s="36"/>
      <c r="HRP244" s="36"/>
      <c r="HRQ244" s="36"/>
      <c r="HRR244" s="36"/>
      <c r="HRS244" s="36"/>
      <c r="HRT244" s="36"/>
      <c r="HRU244" s="36"/>
      <c r="HRV244" s="36"/>
      <c r="HRW244" s="36"/>
      <c r="HRX244" s="36"/>
      <c r="HRY244" s="36"/>
      <c r="HRZ244" s="36"/>
      <c r="HSA244" s="36"/>
      <c r="HSB244" s="36"/>
      <c r="HSC244" s="36"/>
      <c r="HSD244" s="36"/>
      <c r="HSE244" s="36"/>
      <c r="HSF244" s="36"/>
      <c r="HSG244" s="36"/>
      <c r="HSH244" s="36"/>
      <c r="HSI244" s="36"/>
      <c r="HSJ244" s="36"/>
      <c r="HSK244" s="36"/>
      <c r="HSL244" s="36"/>
      <c r="HSM244" s="36"/>
      <c r="HSN244" s="36"/>
      <c r="HSO244" s="36"/>
      <c r="HSP244" s="36"/>
      <c r="HSQ244" s="36"/>
      <c r="HSR244" s="36"/>
      <c r="HSS244" s="36"/>
      <c r="HST244" s="36"/>
      <c r="HSU244" s="36"/>
      <c r="HSV244" s="36"/>
      <c r="HSW244" s="36"/>
      <c r="HSX244" s="36"/>
      <c r="HSY244" s="36"/>
      <c r="HSZ244" s="36"/>
      <c r="HTA244" s="36"/>
      <c r="HTB244" s="36"/>
      <c r="HTC244" s="36"/>
      <c r="HTD244" s="36"/>
      <c r="HTE244" s="36"/>
      <c r="HTF244" s="36"/>
      <c r="HTG244" s="36"/>
      <c r="HTH244" s="36"/>
      <c r="HTI244" s="36"/>
      <c r="HTJ244" s="36"/>
      <c r="HTK244" s="36"/>
      <c r="HTL244" s="36"/>
      <c r="HTM244" s="36"/>
      <c r="HTN244" s="36"/>
      <c r="HTO244" s="36"/>
      <c r="HTP244" s="36"/>
      <c r="HTQ244" s="36"/>
      <c r="HTR244" s="36"/>
      <c r="HTS244" s="36"/>
      <c r="HTT244" s="36"/>
      <c r="HTU244" s="36"/>
      <c r="HTV244" s="36"/>
      <c r="HTW244" s="36"/>
      <c r="HTX244" s="36"/>
      <c r="HTY244" s="36"/>
      <c r="HTZ244" s="36"/>
      <c r="HUA244" s="36"/>
      <c r="HUB244" s="36"/>
      <c r="HUC244" s="36"/>
      <c r="HUD244" s="36"/>
      <c r="HUE244" s="36"/>
      <c r="HUF244" s="36"/>
      <c r="HUG244" s="36"/>
      <c r="HUH244" s="36"/>
      <c r="HUI244" s="36"/>
      <c r="HUJ244" s="36"/>
      <c r="HUK244" s="36"/>
      <c r="HUL244" s="36"/>
      <c r="HUM244" s="36"/>
      <c r="HUN244" s="36"/>
      <c r="HUO244" s="36"/>
      <c r="HUP244" s="36"/>
      <c r="HUQ244" s="36"/>
      <c r="HUR244" s="36"/>
      <c r="HUS244" s="36"/>
      <c r="HUT244" s="36"/>
      <c r="HUU244" s="36"/>
      <c r="HUV244" s="36"/>
      <c r="HUW244" s="36"/>
      <c r="HUX244" s="36"/>
      <c r="HUY244" s="36"/>
      <c r="HUZ244" s="36"/>
      <c r="HVA244" s="36"/>
      <c r="HVB244" s="36"/>
      <c r="HVC244" s="36"/>
      <c r="HVD244" s="36"/>
      <c r="HVE244" s="36"/>
      <c r="HVF244" s="36"/>
      <c r="HVG244" s="36"/>
      <c r="HVH244" s="36"/>
      <c r="HVI244" s="36"/>
      <c r="HVJ244" s="36"/>
      <c r="HVK244" s="36"/>
      <c r="HVL244" s="36"/>
      <c r="HVM244" s="36"/>
      <c r="HVN244" s="36"/>
      <c r="HVO244" s="36"/>
      <c r="HVP244" s="36"/>
      <c r="HVQ244" s="36"/>
      <c r="HVR244" s="36"/>
      <c r="HVS244" s="36"/>
      <c r="HVT244" s="36"/>
      <c r="HVU244" s="36"/>
      <c r="HVV244" s="36"/>
      <c r="HVW244" s="36"/>
      <c r="HVX244" s="36"/>
      <c r="HVY244" s="36"/>
      <c r="HVZ244" s="36"/>
      <c r="HWA244" s="36"/>
      <c r="HWB244" s="36"/>
      <c r="HWC244" s="36"/>
      <c r="HWD244" s="36"/>
      <c r="HWE244" s="36"/>
      <c r="HWF244" s="36"/>
      <c r="HWG244" s="36"/>
      <c r="HWH244" s="36"/>
      <c r="HWI244" s="36"/>
      <c r="HWJ244" s="36"/>
      <c r="HWK244" s="36"/>
      <c r="HWL244" s="36"/>
      <c r="HWM244" s="36"/>
      <c r="HWN244" s="36"/>
      <c r="HWO244" s="36"/>
      <c r="HWP244" s="36"/>
      <c r="HWQ244" s="36"/>
      <c r="HWR244" s="36"/>
      <c r="HWS244" s="36"/>
      <c r="HWT244" s="36"/>
      <c r="HWU244" s="36"/>
      <c r="HWV244" s="36"/>
      <c r="HWW244" s="36"/>
      <c r="HWX244" s="36"/>
      <c r="HWY244" s="36"/>
      <c r="HWZ244" s="36"/>
      <c r="HXA244" s="36"/>
      <c r="HXB244" s="36"/>
      <c r="HXC244" s="36"/>
      <c r="HXD244" s="36"/>
      <c r="HXE244" s="36"/>
      <c r="HXF244" s="36"/>
      <c r="HXG244" s="36"/>
      <c r="HXH244" s="36"/>
      <c r="HXI244" s="36"/>
      <c r="HXJ244" s="36"/>
      <c r="HXK244" s="36"/>
      <c r="HXL244" s="36"/>
      <c r="HXM244" s="36"/>
      <c r="HXN244" s="36"/>
      <c r="HXO244" s="36"/>
      <c r="HXP244" s="36"/>
      <c r="HXQ244" s="36"/>
      <c r="HXR244" s="36"/>
      <c r="HXS244" s="36"/>
      <c r="HXT244" s="36"/>
      <c r="HXU244" s="36"/>
      <c r="HXV244" s="36"/>
      <c r="HXW244" s="36"/>
      <c r="HXX244" s="36"/>
      <c r="HXY244" s="36"/>
      <c r="HXZ244" s="36"/>
      <c r="HYA244" s="36"/>
      <c r="HYB244" s="36"/>
      <c r="HYC244" s="36"/>
      <c r="HYD244" s="36"/>
      <c r="HYE244" s="36"/>
      <c r="HYF244" s="36"/>
      <c r="HYG244" s="36"/>
      <c r="HYH244" s="36"/>
      <c r="HYI244" s="36"/>
      <c r="HYJ244" s="36"/>
      <c r="HYK244" s="36"/>
      <c r="HYL244" s="36"/>
      <c r="HYM244" s="36"/>
      <c r="HYN244" s="36"/>
      <c r="HYO244" s="36"/>
      <c r="HYP244" s="36"/>
      <c r="HYQ244" s="36"/>
      <c r="HYR244" s="36"/>
      <c r="HYS244" s="36"/>
      <c r="HYT244" s="36"/>
      <c r="HYU244" s="36"/>
      <c r="HYV244" s="36"/>
      <c r="HYW244" s="36"/>
      <c r="HYX244" s="36"/>
      <c r="HYY244" s="36"/>
      <c r="HYZ244" s="36"/>
      <c r="HZA244" s="36"/>
      <c r="HZB244" s="36"/>
      <c r="HZC244" s="36"/>
      <c r="HZD244" s="36"/>
      <c r="HZE244" s="36"/>
      <c r="HZF244" s="36"/>
      <c r="HZG244" s="36"/>
      <c r="HZH244" s="36"/>
      <c r="HZI244" s="36"/>
      <c r="HZJ244" s="36"/>
      <c r="HZK244" s="36"/>
      <c r="HZL244" s="36"/>
      <c r="HZM244" s="36"/>
      <c r="HZN244" s="36"/>
      <c r="HZO244" s="36"/>
      <c r="HZP244" s="36"/>
      <c r="HZQ244" s="36"/>
      <c r="HZR244" s="36"/>
      <c r="HZS244" s="36"/>
      <c r="HZT244" s="36"/>
      <c r="HZU244" s="36"/>
      <c r="HZV244" s="36"/>
      <c r="HZW244" s="36"/>
      <c r="HZX244" s="36"/>
      <c r="HZY244" s="36"/>
      <c r="HZZ244" s="36"/>
      <c r="IAA244" s="36"/>
      <c r="IAB244" s="36"/>
      <c r="IAC244" s="36"/>
      <c r="IAD244" s="36"/>
      <c r="IAE244" s="36"/>
      <c r="IAF244" s="36"/>
      <c r="IAG244" s="36"/>
      <c r="IAH244" s="36"/>
      <c r="IAI244" s="36"/>
      <c r="IAJ244" s="36"/>
      <c r="IAK244" s="36"/>
      <c r="IAL244" s="36"/>
      <c r="IAM244" s="36"/>
      <c r="IAN244" s="36"/>
      <c r="IAO244" s="36"/>
      <c r="IAP244" s="36"/>
      <c r="IAQ244" s="36"/>
      <c r="IAR244" s="36"/>
      <c r="IAS244" s="36"/>
      <c r="IAT244" s="36"/>
      <c r="IAU244" s="36"/>
      <c r="IAV244" s="36"/>
      <c r="IAW244" s="36"/>
      <c r="IAX244" s="36"/>
      <c r="IAY244" s="36"/>
      <c r="IAZ244" s="36"/>
      <c r="IBA244" s="36"/>
      <c r="IBB244" s="36"/>
      <c r="IBC244" s="36"/>
      <c r="IBD244" s="36"/>
      <c r="IBE244" s="36"/>
      <c r="IBF244" s="36"/>
      <c r="IBG244" s="36"/>
      <c r="IBH244" s="36"/>
      <c r="IBI244" s="36"/>
      <c r="IBJ244" s="36"/>
      <c r="IBK244" s="36"/>
      <c r="IBL244" s="36"/>
      <c r="IBM244" s="36"/>
      <c r="IBN244" s="36"/>
      <c r="IBO244" s="36"/>
      <c r="IBP244" s="36"/>
      <c r="IBQ244" s="36"/>
      <c r="IBR244" s="36"/>
      <c r="IBS244" s="36"/>
      <c r="IBT244" s="36"/>
      <c r="IBU244" s="36"/>
      <c r="IBV244" s="36"/>
      <c r="IBW244" s="36"/>
      <c r="IBX244" s="36"/>
      <c r="IBY244" s="36"/>
      <c r="IBZ244" s="36"/>
      <c r="ICA244" s="36"/>
      <c r="ICB244" s="36"/>
      <c r="ICC244" s="36"/>
      <c r="ICD244" s="36"/>
      <c r="ICE244" s="36"/>
      <c r="ICF244" s="36"/>
      <c r="ICG244" s="36"/>
      <c r="ICH244" s="36"/>
      <c r="ICI244" s="36"/>
      <c r="ICJ244" s="36"/>
      <c r="ICK244" s="36"/>
      <c r="ICL244" s="36"/>
      <c r="ICM244" s="36"/>
      <c r="ICN244" s="36"/>
      <c r="ICO244" s="36"/>
      <c r="ICP244" s="36"/>
      <c r="ICQ244" s="36"/>
      <c r="ICR244" s="36"/>
      <c r="ICS244" s="36"/>
      <c r="ICT244" s="36"/>
      <c r="ICU244" s="36"/>
      <c r="ICV244" s="36"/>
      <c r="ICW244" s="36"/>
      <c r="ICX244" s="36"/>
      <c r="ICY244" s="36"/>
      <c r="ICZ244" s="36"/>
      <c r="IDA244" s="36"/>
      <c r="IDB244" s="36"/>
      <c r="IDC244" s="36"/>
      <c r="IDD244" s="36"/>
      <c r="IDE244" s="36"/>
      <c r="IDF244" s="36"/>
      <c r="IDG244" s="36"/>
      <c r="IDH244" s="36"/>
      <c r="IDI244" s="36"/>
      <c r="IDJ244" s="36"/>
      <c r="IDK244" s="36"/>
      <c r="IDL244" s="36"/>
      <c r="IDM244" s="36"/>
      <c r="IDN244" s="36"/>
      <c r="IDO244" s="36"/>
      <c r="IDP244" s="36"/>
      <c r="IDQ244" s="36"/>
      <c r="IDR244" s="36"/>
      <c r="IDS244" s="36"/>
      <c r="IDT244" s="36"/>
      <c r="IDU244" s="36"/>
      <c r="IDV244" s="36"/>
      <c r="IDW244" s="36"/>
      <c r="IDX244" s="36"/>
      <c r="IDY244" s="36"/>
      <c r="IDZ244" s="36"/>
      <c r="IEA244" s="36"/>
      <c r="IEB244" s="36"/>
      <c r="IEC244" s="36"/>
      <c r="IED244" s="36"/>
      <c r="IEE244" s="36"/>
      <c r="IEF244" s="36"/>
      <c r="IEG244" s="36"/>
      <c r="IEH244" s="36"/>
      <c r="IEI244" s="36"/>
      <c r="IEJ244" s="36"/>
      <c r="IEK244" s="36"/>
      <c r="IEL244" s="36"/>
      <c r="IEM244" s="36"/>
      <c r="IEN244" s="36"/>
      <c r="IEO244" s="36"/>
      <c r="IEP244" s="36"/>
      <c r="IEQ244" s="36"/>
      <c r="IER244" s="36"/>
      <c r="IES244" s="36"/>
      <c r="IET244" s="36"/>
      <c r="IEU244" s="36"/>
      <c r="IEV244" s="36"/>
      <c r="IEW244" s="36"/>
      <c r="IEX244" s="36"/>
      <c r="IEY244" s="36"/>
      <c r="IEZ244" s="36"/>
      <c r="IFA244" s="36"/>
      <c r="IFB244" s="36"/>
      <c r="IFC244" s="36"/>
      <c r="IFD244" s="36"/>
      <c r="IFE244" s="36"/>
      <c r="IFF244" s="36"/>
      <c r="IFG244" s="36"/>
      <c r="IFH244" s="36"/>
      <c r="IFI244" s="36"/>
      <c r="IFJ244" s="36"/>
      <c r="IFK244" s="36"/>
      <c r="IFL244" s="36"/>
      <c r="IFM244" s="36"/>
      <c r="IFN244" s="36"/>
      <c r="IFO244" s="36"/>
      <c r="IFP244" s="36"/>
      <c r="IFQ244" s="36"/>
      <c r="IFR244" s="36"/>
      <c r="IFS244" s="36"/>
      <c r="IFT244" s="36"/>
      <c r="IFU244" s="36"/>
      <c r="IFV244" s="36"/>
      <c r="IFW244" s="36"/>
      <c r="IFX244" s="36"/>
      <c r="IFY244" s="36"/>
      <c r="IFZ244" s="36"/>
      <c r="IGA244" s="36"/>
      <c r="IGB244" s="36"/>
      <c r="IGC244" s="36"/>
      <c r="IGD244" s="36"/>
      <c r="IGE244" s="36"/>
      <c r="IGF244" s="36"/>
      <c r="IGG244" s="36"/>
      <c r="IGH244" s="36"/>
      <c r="IGI244" s="36"/>
      <c r="IGJ244" s="36"/>
      <c r="IGK244" s="36"/>
      <c r="IGL244" s="36"/>
      <c r="IGM244" s="36"/>
      <c r="IGN244" s="36"/>
      <c r="IGO244" s="36"/>
      <c r="IGP244" s="36"/>
      <c r="IGQ244" s="36"/>
      <c r="IGR244" s="36"/>
      <c r="IGS244" s="36"/>
      <c r="IGT244" s="36"/>
      <c r="IGU244" s="36"/>
      <c r="IGV244" s="36"/>
      <c r="IGW244" s="36"/>
      <c r="IGX244" s="36"/>
      <c r="IGY244" s="36"/>
      <c r="IGZ244" s="36"/>
      <c r="IHA244" s="36"/>
      <c r="IHB244" s="36"/>
      <c r="IHC244" s="36"/>
      <c r="IHD244" s="36"/>
      <c r="IHE244" s="36"/>
      <c r="IHF244" s="36"/>
      <c r="IHG244" s="36"/>
      <c r="IHH244" s="36"/>
      <c r="IHI244" s="36"/>
      <c r="IHJ244" s="36"/>
      <c r="IHK244" s="36"/>
      <c r="IHL244" s="36"/>
      <c r="IHM244" s="36"/>
      <c r="IHN244" s="36"/>
      <c r="IHO244" s="36"/>
      <c r="IHP244" s="36"/>
      <c r="IHQ244" s="36"/>
      <c r="IHR244" s="36"/>
      <c r="IHS244" s="36"/>
      <c r="IHT244" s="36"/>
      <c r="IHU244" s="36"/>
      <c r="IHV244" s="36"/>
      <c r="IHW244" s="36"/>
      <c r="IHX244" s="36"/>
      <c r="IHY244" s="36"/>
      <c r="IHZ244" s="36"/>
      <c r="IIA244" s="36"/>
      <c r="IIB244" s="36"/>
      <c r="IIC244" s="36"/>
      <c r="IID244" s="36"/>
      <c r="IIE244" s="36"/>
      <c r="IIF244" s="36"/>
      <c r="IIG244" s="36"/>
      <c r="IIH244" s="36"/>
      <c r="III244" s="36"/>
      <c r="IIJ244" s="36"/>
      <c r="IIK244" s="36"/>
      <c r="IIL244" s="36"/>
      <c r="IIM244" s="36"/>
      <c r="IIN244" s="36"/>
      <c r="IIO244" s="36"/>
      <c r="IIP244" s="36"/>
      <c r="IIQ244" s="36"/>
      <c r="IIR244" s="36"/>
      <c r="IIS244" s="36"/>
      <c r="IIT244" s="36"/>
      <c r="IIU244" s="36"/>
      <c r="IIV244" s="36"/>
      <c r="IIW244" s="36"/>
      <c r="IIX244" s="36"/>
      <c r="IIY244" s="36"/>
      <c r="IIZ244" s="36"/>
      <c r="IJA244" s="36"/>
      <c r="IJB244" s="36"/>
      <c r="IJC244" s="36"/>
      <c r="IJD244" s="36"/>
      <c r="IJE244" s="36"/>
      <c r="IJF244" s="36"/>
      <c r="IJG244" s="36"/>
      <c r="IJH244" s="36"/>
      <c r="IJI244" s="36"/>
      <c r="IJJ244" s="36"/>
      <c r="IJK244" s="36"/>
      <c r="IJL244" s="36"/>
      <c r="IJM244" s="36"/>
      <c r="IJN244" s="36"/>
      <c r="IJO244" s="36"/>
      <c r="IJP244" s="36"/>
      <c r="IJQ244" s="36"/>
      <c r="IJR244" s="36"/>
      <c r="IJS244" s="36"/>
      <c r="IJT244" s="36"/>
      <c r="IJU244" s="36"/>
      <c r="IJV244" s="36"/>
      <c r="IJW244" s="36"/>
      <c r="IJX244" s="36"/>
      <c r="IJY244" s="36"/>
      <c r="IJZ244" s="36"/>
      <c r="IKA244" s="36"/>
      <c r="IKB244" s="36"/>
      <c r="IKC244" s="36"/>
      <c r="IKD244" s="36"/>
      <c r="IKE244" s="36"/>
      <c r="IKF244" s="36"/>
      <c r="IKG244" s="36"/>
      <c r="IKH244" s="36"/>
      <c r="IKI244" s="36"/>
      <c r="IKJ244" s="36"/>
      <c r="IKK244" s="36"/>
      <c r="IKL244" s="36"/>
      <c r="IKM244" s="36"/>
      <c r="IKN244" s="36"/>
      <c r="IKO244" s="36"/>
      <c r="IKP244" s="36"/>
      <c r="IKQ244" s="36"/>
      <c r="IKR244" s="36"/>
      <c r="IKS244" s="36"/>
      <c r="IKT244" s="36"/>
      <c r="IKU244" s="36"/>
      <c r="IKV244" s="36"/>
      <c r="IKW244" s="36"/>
      <c r="IKX244" s="36"/>
      <c r="IKY244" s="36"/>
      <c r="IKZ244" s="36"/>
      <c r="ILA244" s="36"/>
      <c r="ILB244" s="36"/>
      <c r="ILC244" s="36"/>
      <c r="ILD244" s="36"/>
      <c r="ILE244" s="36"/>
      <c r="ILF244" s="36"/>
      <c r="ILG244" s="36"/>
      <c r="ILH244" s="36"/>
      <c r="ILI244" s="36"/>
      <c r="ILJ244" s="36"/>
      <c r="ILK244" s="36"/>
      <c r="ILL244" s="36"/>
      <c r="ILM244" s="36"/>
      <c r="ILN244" s="36"/>
      <c r="ILO244" s="36"/>
      <c r="ILP244" s="36"/>
      <c r="ILQ244" s="36"/>
      <c r="ILR244" s="36"/>
      <c r="ILS244" s="36"/>
      <c r="ILT244" s="36"/>
      <c r="ILU244" s="36"/>
      <c r="ILV244" s="36"/>
      <c r="ILW244" s="36"/>
      <c r="ILX244" s="36"/>
      <c r="ILY244" s="36"/>
      <c r="ILZ244" s="36"/>
      <c r="IMA244" s="36"/>
      <c r="IMB244" s="36"/>
      <c r="IMC244" s="36"/>
      <c r="IMD244" s="36"/>
      <c r="IME244" s="36"/>
      <c r="IMF244" s="36"/>
      <c r="IMG244" s="36"/>
      <c r="IMH244" s="36"/>
      <c r="IMI244" s="36"/>
      <c r="IMJ244" s="36"/>
      <c r="IMK244" s="36"/>
      <c r="IML244" s="36"/>
      <c r="IMM244" s="36"/>
      <c r="IMN244" s="36"/>
      <c r="IMO244" s="36"/>
      <c r="IMP244" s="36"/>
      <c r="IMQ244" s="36"/>
      <c r="IMR244" s="36"/>
      <c r="IMS244" s="36"/>
      <c r="IMT244" s="36"/>
      <c r="IMU244" s="36"/>
      <c r="IMV244" s="36"/>
      <c r="IMW244" s="36"/>
      <c r="IMX244" s="36"/>
      <c r="IMY244" s="36"/>
      <c r="IMZ244" s="36"/>
      <c r="INA244" s="36"/>
      <c r="INB244" s="36"/>
      <c r="INC244" s="36"/>
      <c r="IND244" s="36"/>
      <c r="INE244" s="36"/>
      <c r="INF244" s="36"/>
      <c r="ING244" s="36"/>
      <c r="INH244" s="36"/>
      <c r="INI244" s="36"/>
      <c r="INJ244" s="36"/>
      <c r="INK244" s="36"/>
      <c r="INL244" s="36"/>
      <c r="INM244" s="36"/>
      <c r="INN244" s="36"/>
      <c r="INO244" s="36"/>
      <c r="INP244" s="36"/>
      <c r="INQ244" s="36"/>
      <c r="INR244" s="36"/>
      <c r="INS244" s="36"/>
      <c r="INT244" s="36"/>
      <c r="INU244" s="36"/>
      <c r="INV244" s="36"/>
      <c r="INW244" s="36"/>
      <c r="INX244" s="36"/>
      <c r="INY244" s="36"/>
      <c r="INZ244" s="36"/>
      <c r="IOA244" s="36"/>
      <c r="IOB244" s="36"/>
      <c r="IOC244" s="36"/>
      <c r="IOD244" s="36"/>
      <c r="IOE244" s="36"/>
      <c r="IOF244" s="36"/>
      <c r="IOG244" s="36"/>
      <c r="IOH244" s="36"/>
      <c r="IOI244" s="36"/>
      <c r="IOJ244" s="36"/>
      <c r="IOK244" s="36"/>
      <c r="IOL244" s="36"/>
      <c r="IOM244" s="36"/>
      <c r="ION244" s="36"/>
      <c r="IOO244" s="36"/>
      <c r="IOP244" s="36"/>
      <c r="IOQ244" s="36"/>
      <c r="IOR244" s="36"/>
      <c r="IOS244" s="36"/>
      <c r="IOT244" s="36"/>
      <c r="IOU244" s="36"/>
      <c r="IOV244" s="36"/>
      <c r="IOW244" s="36"/>
      <c r="IOX244" s="36"/>
      <c r="IOY244" s="36"/>
      <c r="IOZ244" s="36"/>
      <c r="IPA244" s="36"/>
      <c r="IPB244" s="36"/>
      <c r="IPC244" s="36"/>
      <c r="IPD244" s="36"/>
      <c r="IPE244" s="36"/>
      <c r="IPF244" s="36"/>
      <c r="IPG244" s="36"/>
      <c r="IPH244" s="36"/>
      <c r="IPI244" s="36"/>
      <c r="IPJ244" s="36"/>
      <c r="IPK244" s="36"/>
      <c r="IPL244" s="36"/>
      <c r="IPM244" s="36"/>
      <c r="IPN244" s="36"/>
      <c r="IPO244" s="36"/>
      <c r="IPP244" s="36"/>
      <c r="IPQ244" s="36"/>
      <c r="IPR244" s="36"/>
      <c r="IPS244" s="36"/>
      <c r="IPT244" s="36"/>
      <c r="IPU244" s="36"/>
      <c r="IPV244" s="36"/>
      <c r="IPW244" s="36"/>
      <c r="IPX244" s="36"/>
      <c r="IPY244" s="36"/>
      <c r="IPZ244" s="36"/>
      <c r="IQA244" s="36"/>
      <c r="IQB244" s="36"/>
      <c r="IQC244" s="36"/>
      <c r="IQD244" s="36"/>
      <c r="IQE244" s="36"/>
      <c r="IQF244" s="36"/>
      <c r="IQG244" s="36"/>
      <c r="IQH244" s="36"/>
      <c r="IQI244" s="36"/>
      <c r="IQJ244" s="36"/>
      <c r="IQK244" s="36"/>
      <c r="IQL244" s="36"/>
      <c r="IQM244" s="36"/>
      <c r="IQN244" s="36"/>
      <c r="IQO244" s="36"/>
      <c r="IQP244" s="36"/>
      <c r="IQQ244" s="36"/>
      <c r="IQR244" s="36"/>
      <c r="IQS244" s="36"/>
      <c r="IQT244" s="36"/>
      <c r="IQU244" s="36"/>
      <c r="IQV244" s="36"/>
      <c r="IQW244" s="36"/>
      <c r="IQX244" s="36"/>
      <c r="IQY244" s="36"/>
      <c r="IQZ244" s="36"/>
      <c r="IRA244" s="36"/>
      <c r="IRB244" s="36"/>
      <c r="IRC244" s="36"/>
      <c r="IRD244" s="36"/>
      <c r="IRE244" s="36"/>
      <c r="IRF244" s="36"/>
      <c r="IRG244" s="36"/>
      <c r="IRH244" s="36"/>
      <c r="IRI244" s="36"/>
      <c r="IRJ244" s="36"/>
      <c r="IRK244" s="36"/>
      <c r="IRL244" s="36"/>
      <c r="IRM244" s="36"/>
      <c r="IRN244" s="36"/>
      <c r="IRO244" s="36"/>
      <c r="IRP244" s="36"/>
      <c r="IRQ244" s="36"/>
      <c r="IRR244" s="36"/>
      <c r="IRS244" s="36"/>
      <c r="IRT244" s="36"/>
      <c r="IRU244" s="36"/>
      <c r="IRV244" s="36"/>
      <c r="IRW244" s="36"/>
      <c r="IRX244" s="36"/>
      <c r="IRY244" s="36"/>
      <c r="IRZ244" s="36"/>
      <c r="ISA244" s="36"/>
      <c r="ISB244" s="36"/>
      <c r="ISC244" s="36"/>
      <c r="ISD244" s="36"/>
      <c r="ISE244" s="36"/>
      <c r="ISF244" s="36"/>
      <c r="ISG244" s="36"/>
      <c r="ISH244" s="36"/>
      <c r="ISI244" s="36"/>
      <c r="ISJ244" s="36"/>
      <c r="ISK244" s="36"/>
      <c r="ISL244" s="36"/>
      <c r="ISM244" s="36"/>
      <c r="ISN244" s="36"/>
      <c r="ISO244" s="36"/>
      <c r="ISP244" s="36"/>
      <c r="ISQ244" s="36"/>
      <c r="ISR244" s="36"/>
      <c r="ISS244" s="36"/>
      <c r="IST244" s="36"/>
      <c r="ISU244" s="36"/>
      <c r="ISV244" s="36"/>
      <c r="ISW244" s="36"/>
      <c r="ISX244" s="36"/>
      <c r="ISY244" s="36"/>
      <c r="ISZ244" s="36"/>
      <c r="ITA244" s="36"/>
      <c r="ITB244" s="36"/>
      <c r="ITC244" s="36"/>
      <c r="ITD244" s="36"/>
      <c r="ITE244" s="36"/>
      <c r="ITF244" s="36"/>
      <c r="ITG244" s="36"/>
      <c r="ITH244" s="36"/>
      <c r="ITI244" s="36"/>
      <c r="ITJ244" s="36"/>
      <c r="ITK244" s="36"/>
      <c r="ITL244" s="36"/>
      <c r="ITM244" s="36"/>
      <c r="ITN244" s="36"/>
      <c r="ITO244" s="36"/>
      <c r="ITP244" s="36"/>
      <c r="ITQ244" s="36"/>
      <c r="ITR244" s="36"/>
      <c r="ITS244" s="36"/>
      <c r="ITT244" s="36"/>
      <c r="ITU244" s="36"/>
      <c r="ITV244" s="36"/>
      <c r="ITW244" s="36"/>
      <c r="ITX244" s="36"/>
      <c r="ITY244" s="36"/>
      <c r="ITZ244" s="36"/>
      <c r="IUA244" s="36"/>
      <c r="IUB244" s="36"/>
      <c r="IUC244" s="36"/>
      <c r="IUD244" s="36"/>
      <c r="IUE244" s="36"/>
      <c r="IUF244" s="36"/>
      <c r="IUG244" s="36"/>
      <c r="IUH244" s="36"/>
      <c r="IUI244" s="36"/>
      <c r="IUJ244" s="36"/>
      <c r="IUK244" s="36"/>
      <c r="IUL244" s="36"/>
      <c r="IUM244" s="36"/>
      <c r="IUN244" s="36"/>
      <c r="IUO244" s="36"/>
      <c r="IUP244" s="36"/>
      <c r="IUQ244" s="36"/>
      <c r="IUR244" s="36"/>
      <c r="IUS244" s="36"/>
      <c r="IUT244" s="36"/>
      <c r="IUU244" s="36"/>
      <c r="IUV244" s="36"/>
      <c r="IUW244" s="36"/>
      <c r="IUX244" s="36"/>
      <c r="IUY244" s="36"/>
      <c r="IUZ244" s="36"/>
      <c r="IVA244" s="36"/>
      <c r="IVB244" s="36"/>
      <c r="IVC244" s="36"/>
      <c r="IVD244" s="36"/>
      <c r="IVE244" s="36"/>
      <c r="IVF244" s="36"/>
      <c r="IVG244" s="36"/>
      <c r="IVH244" s="36"/>
      <c r="IVI244" s="36"/>
      <c r="IVJ244" s="36"/>
      <c r="IVK244" s="36"/>
      <c r="IVL244" s="36"/>
      <c r="IVM244" s="36"/>
      <c r="IVN244" s="36"/>
      <c r="IVO244" s="36"/>
      <c r="IVP244" s="36"/>
      <c r="IVQ244" s="36"/>
      <c r="IVR244" s="36"/>
      <c r="IVS244" s="36"/>
      <c r="IVT244" s="36"/>
      <c r="IVU244" s="36"/>
      <c r="IVV244" s="36"/>
      <c r="IVW244" s="36"/>
      <c r="IVX244" s="36"/>
      <c r="IVY244" s="36"/>
      <c r="IVZ244" s="36"/>
      <c r="IWA244" s="36"/>
      <c r="IWB244" s="36"/>
      <c r="IWC244" s="36"/>
      <c r="IWD244" s="36"/>
      <c r="IWE244" s="36"/>
      <c r="IWF244" s="36"/>
      <c r="IWG244" s="36"/>
      <c r="IWH244" s="36"/>
      <c r="IWI244" s="36"/>
      <c r="IWJ244" s="36"/>
      <c r="IWK244" s="36"/>
      <c r="IWL244" s="36"/>
      <c r="IWM244" s="36"/>
      <c r="IWN244" s="36"/>
      <c r="IWO244" s="36"/>
      <c r="IWP244" s="36"/>
      <c r="IWQ244" s="36"/>
      <c r="IWR244" s="36"/>
      <c r="IWS244" s="36"/>
      <c r="IWT244" s="36"/>
      <c r="IWU244" s="36"/>
      <c r="IWV244" s="36"/>
      <c r="IWW244" s="36"/>
      <c r="IWX244" s="36"/>
      <c r="IWY244" s="36"/>
      <c r="IWZ244" s="36"/>
      <c r="IXA244" s="36"/>
      <c r="IXB244" s="36"/>
      <c r="IXC244" s="36"/>
      <c r="IXD244" s="36"/>
      <c r="IXE244" s="36"/>
      <c r="IXF244" s="36"/>
      <c r="IXG244" s="36"/>
      <c r="IXH244" s="36"/>
      <c r="IXI244" s="36"/>
      <c r="IXJ244" s="36"/>
      <c r="IXK244" s="36"/>
      <c r="IXL244" s="36"/>
      <c r="IXM244" s="36"/>
      <c r="IXN244" s="36"/>
      <c r="IXO244" s="36"/>
      <c r="IXP244" s="36"/>
      <c r="IXQ244" s="36"/>
      <c r="IXR244" s="36"/>
      <c r="IXS244" s="36"/>
      <c r="IXT244" s="36"/>
      <c r="IXU244" s="36"/>
      <c r="IXV244" s="36"/>
      <c r="IXW244" s="36"/>
      <c r="IXX244" s="36"/>
      <c r="IXY244" s="36"/>
      <c r="IXZ244" s="36"/>
      <c r="IYA244" s="36"/>
      <c r="IYB244" s="36"/>
      <c r="IYC244" s="36"/>
      <c r="IYD244" s="36"/>
      <c r="IYE244" s="36"/>
      <c r="IYF244" s="36"/>
      <c r="IYG244" s="36"/>
      <c r="IYH244" s="36"/>
      <c r="IYI244" s="36"/>
      <c r="IYJ244" s="36"/>
      <c r="IYK244" s="36"/>
      <c r="IYL244" s="36"/>
      <c r="IYM244" s="36"/>
      <c r="IYN244" s="36"/>
      <c r="IYO244" s="36"/>
      <c r="IYP244" s="36"/>
      <c r="IYQ244" s="36"/>
      <c r="IYR244" s="36"/>
      <c r="IYS244" s="36"/>
      <c r="IYT244" s="36"/>
      <c r="IYU244" s="36"/>
      <c r="IYV244" s="36"/>
      <c r="IYW244" s="36"/>
      <c r="IYX244" s="36"/>
      <c r="IYY244" s="36"/>
      <c r="IYZ244" s="36"/>
      <c r="IZA244" s="36"/>
      <c r="IZB244" s="36"/>
      <c r="IZC244" s="36"/>
      <c r="IZD244" s="36"/>
      <c r="IZE244" s="36"/>
      <c r="IZF244" s="36"/>
      <c r="IZG244" s="36"/>
      <c r="IZH244" s="36"/>
      <c r="IZI244" s="36"/>
      <c r="IZJ244" s="36"/>
      <c r="IZK244" s="36"/>
      <c r="IZL244" s="36"/>
      <c r="IZM244" s="36"/>
      <c r="IZN244" s="36"/>
      <c r="IZO244" s="36"/>
      <c r="IZP244" s="36"/>
      <c r="IZQ244" s="36"/>
      <c r="IZR244" s="36"/>
      <c r="IZS244" s="36"/>
      <c r="IZT244" s="36"/>
      <c r="IZU244" s="36"/>
      <c r="IZV244" s="36"/>
      <c r="IZW244" s="36"/>
      <c r="IZX244" s="36"/>
      <c r="IZY244" s="36"/>
      <c r="IZZ244" s="36"/>
      <c r="JAA244" s="36"/>
      <c r="JAB244" s="36"/>
      <c r="JAC244" s="36"/>
      <c r="JAD244" s="36"/>
      <c r="JAE244" s="36"/>
      <c r="JAF244" s="36"/>
      <c r="JAG244" s="36"/>
      <c r="JAH244" s="36"/>
      <c r="JAI244" s="36"/>
      <c r="JAJ244" s="36"/>
      <c r="JAK244" s="36"/>
      <c r="JAL244" s="36"/>
      <c r="JAM244" s="36"/>
      <c r="JAN244" s="36"/>
      <c r="JAO244" s="36"/>
      <c r="JAP244" s="36"/>
      <c r="JAQ244" s="36"/>
      <c r="JAR244" s="36"/>
      <c r="JAS244" s="36"/>
      <c r="JAT244" s="36"/>
      <c r="JAU244" s="36"/>
      <c r="JAV244" s="36"/>
      <c r="JAW244" s="36"/>
      <c r="JAX244" s="36"/>
      <c r="JAY244" s="36"/>
      <c r="JAZ244" s="36"/>
      <c r="JBA244" s="36"/>
      <c r="JBB244" s="36"/>
      <c r="JBC244" s="36"/>
      <c r="JBD244" s="36"/>
      <c r="JBE244" s="36"/>
      <c r="JBF244" s="36"/>
      <c r="JBG244" s="36"/>
      <c r="JBH244" s="36"/>
      <c r="JBI244" s="36"/>
      <c r="JBJ244" s="36"/>
      <c r="JBK244" s="36"/>
      <c r="JBL244" s="36"/>
      <c r="JBM244" s="36"/>
      <c r="JBN244" s="36"/>
      <c r="JBO244" s="36"/>
      <c r="JBP244" s="36"/>
      <c r="JBQ244" s="36"/>
      <c r="JBR244" s="36"/>
      <c r="JBS244" s="36"/>
      <c r="JBT244" s="36"/>
      <c r="JBU244" s="36"/>
      <c r="JBV244" s="36"/>
      <c r="JBW244" s="36"/>
      <c r="JBX244" s="36"/>
      <c r="JBY244" s="36"/>
      <c r="JBZ244" s="36"/>
      <c r="JCA244" s="36"/>
      <c r="JCB244" s="36"/>
      <c r="JCC244" s="36"/>
      <c r="JCD244" s="36"/>
      <c r="JCE244" s="36"/>
      <c r="JCF244" s="36"/>
      <c r="JCG244" s="36"/>
      <c r="JCH244" s="36"/>
      <c r="JCI244" s="36"/>
      <c r="JCJ244" s="36"/>
      <c r="JCK244" s="36"/>
      <c r="JCL244" s="36"/>
      <c r="JCM244" s="36"/>
      <c r="JCN244" s="36"/>
      <c r="JCO244" s="36"/>
      <c r="JCP244" s="36"/>
      <c r="JCQ244" s="36"/>
      <c r="JCR244" s="36"/>
      <c r="JCS244" s="36"/>
      <c r="JCT244" s="36"/>
      <c r="JCU244" s="36"/>
      <c r="JCV244" s="36"/>
      <c r="JCW244" s="36"/>
      <c r="JCX244" s="36"/>
      <c r="JCY244" s="36"/>
      <c r="JCZ244" s="36"/>
      <c r="JDA244" s="36"/>
      <c r="JDB244" s="36"/>
      <c r="JDC244" s="36"/>
      <c r="JDD244" s="36"/>
      <c r="JDE244" s="36"/>
      <c r="JDF244" s="36"/>
      <c r="JDG244" s="36"/>
      <c r="JDH244" s="36"/>
      <c r="JDI244" s="36"/>
      <c r="JDJ244" s="36"/>
      <c r="JDK244" s="36"/>
      <c r="JDL244" s="36"/>
      <c r="JDM244" s="36"/>
      <c r="JDN244" s="36"/>
      <c r="JDO244" s="36"/>
      <c r="JDP244" s="36"/>
      <c r="JDQ244" s="36"/>
      <c r="JDR244" s="36"/>
      <c r="JDS244" s="36"/>
      <c r="JDT244" s="36"/>
      <c r="JDU244" s="36"/>
      <c r="JDV244" s="36"/>
      <c r="JDW244" s="36"/>
      <c r="JDX244" s="36"/>
      <c r="JDY244" s="36"/>
      <c r="JDZ244" s="36"/>
      <c r="JEA244" s="36"/>
      <c r="JEB244" s="36"/>
      <c r="JEC244" s="36"/>
      <c r="JED244" s="36"/>
      <c r="JEE244" s="36"/>
      <c r="JEF244" s="36"/>
      <c r="JEG244" s="36"/>
      <c r="JEH244" s="36"/>
      <c r="JEI244" s="36"/>
      <c r="JEJ244" s="36"/>
      <c r="JEK244" s="36"/>
      <c r="JEL244" s="36"/>
      <c r="JEM244" s="36"/>
      <c r="JEN244" s="36"/>
      <c r="JEO244" s="36"/>
      <c r="JEP244" s="36"/>
      <c r="JEQ244" s="36"/>
      <c r="JER244" s="36"/>
      <c r="JES244" s="36"/>
      <c r="JET244" s="36"/>
      <c r="JEU244" s="36"/>
      <c r="JEV244" s="36"/>
      <c r="JEW244" s="36"/>
      <c r="JEX244" s="36"/>
      <c r="JEY244" s="36"/>
      <c r="JEZ244" s="36"/>
      <c r="JFA244" s="36"/>
      <c r="JFB244" s="36"/>
      <c r="JFC244" s="36"/>
      <c r="JFD244" s="36"/>
      <c r="JFE244" s="36"/>
      <c r="JFF244" s="36"/>
      <c r="JFG244" s="36"/>
      <c r="JFH244" s="36"/>
      <c r="JFI244" s="36"/>
      <c r="JFJ244" s="36"/>
      <c r="JFK244" s="36"/>
      <c r="JFL244" s="36"/>
      <c r="JFM244" s="36"/>
      <c r="JFN244" s="36"/>
      <c r="JFO244" s="36"/>
      <c r="JFP244" s="36"/>
      <c r="JFQ244" s="36"/>
      <c r="JFR244" s="36"/>
      <c r="JFS244" s="36"/>
      <c r="JFT244" s="36"/>
      <c r="JFU244" s="36"/>
      <c r="JFV244" s="36"/>
      <c r="JFW244" s="36"/>
      <c r="JFX244" s="36"/>
      <c r="JFY244" s="36"/>
      <c r="JFZ244" s="36"/>
      <c r="JGA244" s="36"/>
      <c r="JGB244" s="36"/>
      <c r="JGC244" s="36"/>
      <c r="JGD244" s="36"/>
      <c r="JGE244" s="36"/>
      <c r="JGF244" s="36"/>
      <c r="JGG244" s="36"/>
      <c r="JGH244" s="36"/>
      <c r="JGI244" s="36"/>
      <c r="JGJ244" s="36"/>
      <c r="JGK244" s="36"/>
      <c r="JGL244" s="36"/>
      <c r="JGM244" s="36"/>
      <c r="JGN244" s="36"/>
      <c r="JGO244" s="36"/>
      <c r="JGP244" s="36"/>
      <c r="JGQ244" s="36"/>
      <c r="JGR244" s="36"/>
      <c r="JGS244" s="36"/>
      <c r="JGT244" s="36"/>
      <c r="JGU244" s="36"/>
      <c r="JGV244" s="36"/>
      <c r="JGW244" s="36"/>
      <c r="JGX244" s="36"/>
      <c r="JGY244" s="36"/>
      <c r="JGZ244" s="36"/>
      <c r="JHA244" s="36"/>
      <c r="JHB244" s="36"/>
      <c r="JHC244" s="36"/>
      <c r="JHD244" s="36"/>
      <c r="JHE244" s="36"/>
      <c r="JHF244" s="36"/>
      <c r="JHG244" s="36"/>
      <c r="JHH244" s="36"/>
      <c r="JHI244" s="36"/>
      <c r="JHJ244" s="36"/>
      <c r="JHK244" s="36"/>
      <c r="JHL244" s="36"/>
      <c r="JHM244" s="36"/>
      <c r="JHN244" s="36"/>
      <c r="JHO244" s="36"/>
      <c r="JHP244" s="36"/>
      <c r="JHQ244" s="36"/>
      <c r="JHR244" s="36"/>
      <c r="JHS244" s="36"/>
      <c r="JHT244" s="36"/>
      <c r="JHU244" s="36"/>
      <c r="JHV244" s="36"/>
      <c r="JHW244" s="36"/>
      <c r="JHX244" s="36"/>
      <c r="JHY244" s="36"/>
      <c r="JHZ244" s="36"/>
      <c r="JIA244" s="36"/>
      <c r="JIB244" s="36"/>
      <c r="JIC244" s="36"/>
      <c r="JID244" s="36"/>
      <c r="JIE244" s="36"/>
      <c r="JIF244" s="36"/>
      <c r="JIG244" s="36"/>
      <c r="JIH244" s="36"/>
      <c r="JII244" s="36"/>
      <c r="JIJ244" s="36"/>
      <c r="JIK244" s="36"/>
      <c r="JIL244" s="36"/>
      <c r="JIM244" s="36"/>
      <c r="JIN244" s="36"/>
      <c r="JIO244" s="36"/>
      <c r="JIP244" s="36"/>
      <c r="JIQ244" s="36"/>
      <c r="JIR244" s="36"/>
      <c r="JIS244" s="36"/>
      <c r="JIT244" s="36"/>
      <c r="JIU244" s="36"/>
      <c r="JIV244" s="36"/>
      <c r="JIW244" s="36"/>
      <c r="JIX244" s="36"/>
      <c r="JIY244" s="36"/>
      <c r="JIZ244" s="36"/>
      <c r="JJA244" s="36"/>
      <c r="JJB244" s="36"/>
      <c r="JJC244" s="36"/>
      <c r="JJD244" s="36"/>
      <c r="JJE244" s="36"/>
      <c r="JJF244" s="36"/>
      <c r="JJG244" s="36"/>
      <c r="JJH244" s="36"/>
      <c r="JJI244" s="36"/>
      <c r="JJJ244" s="36"/>
      <c r="JJK244" s="36"/>
      <c r="JJL244" s="36"/>
      <c r="JJM244" s="36"/>
      <c r="JJN244" s="36"/>
      <c r="JJO244" s="36"/>
      <c r="JJP244" s="36"/>
      <c r="JJQ244" s="36"/>
      <c r="JJR244" s="36"/>
      <c r="JJS244" s="36"/>
      <c r="JJT244" s="36"/>
      <c r="JJU244" s="36"/>
      <c r="JJV244" s="36"/>
      <c r="JJW244" s="36"/>
      <c r="JJX244" s="36"/>
      <c r="JJY244" s="36"/>
      <c r="JJZ244" s="36"/>
      <c r="JKA244" s="36"/>
      <c r="JKB244" s="36"/>
      <c r="JKC244" s="36"/>
      <c r="JKD244" s="36"/>
      <c r="JKE244" s="36"/>
      <c r="JKF244" s="36"/>
      <c r="JKG244" s="36"/>
      <c r="JKH244" s="36"/>
      <c r="JKI244" s="36"/>
      <c r="JKJ244" s="36"/>
      <c r="JKK244" s="36"/>
      <c r="JKL244" s="36"/>
      <c r="JKM244" s="36"/>
      <c r="JKN244" s="36"/>
      <c r="JKO244" s="36"/>
      <c r="JKP244" s="36"/>
      <c r="JKQ244" s="36"/>
      <c r="JKR244" s="36"/>
      <c r="JKS244" s="36"/>
      <c r="JKT244" s="36"/>
      <c r="JKU244" s="36"/>
      <c r="JKV244" s="36"/>
      <c r="JKW244" s="36"/>
      <c r="JKX244" s="36"/>
      <c r="JKY244" s="36"/>
      <c r="JKZ244" s="36"/>
      <c r="JLA244" s="36"/>
      <c r="JLB244" s="36"/>
      <c r="JLC244" s="36"/>
      <c r="JLD244" s="36"/>
      <c r="JLE244" s="36"/>
      <c r="JLF244" s="36"/>
      <c r="JLG244" s="36"/>
      <c r="JLH244" s="36"/>
      <c r="JLI244" s="36"/>
      <c r="JLJ244" s="36"/>
      <c r="JLK244" s="36"/>
      <c r="JLL244" s="36"/>
      <c r="JLM244" s="36"/>
      <c r="JLN244" s="36"/>
      <c r="JLO244" s="36"/>
      <c r="JLP244" s="36"/>
      <c r="JLQ244" s="36"/>
      <c r="JLR244" s="36"/>
      <c r="JLS244" s="36"/>
      <c r="JLT244" s="36"/>
      <c r="JLU244" s="36"/>
      <c r="JLV244" s="36"/>
      <c r="JLW244" s="36"/>
      <c r="JLX244" s="36"/>
      <c r="JLY244" s="36"/>
      <c r="JLZ244" s="36"/>
      <c r="JMA244" s="36"/>
      <c r="JMB244" s="36"/>
      <c r="JMC244" s="36"/>
      <c r="JMD244" s="36"/>
      <c r="JME244" s="36"/>
      <c r="JMF244" s="36"/>
      <c r="JMG244" s="36"/>
      <c r="JMH244" s="36"/>
      <c r="JMI244" s="36"/>
      <c r="JMJ244" s="36"/>
      <c r="JMK244" s="36"/>
      <c r="JML244" s="36"/>
      <c r="JMM244" s="36"/>
      <c r="JMN244" s="36"/>
      <c r="JMO244" s="36"/>
      <c r="JMP244" s="36"/>
      <c r="JMQ244" s="36"/>
      <c r="JMR244" s="36"/>
      <c r="JMS244" s="36"/>
      <c r="JMT244" s="36"/>
      <c r="JMU244" s="36"/>
      <c r="JMV244" s="36"/>
      <c r="JMW244" s="36"/>
      <c r="JMX244" s="36"/>
      <c r="JMY244" s="36"/>
      <c r="JMZ244" s="36"/>
      <c r="JNA244" s="36"/>
      <c r="JNB244" s="36"/>
      <c r="JNC244" s="36"/>
      <c r="JND244" s="36"/>
      <c r="JNE244" s="36"/>
      <c r="JNF244" s="36"/>
      <c r="JNG244" s="36"/>
      <c r="JNH244" s="36"/>
      <c r="JNI244" s="36"/>
      <c r="JNJ244" s="36"/>
      <c r="JNK244" s="36"/>
      <c r="JNL244" s="36"/>
      <c r="JNM244" s="36"/>
      <c r="JNN244" s="36"/>
      <c r="JNO244" s="36"/>
      <c r="JNP244" s="36"/>
      <c r="JNQ244" s="36"/>
      <c r="JNR244" s="36"/>
      <c r="JNS244" s="36"/>
      <c r="JNT244" s="36"/>
      <c r="JNU244" s="36"/>
      <c r="JNV244" s="36"/>
      <c r="JNW244" s="36"/>
      <c r="JNX244" s="36"/>
      <c r="JNY244" s="36"/>
      <c r="JNZ244" s="36"/>
      <c r="JOA244" s="36"/>
      <c r="JOB244" s="36"/>
      <c r="JOC244" s="36"/>
      <c r="JOD244" s="36"/>
      <c r="JOE244" s="36"/>
      <c r="JOF244" s="36"/>
      <c r="JOG244" s="36"/>
      <c r="JOH244" s="36"/>
      <c r="JOI244" s="36"/>
      <c r="JOJ244" s="36"/>
      <c r="JOK244" s="36"/>
      <c r="JOL244" s="36"/>
      <c r="JOM244" s="36"/>
      <c r="JON244" s="36"/>
      <c r="JOO244" s="36"/>
      <c r="JOP244" s="36"/>
      <c r="JOQ244" s="36"/>
      <c r="JOR244" s="36"/>
      <c r="JOS244" s="36"/>
      <c r="JOT244" s="36"/>
      <c r="JOU244" s="36"/>
      <c r="JOV244" s="36"/>
      <c r="JOW244" s="36"/>
      <c r="JOX244" s="36"/>
      <c r="JOY244" s="36"/>
      <c r="JOZ244" s="36"/>
      <c r="JPA244" s="36"/>
      <c r="JPB244" s="36"/>
      <c r="JPC244" s="36"/>
      <c r="JPD244" s="36"/>
      <c r="JPE244" s="36"/>
      <c r="JPF244" s="36"/>
      <c r="JPG244" s="36"/>
      <c r="JPH244" s="36"/>
      <c r="JPI244" s="36"/>
      <c r="JPJ244" s="36"/>
      <c r="JPK244" s="36"/>
      <c r="JPL244" s="36"/>
      <c r="JPM244" s="36"/>
      <c r="JPN244" s="36"/>
      <c r="JPO244" s="36"/>
      <c r="JPP244" s="36"/>
      <c r="JPQ244" s="36"/>
      <c r="JPR244" s="36"/>
      <c r="JPS244" s="36"/>
      <c r="JPT244" s="36"/>
      <c r="JPU244" s="36"/>
      <c r="JPV244" s="36"/>
      <c r="JPW244" s="36"/>
      <c r="JPX244" s="36"/>
      <c r="JPY244" s="36"/>
      <c r="JPZ244" s="36"/>
      <c r="JQA244" s="36"/>
      <c r="JQB244" s="36"/>
      <c r="JQC244" s="36"/>
      <c r="JQD244" s="36"/>
      <c r="JQE244" s="36"/>
      <c r="JQF244" s="36"/>
      <c r="JQG244" s="36"/>
      <c r="JQH244" s="36"/>
      <c r="JQI244" s="36"/>
      <c r="JQJ244" s="36"/>
      <c r="JQK244" s="36"/>
      <c r="JQL244" s="36"/>
      <c r="JQM244" s="36"/>
      <c r="JQN244" s="36"/>
      <c r="JQO244" s="36"/>
      <c r="JQP244" s="36"/>
      <c r="JQQ244" s="36"/>
      <c r="JQR244" s="36"/>
      <c r="JQS244" s="36"/>
      <c r="JQT244" s="36"/>
      <c r="JQU244" s="36"/>
      <c r="JQV244" s="36"/>
      <c r="JQW244" s="36"/>
      <c r="JQX244" s="36"/>
      <c r="JQY244" s="36"/>
      <c r="JQZ244" s="36"/>
      <c r="JRA244" s="36"/>
      <c r="JRB244" s="36"/>
      <c r="JRC244" s="36"/>
      <c r="JRD244" s="36"/>
      <c r="JRE244" s="36"/>
      <c r="JRF244" s="36"/>
      <c r="JRG244" s="36"/>
      <c r="JRH244" s="36"/>
      <c r="JRI244" s="36"/>
      <c r="JRJ244" s="36"/>
      <c r="JRK244" s="36"/>
      <c r="JRL244" s="36"/>
      <c r="JRM244" s="36"/>
      <c r="JRN244" s="36"/>
      <c r="JRO244" s="36"/>
      <c r="JRP244" s="36"/>
      <c r="JRQ244" s="36"/>
      <c r="JRR244" s="36"/>
      <c r="JRS244" s="36"/>
      <c r="JRT244" s="36"/>
      <c r="JRU244" s="36"/>
      <c r="JRV244" s="36"/>
      <c r="JRW244" s="36"/>
      <c r="JRX244" s="36"/>
      <c r="JRY244" s="36"/>
      <c r="JRZ244" s="36"/>
      <c r="JSA244" s="36"/>
      <c r="JSB244" s="36"/>
      <c r="JSC244" s="36"/>
      <c r="JSD244" s="36"/>
      <c r="JSE244" s="36"/>
      <c r="JSF244" s="36"/>
      <c r="JSG244" s="36"/>
      <c r="JSH244" s="36"/>
      <c r="JSI244" s="36"/>
      <c r="JSJ244" s="36"/>
      <c r="JSK244" s="36"/>
      <c r="JSL244" s="36"/>
      <c r="JSM244" s="36"/>
      <c r="JSN244" s="36"/>
      <c r="JSO244" s="36"/>
      <c r="JSP244" s="36"/>
      <c r="JSQ244" s="36"/>
      <c r="JSR244" s="36"/>
      <c r="JSS244" s="36"/>
      <c r="JST244" s="36"/>
      <c r="JSU244" s="36"/>
      <c r="JSV244" s="36"/>
      <c r="JSW244" s="36"/>
      <c r="JSX244" s="36"/>
      <c r="JSY244" s="36"/>
      <c r="JSZ244" s="36"/>
      <c r="JTA244" s="36"/>
      <c r="JTB244" s="36"/>
      <c r="JTC244" s="36"/>
      <c r="JTD244" s="36"/>
      <c r="JTE244" s="36"/>
      <c r="JTF244" s="36"/>
      <c r="JTG244" s="36"/>
      <c r="JTH244" s="36"/>
      <c r="JTI244" s="36"/>
      <c r="JTJ244" s="36"/>
      <c r="JTK244" s="36"/>
      <c r="JTL244" s="36"/>
      <c r="JTM244" s="36"/>
      <c r="JTN244" s="36"/>
      <c r="JTO244" s="36"/>
      <c r="JTP244" s="36"/>
      <c r="JTQ244" s="36"/>
      <c r="JTR244" s="36"/>
      <c r="JTS244" s="36"/>
      <c r="JTT244" s="36"/>
      <c r="JTU244" s="36"/>
      <c r="JTV244" s="36"/>
      <c r="JTW244" s="36"/>
      <c r="JTX244" s="36"/>
      <c r="JTY244" s="36"/>
      <c r="JTZ244" s="36"/>
      <c r="JUA244" s="36"/>
      <c r="JUB244" s="36"/>
      <c r="JUC244" s="36"/>
      <c r="JUD244" s="36"/>
      <c r="JUE244" s="36"/>
      <c r="JUF244" s="36"/>
      <c r="JUG244" s="36"/>
      <c r="JUH244" s="36"/>
      <c r="JUI244" s="36"/>
      <c r="JUJ244" s="36"/>
      <c r="JUK244" s="36"/>
      <c r="JUL244" s="36"/>
      <c r="JUM244" s="36"/>
      <c r="JUN244" s="36"/>
      <c r="JUO244" s="36"/>
      <c r="JUP244" s="36"/>
      <c r="JUQ244" s="36"/>
      <c r="JUR244" s="36"/>
      <c r="JUS244" s="36"/>
      <c r="JUT244" s="36"/>
      <c r="JUU244" s="36"/>
      <c r="JUV244" s="36"/>
      <c r="JUW244" s="36"/>
      <c r="JUX244" s="36"/>
      <c r="JUY244" s="36"/>
      <c r="JUZ244" s="36"/>
      <c r="JVA244" s="36"/>
      <c r="JVB244" s="36"/>
      <c r="JVC244" s="36"/>
      <c r="JVD244" s="36"/>
      <c r="JVE244" s="36"/>
      <c r="JVF244" s="36"/>
      <c r="JVG244" s="36"/>
      <c r="JVH244" s="36"/>
      <c r="JVI244" s="36"/>
      <c r="JVJ244" s="36"/>
      <c r="JVK244" s="36"/>
      <c r="JVL244" s="36"/>
      <c r="JVM244" s="36"/>
      <c r="JVN244" s="36"/>
      <c r="JVO244" s="36"/>
      <c r="JVP244" s="36"/>
      <c r="JVQ244" s="36"/>
      <c r="JVR244" s="36"/>
      <c r="JVS244" s="36"/>
      <c r="JVT244" s="36"/>
      <c r="JVU244" s="36"/>
      <c r="JVV244" s="36"/>
      <c r="JVW244" s="36"/>
      <c r="JVX244" s="36"/>
      <c r="JVY244" s="36"/>
      <c r="JVZ244" s="36"/>
      <c r="JWA244" s="36"/>
      <c r="JWB244" s="36"/>
      <c r="JWC244" s="36"/>
      <c r="JWD244" s="36"/>
      <c r="JWE244" s="36"/>
      <c r="JWF244" s="36"/>
      <c r="JWG244" s="36"/>
      <c r="JWH244" s="36"/>
      <c r="JWI244" s="36"/>
      <c r="JWJ244" s="36"/>
      <c r="JWK244" s="36"/>
      <c r="JWL244" s="36"/>
      <c r="JWM244" s="36"/>
      <c r="JWN244" s="36"/>
      <c r="JWO244" s="36"/>
      <c r="JWP244" s="36"/>
      <c r="JWQ244" s="36"/>
      <c r="JWR244" s="36"/>
      <c r="JWS244" s="36"/>
      <c r="JWT244" s="36"/>
      <c r="JWU244" s="36"/>
      <c r="JWV244" s="36"/>
      <c r="JWW244" s="36"/>
      <c r="JWX244" s="36"/>
      <c r="JWY244" s="36"/>
      <c r="JWZ244" s="36"/>
      <c r="JXA244" s="36"/>
      <c r="JXB244" s="36"/>
      <c r="JXC244" s="36"/>
      <c r="JXD244" s="36"/>
      <c r="JXE244" s="36"/>
      <c r="JXF244" s="36"/>
      <c r="JXG244" s="36"/>
      <c r="JXH244" s="36"/>
      <c r="JXI244" s="36"/>
      <c r="JXJ244" s="36"/>
      <c r="JXK244" s="36"/>
      <c r="JXL244" s="36"/>
      <c r="JXM244" s="36"/>
      <c r="JXN244" s="36"/>
      <c r="JXO244" s="36"/>
      <c r="JXP244" s="36"/>
      <c r="JXQ244" s="36"/>
      <c r="JXR244" s="36"/>
      <c r="JXS244" s="36"/>
      <c r="JXT244" s="36"/>
      <c r="JXU244" s="36"/>
      <c r="JXV244" s="36"/>
      <c r="JXW244" s="36"/>
      <c r="JXX244" s="36"/>
      <c r="JXY244" s="36"/>
      <c r="JXZ244" s="36"/>
      <c r="JYA244" s="36"/>
      <c r="JYB244" s="36"/>
      <c r="JYC244" s="36"/>
      <c r="JYD244" s="36"/>
      <c r="JYE244" s="36"/>
      <c r="JYF244" s="36"/>
      <c r="JYG244" s="36"/>
      <c r="JYH244" s="36"/>
      <c r="JYI244" s="36"/>
      <c r="JYJ244" s="36"/>
      <c r="JYK244" s="36"/>
      <c r="JYL244" s="36"/>
      <c r="JYM244" s="36"/>
      <c r="JYN244" s="36"/>
      <c r="JYO244" s="36"/>
      <c r="JYP244" s="36"/>
      <c r="JYQ244" s="36"/>
      <c r="JYR244" s="36"/>
      <c r="JYS244" s="36"/>
      <c r="JYT244" s="36"/>
      <c r="JYU244" s="36"/>
      <c r="JYV244" s="36"/>
      <c r="JYW244" s="36"/>
      <c r="JYX244" s="36"/>
      <c r="JYY244" s="36"/>
      <c r="JYZ244" s="36"/>
      <c r="JZA244" s="36"/>
      <c r="JZB244" s="36"/>
      <c r="JZC244" s="36"/>
      <c r="JZD244" s="36"/>
      <c r="JZE244" s="36"/>
      <c r="JZF244" s="36"/>
      <c r="JZG244" s="36"/>
      <c r="JZH244" s="36"/>
      <c r="JZI244" s="36"/>
      <c r="JZJ244" s="36"/>
      <c r="JZK244" s="36"/>
      <c r="JZL244" s="36"/>
      <c r="JZM244" s="36"/>
      <c r="JZN244" s="36"/>
      <c r="JZO244" s="36"/>
      <c r="JZP244" s="36"/>
      <c r="JZQ244" s="36"/>
      <c r="JZR244" s="36"/>
      <c r="JZS244" s="36"/>
      <c r="JZT244" s="36"/>
      <c r="JZU244" s="36"/>
      <c r="JZV244" s="36"/>
      <c r="JZW244" s="36"/>
      <c r="JZX244" s="36"/>
      <c r="JZY244" s="36"/>
      <c r="JZZ244" s="36"/>
      <c r="KAA244" s="36"/>
      <c r="KAB244" s="36"/>
      <c r="KAC244" s="36"/>
      <c r="KAD244" s="36"/>
      <c r="KAE244" s="36"/>
      <c r="KAF244" s="36"/>
      <c r="KAG244" s="36"/>
      <c r="KAH244" s="36"/>
      <c r="KAI244" s="36"/>
      <c r="KAJ244" s="36"/>
      <c r="KAK244" s="36"/>
      <c r="KAL244" s="36"/>
      <c r="KAM244" s="36"/>
      <c r="KAN244" s="36"/>
      <c r="KAO244" s="36"/>
      <c r="KAP244" s="36"/>
      <c r="KAQ244" s="36"/>
      <c r="KAR244" s="36"/>
      <c r="KAS244" s="36"/>
      <c r="KAT244" s="36"/>
      <c r="KAU244" s="36"/>
      <c r="KAV244" s="36"/>
      <c r="KAW244" s="36"/>
      <c r="KAX244" s="36"/>
      <c r="KAY244" s="36"/>
      <c r="KAZ244" s="36"/>
      <c r="KBA244" s="36"/>
      <c r="KBB244" s="36"/>
      <c r="KBC244" s="36"/>
      <c r="KBD244" s="36"/>
      <c r="KBE244" s="36"/>
      <c r="KBF244" s="36"/>
      <c r="KBG244" s="36"/>
      <c r="KBH244" s="36"/>
      <c r="KBI244" s="36"/>
      <c r="KBJ244" s="36"/>
      <c r="KBK244" s="36"/>
      <c r="KBL244" s="36"/>
      <c r="KBM244" s="36"/>
      <c r="KBN244" s="36"/>
      <c r="KBO244" s="36"/>
      <c r="KBP244" s="36"/>
      <c r="KBQ244" s="36"/>
      <c r="KBR244" s="36"/>
      <c r="KBS244" s="36"/>
      <c r="KBT244" s="36"/>
      <c r="KBU244" s="36"/>
      <c r="KBV244" s="36"/>
      <c r="KBW244" s="36"/>
      <c r="KBX244" s="36"/>
      <c r="KBY244" s="36"/>
      <c r="KBZ244" s="36"/>
      <c r="KCA244" s="36"/>
      <c r="KCB244" s="36"/>
      <c r="KCC244" s="36"/>
      <c r="KCD244" s="36"/>
      <c r="KCE244" s="36"/>
      <c r="KCF244" s="36"/>
      <c r="KCG244" s="36"/>
      <c r="KCH244" s="36"/>
      <c r="KCI244" s="36"/>
      <c r="KCJ244" s="36"/>
      <c r="KCK244" s="36"/>
      <c r="KCL244" s="36"/>
      <c r="KCM244" s="36"/>
      <c r="KCN244" s="36"/>
      <c r="KCO244" s="36"/>
      <c r="KCP244" s="36"/>
      <c r="KCQ244" s="36"/>
      <c r="KCR244" s="36"/>
      <c r="KCS244" s="36"/>
      <c r="KCT244" s="36"/>
      <c r="KCU244" s="36"/>
      <c r="KCV244" s="36"/>
      <c r="KCW244" s="36"/>
      <c r="KCX244" s="36"/>
      <c r="KCY244" s="36"/>
      <c r="KCZ244" s="36"/>
      <c r="KDA244" s="36"/>
      <c r="KDB244" s="36"/>
      <c r="KDC244" s="36"/>
      <c r="KDD244" s="36"/>
      <c r="KDE244" s="36"/>
      <c r="KDF244" s="36"/>
      <c r="KDG244" s="36"/>
      <c r="KDH244" s="36"/>
      <c r="KDI244" s="36"/>
      <c r="KDJ244" s="36"/>
      <c r="KDK244" s="36"/>
      <c r="KDL244" s="36"/>
      <c r="KDM244" s="36"/>
      <c r="KDN244" s="36"/>
      <c r="KDO244" s="36"/>
      <c r="KDP244" s="36"/>
      <c r="KDQ244" s="36"/>
      <c r="KDR244" s="36"/>
      <c r="KDS244" s="36"/>
      <c r="KDT244" s="36"/>
      <c r="KDU244" s="36"/>
      <c r="KDV244" s="36"/>
      <c r="KDW244" s="36"/>
      <c r="KDX244" s="36"/>
      <c r="KDY244" s="36"/>
      <c r="KDZ244" s="36"/>
      <c r="KEA244" s="36"/>
      <c r="KEB244" s="36"/>
      <c r="KEC244" s="36"/>
      <c r="KED244" s="36"/>
      <c r="KEE244" s="36"/>
      <c r="KEF244" s="36"/>
      <c r="KEG244" s="36"/>
      <c r="KEH244" s="36"/>
      <c r="KEI244" s="36"/>
      <c r="KEJ244" s="36"/>
      <c r="KEK244" s="36"/>
      <c r="KEL244" s="36"/>
      <c r="KEM244" s="36"/>
      <c r="KEN244" s="36"/>
      <c r="KEO244" s="36"/>
      <c r="KEP244" s="36"/>
      <c r="KEQ244" s="36"/>
      <c r="KER244" s="36"/>
      <c r="KES244" s="36"/>
      <c r="KET244" s="36"/>
      <c r="KEU244" s="36"/>
      <c r="KEV244" s="36"/>
      <c r="KEW244" s="36"/>
      <c r="KEX244" s="36"/>
      <c r="KEY244" s="36"/>
      <c r="KEZ244" s="36"/>
      <c r="KFA244" s="36"/>
      <c r="KFB244" s="36"/>
      <c r="KFC244" s="36"/>
      <c r="KFD244" s="36"/>
      <c r="KFE244" s="36"/>
      <c r="KFF244" s="36"/>
      <c r="KFG244" s="36"/>
      <c r="KFH244" s="36"/>
      <c r="KFI244" s="36"/>
      <c r="KFJ244" s="36"/>
      <c r="KFK244" s="36"/>
      <c r="KFL244" s="36"/>
      <c r="KFM244" s="36"/>
      <c r="KFN244" s="36"/>
      <c r="KFO244" s="36"/>
      <c r="KFP244" s="36"/>
      <c r="KFQ244" s="36"/>
      <c r="KFR244" s="36"/>
      <c r="KFS244" s="36"/>
      <c r="KFT244" s="36"/>
      <c r="KFU244" s="36"/>
      <c r="KFV244" s="36"/>
      <c r="KFW244" s="36"/>
      <c r="KFX244" s="36"/>
      <c r="KFY244" s="36"/>
      <c r="KFZ244" s="36"/>
      <c r="KGA244" s="36"/>
      <c r="KGB244" s="36"/>
      <c r="KGC244" s="36"/>
      <c r="KGD244" s="36"/>
      <c r="KGE244" s="36"/>
      <c r="KGF244" s="36"/>
      <c r="KGG244" s="36"/>
      <c r="KGH244" s="36"/>
      <c r="KGI244" s="36"/>
      <c r="KGJ244" s="36"/>
      <c r="KGK244" s="36"/>
      <c r="KGL244" s="36"/>
      <c r="KGM244" s="36"/>
      <c r="KGN244" s="36"/>
      <c r="KGO244" s="36"/>
      <c r="KGP244" s="36"/>
      <c r="KGQ244" s="36"/>
      <c r="KGR244" s="36"/>
      <c r="KGS244" s="36"/>
      <c r="KGT244" s="36"/>
      <c r="KGU244" s="36"/>
      <c r="KGV244" s="36"/>
      <c r="KGW244" s="36"/>
      <c r="KGX244" s="36"/>
      <c r="KGY244" s="36"/>
      <c r="KGZ244" s="36"/>
      <c r="KHA244" s="36"/>
      <c r="KHB244" s="36"/>
      <c r="KHC244" s="36"/>
      <c r="KHD244" s="36"/>
      <c r="KHE244" s="36"/>
      <c r="KHF244" s="36"/>
      <c r="KHG244" s="36"/>
      <c r="KHH244" s="36"/>
      <c r="KHI244" s="36"/>
      <c r="KHJ244" s="36"/>
      <c r="KHK244" s="36"/>
      <c r="KHL244" s="36"/>
      <c r="KHM244" s="36"/>
      <c r="KHN244" s="36"/>
      <c r="KHO244" s="36"/>
      <c r="KHP244" s="36"/>
      <c r="KHQ244" s="36"/>
      <c r="KHR244" s="36"/>
      <c r="KHS244" s="36"/>
      <c r="KHT244" s="36"/>
      <c r="KHU244" s="36"/>
      <c r="KHV244" s="36"/>
      <c r="KHW244" s="36"/>
      <c r="KHX244" s="36"/>
      <c r="KHY244" s="36"/>
      <c r="KHZ244" s="36"/>
      <c r="KIA244" s="36"/>
      <c r="KIB244" s="36"/>
      <c r="KIC244" s="36"/>
      <c r="KID244" s="36"/>
      <c r="KIE244" s="36"/>
      <c r="KIF244" s="36"/>
      <c r="KIG244" s="36"/>
      <c r="KIH244" s="36"/>
      <c r="KII244" s="36"/>
      <c r="KIJ244" s="36"/>
      <c r="KIK244" s="36"/>
      <c r="KIL244" s="36"/>
      <c r="KIM244" s="36"/>
      <c r="KIN244" s="36"/>
      <c r="KIO244" s="36"/>
      <c r="KIP244" s="36"/>
      <c r="KIQ244" s="36"/>
      <c r="KIR244" s="36"/>
      <c r="KIS244" s="36"/>
      <c r="KIT244" s="36"/>
      <c r="KIU244" s="36"/>
      <c r="KIV244" s="36"/>
      <c r="KIW244" s="36"/>
      <c r="KIX244" s="36"/>
      <c r="KIY244" s="36"/>
      <c r="KIZ244" s="36"/>
      <c r="KJA244" s="36"/>
      <c r="KJB244" s="36"/>
      <c r="KJC244" s="36"/>
      <c r="KJD244" s="36"/>
      <c r="KJE244" s="36"/>
      <c r="KJF244" s="36"/>
      <c r="KJG244" s="36"/>
      <c r="KJH244" s="36"/>
      <c r="KJI244" s="36"/>
      <c r="KJJ244" s="36"/>
      <c r="KJK244" s="36"/>
      <c r="KJL244" s="36"/>
      <c r="KJM244" s="36"/>
      <c r="KJN244" s="36"/>
      <c r="KJO244" s="36"/>
      <c r="KJP244" s="36"/>
      <c r="KJQ244" s="36"/>
      <c r="KJR244" s="36"/>
      <c r="KJS244" s="36"/>
      <c r="KJT244" s="36"/>
      <c r="KJU244" s="36"/>
      <c r="KJV244" s="36"/>
      <c r="KJW244" s="36"/>
      <c r="KJX244" s="36"/>
      <c r="KJY244" s="36"/>
      <c r="KJZ244" s="36"/>
      <c r="KKA244" s="36"/>
      <c r="KKB244" s="36"/>
      <c r="KKC244" s="36"/>
      <c r="KKD244" s="36"/>
      <c r="KKE244" s="36"/>
      <c r="KKF244" s="36"/>
      <c r="KKG244" s="36"/>
      <c r="KKH244" s="36"/>
      <c r="KKI244" s="36"/>
      <c r="KKJ244" s="36"/>
      <c r="KKK244" s="36"/>
      <c r="KKL244" s="36"/>
      <c r="KKM244" s="36"/>
      <c r="KKN244" s="36"/>
      <c r="KKO244" s="36"/>
      <c r="KKP244" s="36"/>
      <c r="KKQ244" s="36"/>
      <c r="KKR244" s="36"/>
      <c r="KKS244" s="36"/>
      <c r="KKT244" s="36"/>
      <c r="KKU244" s="36"/>
      <c r="KKV244" s="36"/>
      <c r="KKW244" s="36"/>
      <c r="KKX244" s="36"/>
      <c r="KKY244" s="36"/>
      <c r="KKZ244" s="36"/>
      <c r="KLA244" s="36"/>
      <c r="KLB244" s="36"/>
      <c r="KLC244" s="36"/>
      <c r="KLD244" s="36"/>
      <c r="KLE244" s="36"/>
      <c r="KLF244" s="36"/>
      <c r="KLG244" s="36"/>
      <c r="KLH244" s="36"/>
      <c r="KLI244" s="36"/>
      <c r="KLJ244" s="36"/>
      <c r="KLK244" s="36"/>
      <c r="KLL244" s="36"/>
      <c r="KLM244" s="36"/>
      <c r="KLN244" s="36"/>
      <c r="KLO244" s="36"/>
      <c r="KLP244" s="36"/>
      <c r="KLQ244" s="36"/>
      <c r="KLR244" s="36"/>
      <c r="KLS244" s="36"/>
      <c r="KLT244" s="36"/>
      <c r="KLU244" s="36"/>
      <c r="KLV244" s="36"/>
      <c r="KLW244" s="36"/>
      <c r="KLX244" s="36"/>
      <c r="KLY244" s="36"/>
      <c r="KLZ244" s="36"/>
      <c r="KMA244" s="36"/>
      <c r="KMB244" s="36"/>
      <c r="KMC244" s="36"/>
      <c r="KMD244" s="36"/>
      <c r="KME244" s="36"/>
      <c r="KMF244" s="36"/>
      <c r="KMG244" s="36"/>
      <c r="KMH244" s="36"/>
      <c r="KMI244" s="36"/>
      <c r="KMJ244" s="36"/>
      <c r="KMK244" s="36"/>
      <c r="KML244" s="36"/>
      <c r="KMM244" s="36"/>
      <c r="KMN244" s="36"/>
      <c r="KMO244" s="36"/>
      <c r="KMP244" s="36"/>
      <c r="KMQ244" s="36"/>
      <c r="KMR244" s="36"/>
      <c r="KMS244" s="36"/>
      <c r="KMT244" s="36"/>
      <c r="KMU244" s="36"/>
      <c r="KMV244" s="36"/>
      <c r="KMW244" s="36"/>
      <c r="KMX244" s="36"/>
      <c r="KMY244" s="36"/>
      <c r="KMZ244" s="36"/>
      <c r="KNA244" s="36"/>
      <c r="KNB244" s="36"/>
      <c r="KNC244" s="36"/>
      <c r="KND244" s="36"/>
      <c r="KNE244" s="36"/>
      <c r="KNF244" s="36"/>
      <c r="KNG244" s="36"/>
      <c r="KNH244" s="36"/>
      <c r="KNI244" s="36"/>
      <c r="KNJ244" s="36"/>
      <c r="KNK244" s="36"/>
      <c r="KNL244" s="36"/>
      <c r="KNM244" s="36"/>
      <c r="KNN244" s="36"/>
      <c r="KNO244" s="36"/>
      <c r="KNP244" s="36"/>
      <c r="KNQ244" s="36"/>
      <c r="KNR244" s="36"/>
      <c r="KNS244" s="36"/>
      <c r="KNT244" s="36"/>
      <c r="KNU244" s="36"/>
      <c r="KNV244" s="36"/>
      <c r="KNW244" s="36"/>
      <c r="KNX244" s="36"/>
      <c r="KNY244" s="36"/>
      <c r="KNZ244" s="36"/>
      <c r="KOA244" s="36"/>
      <c r="KOB244" s="36"/>
      <c r="KOC244" s="36"/>
      <c r="KOD244" s="36"/>
      <c r="KOE244" s="36"/>
      <c r="KOF244" s="36"/>
      <c r="KOG244" s="36"/>
      <c r="KOH244" s="36"/>
      <c r="KOI244" s="36"/>
      <c r="KOJ244" s="36"/>
      <c r="KOK244" s="36"/>
      <c r="KOL244" s="36"/>
      <c r="KOM244" s="36"/>
      <c r="KON244" s="36"/>
      <c r="KOO244" s="36"/>
      <c r="KOP244" s="36"/>
      <c r="KOQ244" s="36"/>
      <c r="KOR244" s="36"/>
      <c r="KOS244" s="36"/>
      <c r="KOT244" s="36"/>
      <c r="KOU244" s="36"/>
      <c r="KOV244" s="36"/>
      <c r="KOW244" s="36"/>
      <c r="KOX244" s="36"/>
      <c r="KOY244" s="36"/>
      <c r="KOZ244" s="36"/>
      <c r="KPA244" s="36"/>
      <c r="KPB244" s="36"/>
      <c r="KPC244" s="36"/>
      <c r="KPD244" s="36"/>
      <c r="KPE244" s="36"/>
      <c r="KPF244" s="36"/>
      <c r="KPG244" s="36"/>
      <c r="KPH244" s="36"/>
      <c r="KPI244" s="36"/>
      <c r="KPJ244" s="36"/>
      <c r="KPK244" s="36"/>
      <c r="KPL244" s="36"/>
      <c r="KPM244" s="36"/>
      <c r="KPN244" s="36"/>
      <c r="KPO244" s="36"/>
      <c r="KPP244" s="36"/>
      <c r="KPQ244" s="36"/>
      <c r="KPR244" s="36"/>
      <c r="KPS244" s="36"/>
      <c r="KPT244" s="36"/>
      <c r="KPU244" s="36"/>
      <c r="KPV244" s="36"/>
      <c r="KPW244" s="36"/>
      <c r="KPX244" s="36"/>
      <c r="KPY244" s="36"/>
      <c r="KPZ244" s="36"/>
      <c r="KQA244" s="36"/>
      <c r="KQB244" s="36"/>
      <c r="KQC244" s="36"/>
      <c r="KQD244" s="36"/>
      <c r="KQE244" s="36"/>
      <c r="KQF244" s="36"/>
      <c r="KQG244" s="36"/>
      <c r="KQH244" s="36"/>
      <c r="KQI244" s="36"/>
      <c r="KQJ244" s="36"/>
      <c r="KQK244" s="36"/>
      <c r="KQL244" s="36"/>
      <c r="KQM244" s="36"/>
      <c r="KQN244" s="36"/>
      <c r="KQO244" s="36"/>
      <c r="KQP244" s="36"/>
      <c r="KQQ244" s="36"/>
      <c r="KQR244" s="36"/>
      <c r="KQS244" s="36"/>
      <c r="KQT244" s="36"/>
      <c r="KQU244" s="36"/>
      <c r="KQV244" s="36"/>
      <c r="KQW244" s="36"/>
      <c r="KQX244" s="36"/>
      <c r="KQY244" s="36"/>
      <c r="KQZ244" s="36"/>
      <c r="KRA244" s="36"/>
      <c r="KRB244" s="36"/>
      <c r="KRC244" s="36"/>
      <c r="KRD244" s="36"/>
      <c r="KRE244" s="36"/>
      <c r="KRF244" s="36"/>
      <c r="KRG244" s="36"/>
      <c r="KRH244" s="36"/>
      <c r="KRI244" s="36"/>
      <c r="KRJ244" s="36"/>
      <c r="KRK244" s="36"/>
      <c r="KRL244" s="36"/>
      <c r="KRM244" s="36"/>
      <c r="KRN244" s="36"/>
      <c r="KRO244" s="36"/>
      <c r="KRP244" s="36"/>
      <c r="KRQ244" s="36"/>
      <c r="KRR244" s="36"/>
      <c r="KRS244" s="36"/>
      <c r="KRT244" s="36"/>
      <c r="KRU244" s="36"/>
      <c r="KRV244" s="36"/>
      <c r="KRW244" s="36"/>
      <c r="KRX244" s="36"/>
      <c r="KRY244" s="36"/>
      <c r="KRZ244" s="36"/>
      <c r="KSA244" s="36"/>
      <c r="KSB244" s="36"/>
      <c r="KSC244" s="36"/>
      <c r="KSD244" s="36"/>
      <c r="KSE244" s="36"/>
      <c r="KSF244" s="36"/>
      <c r="KSG244" s="36"/>
      <c r="KSH244" s="36"/>
      <c r="KSI244" s="36"/>
      <c r="KSJ244" s="36"/>
      <c r="KSK244" s="36"/>
      <c r="KSL244" s="36"/>
      <c r="KSM244" s="36"/>
      <c r="KSN244" s="36"/>
      <c r="KSO244" s="36"/>
      <c r="KSP244" s="36"/>
      <c r="KSQ244" s="36"/>
      <c r="KSR244" s="36"/>
      <c r="KSS244" s="36"/>
      <c r="KST244" s="36"/>
      <c r="KSU244" s="36"/>
      <c r="KSV244" s="36"/>
      <c r="KSW244" s="36"/>
      <c r="KSX244" s="36"/>
      <c r="KSY244" s="36"/>
      <c r="KSZ244" s="36"/>
      <c r="KTA244" s="36"/>
      <c r="KTB244" s="36"/>
      <c r="KTC244" s="36"/>
      <c r="KTD244" s="36"/>
      <c r="KTE244" s="36"/>
      <c r="KTF244" s="36"/>
      <c r="KTG244" s="36"/>
      <c r="KTH244" s="36"/>
      <c r="KTI244" s="36"/>
      <c r="KTJ244" s="36"/>
      <c r="KTK244" s="36"/>
      <c r="KTL244" s="36"/>
      <c r="KTM244" s="36"/>
      <c r="KTN244" s="36"/>
      <c r="KTO244" s="36"/>
      <c r="KTP244" s="36"/>
      <c r="KTQ244" s="36"/>
      <c r="KTR244" s="36"/>
      <c r="KTS244" s="36"/>
      <c r="KTT244" s="36"/>
      <c r="KTU244" s="36"/>
      <c r="KTV244" s="36"/>
      <c r="KTW244" s="36"/>
      <c r="KTX244" s="36"/>
      <c r="KTY244" s="36"/>
      <c r="KTZ244" s="36"/>
      <c r="KUA244" s="36"/>
      <c r="KUB244" s="36"/>
      <c r="KUC244" s="36"/>
      <c r="KUD244" s="36"/>
      <c r="KUE244" s="36"/>
      <c r="KUF244" s="36"/>
      <c r="KUG244" s="36"/>
      <c r="KUH244" s="36"/>
      <c r="KUI244" s="36"/>
      <c r="KUJ244" s="36"/>
      <c r="KUK244" s="36"/>
      <c r="KUL244" s="36"/>
      <c r="KUM244" s="36"/>
      <c r="KUN244" s="36"/>
      <c r="KUO244" s="36"/>
      <c r="KUP244" s="36"/>
      <c r="KUQ244" s="36"/>
      <c r="KUR244" s="36"/>
      <c r="KUS244" s="36"/>
      <c r="KUT244" s="36"/>
      <c r="KUU244" s="36"/>
      <c r="KUV244" s="36"/>
      <c r="KUW244" s="36"/>
      <c r="KUX244" s="36"/>
      <c r="KUY244" s="36"/>
      <c r="KUZ244" s="36"/>
      <c r="KVA244" s="36"/>
      <c r="KVB244" s="36"/>
      <c r="KVC244" s="36"/>
      <c r="KVD244" s="36"/>
      <c r="KVE244" s="36"/>
      <c r="KVF244" s="36"/>
      <c r="KVG244" s="36"/>
      <c r="KVH244" s="36"/>
      <c r="KVI244" s="36"/>
      <c r="KVJ244" s="36"/>
      <c r="KVK244" s="36"/>
      <c r="KVL244" s="36"/>
      <c r="KVM244" s="36"/>
      <c r="KVN244" s="36"/>
      <c r="KVO244" s="36"/>
      <c r="KVP244" s="36"/>
      <c r="KVQ244" s="36"/>
      <c r="KVR244" s="36"/>
      <c r="KVS244" s="36"/>
      <c r="KVT244" s="36"/>
      <c r="KVU244" s="36"/>
      <c r="KVV244" s="36"/>
      <c r="KVW244" s="36"/>
      <c r="KVX244" s="36"/>
      <c r="KVY244" s="36"/>
      <c r="KVZ244" s="36"/>
      <c r="KWA244" s="36"/>
      <c r="KWB244" s="36"/>
      <c r="KWC244" s="36"/>
      <c r="KWD244" s="36"/>
      <c r="KWE244" s="36"/>
      <c r="KWF244" s="36"/>
      <c r="KWG244" s="36"/>
      <c r="KWH244" s="36"/>
      <c r="KWI244" s="36"/>
      <c r="KWJ244" s="36"/>
      <c r="KWK244" s="36"/>
      <c r="KWL244" s="36"/>
      <c r="KWM244" s="36"/>
      <c r="KWN244" s="36"/>
      <c r="KWO244" s="36"/>
      <c r="KWP244" s="36"/>
      <c r="KWQ244" s="36"/>
      <c r="KWR244" s="36"/>
      <c r="KWS244" s="36"/>
      <c r="KWT244" s="36"/>
      <c r="KWU244" s="36"/>
      <c r="KWV244" s="36"/>
      <c r="KWW244" s="36"/>
      <c r="KWX244" s="36"/>
      <c r="KWY244" s="36"/>
      <c r="KWZ244" s="36"/>
      <c r="KXA244" s="36"/>
      <c r="KXB244" s="36"/>
      <c r="KXC244" s="36"/>
      <c r="KXD244" s="36"/>
      <c r="KXE244" s="36"/>
      <c r="KXF244" s="36"/>
      <c r="KXG244" s="36"/>
      <c r="KXH244" s="36"/>
      <c r="KXI244" s="36"/>
      <c r="KXJ244" s="36"/>
      <c r="KXK244" s="36"/>
      <c r="KXL244" s="36"/>
      <c r="KXM244" s="36"/>
      <c r="KXN244" s="36"/>
      <c r="KXO244" s="36"/>
      <c r="KXP244" s="36"/>
      <c r="KXQ244" s="36"/>
      <c r="KXR244" s="36"/>
      <c r="KXS244" s="36"/>
      <c r="KXT244" s="36"/>
      <c r="KXU244" s="36"/>
      <c r="KXV244" s="36"/>
      <c r="KXW244" s="36"/>
      <c r="KXX244" s="36"/>
      <c r="KXY244" s="36"/>
      <c r="KXZ244" s="36"/>
      <c r="KYA244" s="36"/>
      <c r="KYB244" s="36"/>
      <c r="KYC244" s="36"/>
      <c r="KYD244" s="36"/>
      <c r="KYE244" s="36"/>
      <c r="KYF244" s="36"/>
      <c r="KYG244" s="36"/>
      <c r="KYH244" s="36"/>
      <c r="KYI244" s="36"/>
      <c r="KYJ244" s="36"/>
      <c r="KYK244" s="36"/>
      <c r="KYL244" s="36"/>
      <c r="KYM244" s="36"/>
      <c r="KYN244" s="36"/>
      <c r="KYO244" s="36"/>
      <c r="KYP244" s="36"/>
      <c r="KYQ244" s="36"/>
      <c r="KYR244" s="36"/>
      <c r="KYS244" s="36"/>
      <c r="KYT244" s="36"/>
      <c r="KYU244" s="36"/>
      <c r="KYV244" s="36"/>
      <c r="KYW244" s="36"/>
      <c r="KYX244" s="36"/>
      <c r="KYY244" s="36"/>
      <c r="KYZ244" s="36"/>
      <c r="KZA244" s="36"/>
      <c r="KZB244" s="36"/>
      <c r="KZC244" s="36"/>
      <c r="KZD244" s="36"/>
      <c r="KZE244" s="36"/>
      <c r="KZF244" s="36"/>
      <c r="KZG244" s="36"/>
      <c r="KZH244" s="36"/>
      <c r="KZI244" s="36"/>
      <c r="KZJ244" s="36"/>
      <c r="KZK244" s="36"/>
      <c r="KZL244" s="36"/>
      <c r="KZM244" s="36"/>
      <c r="KZN244" s="36"/>
      <c r="KZO244" s="36"/>
      <c r="KZP244" s="36"/>
      <c r="KZQ244" s="36"/>
      <c r="KZR244" s="36"/>
      <c r="KZS244" s="36"/>
      <c r="KZT244" s="36"/>
      <c r="KZU244" s="36"/>
      <c r="KZV244" s="36"/>
      <c r="KZW244" s="36"/>
      <c r="KZX244" s="36"/>
      <c r="KZY244" s="36"/>
      <c r="KZZ244" s="36"/>
      <c r="LAA244" s="36"/>
      <c r="LAB244" s="36"/>
      <c r="LAC244" s="36"/>
      <c r="LAD244" s="36"/>
      <c r="LAE244" s="36"/>
      <c r="LAF244" s="36"/>
      <c r="LAG244" s="36"/>
      <c r="LAH244" s="36"/>
      <c r="LAI244" s="36"/>
      <c r="LAJ244" s="36"/>
      <c r="LAK244" s="36"/>
      <c r="LAL244" s="36"/>
      <c r="LAM244" s="36"/>
      <c r="LAN244" s="36"/>
      <c r="LAO244" s="36"/>
      <c r="LAP244" s="36"/>
      <c r="LAQ244" s="36"/>
      <c r="LAR244" s="36"/>
      <c r="LAS244" s="36"/>
      <c r="LAT244" s="36"/>
      <c r="LAU244" s="36"/>
      <c r="LAV244" s="36"/>
      <c r="LAW244" s="36"/>
      <c r="LAX244" s="36"/>
      <c r="LAY244" s="36"/>
      <c r="LAZ244" s="36"/>
      <c r="LBA244" s="36"/>
      <c r="LBB244" s="36"/>
      <c r="LBC244" s="36"/>
      <c r="LBD244" s="36"/>
      <c r="LBE244" s="36"/>
      <c r="LBF244" s="36"/>
      <c r="LBG244" s="36"/>
      <c r="LBH244" s="36"/>
      <c r="LBI244" s="36"/>
      <c r="LBJ244" s="36"/>
      <c r="LBK244" s="36"/>
      <c r="LBL244" s="36"/>
      <c r="LBM244" s="36"/>
      <c r="LBN244" s="36"/>
      <c r="LBO244" s="36"/>
      <c r="LBP244" s="36"/>
      <c r="LBQ244" s="36"/>
      <c r="LBR244" s="36"/>
      <c r="LBS244" s="36"/>
      <c r="LBT244" s="36"/>
      <c r="LBU244" s="36"/>
      <c r="LBV244" s="36"/>
      <c r="LBW244" s="36"/>
      <c r="LBX244" s="36"/>
      <c r="LBY244" s="36"/>
      <c r="LBZ244" s="36"/>
      <c r="LCA244" s="36"/>
      <c r="LCB244" s="36"/>
      <c r="LCC244" s="36"/>
      <c r="LCD244" s="36"/>
      <c r="LCE244" s="36"/>
      <c r="LCF244" s="36"/>
      <c r="LCG244" s="36"/>
      <c r="LCH244" s="36"/>
      <c r="LCI244" s="36"/>
      <c r="LCJ244" s="36"/>
      <c r="LCK244" s="36"/>
      <c r="LCL244" s="36"/>
      <c r="LCM244" s="36"/>
      <c r="LCN244" s="36"/>
      <c r="LCO244" s="36"/>
      <c r="LCP244" s="36"/>
      <c r="LCQ244" s="36"/>
      <c r="LCR244" s="36"/>
      <c r="LCS244" s="36"/>
      <c r="LCT244" s="36"/>
      <c r="LCU244" s="36"/>
      <c r="LCV244" s="36"/>
      <c r="LCW244" s="36"/>
      <c r="LCX244" s="36"/>
      <c r="LCY244" s="36"/>
      <c r="LCZ244" s="36"/>
      <c r="LDA244" s="36"/>
      <c r="LDB244" s="36"/>
      <c r="LDC244" s="36"/>
      <c r="LDD244" s="36"/>
      <c r="LDE244" s="36"/>
      <c r="LDF244" s="36"/>
      <c r="LDG244" s="36"/>
      <c r="LDH244" s="36"/>
      <c r="LDI244" s="36"/>
      <c r="LDJ244" s="36"/>
      <c r="LDK244" s="36"/>
      <c r="LDL244" s="36"/>
      <c r="LDM244" s="36"/>
      <c r="LDN244" s="36"/>
      <c r="LDO244" s="36"/>
      <c r="LDP244" s="36"/>
      <c r="LDQ244" s="36"/>
      <c r="LDR244" s="36"/>
      <c r="LDS244" s="36"/>
      <c r="LDT244" s="36"/>
      <c r="LDU244" s="36"/>
      <c r="LDV244" s="36"/>
      <c r="LDW244" s="36"/>
      <c r="LDX244" s="36"/>
      <c r="LDY244" s="36"/>
      <c r="LDZ244" s="36"/>
      <c r="LEA244" s="36"/>
      <c r="LEB244" s="36"/>
      <c r="LEC244" s="36"/>
      <c r="LED244" s="36"/>
      <c r="LEE244" s="36"/>
      <c r="LEF244" s="36"/>
      <c r="LEG244" s="36"/>
      <c r="LEH244" s="36"/>
      <c r="LEI244" s="36"/>
      <c r="LEJ244" s="36"/>
      <c r="LEK244" s="36"/>
      <c r="LEL244" s="36"/>
      <c r="LEM244" s="36"/>
      <c r="LEN244" s="36"/>
      <c r="LEO244" s="36"/>
      <c r="LEP244" s="36"/>
      <c r="LEQ244" s="36"/>
      <c r="LER244" s="36"/>
      <c r="LES244" s="36"/>
      <c r="LET244" s="36"/>
      <c r="LEU244" s="36"/>
      <c r="LEV244" s="36"/>
      <c r="LEW244" s="36"/>
      <c r="LEX244" s="36"/>
      <c r="LEY244" s="36"/>
      <c r="LEZ244" s="36"/>
      <c r="LFA244" s="36"/>
      <c r="LFB244" s="36"/>
      <c r="LFC244" s="36"/>
      <c r="LFD244" s="36"/>
      <c r="LFE244" s="36"/>
      <c r="LFF244" s="36"/>
      <c r="LFG244" s="36"/>
      <c r="LFH244" s="36"/>
      <c r="LFI244" s="36"/>
      <c r="LFJ244" s="36"/>
      <c r="LFK244" s="36"/>
      <c r="LFL244" s="36"/>
      <c r="LFM244" s="36"/>
      <c r="LFN244" s="36"/>
      <c r="LFO244" s="36"/>
      <c r="LFP244" s="36"/>
      <c r="LFQ244" s="36"/>
      <c r="LFR244" s="36"/>
      <c r="LFS244" s="36"/>
      <c r="LFT244" s="36"/>
      <c r="LFU244" s="36"/>
      <c r="LFV244" s="36"/>
      <c r="LFW244" s="36"/>
      <c r="LFX244" s="36"/>
      <c r="LFY244" s="36"/>
      <c r="LFZ244" s="36"/>
      <c r="LGA244" s="36"/>
      <c r="LGB244" s="36"/>
      <c r="LGC244" s="36"/>
      <c r="LGD244" s="36"/>
      <c r="LGE244" s="36"/>
      <c r="LGF244" s="36"/>
      <c r="LGG244" s="36"/>
      <c r="LGH244" s="36"/>
      <c r="LGI244" s="36"/>
      <c r="LGJ244" s="36"/>
      <c r="LGK244" s="36"/>
      <c r="LGL244" s="36"/>
      <c r="LGM244" s="36"/>
      <c r="LGN244" s="36"/>
      <c r="LGO244" s="36"/>
      <c r="LGP244" s="36"/>
      <c r="LGQ244" s="36"/>
      <c r="LGR244" s="36"/>
      <c r="LGS244" s="36"/>
      <c r="LGT244" s="36"/>
      <c r="LGU244" s="36"/>
      <c r="LGV244" s="36"/>
      <c r="LGW244" s="36"/>
      <c r="LGX244" s="36"/>
      <c r="LGY244" s="36"/>
      <c r="LGZ244" s="36"/>
      <c r="LHA244" s="36"/>
      <c r="LHB244" s="36"/>
      <c r="LHC244" s="36"/>
      <c r="LHD244" s="36"/>
      <c r="LHE244" s="36"/>
      <c r="LHF244" s="36"/>
      <c r="LHG244" s="36"/>
      <c r="LHH244" s="36"/>
      <c r="LHI244" s="36"/>
      <c r="LHJ244" s="36"/>
      <c r="LHK244" s="36"/>
      <c r="LHL244" s="36"/>
      <c r="LHM244" s="36"/>
      <c r="LHN244" s="36"/>
      <c r="LHO244" s="36"/>
      <c r="LHP244" s="36"/>
      <c r="LHQ244" s="36"/>
      <c r="LHR244" s="36"/>
      <c r="LHS244" s="36"/>
      <c r="LHT244" s="36"/>
      <c r="LHU244" s="36"/>
      <c r="LHV244" s="36"/>
      <c r="LHW244" s="36"/>
      <c r="LHX244" s="36"/>
      <c r="LHY244" s="36"/>
      <c r="LHZ244" s="36"/>
      <c r="LIA244" s="36"/>
      <c r="LIB244" s="36"/>
      <c r="LIC244" s="36"/>
      <c r="LID244" s="36"/>
      <c r="LIE244" s="36"/>
      <c r="LIF244" s="36"/>
      <c r="LIG244" s="36"/>
      <c r="LIH244" s="36"/>
      <c r="LII244" s="36"/>
      <c r="LIJ244" s="36"/>
      <c r="LIK244" s="36"/>
      <c r="LIL244" s="36"/>
      <c r="LIM244" s="36"/>
      <c r="LIN244" s="36"/>
      <c r="LIO244" s="36"/>
      <c r="LIP244" s="36"/>
      <c r="LIQ244" s="36"/>
      <c r="LIR244" s="36"/>
      <c r="LIS244" s="36"/>
      <c r="LIT244" s="36"/>
      <c r="LIU244" s="36"/>
      <c r="LIV244" s="36"/>
      <c r="LIW244" s="36"/>
      <c r="LIX244" s="36"/>
      <c r="LIY244" s="36"/>
      <c r="LIZ244" s="36"/>
      <c r="LJA244" s="36"/>
      <c r="LJB244" s="36"/>
      <c r="LJC244" s="36"/>
      <c r="LJD244" s="36"/>
      <c r="LJE244" s="36"/>
      <c r="LJF244" s="36"/>
      <c r="LJG244" s="36"/>
      <c r="LJH244" s="36"/>
      <c r="LJI244" s="36"/>
      <c r="LJJ244" s="36"/>
      <c r="LJK244" s="36"/>
      <c r="LJL244" s="36"/>
      <c r="LJM244" s="36"/>
      <c r="LJN244" s="36"/>
      <c r="LJO244" s="36"/>
      <c r="LJP244" s="36"/>
      <c r="LJQ244" s="36"/>
      <c r="LJR244" s="36"/>
      <c r="LJS244" s="36"/>
      <c r="LJT244" s="36"/>
      <c r="LJU244" s="36"/>
      <c r="LJV244" s="36"/>
      <c r="LJW244" s="36"/>
      <c r="LJX244" s="36"/>
      <c r="LJY244" s="36"/>
      <c r="LJZ244" s="36"/>
      <c r="LKA244" s="36"/>
      <c r="LKB244" s="36"/>
      <c r="LKC244" s="36"/>
      <c r="LKD244" s="36"/>
      <c r="LKE244" s="36"/>
      <c r="LKF244" s="36"/>
      <c r="LKG244" s="36"/>
      <c r="LKH244" s="36"/>
      <c r="LKI244" s="36"/>
      <c r="LKJ244" s="36"/>
      <c r="LKK244" s="36"/>
      <c r="LKL244" s="36"/>
      <c r="LKM244" s="36"/>
      <c r="LKN244" s="36"/>
      <c r="LKO244" s="36"/>
      <c r="LKP244" s="36"/>
      <c r="LKQ244" s="36"/>
      <c r="LKR244" s="36"/>
      <c r="LKS244" s="36"/>
      <c r="LKT244" s="36"/>
      <c r="LKU244" s="36"/>
      <c r="LKV244" s="36"/>
      <c r="LKW244" s="36"/>
      <c r="LKX244" s="36"/>
      <c r="LKY244" s="36"/>
      <c r="LKZ244" s="36"/>
      <c r="LLA244" s="36"/>
      <c r="LLB244" s="36"/>
      <c r="LLC244" s="36"/>
      <c r="LLD244" s="36"/>
      <c r="LLE244" s="36"/>
      <c r="LLF244" s="36"/>
      <c r="LLG244" s="36"/>
      <c r="LLH244" s="36"/>
      <c r="LLI244" s="36"/>
      <c r="LLJ244" s="36"/>
      <c r="LLK244" s="36"/>
      <c r="LLL244" s="36"/>
      <c r="LLM244" s="36"/>
      <c r="LLN244" s="36"/>
      <c r="LLO244" s="36"/>
      <c r="LLP244" s="36"/>
      <c r="LLQ244" s="36"/>
      <c r="LLR244" s="36"/>
      <c r="LLS244" s="36"/>
      <c r="LLT244" s="36"/>
      <c r="LLU244" s="36"/>
      <c r="LLV244" s="36"/>
      <c r="LLW244" s="36"/>
      <c r="LLX244" s="36"/>
      <c r="LLY244" s="36"/>
      <c r="LLZ244" s="36"/>
      <c r="LMA244" s="36"/>
      <c r="LMB244" s="36"/>
      <c r="LMC244" s="36"/>
      <c r="LMD244" s="36"/>
      <c r="LME244" s="36"/>
      <c r="LMF244" s="36"/>
      <c r="LMG244" s="36"/>
      <c r="LMH244" s="36"/>
      <c r="LMI244" s="36"/>
      <c r="LMJ244" s="36"/>
      <c r="LMK244" s="36"/>
      <c r="LML244" s="36"/>
      <c r="LMM244" s="36"/>
      <c r="LMN244" s="36"/>
      <c r="LMO244" s="36"/>
      <c r="LMP244" s="36"/>
      <c r="LMQ244" s="36"/>
      <c r="LMR244" s="36"/>
      <c r="LMS244" s="36"/>
      <c r="LMT244" s="36"/>
      <c r="LMU244" s="36"/>
      <c r="LMV244" s="36"/>
      <c r="LMW244" s="36"/>
      <c r="LMX244" s="36"/>
      <c r="LMY244" s="36"/>
      <c r="LMZ244" s="36"/>
      <c r="LNA244" s="36"/>
      <c r="LNB244" s="36"/>
      <c r="LNC244" s="36"/>
      <c r="LND244" s="36"/>
      <c r="LNE244" s="36"/>
      <c r="LNF244" s="36"/>
      <c r="LNG244" s="36"/>
      <c r="LNH244" s="36"/>
      <c r="LNI244" s="36"/>
      <c r="LNJ244" s="36"/>
      <c r="LNK244" s="36"/>
      <c r="LNL244" s="36"/>
      <c r="LNM244" s="36"/>
      <c r="LNN244" s="36"/>
      <c r="LNO244" s="36"/>
      <c r="LNP244" s="36"/>
      <c r="LNQ244" s="36"/>
      <c r="LNR244" s="36"/>
      <c r="LNS244" s="36"/>
      <c r="LNT244" s="36"/>
      <c r="LNU244" s="36"/>
      <c r="LNV244" s="36"/>
      <c r="LNW244" s="36"/>
      <c r="LNX244" s="36"/>
      <c r="LNY244" s="36"/>
      <c r="LNZ244" s="36"/>
      <c r="LOA244" s="36"/>
      <c r="LOB244" s="36"/>
      <c r="LOC244" s="36"/>
      <c r="LOD244" s="36"/>
      <c r="LOE244" s="36"/>
      <c r="LOF244" s="36"/>
      <c r="LOG244" s="36"/>
      <c r="LOH244" s="36"/>
      <c r="LOI244" s="36"/>
      <c r="LOJ244" s="36"/>
      <c r="LOK244" s="36"/>
      <c r="LOL244" s="36"/>
      <c r="LOM244" s="36"/>
      <c r="LON244" s="36"/>
      <c r="LOO244" s="36"/>
      <c r="LOP244" s="36"/>
      <c r="LOQ244" s="36"/>
      <c r="LOR244" s="36"/>
      <c r="LOS244" s="36"/>
      <c r="LOT244" s="36"/>
      <c r="LOU244" s="36"/>
      <c r="LOV244" s="36"/>
      <c r="LOW244" s="36"/>
      <c r="LOX244" s="36"/>
      <c r="LOY244" s="36"/>
      <c r="LOZ244" s="36"/>
      <c r="LPA244" s="36"/>
      <c r="LPB244" s="36"/>
      <c r="LPC244" s="36"/>
      <c r="LPD244" s="36"/>
      <c r="LPE244" s="36"/>
      <c r="LPF244" s="36"/>
      <c r="LPG244" s="36"/>
      <c r="LPH244" s="36"/>
      <c r="LPI244" s="36"/>
      <c r="LPJ244" s="36"/>
      <c r="LPK244" s="36"/>
      <c r="LPL244" s="36"/>
      <c r="LPM244" s="36"/>
      <c r="LPN244" s="36"/>
      <c r="LPO244" s="36"/>
      <c r="LPP244" s="36"/>
      <c r="LPQ244" s="36"/>
      <c r="LPR244" s="36"/>
      <c r="LPS244" s="36"/>
      <c r="LPT244" s="36"/>
      <c r="LPU244" s="36"/>
      <c r="LPV244" s="36"/>
      <c r="LPW244" s="36"/>
      <c r="LPX244" s="36"/>
      <c r="LPY244" s="36"/>
      <c r="LPZ244" s="36"/>
      <c r="LQA244" s="36"/>
      <c r="LQB244" s="36"/>
      <c r="LQC244" s="36"/>
      <c r="LQD244" s="36"/>
      <c r="LQE244" s="36"/>
      <c r="LQF244" s="36"/>
      <c r="LQG244" s="36"/>
      <c r="LQH244" s="36"/>
      <c r="LQI244" s="36"/>
      <c r="LQJ244" s="36"/>
      <c r="LQK244" s="36"/>
      <c r="LQL244" s="36"/>
      <c r="LQM244" s="36"/>
      <c r="LQN244" s="36"/>
      <c r="LQO244" s="36"/>
      <c r="LQP244" s="36"/>
      <c r="LQQ244" s="36"/>
      <c r="LQR244" s="36"/>
      <c r="LQS244" s="36"/>
      <c r="LQT244" s="36"/>
      <c r="LQU244" s="36"/>
      <c r="LQV244" s="36"/>
      <c r="LQW244" s="36"/>
      <c r="LQX244" s="36"/>
      <c r="LQY244" s="36"/>
      <c r="LQZ244" s="36"/>
      <c r="LRA244" s="36"/>
      <c r="LRB244" s="36"/>
      <c r="LRC244" s="36"/>
      <c r="LRD244" s="36"/>
      <c r="LRE244" s="36"/>
      <c r="LRF244" s="36"/>
      <c r="LRG244" s="36"/>
      <c r="LRH244" s="36"/>
      <c r="LRI244" s="36"/>
      <c r="LRJ244" s="36"/>
      <c r="LRK244" s="36"/>
      <c r="LRL244" s="36"/>
      <c r="LRM244" s="36"/>
      <c r="LRN244" s="36"/>
      <c r="LRO244" s="36"/>
      <c r="LRP244" s="36"/>
      <c r="LRQ244" s="36"/>
      <c r="LRR244" s="36"/>
      <c r="LRS244" s="36"/>
      <c r="LRT244" s="36"/>
      <c r="LRU244" s="36"/>
      <c r="LRV244" s="36"/>
      <c r="LRW244" s="36"/>
      <c r="LRX244" s="36"/>
      <c r="LRY244" s="36"/>
      <c r="LRZ244" s="36"/>
      <c r="LSA244" s="36"/>
      <c r="LSB244" s="36"/>
      <c r="LSC244" s="36"/>
      <c r="LSD244" s="36"/>
      <c r="LSE244" s="36"/>
      <c r="LSF244" s="36"/>
      <c r="LSG244" s="36"/>
      <c r="LSH244" s="36"/>
      <c r="LSI244" s="36"/>
      <c r="LSJ244" s="36"/>
      <c r="LSK244" s="36"/>
      <c r="LSL244" s="36"/>
      <c r="LSM244" s="36"/>
      <c r="LSN244" s="36"/>
      <c r="LSO244" s="36"/>
      <c r="LSP244" s="36"/>
      <c r="LSQ244" s="36"/>
      <c r="LSR244" s="36"/>
      <c r="LSS244" s="36"/>
      <c r="LST244" s="36"/>
      <c r="LSU244" s="36"/>
      <c r="LSV244" s="36"/>
      <c r="LSW244" s="36"/>
      <c r="LSX244" s="36"/>
      <c r="LSY244" s="36"/>
      <c r="LSZ244" s="36"/>
      <c r="LTA244" s="36"/>
      <c r="LTB244" s="36"/>
      <c r="LTC244" s="36"/>
      <c r="LTD244" s="36"/>
      <c r="LTE244" s="36"/>
      <c r="LTF244" s="36"/>
      <c r="LTG244" s="36"/>
      <c r="LTH244" s="36"/>
      <c r="LTI244" s="36"/>
      <c r="LTJ244" s="36"/>
      <c r="LTK244" s="36"/>
      <c r="LTL244" s="36"/>
      <c r="LTM244" s="36"/>
      <c r="LTN244" s="36"/>
      <c r="LTO244" s="36"/>
      <c r="LTP244" s="36"/>
      <c r="LTQ244" s="36"/>
      <c r="LTR244" s="36"/>
      <c r="LTS244" s="36"/>
      <c r="LTT244" s="36"/>
      <c r="LTU244" s="36"/>
      <c r="LTV244" s="36"/>
      <c r="LTW244" s="36"/>
      <c r="LTX244" s="36"/>
      <c r="LTY244" s="36"/>
      <c r="LTZ244" s="36"/>
      <c r="LUA244" s="36"/>
      <c r="LUB244" s="36"/>
      <c r="LUC244" s="36"/>
      <c r="LUD244" s="36"/>
      <c r="LUE244" s="36"/>
      <c r="LUF244" s="36"/>
      <c r="LUG244" s="36"/>
      <c r="LUH244" s="36"/>
      <c r="LUI244" s="36"/>
      <c r="LUJ244" s="36"/>
      <c r="LUK244" s="36"/>
      <c r="LUL244" s="36"/>
      <c r="LUM244" s="36"/>
      <c r="LUN244" s="36"/>
      <c r="LUO244" s="36"/>
      <c r="LUP244" s="36"/>
      <c r="LUQ244" s="36"/>
      <c r="LUR244" s="36"/>
      <c r="LUS244" s="36"/>
      <c r="LUT244" s="36"/>
      <c r="LUU244" s="36"/>
      <c r="LUV244" s="36"/>
      <c r="LUW244" s="36"/>
      <c r="LUX244" s="36"/>
      <c r="LUY244" s="36"/>
      <c r="LUZ244" s="36"/>
      <c r="LVA244" s="36"/>
      <c r="LVB244" s="36"/>
      <c r="LVC244" s="36"/>
      <c r="LVD244" s="36"/>
      <c r="LVE244" s="36"/>
      <c r="LVF244" s="36"/>
      <c r="LVG244" s="36"/>
      <c r="LVH244" s="36"/>
      <c r="LVI244" s="36"/>
      <c r="LVJ244" s="36"/>
      <c r="LVK244" s="36"/>
      <c r="LVL244" s="36"/>
      <c r="LVM244" s="36"/>
      <c r="LVN244" s="36"/>
      <c r="LVO244" s="36"/>
      <c r="LVP244" s="36"/>
      <c r="LVQ244" s="36"/>
      <c r="LVR244" s="36"/>
      <c r="LVS244" s="36"/>
      <c r="LVT244" s="36"/>
      <c r="LVU244" s="36"/>
      <c r="LVV244" s="36"/>
      <c r="LVW244" s="36"/>
      <c r="LVX244" s="36"/>
      <c r="LVY244" s="36"/>
      <c r="LVZ244" s="36"/>
      <c r="LWA244" s="36"/>
      <c r="LWB244" s="36"/>
      <c r="LWC244" s="36"/>
      <c r="LWD244" s="36"/>
      <c r="LWE244" s="36"/>
      <c r="LWF244" s="36"/>
      <c r="LWG244" s="36"/>
      <c r="LWH244" s="36"/>
      <c r="LWI244" s="36"/>
      <c r="LWJ244" s="36"/>
      <c r="LWK244" s="36"/>
      <c r="LWL244" s="36"/>
      <c r="LWM244" s="36"/>
      <c r="LWN244" s="36"/>
      <c r="LWO244" s="36"/>
      <c r="LWP244" s="36"/>
      <c r="LWQ244" s="36"/>
      <c r="LWR244" s="36"/>
      <c r="LWS244" s="36"/>
      <c r="LWT244" s="36"/>
      <c r="LWU244" s="36"/>
      <c r="LWV244" s="36"/>
      <c r="LWW244" s="36"/>
      <c r="LWX244" s="36"/>
      <c r="LWY244" s="36"/>
      <c r="LWZ244" s="36"/>
      <c r="LXA244" s="36"/>
      <c r="LXB244" s="36"/>
      <c r="LXC244" s="36"/>
      <c r="LXD244" s="36"/>
      <c r="LXE244" s="36"/>
      <c r="LXF244" s="36"/>
      <c r="LXG244" s="36"/>
      <c r="LXH244" s="36"/>
      <c r="LXI244" s="36"/>
      <c r="LXJ244" s="36"/>
      <c r="LXK244" s="36"/>
      <c r="LXL244" s="36"/>
      <c r="LXM244" s="36"/>
      <c r="LXN244" s="36"/>
      <c r="LXO244" s="36"/>
      <c r="LXP244" s="36"/>
      <c r="LXQ244" s="36"/>
      <c r="LXR244" s="36"/>
      <c r="LXS244" s="36"/>
      <c r="LXT244" s="36"/>
      <c r="LXU244" s="36"/>
      <c r="LXV244" s="36"/>
      <c r="LXW244" s="36"/>
      <c r="LXX244" s="36"/>
      <c r="LXY244" s="36"/>
      <c r="LXZ244" s="36"/>
      <c r="LYA244" s="36"/>
      <c r="LYB244" s="36"/>
      <c r="LYC244" s="36"/>
      <c r="LYD244" s="36"/>
      <c r="LYE244" s="36"/>
      <c r="LYF244" s="36"/>
      <c r="LYG244" s="36"/>
      <c r="LYH244" s="36"/>
      <c r="LYI244" s="36"/>
      <c r="LYJ244" s="36"/>
      <c r="LYK244" s="36"/>
      <c r="LYL244" s="36"/>
      <c r="LYM244" s="36"/>
      <c r="LYN244" s="36"/>
      <c r="LYO244" s="36"/>
      <c r="LYP244" s="36"/>
      <c r="LYQ244" s="36"/>
      <c r="LYR244" s="36"/>
      <c r="LYS244" s="36"/>
      <c r="LYT244" s="36"/>
      <c r="LYU244" s="36"/>
      <c r="LYV244" s="36"/>
      <c r="LYW244" s="36"/>
      <c r="LYX244" s="36"/>
      <c r="LYY244" s="36"/>
      <c r="LYZ244" s="36"/>
      <c r="LZA244" s="36"/>
      <c r="LZB244" s="36"/>
      <c r="LZC244" s="36"/>
      <c r="LZD244" s="36"/>
      <c r="LZE244" s="36"/>
      <c r="LZF244" s="36"/>
      <c r="LZG244" s="36"/>
      <c r="LZH244" s="36"/>
      <c r="LZI244" s="36"/>
      <c r="LZJ244" s="36"/>
      <c r="LZK244" s="36"/>
      <c r="LZL244" s="36"/>
      <c r="LZM244" s="36"/>
      <c r="LZN244" s="36"/>
      <c r="LZO244" s="36"/>
      <c r="LZP244" s="36"/>
      <c r="LZQ244" s="36"/>
      <c r="LZR244" s="36"/>
      <c r="LZS244" s="36"/>
      <c r="LZT244" s="36"/>
      <c r="LZU244" s="36"/>
      <c r="LZV244" s="36"/>
      <c r="LZW244" s="36"/>
      <c r="LZX244" s="36"/>
      <c r="LZY244" s="36"/>
      <c r="LZZ244" s="36"/>
      <c r="MAA244" s="36"/>
      <c r="MAB244" s="36"/>
      <c r="MAC244" s="36"/>
      <c r="MAD244" s="36"/>
      <c r="MAE244" s="36"/>
      <c r="MAF244" s="36"/>
      <c r="MAG244" s="36"/>
      <c r="MAH244" s="36"/>
      <c r="MAI244" s="36"/>
      <c r="MAJ244" s="36"/>
      <c r="MAK244" s="36"/>
      <c r="MAL244" s="36"/>
      <c r="MAM244" s="36"/>
      <c r="MAN244" s="36"/>
      <c r="MAO244" s="36"/>
      <c r="MAP244" s="36"/>
      <c r="MAQ244" s="36"/>
      <c r="MAR244" s="36"/>
      <c r="MAS244" s="36"/>
      <c r="MAT244" s="36"/>
      <c r="MAU244" s="36"/>
      <c r="MAV244" s="36"/>
      <c r="MAW244" s="36"/>
      <c r="MAX244" s="36"/>
      <c r="MAY244" s="36"/>
      <c r="MAZ244" s="36"/>
      <c r="MBA244" s="36"/>
      <c r="MBB244" s="36"/>
      <c r="MBC244" s="36"/>
      <c r="MBD244" s="36"/>
      <c r="MBE244" s="36"/>
      <c r="MBF244" s="36"/>
      <c r="MBG244" s="36"/>
      <c r="MBH244" s="36"/>
      <c r="MBI244" s="36"/>
      <c r="MBJ244" s="36"/>
      <c r="MBK244" s="36"/>
      <c r="MBL244" s="36"/>
      <c r="MBM244" s="36"/>
      <c r="MBN244" s="36"/>
      <c r="MBO244" s="36"/>
      <c r="MBP244" s="36"/>
      <c r="MBQ244" s="36"/>
      <c r="MBR244" s="36"/>
      <c r="MBS244" s="36"/>
      <c r="MBT244" s="36"/>
      <c r="MBU244" s="36"/>
      <c r="MBV244" s="36"/>
      <c r="MBW244" s="36"/>
      <c r="MBX244" s="36"/>
      <c r="MBY244" s="36"/>
      <c r="MBZ244" s="36"/>
      <c r="MCA244" s="36"/>
      <c r="MCB244" s="36"/>
      <c r="MCC244" s="36"/>
      <c r="MCD244" s="36"/>
      <c r="MCE244" s="36"/>
      <c r="MCF244" s="36"/>
      <c r="MCG244" s="36"/>
      <c r="MCH244" s="36"/>
      <c r="MCI244" s="36"/>
      <c r="MCJ244" s="36"/>
      <c r="MCK244" s="36"/>
      <c r="MCL244" s="36"/>
      <c r="MCM244" s="36"/>
      <c r="MCN244" s="36"/>
      <c r="MCO244" s="36"/>
      <c r="MCP244" s="36"/>
      <c r="MCQ244" s="36"/>
      <c r="MCR244" s="36"/>
      <c r="MCS244" s="36"/>
      <c r="MCT244" s="36"/>
      <c r="MCU244" s="36"/>
      <c r="MCV244" s="36"/>
      <c r="MCW244" s="36"/>
      <c r="MCX244" s="36"/>
      <c r="MCY244" s="36"/>
      <c r="MCZ244" s="36"/>
      <c r="MDA244" s="36"/>
      <c r="MDB244" s="36"/>
      <c r="MDC244" s="36"/>
      <c r="MDD244" s="36"/>
      <c r="MDE244" s="36"/>
      <c r="MDF244" s="36"/>
      <c r="MDG244" s="36"/>
      <c r="MDH244" s="36"/>
      <c r="MDI244" s="36"/>
      <c r="MDJ244" s="36"/>
      <c r="MDK244" s="36"/>
      <c r="MDL244" s="36"/>
      <c r="MDM244" s="36"/>
      <c r="MDN244" s="36"/>
      <c r="MDO244" s="36"/>
      <c r="MDP244" s="36"/>
      <c r="MDQ244" s="36"/>
      <c r="MDR244" s="36"/>
      <c r="MDS244" s="36"/>
      <c r="MDT244" s="36"/>
      <c r="MDU244" s="36"/>
      <c r="MDV244" s="36"/>
      <c r="MDW244" s="36"/>
      <c r="MDX244" s="36"/>
      <c r="MDY244" s="36"/>
      <c r="MDZ244" s="36"/>
      <c r="MEA244" s="36"/>
      <c r="MEB244" s="36"/>
      <c r="MEC244" s="36"/>
      <c r="MED244" s="36"/>
      <c r="MEE244" s="36"/>
      <c r="MEF244" s="36"/>
      <c r="MEG244" s="36"/>
      <c r="MEH244" s="36"/>
      <c r="MEI244" s="36"/>
      <c r="MEJ244" s="36"/>
      <c r="MEK244" s="36"/>
      <c r="MEL244" s="36"/>
      <c r="MEM244" s="36"/>
      <c r="MEN244" s="36"/>
      <c r="MEO244" s="36"/>
      <c r="MEP244" s="36"/>
      <c r="MEQ244" s="36"/>
      <c r="MER244" s="36"/>
      <c r="MES244" s="36"/>
      <c r="MET244" s="36"/>
      <c r="MEU244" s="36"/>
      <c r="MEV244" s="36"/>
      <c r="MEW244" s="36"/>
      <c r="MEX244" s="36"/>
      <c r="MEY244" s="36"/>
      <c r="MEZ244" s="36"/>
      <c r="MFA244" s="36"/>
      <c r="MFB244" s="36"/>
      <c r="MFC244" s="36"/>
      <c r="MFD244" s="36"/>
      <c r="MFE244" s="36"/>
      <c r="MFF244" s="36"/>
      <c r="MFG244" s="36"/>
      <c r="MFH244" s="36"/>
      <c r="MFI244" s="36"/>
      <c r="MFJ244" s="36"/>
      <c r="MFK244" s="36"/>
      <c r="MFL244" s="36"/>
      <c r="MFM244" s="36"/>
      <c r="MFN244" s="36"/>
      <c r="MFO244" s="36"/>
      <c r="MFP244" s="36"/>
      <c r="MFQ244" s="36"/>
      <c r="MFR244" s="36"/>
      <c r="MFS244" s="36"/>
      <c r="MFT244" s="36"/>
      <c r="MFU244" s="36"/>
      <c r="MFV244" s="36"/>
      <c r="MFW244" s="36"/>
      <c r="MFX244" s="36"/>
      <c r="MFY244" s="36"/>
      <c r="MFZ244" s="36"/>
      <c r="MGA244" s="36"/>
      <c r="MGB244" s="36"/>
      <c r="MGC244" s="36"/>
      <c r="MGD244" s="36"/>
      <c r="MGE244" s="36"/>
      <c r="MGF244" s="36"/>
      <c r="MGG244" s="36"/>
      <c r="MGH244" s="36"/>
      <c r="MGI244" s="36"/>
      <c r="MGJ244" s="36"/>
      <c r="MGK244" s="36"/>
      <c r="MGL244" s="36"/>
      <c r="MGM244" s="36"/>
      <c r="MGN244" s="36"/>
      <c r="MGO244" s="36"/>
      <c r="MGP244" s="36"/>
      <c r="MGQ244" s="36"/>
      <c r="MGR244" s="36"/>
      <c r="MGS244" s="36"/>
      <c r="MGT244" s="36"/>
      <c r="MGU244" s="36"/>
      <c r="MGV244" s="36"/>
      <c r="MGW244" s="36"/>
      <c r="MGX244" s="36"/>
      <c r="MGY244" s="36"/>
      <c r="MGZ244" s="36"/>
      <c r="MHA244" s="36"/>
      <c r="MHB244" s="36"/>
      <c r="MHC244" s="36"/>
      <c r="MHD244" s="36"/>
      <c r="MHE244" s="36"/>
      <c r="MHF244" s="36"/>
      <c r="MHG244" s="36"/>
      <c r="MHH244" s="36"/>
      <c r="MHI244" s="36"/>
      <c r="MHJ244" s="36"/>
      <c r="MHK244" s="36"/>
      <c r="MHL244" s="36"/>
      <c r="MHM244" s="36"/>
      <c r="MHN244" s="36"/>
      <c r="MHO244" s="36"/>
      <c r="MHP244" s="36"/>
      <c r="MHQ244" s="36"/>
      <c r="MHR244" s="36"/>
      <c r="MHS244" s="36"/>
      <c r="MHT244" s="36"/>
      <c r="MHU244" s="36"/>
      <c r="MHV244" s="36"/>
      <c r="MHW244" s="36"/>
      <c r="MHX244" s="36"/>
      <c r="MHY244" s="36"/>
      <c r="MHZ244" s="36"/>
      <c r="MIA244" s="36"/>
      <c r="MIB244" s="36"/>
      <c r="MIC244" s="36"/>
      <c r="MID244" s="36"/>
      <c r="MIE244" s="36"/>
      <c r="MIF244" s="36"/>
      <c r="MIG244" s="36"/>
      <c r="MIH244" s="36"/>
      <c r="MII244" s="36"/>
      <c r="MIJ244" s="36"/>
      <c r="MIK244" s="36"/>
      <c r="MIL244" s="36"/>
      <c r="MIM244" s="36"/>
      <c r="MIN244" s="36"/>
      <c r="MIO244" s="36"/>
      <c r="MIP244" s="36"/>
      <c r="MIQ244" s="36"/>
      <c r="MIR244" s="36"/>
      <c r="MIS244" s="36"/>
      <c r="MIT244" s="36"/>
      <c r="MIU244" s="36"/>
      <c r="MIV244" s="36"/>
      <c r="MIW244" s="36"/>
      <c r="MIX244" s="36"/>
      <c r="MIY244" s="36"/>
      <c r="MIZ244" s="36"/>
      <c r="MJA244" s="36"/>
      <c r="MJB244" s="36"/>
      <c r="MJC244" s="36"/>
      <c r="MJD244" s="36"/>
      <c r="MJE244" s="36"/>
      <c r="MJF244" s="36"/>
      <c r="MJG244" s="36"/>
      <c r="MJH244" s="36"/>
      <c r="MJI244" s="36"/>
      <c r="MJJ244" s="36"/>
      <c r="MJK244" s="36"/>
      <c r="MJL244" s="36"/>
      <c r="MJM244" s="36"/>
      <c r="MJN244" s="36"/>
      <c r="MJO244" s="36"/>
      <c r="MJP244" s="36"/>
      <c r="MJQ244" s="36"/>
      <c r="MJR244" s="36"/>
      <c r="MJS244" s="36"/>
      <c r="MJT244" s="36"/>
      <c r="MJU244" s="36"/>
      <c r="MJV244" s="36"/>
      <c r="MJW244" s="36"/>
      <c r="MJX244" s="36"/>
      <c r="MJY244" s="36"/>
      <c r="MJZ244" s="36"/>
      <c r="MKA244" s="36"/>
      <c r="MKB244" s="36"/>
      <c r="MKC244" s="36"/>
      <c r="MKD244" s="36"/>
      <c r="MKE244" s="36"/>
      <c r="MKF244" s="36"/>
      <c r="MKG244" s="36"/>
      <c r="MKH244" s="36"/>
      <c r="MKI244" s="36"/>
      <c r="MKJ244" s="36"/>
      <c r="MKK244" s="36"/>
      <c r="MKL244" s="36"/>
      <c r="MKM244" s="36"/>
      <c r="MKN244" s="36"/>
      <c r="MKO244" s="36"/>
      <c r="MKP244" s="36"/>
      <c r="MKQ244" s="36"/>
      <c r="MKR244" s="36"/>
      <c r="MKS244" s="36"/>
      <c r="MKT244" s="36"/>
      <c r="MKU244" s="36"/>
      <c r="MKV244" s="36"/>
      <c r="MKW244" s="36"/>
      <c r="MKX244" s="36"/>
      <c r="MKY244" s="36"/>
      <c r="MKZ244" s="36"/>
      <c r="MLA244" s="36"/>
      <c r="MLB244" s="36"/>
      <c r="MLC244" s="36"/>
      <c r="MLD244" s="36"/>
      <c r="MLE244" s="36"/>
      <c r="MLF244" s="36"/>
      <c r="MLG244" s="36"/>
      <c r="MLH244" s="36"/>
      <c r="MLI244" s="36"/>
      <c r="MLJ244" s="36"/>
      <c r="MLK244" s="36"/>
      <c r="MLL244" s="36"/>
      <c r="MLM244" s="36"/>
      <c r="MLN244" s="36"/>
      <c r="MLO244" s="36"/>
      <c r="MLP244" s="36"/>
      <c r="MLQ244" s="36"/>
      <c r="MLR244" s="36"/>
      <c r="MLS244" s="36"/>
      <c r="MLT244" s="36"/>
      <c r="MLU244" s="36"/>
      <c r="MLV244" s="36"/>
      <c r="MLW244" s="36"/>
      <c r="MLX244" s="36"/>
      <c r="MLY244" s="36"/>
      <c r="MLZ244" s="36"/>
      <c r="MMA244" s="36"/>
      <c r="MMB244" s="36"/>
      <c r="MMC244" s="36"/>
      <c r="MMD244" s="36"/>
      <c r="MME244" s="36"/>
      <c r="MMF244" s="36"/>
      <c r="MMG244" s="36"/>
      <c r="MMH244" s="36"/>
      <c r="MMI244" s="36"/>
      <c r="MMJ244" s="36"/>
      <c r="MMK244" s="36"/>
      <c r="MML244" s="36"/>
      <c r="MMM244" s="36"/>
      <c r="MMN244" s="36"/>
      <c r="MMO244" s="36"/>
      <c r="MMP244" s="36"/>
      <c r="MMQ244" s="36"/>
      <c r="MMR244" s="36"/>
      <c r="MMS244" s="36"/>
      <c r="MMT244" s="36"/>
      <c r="MMU244" s="36"/>
      <c r="MMV244" s="36"/>
      <c r="MMW244" s="36"/>
      <c r="MMX244" s="36"/>
      <c r="MMY244" s="36"/>
      <c r="MMZ244" s="36"/>
      <c r="MNA244" s="36"/>
      <c r="MNB244" s="36"/>
      <c r="MNC244" s="36"/>
      <c r="MND244" s="36"/>
      <c r="MNE244" s="36"/>
      <c r="MNF244" s="36"/>
      <c r="MNG244" s="36"/>
      <c r="MNH244" s="36"/>
      <c r="MNI244" s="36"/>
      <c r="MNJ244" s="36"/>
      <c r="MNK244" s="36"/>
      <c r="MNL244" s="36"/>
      <c r="MNM244" s="36"/>
      <c r="MNN244" s="36"/>
      <c r="MNO244" s="36"/>
      <c r="MNP244" s="36"/>
      <c r="MNQ244" s="36"/>
      <c r="MNR244" s="36"/>
      <c r="MNS244" s="36"/>
      <c r="MNT244" s="36"/>
      <c r="MNU244" s="36"/>
      <c r="MNV244" s="36"/>
      <c r="MNW244" s="36"/>
      <c r="MNX244" s="36"/>
      <c r="MNY244" s="36"/>
      <c r="MNZ244" s="36"/>
      <c r="MOA244" s="36"/>
      <c r="MOB244" s="36"/>
      <c r="MOC244" s="36"/>
      <c r="MOD244" s="36"/>
      <c r="MOE244" s="36"/>
      <c r="MOF244" s="36"/>
      <c r="MOG244" s="36"/>
      <c r="MOH244" s="36"/>
      <c r="MOI244" s="36"/>
      <c r="MOJ244" s="36"/>
      <c r="MOK244" s="36"/>
      <c r="MOL244" s="36"/>
      <c r="MOM244" s="36"/>
      <c r="MON244" s="36"/>
      <c r="MOO244" s="36"/>
      <c r="MOP244" s="36"/>
      <c r="MOQ244" s="36"/>
      <c r="MOR244" s="36"/>
      <c r="MOS244" s="36"/>
      <c r="MOT244" s="36"/>
      <c r="MOU244" s="36"/>
      <c r="MOV244" s="36"/>
      <c r="MOW244" s="36"/>
      <c r="MOX244" s="36"/>
      <c r="MOY244" s="36"/>
      <c r="MOZ244" s="36"/>
      <c r="MPA244" s="36"/>
      <c r="MPB244" s="36"/>
      <c r="MPC244" s="36"/>
      <c r="MPD244" s="36"/>
      <c r="MPE244" s="36"/>
      <c r="MPF244" s="36"/>
      <c r="MPG244" s="36"/>
      <c r="MPH244" s="36"/>
      <c r="MPI244" s="36"/>
      <c r="MPJ244" s="36"/>
      <c r="MPK244" s="36"/>
      <c r="MPL244" s="36"/>
      <c r="MPM244" s="36"/>
      <c r="MPN244" s="36"/>
      <c r="MPO244" s="36"/>
      <c r="MPP244" s="36"/>
      <c r="MPQ244" s="36"/>
      <c r="MPR244" s="36"/>
      <c r="MPS244" s="36"/>
      <c r="MPT244" s="36"/>
      <c r="MPU244" s="36"/>
      <c r="MPV244" s="36"/>
      <c r="MPW244" s="36"/>
      <c r="MPX244" s="36"/>
      <c r="MPY244" s="36"/>
      <c r="MPZ244" s="36"/>
      <c r="MQA244" s="36"/>
      <c r="MQB244" s="36"/>
      <c r="MQC244" s="36"/>
      <c r="MQD244" s="36"/>
      <c r="MQE244" s="36"/>
      <c r="MQF244" s="36"/>
      <c r="MQG244" s="36"/>
      <c r="MQH244" s="36"/>
      <c r="MQI244" s="36"/>
      <c r="MQJ244" s="36"/>
      <c r="MQK244" s="36"/>
      <c r="MQL244" s="36"/>
      <c r="MQM244" s="36"/>
      <c r="MQN244" s="36"/>
      <c r="MQO244" s="36"/>
      <c r="MQP244" s="36"/>
      <c r="MQQ244" s="36"/>
      <c r="MQR244" s="36"/>
      <c r="MQS244" s="36"/>
      <c r="MQT244" s="36"/>
      <c r="MQU244" s="36"/>
      <c r="MQV244" s="36"/>
      <c r="MQW244" s="36"/>
      <c r="MQX244" s="36"/>
      <c r="MQY244" s="36"/>
      <c r="MQZ244" s="36"/>
      <c r="MRA244" s="36"/>
      <c r="MRB244" s="36"/>
      <c r="MRC244" s="36"/>
      <c r="MRD244" s="36"/>
      <c r="MRE244" s="36"/>
      <c r="MRF244" s="36"/>
      <c r="MRG244" s="36"/>
      <c r="MRH244" s="36"/>
      <c r="MRI244" s="36"/>
      <c r="MRJ244" s="36"/>
      <c r="MRK244" s="36"/>
      <c r="MRL244" s="36"/>
      <c r="MRM244" s="36"/>
      <c r="MRN244" s="36"/>
      <c r="MRO244" s="36"/>
      <c r="MRP244" s="36"/>
      <c r="MRQ244" s="36"/>
      <c r="MRR244" s="36"/>
      <c r="MRS244" s="36"/>
      <c r="MRT244" s="36"/>
      <c r="MRU244" s="36"/>
      <c r="MRV244" s="36"/>
      <c r="MRW244" s="36"/>
      <c r="MRX244" s="36"/>
      <c r="MRY244" s="36"/>
      <c r="MRZ244" s="36"/>
      <c r="MSA244" s="36"/>
      <c r="MSB244" s="36"/>
      <c r="MSC244" s="36"/>
      <c r="MSD244" s="36"/>
      <c r="MSE244" s="36"/>
      <c r="MSF244" s="36"/>
      <c r="MSG244" s="36"/>
      <c r="MSH244" s="36"/>
      <c r="MSI244" s="36"/>
      <c r="MSJ244" s="36"/>
      <c r="MSK244" s="36"/>
      <c r="MSL244" s="36"/>
      <c r="MSM244" s="36"/>
      <c r="MSN244" s="36"/>
      <c r="MSO244" s="36"/>
      <c r="MSP244" s="36"/>
      <c r="MSQ244" s="36"/>
      <c r="MSR244" s="36"/>
      <c r="MSS244" s="36"/>
      <c r="MST244" s="36"/>
      <c r="MSU244" s="36"/>
      <c r="MSV244" s="36"/>
      <c r="MSW244" s="36"/>
      <c r="MSX244" s="36"/>
      <c r="MSY244" s="36"/>
      <c r="MSZ244" s="36"/>
      <c r="MTA244" s="36"/>
      <c r="MTB244" s="36"/>
      <c r="MTC244" s="36"/>
      <c r="MTD244" s="36"/>
      <c r="MTE244" s="36"/>
      <c r="MTF244" s="36"/>
      <c r="MTG244" s="36"/>
      <c r="MTH244" s="36"/>
      <c r="MTI244" s="36"/>
      <c r="MTJ244" s="36"/>
      <c r="MTK244" s="36"/>
      <c r="MTL244" s="36"/>
      <c r="MTM244" s="36"/>
      <c r="MTN244" s="36"/>
      <c r="MTO244" s="36"/>
      <c r="MTP244" s="36"/>
      <c r="MTQ244" s="36"/>
      <c r="MTR244" s="36"/>
      <c r="MTS244" s="36"/>
      <c r="MTT244" s="36"/>
      <c r="MTU244" s="36"/>
      <c r="MTV244" s="36"/>
      <c r="MTW244" s="36"/>
      <c r="MTX244" s="36"/>
      <c r="MTY244" s="36"/>
      <c r="MTZ244" s="36"/>
      <c r="MUA244" s="36"/>
      <c r="MUB244" s="36"/>
      <c r="MUC244" s="36"/>
      <c r="MUD244" s="36"/>
      <c r="MUE244" s="36"/>
      <c r="MUF244" s="36"/>
      <c r="MUG244" s="36"/>
      <c r="MUH244" s="36"/>
      <c r="MUI244" s="36"/>
      <c r="MUJ244" s="36"/>
      <c r="MUK244" s="36"/>
      <c r="MUL244" s="36"/>
      <c r="MUM244" s="36"/>
      <c r="MUN244" s="36"/>
      <c r="MUO244" s="36"/>
      <c r="MUP244" s="36"/>
      <c r="MUQ244" s="36"/>
      <c r="MUR244" s="36"/>
      <c r="MUS244" s="36"/>
      <c r="MUT244" s="36"/>
      <c r="MUU244" s="36"/>
      <c r="MUV244" s="36"/>
      <c r="MUW244" s="36"/>
      <c r="MUX244" s="36"/>
      <c r="MUY244" s="36"/>
      <c r="MUZ244" s="36"/>
      <c r="MVA244" s="36"/>
      <c r="MVB244" s="36"/>
      <c r="MVC244" s="36"/>
      <c r="MVD244" s="36"/>
      <c r="MVE244" s="36"/>
      <c r="MVF244" s="36"/>
      <c r="MVG244" s="36"/>
      <c r="MVH244" s="36"/>
      <c r="MVI244" s="36"/>
      <c r="MVJ244" s="36"/>
      <c r="MVK244" s="36"/>
      <c r="MVL244" s="36"/>
      <c r="MVM244" s="36"/>
      <c r="MVN244" s="36"/>
      <c r="MVO244" s="36"/>
      <c r="MVP244" s="36"/>
      <c r="MVQ244" s="36"/>
      <c r="MVR244" s="36"/>
      <c r="MVS244" s="36"/>
      <c r="MVT244" s="36"/>
      <c r="MVU244" s="36"/>
      <c r="MVV244" s="36"/>
      <c r="MVW244" s="36"/>
      <c r="MVX244" s="36"/>
      <c r="MVY244" s="36"/>
      <c r="MVZ244" s="36"/>
      <c r="MWA244" s="36"/>
      <c r="MWB244" s="36"/>
      <c r="MWC244" s="36"/>
      <c r="MWD244" s="36"/>
      <c r="MWE244" s="36"/>
      <c r="MWF244" s="36"/>
      <c r="MWG244" s="36"/>
      <c r="MWH244" s="36"/>
      <c r="MWI244" s="36"/>
      <c r="MWJ244" s="36"/>
      <c r="MWK244" s="36"/>
      <c r="MWL244" s="36"/>
      <c r="MWM244" s="36"/>
      <c r="MWN244" s="36"/>
      <c r="MWO244" s="36"/>
      <c r="MWP244" s="36"/>
      <c r="MWQ244" s="36"/>
      <c r="MWR244" s="36"/>
      <c r="MWS244" s="36"/>
      <c r="MWT244" s="36"/>
      <c r="MWU244" s="36"/>
      <c r="MWV244" s="36"/>
      <c r="MWW244" s="36"/>
      <c r="MWX244" s="36"/>
      <c r="MWY244" s="36"/>
      <c r="MWZ244" s="36"/>
      <c r="MXA244" s="36"/>
      <c r="MXB244" s="36"/>
      <c r="MXC244" s="36"/>
      <c r="MXD244" s="36"/>
      <c r="MXE244" s="36"/>
      <c r="MXF244" s="36"/>
      <c r="MXG244" s="36"/>
      <c r="MXH244" s="36"/>
      <c r="MXI244" s="36"/>
      <c r="MXJ244" s="36"/>
      <c r="MXK244" s="36"/>
      <c r="MXL244" s="36"/>
      <c r="MXM244" s="36"/>
      <c r="MXN244" s="36"/>
      <c r="MXO244" s="36"/>
      <c r="MXP244" s="36"/>
      <c r="MXQ244" s="36"/>
      <c r="MXR244" s="36"/>
      <c r="MXS244" s="36"/>
      <c r="MXT244" s="36"/>
      <c r="MXU244" s="36"/>
      <c r="MXV244" s="36"/>
      <c r="MXW244" s="36"/>
      <c r="MXX244" s="36"/>
      <c r="MXY244" s="36"/>
      <c r="MXZ244" s="36"/>
      <c r="MYA244" s="36"/>
      <c r="MYB244" s="36"/>
      <c r="MYC244" s="36"/>
      <c r="MYD244" s="36"/>
      <c r="MYE244" s="36"/>
      <c r="MYF244" s="36"/>
      <c r="MYG244" s="36"/>
      <c r="MYH244" s="36"/>
      <c r="MYI244" s="36"/>
      <c r="MYJ244" s="36"/>
      <c r="MYK244" s="36"/>
      <c r="MYL244" s="36"/>
      <c r="MYM244" s="36"/>
      <c r="MYN244" s="36"/>
      <c r="MYO244" s="36"/>
      <c r="MYP244" s="36"/>
      <c r="MYQ244" s="36"/>
      <c r="MYR244" s="36"/>
      <c r="MYS244" s="36"/>
      <c r="MYT244" s="36"/>
      <c r="MYU244" s="36"/>
      <c r="MYV244" s="36"/>
      <c r="MYW244" s="36"/>
      <c r="MYX244" s="36"/>
      <c r="MYY244" s="36"/>
      <c r="MYZ244" s="36"/>
      <c r="MZA244" s="36"/>
      <c r="MZB244" s="36"/>
      <c r="MZC244" s="36"/>
      <c r="MZD244" s="36"/>
      <c r="MZE244" s="36"/>
      <c r="MZF244" s="36"/>
      <c r="MZG244" s="36"/>
      <c r="MZH244" s="36"/>
      <c r="MZI244" s="36"/>
      <c r="MZJ244" s="36"/>
      <c r="MZK244" s="36"/>
      <c r="MZL244" s="36"/>
      <c r="MZM244" s="36"/>
      <c r="MZN244" s="36"/>
      <c r="MZO244" s="36"/>
      <c r="MZP244" s="36"/>
      <c r="MZQ244" s="36"/>
      <c r="MZR244" s="36"/>
      <c r="MZS244" s="36"/>
      <c r="MZT244" s="36"/>
      <c r="MZU244" s="36"/>
      <c r="MZV244" s="36"/>
      <c r="MZW244" s="36"/>
      <c r="MZX244" s="36"/>
      <c r="MZY244" s="36"/>
      <c r="MZZ244" s="36"/>
      <c r="NAA244" s="36"/>
      <c r="NAB244" s="36"/>
      <c r="NAC244" s="36"/>
      <c r="NAD244" s="36"/>
      <c r="NAE244" s="36"/>
      <c r="NAF244" s="36"/>
      <c r="NAG244" s="36"/>
      <c r="NAH244" s="36"/>
      <c r="NAI244" s="36"/>
      <c r="NAJ244" s="36"/>
      <c r="NAK244" s="36"/>
      <c r="NAL244" s="36"/>
      <c r="NAM244" s="36"/>
      <c r="NAN244" s="36"/>
      <c r="NAO244" s="36"/>
      <c r="NAP244" s="36"/>
      <c r="NAQ244" s="36"/>
      <c r="NAR244" s="36"/>
      <c r="NAS244" s="36"/>
      <c r="NAT244" s="36"/>
      <c r="NAU244" s="36"/>
      <c r="NAV244" s="36"/>
      <c r="NAW244" s="36"/>
      <c r="NAX244" s="36"/>
      <c r="NAY244" s="36"/>
      <c r="NAZ244" s="36"/>
      <c r="NBA244" s="36"/>
      <c r="NBB244" s="36"/>
      <c r="NBC244" s="36"/>
      <c r="NBD244" s="36"/>
      <c r="NBE244" s="36"/>
      <c r="NBF244" s="36"/>
      <c r="NBG244" s="36"/>
      <c r="NBH244" s="36"/>
      <c r="NBI244" s="36"/>
      <c r="NBJ244" s="36"/>
      <c r="NBK244" s="36"/>
      <c r="NBL244" s="36"/>
      <c r="NBM244" s="36"/>
      <c r="NBN244" s="36"/>
      <c r="NBO244" s="36"/>
      <c r="NBP244" s="36"/>
      <c r="NBQ244" s="36"/>
      <c r="NBR244" s="36"/>
      <c r="NBS244" s="36"/>
      <c r="NBT244" s="36"/>
      <c r="NBU244" s="36"/>
      <c r="NBV244" s="36"/>
      <c r="NBW244" s="36"/>
      <c r="NBX244" s="36"/>
      <c r="NBY244" s="36"/>
      <c r="NBZ244" s="36"/>
      <c r="NCA244" s="36"/>
      <c r="NCB244" s="36"/>
      <c r="NCC244" s="36"/>
      <c r="NCD244" s="36"/>
      <c r="NCE244" s="36"/>
      <c r="NCF244" s="36"/>
      <c r="NCG244" s="36"/>
      <c r="NCH244" s="36"/>
      <c r="NCI244" s="36"/>
      <c r="NCJ244" s="36"/>
      <c r="NCK244" s="36"/>
      <c r="NCL244" s="36"/>
      <c r="NCM244" s="36"/>
      <c r="NCN244" s="36"/>
      <c r="NCO244" s="36"/>
      <c r="NCP244" s="36"/>
      <c r="NCQ244" s="36"/>
      <c r="NCR244" s="36"/>
      <c r="NCS244" s="36"/>
      <c r="NCT244" s="36"/>
      <c r="NCU244" s="36"/>
      <c r="NCV244" s="36"/>
      <c r="NCW244" s="36"/>
      <c r="NCX244" s="36"/>
      <c r="NCY244" s="36"/>
      <c r="NCZ244" s="36"/>
      <c r="NDA244" s="36"/>
      <c r="NDB244" s="36"/>
      <c r="NDC244" s="36"/>
      <c r="NDD244" s="36"/>
      <c r="NDE244" s="36"/>
      <c r="NDF244" s="36"/>
      <c r="NDG244" s="36"/>
      <c r="NDH244" s="36"/>
      <c r="NDI244" s="36"/>
      <c r="NDJ244" s="36"/>
      <c r="NDK244" s="36"/>
      <c r="NDL244" s="36"/>
      <c r="NDM244" s="36"/>
      <c r="NDN244" s="36"/>
      <c r="NDO244" s="36"/>
      <c r="NDP244" s="36"/>
      <c r="NDQ244" s="36"/>
      <c r="NDR244" s="36"/>
      <c r="NDS244" s="36"/>
      <c r="NDT244" s="36"/>
      <c r="NDU244" s="36"/>
      <c r="NDV244" s="36"/>
      <c r="NDW244" s="36"/>
      <c r="NDX244" s="36"/>
      <c r="NDY244" s="36"/>
      <c r="NDZ244" s="36"/>
      <c r="NEA244" s="36"/>
      <c r="NEB244" s="36"/>
      <c r="NEC244" s="36"/>
      <c r="NED244" s="36"/>
      <c r="NEE244" s="36"/>
      <c r="NEF244" s="36"/>
      <c r="NEG244" s="36"/>
      <c r="NEH244" s="36"/>
      <c r="NEI244" s="36"/>
      <c r="NEJ244" s="36"/>
      <c r="NEK244" s="36"/>
      <c r="NEL244" s="36"/>
      <c r="NEM244" s="36"/>
      <c r="NEN244" s="36"/>
      <c r="NEO244" s="36"/>
      <c r="NEP244" s="36"/>
      <c r="NEQ244" s="36"/>
      <c r="NER244" s="36"/>
      <c r="NES244" s="36"/>
      <c r="NET244" s="36"/>
      <c r="NEU244" s="36"/>
      <c r="NEV244" s="36"/>
      <c r="NEW244" s="36"/>
      <c r="NEX244" s="36"/>
      <c r="NEY244" s="36"/>
      <c r="NEZ244" s="36"/>
      <c r="NFA244" s="36"/>
      <c r="NFB244" s="36"/>
      <c r="NFC244" s="36"/>
      <c r="NFD244" s="36"/>
      <c r="NFE244" s="36"/>
      <c r="NFF244" s="36"/>
      <c r="NFG244" s="36"/>
      <c r="NFH244" s="36"/>
      <c r="NFI244" s="36"/>
      <c r="NFJ244" s="36"/>
      <c r="NFK244" s="36"/>
      <c r="NFL244" s="36"/>
      <c r="NFM244" s="36"/>
      <c r="NFN244" s="36"/>
      <c r="NFO244" s="36"/>
      <c r="NFP244" s="36"/>
      <c r="NFQ244" s="36"/>
      <c r="NFR244" s="36"/>
      <c r="NFS244" s="36"/>
      <c r="NFT244" s="36"/>
      <c r="NFU244" s="36"/>
      <c r="NFV244" s="36"/>
      <c r="NFW244" s="36"/>
      <c r="NFX244" s="36"/>
      <c r="NFY244" s="36"/>
      <c r="NFZ244" s="36"/>
      <c r="NGA244" s="36"/>
      <c r="NGB244" s="36"/>
      <c r="NGC244" s="36"/>
      <c r="NGD244" s="36"/>
      <c r="NGE244" s="36"/>
      <c r="NGF244" s="36"/>
      <c r="NGG244" s="36"/>
      <c r="NGH244" s="36"/>
      <c r="NGI244" s="36"/>
      <c r="NGJ244" s="36"/>
      <c r="NGK244" s="36"/>
      <c r="NGL244" s="36"/>
      <c r="NGM244" s="36"/>
      <c r="NGN244" s="36"/>
      <c r="NGO244" s="36"/>
      <c r="NGP244" s="36"/>
      <c r="NGQ244" s="36"/>
      <c r="NGR244" s="36"/>
      <c r="NGS244" s="36"/>
      <c r="NGT244" s="36"/>
      <c r="NGU244" s="36"/>
      <c r="NGV244" s="36"/>
      <c r="NGW244" s="36"/>
      <c r="NGX244" s="36"/>
      <c r="NGY244" s="36"/>
      <c r="NGZ244" s="36"/>
      <c r="NHA244" s="36"/>
      <c r="NHB244" s="36"/>
      <c r="NHC244" s="36"/>
      <c r="NHD244" s="36"/>
      <c r="NHE244" s="36"/>
      <c r="NHF244" s="36"/>
      <c r="NHG244" s="36"/>
      <c r="NHH244" s="36"/>
      <c r="NHI244" s="36"/>
      <c r="NHJ244" s="36"/>
      <c r="NHK244" s="36"/>
      <c r="NHL244" s="36"/>
      <c r="NHM244" s="36"/>
      <c r="NHN244" s="36"/>
      <c r="NHO244" s="36"/>
      <c r="NHP244" s="36"/>
      <c r="NHQ244" s="36"/>
      <c r="NHR244" s="36"/>
      <c r="NHS244" s="36"/>
      <c r="NHT244" s="36"/>
      <c r="NHU244" s="36"/>
      <c r="NHV244" s="36"/>
      <c r="NHW244" s="36"/>
      <c r="NHX244" s="36"/>
      <c r="NHY244" s="36"/>
      <c r="NHZ244" s="36"/>
      <c r="NIA244" s="36"/>
      <c r="NIB244" s="36"/>
      <c r="NIC244" s="36"/>
      <c r="NID244" s="36"/>
      <c r="NIE244" s="36"/>
      <c r="NIF244" s="36"/>
      <c r="NIG244" s="36"/>
      <c r="NIH244" s="36"/>
      <c r="NII244" s="36"/>
      <c r="NIJ244" s="36"/>
      <c r="NIK244" s="36"/>
      <c r="NIL244" s="36"/>
      <c r="NIM244" s="36"/>
      <c r="NIN244" s="36"/>
      <c r="NIO244" s="36"/>
      <c r="NIP244" s="36"/>
      <c r="NIQ244" s="36"/>
      <c r="NIR244" s="36"/>
      <c r="NIS244" s="36"/>
      <c r="NIT244" s="36"/>
      <c r="NIU244" s="36"/>
      <c r="NIV244" s="36"/>
      <c r="NIW244" s="36"/>
      <c r="NIX244" s="36"/>
      <c r="NIY244" s="36"/>
      <c r="NIZ244" s="36"/>
      <c r="NJA244" s="36"/>
      <c r="NJB244" s="36"/>
      <c r="NJC244" s="36"/>
      <c r="NJD244" s="36"/>
      <c r="NJE244" s="36"/>
      <c r="NJF244" s="36"/>
      <c r="NJG244" s="36"/>
      <c r="NJH244" s="36"/>
      <c r="NJI244" s="36"/>
      <c r="NJJ244" s="36"/>
      <c r="NJK244" s="36"/>
      <c r="NJL244" s="36"/>
      <c r="NJM244" s="36"/>
      <c r="NJN244" s="36"/>
      <c r="NJO244" s="36"/>
      <c r="NJP244" s="36"/>
      <c r="NJQ244" s="36"/>
      <c r="NJR244" s="36"/>
      <c r="NJS244" s="36"/>
      <c r="NJT244" s="36"/>
      <c r="NJU244" s="36"/>
      <c r="NJV244" s="36"/>
      <c r="NJW244" s="36"/>
      <c r="NJX244" s="36"/>
      <c r="NJY244" s="36"/>
      <c r="NJZ244" s="36"/>
      <c r="NKA244" s="36"/>
      <c r="NKB244" s="36"/>
      <c r="NKC244" s="36"/>
      <c r="NKD244" s="36"/>
      <c r="NKE244" s="36"/>
      <c r="NKF244" s="36"/>
      <c r="NKG244" s="36"/>
      <c r="NKH244" s="36"/>
      <c r="NKI244" s="36"/>
      <c r="NKJ244" s="36"/>
      <c r="NKK244" s="36"/>
      <c r="NKL244" s="36"/>
      <c r="NKM244" s="36"/>
      <c r="NKN244" s="36"/>
      <c r="NKO244" s="36"/>
      <c r="NKP244" s="36"/>
      <c r="NKQ244" s="36"/>
      <c r="NKR244" s="36"/>
      <c r="NKS244" s="36"/>
      <c r="NKT244" s="36"/>
      <c r="NKU244" s="36"/>
      <c r="NKV244" s="36"/>
      <c r="NKW244" s="36"/>
      <c r="NKX244" s="36"/>
      <c r="NKY244" s="36"/>
      <c r="NKZ244" s="36"/>
      <c r="NLA244" s="36"/>
      <c r="NLB244" s="36"/>
      <c r="NLC244" s="36"/>
      <c r="NLD244" s="36"/>
      <c r="NLE244" s="36"/>
      <c r="NLF244" s="36"/>
      <c r="NLG244" s="36"/>
      <c r="NLH244" s="36"/>
      <c r="NLI244" s="36"/>
      <c r="NLJ244" s="36"/>
      <c r="NLK244" s="36"/>
      <c r="NLL244" s="36"/>
      <c r="NLM244" s="36"/>
      <c r="NLN244" s="36"/>
      <c r="NLO244" s="36"/>
      <c r="NLP244" s="36"/>
      <c r="NLQ244" s="36"/>
      <c r="NLR244" s="36"/>
      <c r="NLS244" s="36"/>
      <c r="NLT244" s="36"/>
      <c r="NLU244" s="36"/>
      <c r="NLV244" s="36"/>
      <c r="NLW244" s="36"/>
      <c r="NLX244" s="36"/>
      <c r="NLY244" s="36"/>
      <c r="NLZ244" s="36"/>
      <c r="NMA244" s="36"/>
      <c r="NMB244" s="36"/>
      <c r="NMC244" s="36"/>
      <c r="NMD244" s="36"/>
      <c r="NME244" s="36"/>
      <c r="NMF244" s="36"/>
      <c r="NMG244" s="36"/>
      <c r="NMH244" s="36"/>
      <c r="NMI244" s="36"/>
      <c r="NMJ244" s="36"/>
      <c r="NMK244" s="36"/>
      <c r="NML244" s="36"/>
      <c r="NMM244" s="36"/>
      <c r="NMN244" s="36"/>
      <c r="NMO244" s="36"/>
      <c r="NMP244" s="36"/>
      <c r="NMQ244" s="36"/>
      <c r="NMR244" s="36"/>
      <c r="NMS244" s="36"/>
      <c r="NMT244" s="36"/>
      <c r="NMU244" s="36"/>
      <c r="NMV244" s="36"/>
      <c r="NMW244" s="36"/>
      <c r="NMX244" s="36"/>
      <c r="NMY244" s="36"/>
      <c r="NMZ244" s="36"/>
      <c r="NNA244" s="36"/>
      <c r="NNB244" s="36"/>
      <c r="NNC244" s="36"/>
      <c r="NND244" s="36"/>
      <c r="NNE244" s="36"/>
      <c r="NNF244" s="36"/>
      <c r="NNG244" s="36"/>
      <c r="NNH244" s="36"/>
      <c r="NNI244" s="36"/>
      <c r="NNJ244" s="36"/>
      <c r="NNK244" s="36"/>
      <c r="NNL244" s="36"/>
      <c r="NNM244" s="36"/>
      <c r="NNN244" s="36"/>
      <c r="NNO244" s="36"/>
      <c r="NNP244" s="36"/>
      <c r="NNQ244" s="36"/>
      <c r="NNR244" s="36"/>
      <c r="NNS244" s="36"/>
      <c r="NNT244" s="36"/>
      <c r="NNU244" s="36"/>
      <c r="NNV244" s="36"/>
      <c r="NNW244" s="36"/>
      <c r="NNX244" s="36"/>
      <c r="NNY244" s="36"/>
      <c r="NNZ244" s="36"/>
      <c r="NOA244" s="36"/>
      <c r="NOB244" s="36"/>
      <c r="NOC244" s="36"/>
      <c r="NOD244" s="36"/>
      <c r="NOE244" s="36"/>
      <c r="NOF244" s="36"/>
      <c r="NOG244" s="36"/>
      <c r="NOH244" s="36"/>
      <c r="NOI244" s="36"/>
      <c r="NOJ244" s="36"/>
      <c r="NOK244" s="36"/>
      <c r="NOL244" s="36"/>
      <c r="NOM244" s="36"/>
      <c r="NON244" s="36"/>
      <c r="NOO244" s="36"/>
      <c r="NOP244" s="36"/>
      <c r="NOQ244" s="36"/>
      <c r="NOR244" s="36"/>
      <c r="NOS244" s="36"/>
      <c r="NOT244" s="36"/>
      <c r="NOU244" s="36"/>
      <c r="NOV244" s="36"/>
      <c r="NOW244" s="36"/>
      <c r="NOX244" s="36"/>
      <c r="NOY244" s="36"/>
      <c r="NOZ244" s="36"/>
      <c r="NPA244" s="36"/>
      <c r="NPB244" s="36"/>
      <c r="NPC244" s="36"/>
      <c r="NPD244" s="36"/>
      <c r="NPE244" s="36"/>
      <c r="NPF244" s="36"/>
      <c r="NPG244" s="36"/>
      <c r="NPH244" s="36"/>
      <c r="NPI244" s="36"/>
      <c r="NPJ244" s="36"/>
      <c r="NPK244" s="36"/>
      <c r="NPL244" s="36"/>
      <c r="NPM244" s="36"/>
      <c r="NPN244" s="36"/>
      <c r="NPO244" s="36"/>
      <c r="NPP244" s="36"/>
      <c r="NPQ244" s="36"/>
      <c r="NPR244" s="36"/>
      <c r="NPS244" s="36"/>
      <c r="NPT244" s="36"/>
      <c r="NPU244" s="36"/>
      <c r="NPV244" s="36"/>
      <c r="NPW244" s="36"/>
      <c r="NPX244" s="36"/>
      <c r="NPY244" s="36"/>
      <c r="NPZ244" s="36"/>
      <c r="NQA244" s="36"/>
      <c r="NQB244" s="36"/>
      <c r="NQC244" s="36"/>
      <c r="NQD244" s="36"/>
      <c r="NQE244" s="36"/>
      <c r="NQF244" s="36"/>
      <c r="NQG244" s="36"/>
      <c r="NQH244" s="36"/>
      <c r="NQI244" s="36"/>
      <c r="NQJ244" s="36"/>
      <c r="NQK244" s="36"/>
      <c r="NQL244" s="36"/>
      <c r="NQM244" s="36"/>
      <c r="NQN244" s="36"/>
      <c r="NQO244" s="36"/>
      <c r="NQP244" s="36"/>
      <c r="NQQ244" s="36"/>
      <c r="NQR244" s="36"/>
      <c r="NQS244" s="36"/>
      <c r="NQT244" s="36"/>
      <c r="NQU244" s="36"/>
      <c r="NQV244" s="36"/>
      <c r="NQW244" s="36"/>
      <c r="NQX244" s="36"/>
      <c r="NQY244" s="36"/>
      <c r="NQZ244" s="36"/>
      <c r="NRA244" s="36"/>
      <c r="NRB244" s="36"/>
      <c r="NRC244" s="36"/>
      <c r="NRD244" s="36"/>
      <c r="NRE244" s="36"/>
      <c r="NRF244" s="36"/>
      <c r="NRG244" s="36"/>
      <c r="NRH244" s="36"/>
      <c r="NRI244" s="36"/>
      <c r="NRJ244" s="36"/>
      <c r="NRK244" s="36"/>
      <c r="NRL244" s="36"/>
      <c r="NRM244" s="36"/>
      <c r="NRN244" s="36"/>
      <c r="NRO244" s="36"/>
      <c r="NRP244" s="36"/>
      <c r="NRQ244" s="36"/>
      <c r="NRR244" s="36"/>
      <c r="NRS244" s="36"/>
      <c r="NRT244" s="36"/>
      <c r="NRU244" s="36"/>
      <c r="NRV244" s="36"/>
      <c r="NRW244" s="36"/>
      <c r="NRX244" s="36"/>
      <c r="NRY244" s="36"/>
      <c r="NRZ244" s="36"/>
      <c r="NSA244" s="36"/>
      <c r="NSB244" s="36"/>
      <c r="NSC244" s="36"/>
      <c r="NSD244" s="36"/>
      <c r="NSE244" s="36"/>
      <c r="NSF244" s="36"/>
      <c r="NSG244" s="36"/>
      <c r="NSH244" s="36"/>
      <c r="NSI244" s="36"/>
      <c r="NSJ244" s="36"/>
      <c r="NSK244" s="36"/>
      <c r="NSL244" s="36"/>
      <c r="NSM244" s="36"/>
      <c r="NSN244" s="36"/>
      <c r="NSO244" s="36"/>
      <c r="NSP244" s="36"/>
      <c r="NSQ244" s="36"/>
      <c r="NSR244" s="36"/>
      <c r="NSS244" s="36"/>
      <c r="NST244" s="36"/>
      <c r="NSU244" s="36"/>
      <c r="NSV244" s="36"/>
      <c r="NSW244" s="36"/>
      <c r="NSX244" s="36"/>
      <c r="NSY244" s="36"/>
      <c r="NSZ244" s="36"/>
      <c r="NTA244" s="36"/>
      <c r="NTB244" s="36"/>
      <c r="NTC244" s="36"/>
      <c r="NTD244" s="36"/>
      <c r="NTE244" s="36"/>
      <c r="NTF244" s="36"/>
      <c r="NTG244" s="36"/>
      <c r="NTH244" s="36"/>
      <c r="NTI244" s="36"/>
      <c r="NTJ244" s="36"/>
      <c r="NTK244" s="36"/>
      <c r="NTL244" s="36"/>
      <c r="NTM244" s="36"/>
      <c r="NTN244" s="36"/>
      <c r="NTO244" s="36"/>
      <c r="NTP244" s="36"/>
      <c r="NTQ244" s="36"/>
      <c r="NTR244" s="36"/>
      <c r="NTS244" s="36"/>
      <c r="NTT244" s="36"/>
      <c r="NTU244" s="36"/>
      <c r="NTV244" s="36"/>
      <c r="NTW244" s="36"/>
      <c r="NTX244" s="36"/>
      <c r="NTY244" s="36"/>
      <c r="NTZ244" s="36"/>
      <c r="NUA244" s="36"/>
      <c r="NUB244" s="36"/>
      <c r="NUC244" s="36"/>
      <c r="NUD244" s="36"/>
      <c r="NUE244" s="36"/>
      <c r="NUF244" s="36"/>
      <c r="NUG244" s="36"/>
      <c r="NUH244" s="36"/>
      <c r="NUI244" s="36"/>
      <c r="NUJ244" s="36"/>
      <c r="NUK244" s="36"/>
      <c r="NUL244" s="36"/>
      <c r="NUM244" s="36"/>
      <c r="NUN244" s="36"/>
      <c r="NUO244" s="36"/>
      <c r="NUP244" s="36"/>
      <c r="NUQ244" s="36"/>
      <c r="NUR244" s="36"/>
      <c r="NUS244" s="36"/>
      <c r="NUT244" s="36"/>
      <c r="NUU244" s="36"/>
      <c r="NUV244" s="36"/>
      <c r="NUW244" s="36"/>
      <c r="NUX244" s="36"/>
      <c r="NUY244" s="36"/>
      <c r="NUZ244" s="36"/>
      <c r="NVA244" s="36"/>
      <c r="NVB244" s="36"/>
      <c r="NVC244" s="36"/>
      <c r="NVD244" s="36"/>
      <c r="NVE244" s="36"/>
      <c r="NVF244" s="36"/>
      <c r="NVG244" s="36"/>
      <c r="NVH244" s="36"/>
      <c r="NVI244" s="36"/>
      <c r="NVJ244" s="36"/>
      <c r="NVK244" s="36"/>
      <c r="NVL244" s="36"/>
      <c r="NVM244" s="36"/>
      <c r="NVN244" s="36"/>
      <c r="NVO244" s="36"/>
      <c r="NVP244" s="36"/>
      <c r="NVQ244" s="36"/>
      <c r="NVR244" s="36"/>
      <c r="NVS244" s="36"/>
      <c r="NVT244" s="36"/>
      <c r="NVU244" s="36"/>
      <c r="NVV244" s="36"/>
      <c r="NVW244" s="36"/>
      <c r="NVX244" s="36"/>
      <c r="NVY244" s="36"/>
      <c r="NVZ244" s="36"/>
      <c r="NWA244" s="36"/>
      <c r="NWB244" s="36"/>
      <c r="NWC244" s="36"/>
      <c r="NWD244" s="36"/>
      <c r="NWE244" s="36"/>
      <c r="NWF244" s="36"/>
      <c r="NWG244" s="36"/>
      <c r="NWH244" s="36"/>
      <c r="NWI244" s="36"/>
      <c r="NWJ244" s="36"/>
      <c r="NWK244" s="36"/>
      <c r="NWL244" s="36"/>
      <c r="NWM244" s="36"/>
      <c r="NWN244" s="36"/>
      <c r="NWO244" s="36"/>
      <c r="NWP244" s="36"/>
      <c r="NWQ244" s="36"/>
      <c r="NWR244" s="36"/>
      <c r="NWS244" s="36"/>
      <c r="NWT244" s="36"/>
      <c r="NWU244" s="36"/>
      <c r="NWV244" s="36"/>
      <c r="NWW244" s="36"/>
      <c r="NWX244" s="36"/>
      <c r="NWY244" s="36"/>
      <c r="NWZ244" s="36"/>
      <c r="NXA244" s="36"/>
      <c r="NXB244" s="36"/>
      <c r="NXC244" s="36"/>
      <c r="NXD244" s="36"/>
      <c r="NXE244" s="36"/>
      <c r="NXF244" s="36"/>
      <c r="NXG244" s="36"/>
      <c r="NXH244" s="36"/>
      <c r="NXI244" s="36"/>
      <c r="NXJ244" s="36"/>
      <c r="NXK244" s="36"/>
      <c r="NXL244" s="36"/>
      <c r="NXM244" s="36"/>
      <c r="NXN244" s="36"/>
      <c r="NXO244" s="36"/>
      <c r="NXP244" s="36"/>
      <c r="NXQ244" s="36"/>
      <c r="NXR244" s="36"/>
      <c r="NXS244" s="36"/>
      <c r="NXT244" s="36"/>
      <c r="NXU244" s="36"/>
      <c r="NXV244" s="36"/>
      <c r="NXW244" s="36"/>
      <c r="NXX244" s="36"/>
      <c r="NXY244" s="36"/>
      <c r="NXZ244" s="36"/>
      <c r="NYA244" s="36"/>
      <c r="NYB244" s="36"/>
      <c r="NYC244" s="36"/>
      <c r="NYD244" s="36"/>
      <c r="NYE244" s="36"/>
      <c r="NYF244" s="36"/>
      <c r="NYG244" s="36"/>
      <c r="NYH244" s="36"/>
      <c r="NYI244" s="36"/>
      <c r="NYJ244" s="36"/>
      <c r="NYK244" s="36"/>
      <c r="NYL244" s="36"/>
      <c r="NYM244" s="36"/>
      <c r="NYN244" s="36"/>
      <c r="NYO244" s="36"/>
      <c r="NYP244" s="36"/>
      <c r="NYQ244" s="36"/>
      <c r="NYR244" s="36"/>
      <c r="NYS244" s="36"/>
      <c r="NYT244" s="36"/>
      <c r="NYU244" s="36"/>
      <c r="NYV244" s="36"/>
      <c r="NYW244" s="36"/>
      <c r="NYX244" s="36"/>
      <c r="NYY244" s="36"/>
      <c r="NYZ244" s="36"/>
      <c r="NZA244" s="36"/>
      <c r="NZB244" s="36"/>
      <c r="NZC244" s="36"/>
      <c r="NZD244" s="36"/>
      <c r="NZE244" s="36"/>
      <c r="NZF244" s="36"/>
      <c r="NZG244" s="36"/>
      <c r="NZH244" s="36"/>
      <c r="NZI244" s="36"/>
      <c r="NZJ244" s="36"/>
      <c r="NZK244" s="36"/>
      <c r="NZL244" s="36"/>
      <c r="NZM244" s="36"/>
      <c r="NZN244" s="36"/>
      <c r="NZO244" s="36"/>
      <c r="NZP244" s="36"/>
      <c r="NZQ244" s="36"/>
      <c r="NZR244" s="36"/>
      <c r="NZS244" s="36"/>
      <c r="NZT244" s="36"/>
      <c r="NZU244" s="36"/>
      <c r="NZV244" s="36"/>
      <c r="NZW244" s="36"/>
      <c r="NZX244" s="36"/>
      <c r="NZY244" s="36"/>
      <c r="NZZ244" s="36"/>
      <c r="OAA244" s="36"/>
      <c r="OAB244" s="36"/>
      <c r="OAC244" s="36"/>
      <c r="OAD244" s="36"/>
      <c r="OAE244" s="36"/>
      <c r="OAF244" s="36"/>
      <c r="OAG244" s="36"/>
      <c r="OAH244" s="36"/>
      <c r="OAI244" s="36"/>
      <c r="OAJ244" s="36"/>
      <c r="OAK244" s="36"/>
      <c r="OAL244" s="36"/>
      <c r="OAM244" s="36"/>
      <c r="OAN244" s="36"/>
      <c r="OAO244" s="36"/>
      <c r="OAP244" s="36"/>
      <c r="OAQ244" s="36"/>
      <c r="OAR244" s="36"/>
      <c r="OAS244" s="36"/>
      <c r="OAT244" s="36"/>
      <c r="OAU244" s="36"/>
      <c r="OAV244" s="36"/>
      <c r="OAW244" s="36"/>
      <c r="OAX244" s="36"/>
      <c r="OAY244" s="36"/>
      <c r="OAZ244" s="36"/>
      <c r="OBA244" s="36"/>
      <c r="OBB244" s="36"/>
      <c r="OBC244" s="36"/>
      <c r="OBD244" s="36"/>
      <c r="OBE244" s="36"/>
      <c r="OBF244" s="36"/>
      <c r="OBG244" s="36"/>
      <c r="OBH244" s="36"/>
      <c r="OBI244" s="36"/>
      <c r="OBJ244" s="36"/>
      <c r="OBK244" s="36"/>
      <c r="OBL244" s="36"/>
      <c r="OBM244" s="36"/>
      <c r="OBN244" s="36"/>
      <c r="OBO244" s="36"/>
      <c r="OBP244" s="36"/>
      <c r="OBQ244" s="36"/>
      <c r="OBR244" s="36"/>
      <c r="OBS244" s="36"/>
      <c r="OBT244" s="36"/>
      <c r="OBU244" s="36"/>
      <c r="OBV244" s="36"/>
      <c r="OBW244" s="36"/>
      <c r="OBX244" s="36"/>
      <c r="OBY244" s="36"/>
      <c r="OBZ244" s="36"/>
      <c r="OCA244" s="36"/>
      <c r="OCB244" s="36"/>
      <c r="OCC244" s="36"/>
      <c r="OCD244" s="36"/>
      <c r="OCE244" s="36"/>
      <c r="OCF244" s="36"/>
      <c r="OCG244" s="36"/>
      <c r="OCH244" s="36"/>
      <c r="OCI244" s="36"/>
      <c r="OCJ244" s="36"/>
      <c r="OCK244" s="36"/>
      <c r="OCL244" s="36"/>
      <c r="OCM244" s="36"/>
      <c r="OCN244" s="36"/>
      <c r="OCO244" s="36"/>
      <c r="OCP244" s="36"/>
      <c r="OCQ244" s="36"/>
      <c r="OCR244" s="36"/>
      <c r="OCS244" s="36"/>
      <c r="OCT244" s="36"/>
      <c r="OCU244" s="36"/>
      <c r="OCV244" s="36"/>
      <c r="OCW244" s="36"/>
      <c r="OCX244" s="36"/>
      <c r="OCY244" s="36"/>
      <c r="OCZ244" s="36"/>
      <c r="ODA244" s="36"/>
      <c r="ODB244" s="36"/>
      <c r="ODC244" s="36"/>
      <c r="ODD244" s="36"/>
      <c r="ODE244" s="36"/>
      <c r="ODF244" s="36"/>
      <c r="ODG244" s="36"/>
      <c r="ODH244" s="36"/>
      <c r="ODI244" s="36"/>
      <c r="ODJ244" s="36"/>
      <c r="ODK244" s="36"/>
      <c r="ODL244" s="36"/>
      <c r="ODM244" s="36"/>
      <c r="ODN244" s="36"/>
      <c r="ODO244" s="36"/>
      <c r="ODP244" s="36"/>
      <c r="ODQ244" s="36"/>
      <c r="ODR244" s="36"/>
      <c r="ODS244" s="36"/>
      <c r="ODT244" s="36"/>
      <c r="ODU244" s="36"/>
      <c r="ODV244" s="36"/>
      <c r="ODW244" s="36"/>
      <c r="ODX244" s="36"/>
      <c r="ODY244" s="36"/>
      <c r="ODZ244" s="36"/>
      <c r="OEA244" s="36"/>
      <c r="OEB244" s="36"/>
      <c r="OEC244" s="36"/>
      <c r="OED244" s="36"/>
      <c r="OEE244" s="36"/>
      <c r="OEF244" s="36"/>
      <c r="OEG244" s="36"/>
      <c r="OEH244" s="36"/>
      <c r="OEI244" s="36"/>
      <c r="OEJ244" s="36"/>
      <c r="OEK244" s="36"/>
      <c r="OEL244" s="36"/>
      <c r="OEM244" s="36"/>
      <c r="OEN244" s="36"/>
      <c r="OEO244" s="36"/>
      <c r="OEP244" s="36"/>
      <c r="OEQ244" s="36"/>
      <c r="OER244" s="36"/>
      <c r="OES244" s="36"/>
      <c r="OET244" s="36"/>
      <c r="OEU244" s="36"/>
      <c r="OEV244" s="36"/>
      <c r="OEW244" s="36"/>
      <c r="OEX244" s="36"/>
      <c r="OEY244" s="36"/>
      <c r="OEZ244" s="36"/>
      <c r="OFA244" s="36"/>
      <c r="OFB244" s="36"/>
      <c r="OFC244" s="36"/>
      <c r="OFD244" s="36"/>
      <c r="OFE244" s="36"/>
      <c r="OFF244" s="36"/>
      <c r="OFG244" s="36"/>
      <c r="OFH244" s="36"/>
      <c r="OFI244" s="36"/>
      <c r="OFJ244" s="36"/>
      <c r="OFK244" s="36"/>
      <c r="OFL244" s="36"/>
      <c r="OFM244" s="36"/>
      <c r="OFN244" s="36"/>
      <c r="OFO244" s="36"/>
      <c r="OFP244" s="36"/>
      <c r="OFQ244" s="36"/>
      <c r="OFR244" s="36"/>
      <c r="OFS244" s="36"/>
      <c r="OFT244" s="36"/>
      <c r="OFU244" s="36"/>
      <c r="OFV244" s="36"/>
      <c r="OFW244" s="36"/>
      <c r="OFX244" s="36"/>
      <c r="OFY244" s="36"/>
      <c r="OFZ244" s="36"/>
      <c r="OGA244" s="36"/>
      <c r="OGB244" s="36"/>
      <c r="OGC244" s="36"/>
      <c r="OGD244" s="36"/>
      <c r="OGE244" s="36"/>
      <c r="OGF244" s="36"/>
      <c r="OGG244" s="36"/>
      <c r="OGH244" s="36"/>
      <c r="OGI244" s="36"/>
      <c r="OGJ244" s="36"/>
      <c r="OGK244" s="36"/>
      <c r="OGL244" s="36"/>
      <c r="OGM244" s="36"/>
      <c r="OGN244" s="36"/>
      <c r="OGO244" s="36"/>
      <c r="OGP244" s="36"/>
      <c r="OGQ244" s="36"/>
      <c r="OGR244" s="36"/>
      <c r="OGS244" s="36"/>
      <c r="OGT244" s="36"/>
      <c r="OGU244" s="36"/>
      <c r="OGV244" s="36"/>
      <c r="OGW244" s="36"/>
      <c r="OGX244" s="36"/>
      <c r="OGY244" s="36"/>
      <c r="OGZ244" s="36"/>
      <c r="OHA244" s="36"/>
      <c r="OHB244" s="36"/>
      <c r="OHC244" s="36"/>
      <c r="OHD244" s="36"/>
      <c r="OHE244" s="36"/>
      <c r="OHF244" s="36"/>
      <c r="OHG244" s="36"/>
      <c r="OHH244" s="36"/>
      <c r="OHI244" s="36"/>
      <c r="OHJ244" s="36"/>
      <c r="OHK244" s="36"/>
      <c r="OHL244" s="36"/>
      <c r="OHM244" s="36"/>
      <c r="OHN244" s="36"/>
      <c r="OHO244" s="36"/>
      <c r="OHP244" s="36"/>
      <c r="OHQ244" s="36"/>
      <c r="OHR244" s="36"/>
      <c r="OHS244" s="36"/>
      <c r="OHT244" s="36"/>
      <c r="OHU244" s="36"/>
      <c r="OHV244" s="36"/>
      <c r="OHW244" s="36"/>
      <c r="OHX244" s="36"/>
      <c r="OHY244" s="36"/>
      <c r="OHZ244" s="36"/>
      <c r="OIA244" s="36"/>
      <c r="OIB244" s="36"/>
      <c r="OIC244" s="36"/>
      <c r="OID244" s="36"/>
      <c r="OIE244" s="36"/>
      <c r="OIF244" s="36"/>
      <c r="OIG244" s="36"/>
      <c r="OIH244" s="36"/>
      <c r="OII244" s="36"/>
      <c r="OIJ244" s="36"/>
      <c r="OIK244" s="36"/>
      <c r="OIL244" s="36"/>
      <c r="OIM244" s="36"/>
      <c r="OIN244" s="36"/>
      <c r="OIO244" s="36"/>
      <c r="OIP244" s="36"/>
      <c r="OIQ244" s="36"/>
      <c r="OIR244" s="36"/>
      <c r="OIS244" s="36"/>
      <c r="OIT244" s="36"/>
      <c r="OIU244" s="36"/>
      <c r="OIV244" s="36"/>
      <c r="OIW244" s="36"/>
      <c r="OIX244" s="36"/>
      <c r="OIY244" s="36"/>
      <c r="OIZ244" s="36"/>
      <c r="OJA244" s="36"/>
      <c r="OJB244" s="36"/>
      <c r="OJC244" s="36"/>
      <c r="OJD244" s="36"/>
      <c r="OJE244" s="36"/>
      <c r="OJF244" s="36"/>
      <c r="OJG244" s="36"/>
      <c r="OJH244" s="36"/>
      <c r="OJI244" s="36"/>
      <c r="OJJ244" s="36"/>
      <c r="OJK244" s="36"/>
      <c r="OJL244" s="36"/>
      <c r="OJM244" s="36"/>
      <c r="OJN244" s="36"/>
      <c r="OJO244" s="36"/>
      <c r="OJP244" s="36"/>
      <c r="OJQ244" s="36"/>
      <c r="OJR244" s="36"/>
      <c r="OJS244" s="36"/>
      <c r="OJT244" s="36"/>
      <c r="OJU244" s="36"/>
      <c r="OJV244" s="36"/>
      <c r="OJW244" s="36"/>
      <c r="OJX244" s="36"/>
      <c r="OJY244" s="36"/>
      <c r="OJZ244" s="36"/>
      <c r="OKA244" s="36"/>
      <c r="OKB244" s="36"/>
      <c r="OKC244" s="36"/>
      <c r="OKD244" s="36"/>
      <c r="OKE244" s="36"/>
      <c r="OKF244" s="36"/>
      <c r="OKG244" s="36"/>
      <c r="OKH244" s="36"/>
      <c r="OKI244" s="36"/>
      <c r="OKJ244" s="36"/>
      <c r="OKK244" s="36"/>
      <c r="OKL244" s="36"/>
      <c r="OKM244" s="36"/>
      <c r="OKN244" s="36"/>
      <c r="OKO244" s="36"/>
      <c r="OKP244" s="36"/>
      <c r="OKQ244" s="36"/>
      <c r="OKR244" s="36"/>
      <c r="OKS244" s="36"/>
      <c r="OKT244" s="36"/>
      <c r="OKU244" s="36"/>
      <c r="OKV244" s="36"/>
      <c r="OKW244" s="36"/>
      <c r="OKX244" s="36"/>
      <c r="OKY244" s="36"/>
      <c r="OKZ244" s="36"/>
      <c r="OLA244" s="36"/>
      <c r="OLB244" s="36"/>
      <c r="OLC244" s="36"/>
      <c r="OLD244" s="36"/>
      <c r="OLE244" s="36"/>
      <c r="OLF244" s="36"/>
      <c r="OLG244" s="36"/>
      <c r="OLH244" s="36"/>
      <c r="OLI244" s="36"/>
      <c r="OLJ244" s="36"/>
      <c r="OLK244" s="36"/>
      <c r="OLL244" s="36"/>
      <c r="OLM244" s="36"/>
      <c r="OLN244" s="36"/>
      <c r="OLO244" s="36"/>
      <c r="OLP244" s="36"/>
      <c r="OLQ244" s="36"/>
      <c r="OLR244" s="36"/>
      <c r="OLS244" s="36"/>
      <c r="OLT244" s="36"/>
      <c r="OLU244" s="36"/>
      <c r="OLV244" s="36"/>
      <c r="OLW244" s="36"/>
      <c r="OLX244" s="36"/>
      <c r="OLY244" s="36"/>
      <c r="OLZ244" s="36"/>
      <c r="OMA244" s="36"/>
      <c r="OMB244" s="36"/>
      <c r="OMC244" s="36"/>
      <c r="OMD244" s="36"/>
      <c r="OME244" s="36"/>
      <c r="OMF244" s="36"/>
      <c r="OMG244" s="36"/>
      <c r="OMH244" s="36"/>
      <c r="OMI244" s="36"/>
      <c r="OMJ244" s="36"/>
      <c r="OMK244" s="36"/>
      <c r="OML244" s="36"/>
      <c r="OMM244" s="36"/>
      <c r="OMN244" s="36"/>
      <c r="OMO244" s="36"/>
      <c r="OMP244" s="36"/>
      <c r="OMQ244" s="36"/>
      <c r="OMR244" s="36"/>
      <c r="OMS244" s="36"/>
      <c r="OMT244" s="36"/>
      <c r="OMU244" s="36"/>
      <c r="OMV244" s="36"/>
      <c r="OMW244" s="36"/>
      <c r="OMX244" s="36"/>
      <c r="OMY244" s="36"/>
      <c r="OMZ244" s="36"/>
      <c r="ONA244" s="36"/>
      <c r="ONB244" s="36"/>
      <c r="ONC244" s="36"/>
      <c r="OND244" s="36"/>
      <c r="ONE244" s="36"/>
      <c r="ONF244" s="36"/>
      <c r="ONG244" s="36"/>
      <c r="ONH244" s="36"/>
      <c r="ONI244" s="36"/>
      <c r="ONJ244" s="36"/>
      <c r="ONK244" s="36"/>
      <c r="ONL244" s="36"/>
      <c r="ONM244" s="36"/>
      <c r="ONN244" s="36"/>
      <c r="ONO244" s="36"/>
      <c r="ONP244" s="36"/>
      <c r="ONQ244" s="36"/>
      <c r="ONR244" s="36"/>
      <c r="ONS244" s="36"/>
      <c r="ONT244" s="36"/>
      <c r="ONU244" s="36"/>
      <c r="ONV244" s="36"/>
      <c r="ONW244" s="36"/>
      <c r="ONX244" s="36"/>
      <c r="ONY244" s="36"/>
      <c r="ONZ244" s="36"/>
      <c r="OOA244" s="36"/>
      <c r="OOB244" s="36"/>
      <c r="OOC244" s="36"/>
      <c r="OOD244" s="36"/>
      <c r="OOE244" s="36"/>
      <c r="OOF244" s="36"/>
      <c r="OOG244" s="36"/>
      <c r="OOH244" s="36"/>
      <c r="OOI244" s="36"/>
      <c r="OOJ244" s="36"/>
      <c r="OOK244" s="36"/>
      <c r="OOL244" s="36"/>
      <c r="OOM244" s="36"/>
      <c r="OON244" s="36"/>
      <c r="OOO244" s="36"/>
      <c r="OOP244" s="36"/>
      <c r="OOQ244" s="36"/>
      <c r="OOR244" s="36"/>
      <c r="OOS244" s="36"/>
      <c r="OOT244" s="36"/>
      <c r="OOU244" s="36"/>
      <c r="OOV244" s="36"/>
      <c r="OOW244" s="36"/>
      <c r="OOX244" s="36"/>
      <c r="OOY244" s="36"/>
      <c r="OOZ244" s="36"/>
      <c r="OPA244" s="36"/>
      <c r="OPB244" s="36"/>
      <c r="OPC244" s="36"/>
      <c r="OPD244" s="36"/>
      <c r="OPE244" s="36"/>
      <c r="OPF244" s="36"/>
      <c r="OPG244" s="36"/>
      <c r="OPH244" s="36"/>
      <c r="OPI244" s="36"/>
      <c r="OPJ244" s="36"/>
      <c r="OPK244" s="36"/>
      <c r="OPL244" s="36"/>
      <c r="OPM244" s="36"/>
      <c r="OPN244" s="36"/>
      <c r="OPO244" s="36"/>
      <c r="OPP244" s="36"/>
      <c r="OPQ244" s="36"/>
      <c r="OPR244" s="36"/>
      <c r="OPS244" s="36"/>
      <c r="OPT244" s="36"/>
      <c r="OPU244" s="36"/>
      <c r="OPV244" s="36"/>
      <c r="OPW244" s="36"/>
      <c r="OPX244" s="36"/>
      <c r="OPY244" s="36"/>
      <c r="OPZ244" s="36"/>
      <c r="OQA244" s="36"/>
      <c r="OQB244" s="36"/>
      <c r="OQC244" s="36"/>
      <c r="OQD244" s="36"/>
      <c r="OQE244" s="36"/>
      <c r="OQF244" s="36"/>
      <c r="OQG244" s="36"/>
      <c r="OQH244" s="36"/>
      <c r="OQI244" s="36"/>
      <c r="OQJ244" s="36"/>
      <c r="OQK244" s="36"/>
      <c r="OQL244" s="36"/>
      <c r="OQM244" s="36"/>
      <c r="OQN244" s="36"/>
      <c r="OQO244" s="36"/>
      <c r="OQP244" s="36"/>
      <c r="OQQ244" s="36"/>
      <c r="OQR244" s="36"/>
      <c r="OQS244" s="36"/>
      <c r="OQT244" s="36"/>
      <c r="OQU244" s="36"/>
      <c r="OQV244" s="36"/>
      <c r="OQW244" s="36"/>
      <c r="OQX244" s="36"/>
      <c r="OQY244" s="36"/>
      <c r="OQZ244" s="36"/>
      <c r="ORA244" s="36"/>
      <c r="ORB244" s="36"/>
      <c r="ORC244" s="36"/>
      <c r="ORD244" s="36"/>
      <c r="ORE244" s="36"/>
      <c r="ORF244" s="36"/>
      <c r="ORG244" s="36"/>
      <c r="ORH244" s="36"/>
      <c r="ORI244" s="36"/>
      <c r="ORJ244" s="36"/>
      <c r="ORK244" s="36"/>
      <c r="ORL244" s="36"/>
      <c r="ORM244" s="36"/>
      <c r="ORN244" s="36"/>
      <c r="ORO244" s="36"/>
      <c r="ORP244" s="36"/>
      <c r="ORQ244" s="36"/>
      <c r="ORR244" s="36"/>
      <c r="ORS244" s="36"/>
      <c r="ORT244" s="36"/>
      <c r="ORU244" s="36"/>
      <c r="ORV244" s="36"/>
      <c r="ORW244" s="36"/>
      <c r="ORX244" s="36"/>
      <c r="ORY244" s="36"/>
      <c r="ORZ244" s="36"/>
      <c r="OSA244" s="36"/>
      <c r="OSB244" s="36"/>
      <c r="OSC244" s="36"/>
      <c r="OSD244" s="36"/>
      <c r="OSE244" s="36"/>
      <c r="OSF244" s="36"/>
      <c r="OSG244" s="36"/>
      <c r="OSH244" s="36"/>
      <c r="OSI244" s="36"/>
      <c r="OSJ244" s="36"/>
      <c r="OSK244" s="36"/>
      <c r="OSL244" s="36"/>
      <c r="OSM244" s="36"/>
      <c r="OSN244" s="36"/>
      <c r="OSO244" s="36"/>
      <c r="OSP244" s="36"/>
      <c r="OSQ244" s="36"/>
      <c r="OSR244" s="36"/>
      <c r="OSS244" s="36"/>
      <c r="OST244" s="36"/>
      <c r="OSU244" s="36"/>
      <c r="OSV244" s="36"/>
      <c r="OSW244" s="36"/>
      <c r="OSX244" s="36"/>
      <c r="OSY244" s="36"/>
      <c r="OSZ244" s="36"/>
      <c r="OTA244" s="36"/>
      <c r="OTB244" s="36"/>
      <c r="OTC244" s="36"/>
      <c r="OTD244" s="36"/>
      <c r="OTE244" s="36"/>
      <c r="OTF244" s="36"/>
      <c r="OTG244" s="36"/>
      <c r="OTH244" s="36"/>
      <c r="OTI244" s="36"/>
      <c r="OTJ244" s="36"/>
      <c r="OTK244" s="36"/>
      <c r="OTL244" s="36"/>
      <c r="OTM244" s="36"/>
      <c r="OTN244" s="36"/>
      <c r="OTO244" s="36"/>
      <c r="OTP244" s="36"/>
      <c r="OTQ244" s="36"/>
      <c r="OTR244" s="36"/>
      <c r="OTS244" s="36"/>
      <c r="OTT244" s="36"/>
      <c r="OTU244" s="36"/>
      <c r="OTV244" s="36"/>
      <c r="OTW244" s="36"/>
      <c r="OTX244" s="36"/>
      <c r="OTY244" s="36"/>
      <c r="OTZ244" s="36"/>
      <c r="OUA244" s="36"/>
      <c r="OUB244" s="36"/>
      <c r="OUC244" s="36"/>
      <c r="OUD244" s="36"/>
      <c r="OUE244" s="36"/>
      <c r="OUF244" s="36"/>
      <c r="OUG244" s="36"/>
      <c r="OUH244" s="36"/>
      <c r="OUI244" s="36"/>
      <c r="OUJ244" s="36"/>
      <c r="OUK244" s="36"/>
      <c r="OUL244" s="36"/>
      <c r="OUM244" s="36"/>
      <c r="OUN244" s="36"/>
      <c r="OUO244" s="36"/>
      <c r="OUP244" s="36"/>
      <c r="OUQ244" s="36"/>
      <c r="OUR244" s="36"/>
      <c r="OUS244" s="36"/>
      <c r="OUT244" s="36"/>
      <c r="OUU244" s="36"/>
      <c r="OUV244" s="36"/>
      <c r="OUW244" s="36"/>
      <c r="OUX244" s="36"/>
      <c r="OUY244" s="36"/>
      <c r="OUZ244" s="36"/>
      <c r="OVA244" s="36"/>
      <c r="OVB244" s="36"/>
      <c r="OVC244" s="36"/>
      <c r="OVD244" s="36"/>
      <c r="OVE244" s="36"/>
      <c r="OVF244" s="36"/>
      <c r="OVG244" s="36"/>
      <c r="OVH244" s="36"/>
      <c r="OVI244" s="36"/>
      <c r="OVJ244" s="36"/>
      <c r="OVK244" s="36"/>
      <c r="OVL244" s="36"/>
      <c r="OVM244" s="36"/>
      <c r="OVN244" s="36"/>
      <c r="OVO244" s="36"/>
      <c r="OVP244" s="36"/>
      <c r="OVQ244" s="36"/>
      <c r="OVR244" s="36"/>
      <c r="OVS244" s="36"/>
      <c r="OVT244" s="36"/>
      <c r="OVU244" s="36"/>
      <c r="OVV244" s="36"/>
      <c r="OVW244" s="36"/>
      <c r="OVX244" s="36"/>
      <c r="OVY244" s="36"/>
      <c r="OVZ244" s="36"/>
      <c r="OWA244" s="36"/>
      <c r="OWB244" s="36"/>
      <c r="OWC244" s="36"/>
      <c r="OWD244" s="36"/>
      <c r="OWE244" s="36"/>
      <c r="OWF244" s="36"/>
      <c r="OWG244" s="36"/>
      <c r="OWH244" s="36"/>
      <c r="OWI244" s="36"/>
      <c r="OWJ244" s="36"/>
      <c r="OWK244" s="36"/>
      <c r="OWL244" s="36"/>
      <c r="OWM244" s="36"/>
      <c r="OWN244" s="36"/>
      <c r="OWO244" s="36"/>
      <c r="OWP244" s="36"/>
      <c r="OWQ244" s="36"/>
      <c r="OWR244" s="36"/>
      <c r="OWS244" s="36"/>
      <c r="OWT244" s="36"/>
      <c r="OWU244" s="36"/>
      <c r="OWV244" s="36"/>
      <c r="OWW244" s="36"/>
      <c r="OWX244" s="36"/>
      <c r="OWY244" s="36"/>
      <c r="OWZ244" s="36"/>
      <c r="OXA244" s="36"/>
      <c r="OXB244" s="36"/>
      <c r="OXC244" s="36"/>
      <c r="OXD244" s="36"/>
      <c r="OXE244" s="36"/>
      <c r="OXF244" s="36"/>
      <c r="OXG244" s="36"/>
      <c r="OXH244" s="36"/>
      <c r="OXI244" s="36"/>
      <c r="OXJ244" s="36"/>
      <c r="OXK244" s="36"/>
      <c r="OXL244" s="36"/>
      <c r="OXM244" s="36"/>
      <c r="OXN244" s="36"/>
      <c r="OXO244" s="36"/>
      <c r="OXP244" s="36"/>
      <c r="OXQ244" s="36"/>
      <c r="OXR244" s="36"/>
      <c r="OXS244" s="36"/>
      <c r="OXT244" s="36"/>
      <c r="OXU244" s="36"/>
      <c r="OXV244" s="36"/>
      <c r="OXW244" s="36"/>
      <c r="OXX244" s="36"/>
      <c r="OXY244" s="36"/>
      <c r="OXZ244" s="36"/>
      <c r="OYA244" s="36"/>
      <c r="OYB244" s="36"/>
      <c r="OYC244" s="36"/>
      <c r="OYD244" s="36"/>
      <c r="OYE244" s="36"/>
      <c r="OYF244" s="36"/>
      <c r="OYG244" s="36"/>
      <c r="OYH244" s="36"/>
      <c r="OYI244" s="36"/>
      <c r="OYJ244" s="36"/>
      <c r="OYK244" s="36"/>
      <c r="OYL244" s="36"/>
      <c r="OYM244" s="36"/>
      <c r="OYN244" s="36"/>
      <c r="OYO244" s="36"/>
      <c r="OYP244" s="36"/>
      <c r="OYQ244" s="36"/>
      <c r="OYR244" s="36"/>
      <c r="OYS244" s="36"/>
      <c r="OYT244" s="36"/>
      <c r="OYU244" s="36"/>
      <c r="OYV244" s="36"/>
      <c r="OYW244" s="36"/>
      <c r="OYX244" s="36"/>
      <c r="OYY244" s="36"/>
      <c r="OYZ244" s="36"/>
      <c r="OZA244" s="36"/>
      <c r="OZB244" s="36"/>
      <c r="OZC244" s="36"/>
      <c r="OZD244" s="36"/>
      <c r="OZE244" s="36"/>
      <c r="OZF244" s="36"/>
      <c r="OZG244" s="36"/>
      <c r="OZH244" s="36"/>
      <c r="OZI244" s="36"/>
      <c r="OZJ244" s="36"/>
      <c r="OZK244" s="36"/>
      <c r="OZL244" s="36"/>
      <c r="OZM244" s="36"/>
      <c r="OZN244" s="36"/>
      <c r="OZO244" s="36"/>
      <c r="OZP244" s="36"/>
      <c r="OZQ244" s="36"/>
      <c r="OZR244" s="36"/>
      <c r="OZS244" s="36"/>
      <c r="OZT244" s="36"/>
      <c r="OZU244" s="36"/>
      <c r="OZV244" s="36"/>
      <c r="OZW244" s="36"/>
      <c r="OZX244" s="36"/>
      <c r="OZY244" s="36"/>
      <c r="OZZ244" s="36"/>
      <c r="PAA244" s="36"/>
      <c r="PAB244" s="36"/>
      <c r="PAC244" s="36"/>
      <c r="PAD244" s="36"/>
      <c r="PAE244" s="36"/>
      <c r="PAF244" s="36"/>
      <c r="PAG244" s="36"/>
      <c r="PAH244" s="36"/>
      <c r="PAI244" s="36"/>
      <c r="PAJ244" s="36"/>
      <c r="PAK244" s="36"/>
      <c r="PAL244" s="36"/>
      <c r="PAM244" s="36"/>
      <c r="PAN244" s="36"/>
      <c r="PAO244" s="36"/>
      <c r="PAP244" s="36"/>
      <c r="PAQ244" s="36"/>
      <c r="PAR244" s="36"/>
      <c r="PAS244" s="36"/>
      <c r="PAT244" s="36"/>
      <c r="PAU244" s="36"/>
      <c r="PAV244" s="36"/>
      <c r="PAW244" s="36"/>
      <c r="PAX244" s="36"/>
      <c r="PAY244" s="36"/>
      <c r="PAZ244" s="36"/>
      <c r="PBA244" s="36"/>
      <c r="PBB244" s="36"/>
      <c r="PBC244" s="36"/>
      <c r="PBD244" s="36"/>
      <c r="PBE244" s="36"/>
      <c r="PBF244" s="36"/>
      <c r="PBG244" s="36"/>
      <c r="PBH244" s="36"/>
      <c r="PBI244" s="36"/>
      <c r="PBJ244" s="36"/>
      <c r="PBK244" s="36"/>
      <c r="PBL244" s="36"/>
      <c r="PBM244" s="36"/>
      <c r="PBN244" s="36"/>
      <c r="PBO244" s="36"/>
      <c r="PBP244" s="36"/>
      <c r="PBQ244" s="36"/>
      <c r="PBR244" s="36"/>
      <c r="PBS244" s="36"/>
      <c r="PBT244" s="36"/>
      <c r="PBU244" s="36"/>
      <c r="PBV244" s="36"/>
      <c r="PBW244" s="36"/>
      <c r="PBX244" s="36"/>
      <c r="PBY244" s="36"/>
      <c r="PBZ244" s="36"/>
      <c r="PCA244" s="36"/>
      <c r="PCB244" s="36"/>
      <c r="PCC244" s="36"/>
      <c r="PCD244" s="36"/>
      <c r="PCE244" s="36"/>
      <c r="PCF244" s="36"/>
      <c r="PCG244" s="36"/>
      <c r="PCH244" s="36"/>
      <c r="PCI244" s="36"/>
      <c r="PCJ244" s="36"/>
      <c r="PCK244" s="36"/>
      <c r="PCL244" s="36"/>
      <c r="PCM244" s="36"/>
      <c r="PCN244" s="36"/>
      <c r="PCO244" s="36"/>
      <c r="PCP244" s="36"/>
      <c r="PCQ244" s="36"/>
      <c r="PCR244" s="36"/>
      <c r="PCS244" s="36"/>
      <c r="PCT244" s="36"/>
      <c r="PCU244" s="36"/>
      <c r="PCV244" s="36"/>
      <c r="PCW244" s="36"/>
      <c r="PCX244" s="36"/>
      <c r="PCY244" s="36"/>
      <c r="PCZ244" s="36"/>
      <c r="PDA244" s="36"/>
      <c r="PDB244" s="36"/>
      <c r="PDC244" s="36"/>
      <c r="PDD244" s="36"/>
      <c r="PDE244" s="36"/>
      <c r="PDF244" s="36"/>
      <c r="PDG244" s="36"/>
      <c r="PDH244" s="36"/>
      <c r="PDI244" s="36"/>
      <c r="PDJ244" s="36"/>
      <c r="PDK244" s="36"/>
      <c r="PDL244" s="36"/>
      <c r="PDM244" s="36"/>
      <c r="PDN244" s="36"/>
      <c r="PDO244" s="36"/>
      <c r="PDP244" s="36"/>
      <c r="PDQ244" s="36"/>
      <c r="PDR244" s="36"/>
      <c r="PDS244" s="36"/>
      <c r="PDT244" s="36"/>
      <c r="PDU244" s="36"/>
      <c r="PDV244" s="36"/>
      <c r="PDW244" s="36"/>
      <c r="PDX244" s="36"/>
      <c r="PDY244" s="36"/>
      <c r="PDZ244" s="36"/>
      <c r="PEA244" s="36"/>
      <c r="PEB244" s="36"/>
      <c r="PEC244" s="36"/>
      <c r="PED244" s="36"/>
      <c r="PEE244" s="36"/>
      <c r="PEF244" s="36"/>
      <c r="PEG244" s="36"/>
      <c r="PEH244" s="36"/>
      <c r="PEI244" s="36"/>
      <c r="PEJ244" s="36"/>
      <c r="PEK244" s="36"/>
      <c r="PEL244" s="36"/>
      <c r="PEM244" s="36"/>
      <c r="PEN244" s="36"/>
      <c r="PEO244" s="36"/>
      <c r="PEP244" s="36"/>
      <c r="PEQ244" s="36"/>
      <c r="PER244" s="36"/>
      <c r="PES244" s="36"/>
      <c r="PET244" s="36"/>
      <c r="PEU244" s="36"/>
      <c r="PEV244" s="36"/>
      <c r="PEW244" s="36"/>
      <c r="PEX244" s="36"/>
      <c r="PEY244" s="36"/>
      <c r="PEZ244" s="36"/>
      <c r="PFA244" s="36"/>
      <c r="PFB244" s="36"/>
      <c r="PFC244" s="36"/>
      <c r="PFD244" s="36"/>
      <c r="PFE244" s="36"/>
      <c r="PFF244" s="36"/>
      <c r="PFG244" s="36"/>
      <c r="PFH244" s="36"/>
      <c r="PFI244" s="36"/>
      <c r="PFJ244" s="36"/>
      <c r="PFK244" s="36"/>
      <c r="PFL244" s="36"/>
      <c r="PFM244" s="36"/>
      <c r="PFN244" s="36"/>
      <c r="PFO244" s="36"/>
      <c r="PFP244" s="36"/>
      <c r="PFQ244" s="36"/>
      <c r="PFR244" s="36"/>
      <c r="PFS244" s="36"/>
      <c r="PFT244" s="36"/>
      <c r="PFU244" s="36"/>
      <c r="PFV244" s="36"/>
      <c r="PFW244" s="36"/>
      <c r="PFX244" s="36"/>
      <c r="PFY244" s="36"/>
      <c r="PFZ244" s="36"/>
      <c r="PGA244" s="36"/>
      <c r="PGB244" s="36"/>
      <c r="PGC244" s="36"/>
      <c r="PGD244" s="36"/>
      <c r="PGE244" s="36"/>
      <c r="PGF244" s="36"/>
      <c r="PGG244" s="36"/>
      <c r="PGH244" s="36"/>
      <c r="PGI244" s="36"/>
      <c r="PGJ244" s="36"/>
      <c r="PGK244" s="36"/>
      <c r="PGL244" s="36"/>
      <c r="PGM244" s="36"/>
      <c r="PGN244" s="36"/>
      <c r="PGO244" s="36"/>
      <c r="PGP244" s="36"/>
      <c r="PGQ244" s="36"/>
      <c r="PGR244" s="36"/>
      <c r="PGS244" s="36"/>
      <c r="PGT244" s="36"/>
      <c r="PGU244" s="36"/>
      <c r="PGV244" s="36"/>
      <c r="PGW244" s="36"/>
      <c r="PGX244" s="36"/>
      <c r="PGY244" s="36"/>
      <c r="PGZ244" s="36"/>
      <c r="PHA244" s="36"/>
      <c r="PHB244" s="36"/>
      <c r="PHC244" s="36"/>
      <c r="PHD244" s="36"/>
      <c r="PHE244" s="36"/>
      <c r="PHF244" s="36"/>
      <c r="PHG244" s="36"/>
      <c r="PHH244" s="36"/>
      <c r="PHI244" s="36"/>
      <c r="PHJ244" s="36"/>
      <c r="PHK244" s="36"/>
      <c r="PHL244" s="36"/>
      <c r="PHM244" s="36"/>
      <c r="PHN244" s="36"/>
      <c r="PHO244" s="36"/>
      <c r="PHP244" s="36"/>
      <c r="PHQ244" s="36"/>
      <c r="PHR244" s="36"/>
      <c r="PHS244" s="36"/>
      <c r="PHT244" s="36"/>
      <c r="PHU244" s="36"/>
      <c r="PHV244" s="36"/>
      <c r="PHW244" s="36"/>
      <c r="PHX244" s="36"/>
      <c r="PHY244" s="36"/>
      <c r="PHZ244" s="36"/>
      <c r="PIA244" s="36"/>
      <c r="PIB244" s="36"/>
      <c r="PIC244" s="36"/>
      <c r="PID244" s="36"/>
      <c r="PIE244" s="36"/>
      <c r="PIF244" s="36"/>
      <c r="PIG244" s="36"/>
      <c r="PIH244" s="36"/>
      <c r="PII244" s="36"/>
      <c r="PIJ244" s="36"/>
      <c r="PIK244" s="36"/>
      <c r="PIL244" s="36"/>
      <c r="PIM244" s="36"/>
      <c r="PIN244" s="36"/>
      <c r="PIO244" s="36"/>
      <c r="PIP244" s="36"/>
      <c r="PIQ244" s="36"/>
      <c r="PIR244" s="36"/>
      <c r="PIS244" s="36"/>
      <c r="PIT244" s="36"/>
      <c r="PIU244" s="36"/>
      <c r="PIV244" s="36"/>
      <c r="PIW244" s="36"/>
      <c r="PIX244" s="36"/>
      <c r="PIY244" s="36"/>
      <c r="PIZ244" s="36"/>
      <c r="PJA244" s="36"/>
      <c r="PJB244" s="36"/>
      <c r="PJC244" s="36"/>
      <c r="PJD244" s="36"/>
      <c r="PJE244" s="36"/>
      <c r="PJF244" s="36"/>
      <c r="PJG244" s="36"/>
      <c r="PJH244" s="36"/>
      <c r="PJI244" s="36"/>
      <c r="PJJ244" s="36"/>
      <c r="PJK244" s="36"/>
      <c r="PJL244" s="36"/>
      <c r="PJM244" s="36"/>
      <c r="PJN244" s="36"/>
      <c r="PJO244" s="36"/>
      <c r="PJP244" s="36"/>
      <c r="PJQ244" s="36"/>
      <c r="PJR244" s="36"/>
      <c r="PJS244" s="36"/>
      <c r="PJT244" s="36"/>
      <c r="PJU244" s="36"/>
      <c r="PJV244" s="36"/>
      <c r="PJW244" s="36"/>
      <c r="PJX244" s="36"/>
      <c r="PJY244" s="36"/>
      <c r="PJZ244" s="36"/>
      <c r="PKA244" s="36"/>
      <c r="PKB244" s="36"/>
      <c r="PKC244" s="36"/>
      <c r="PKD244" s="36"/>
      <c r="PKE244" s="36"/>
      <c r="PKF244" s="36"/>
      <c r="PKG244" s="36"/>
      <c r="PKH244" s="36"/>
      <c r="PKI244" s="36"/>
      <c r="PKJ244" s="36"/>
      <c r="PKK244" s="36"/>
      <c r="PKL244" s="36"/>
      <c r="PKM244" s="36"/>
      <c r="PKN244" s="36"/>
      <c r="PKO244" s="36"/>
      <c r="PKP244" s="36"/>
      <c r="PKQ244" s="36"/>
      <c r="PKR244" s="36"/>
      <c r="PKS244" s="36"/>
      <c r="PKT244" s="36"/>
      <c r="PKU244" s="36"/>
      <c r="PKV244" s="36"/>
      <c r="PKW244" s="36"/>
      <c r="PKX244" s="36"/>
      <c r="PKY244" s="36"/>
      <c r="PKZ244" s="36"/>
      <c r="PLA244" s="36"/>
      <c r="PLB244" s="36"/>
      <c r="PLC244" s="36"/>
      <c r="PLD244" s="36"/>
      <c r="PLE244" s="36"/>
      <c r="PLF244" s="36"/>
      <c r="PLG244" s="36"/>
      <c r="PLH244" s="36"/>
      <c r="PLI244" s="36"/>
      <c r="PLJ244" s="36"/>
      <c r="PLK244" s="36"/>
      <c r="PLL244" s="36"/>
      <c r="PLM244" s="36"/>
      <c r="PLN244" s="36"/>
      <c r="PLO244" s="36"/>
      <c r="PLP244" s="36"/>
      <c r="PLQ244" s="36"/>
      <c r="PLR244" s="36"/>
      <c r="PLS244" s="36"/>
      <c r="PLT244" s="36"/>
      <c r="PLU244" s="36"/>
      <c r="PLV244" s="36"/>
      <c r="PLW244" s="36"/>
      <c r="PLX244" s="36"/>
      <c r="PLY244" s="36"/>
      <c r="PLZ244" s="36"/>
      <c r="PMA244" s="36"/>
      <c r="PMB244" s="36"/>
      <c r="PMC244" s="36"/>
      <c r="PMD244" s="36"/>
      <c r="PME244" s="36"/>
      <c r="PMF244" s="36"/>
      <c r="PMG244" s="36"/>
      <c r="PMH244" s="36"/>
      <c r="PMI244" s="36"/>
      <c r="PMJ244" s="36"/>
      <c r="PMK244" s="36"/>
      <c r="PML244" s="36"/>
      <c r="PMM244" s="36"/>
      <c r="PMN244" s="36"/>
      <c r="PMO244" s="36"/>
      <c r="PMP244" s="36"/>
      <c r="PMQ244" s="36"/>
      <c r="PMR244" s="36"/>
      <c r="PMS244" s="36"/>
      <c r="PMT244" s="36"/>
      <c r="PMU244" s="36"/>
      <c r="PMV244" s="36"/>
      <c r="PMW244" s="36"/>
      <c r="PMX244" s="36"/>
      <c r="PMY244" s="36"/>
      <c r="PMZ244" s="36"/>
      <c r="PNA244" s="36"/>
      <c r="PNB244" s="36"/>
      <c r="PNC244" s="36"/>
      <c r="PND244" s="36"/>
      <c r="PNE244" s="36"/>
      <c r="PNF244" s="36"/>
      <c r="PNG244" s="36"/>
      <c r="PNH244" s="36"/>
      <c r="PNI244" s="36"/>
      <c r="PNJ244" s="36"/>
      <c r="PNK244" s="36"/>
      <c r="PNL244" s="36"/>
      <c r="PNM244" s="36"/>
      <c r="PNN244" s="36"/>
      <c r="PNO244" s="36"/>
      <c r="PNP244" s="36"/>
      <c r="PNQ244" s="36"/>
      <c r="PNR244" s="36"/>
      <c r="PNS244" s="36"/>
      <c r="PNT244" s="36"/>
      <c r="PNU244" s="36"/>
      <c r="PNV244" s="36"/>
      <c r="PNW244" s="36"/>
      <c r="PNX244" s="36"/>
      <c r="PNY244" s="36"/>
      <c r="PNZ244" s="36"/>
      <c r="POA244" s="36"/>
      <c r="POB244" s="36"/>
      <c r="POC244" s="36"/>
      <c r="POD244" s="36"/>
      <c r="POE244" s="36"/>
      <c r="POF244" s="36"/>
      <c r="POG244" s="36"/>
      <c r="POH244" s="36"/>
      <c r="POI244" s="36"/>
      <c r="POJ244" s="36"/>
      <c r="POK244" s="36"/>
      <c r="POL244" s="36"/>
      <c r="POM244" s="36"/>
      <c r="PON244" s="36"/>
      <c r="POO244" s="36"/>
      <c r="POP244" s="36"/>
      <c r="POQ244" s="36"/>
      <c r="POR244" s="36"/>
      <c r="POS244" s="36"/>
      <c r="POT244" s="36"/>
      <c r="POU244" s="36"/>
      <c r="POV244" s="36"/>
      <c r="POW244" s="36"/>
      <c r="POX244" s="36"/>
      <c r="POY244" s="36"/>
      <c r="POZ244" s="36"/>
      <c r="PPA244" s="36"/>
      <c r="PPB244" s="36"/>
      <c r="PPC244" s="36"/>
      <c r="PPD244" s="36"/>
      <c r="PPE244" s="36"/>
      <c r="PPF244" s="36"/>
      <c r="PPG244" s="36"/>
      <c r="PPH244" s="36"/>
      <c r="PPI244" s="36"/>
      <c r="PPJ244" s="36"/>
      <c r="PPK244" s="36"/>
      <c r="PPL244" s="36"/>
      <c r="PPM244" s="36"/>
      <c r="PPN244" s="36"/>
      <c r="PPO244" s="36"/>
      <c r="PPP244" s="36"/>
      <c r="PPQ244" s="36"/>
      <c r="PPR244" s="36"/>
      <c r="PPS244" s="36"/>
      <c r="PPT244" s="36"/>
      <c r="PPU244" s="36"/>
      <c r="PPV244" s="36"/>
      <c r="PPW244" s="36"/>
      <c r="PPX244" s="36"/>
      <c r="PPY244" s="36"/>
      <c r="PPZ244" s="36"/>
      <c r="PQA244" s="36"/>
      <c r="PQB244" s="36"/>
      <c r="PQC244" s="36"/>
      <c r="PQD244" s="36"/>
      <c r="PQE244" s="36"/>
      <c r="PQF244" s="36"/>
      <c r="PQG244" s="36"/>
      <c r="PQH244" s="36"/>
      <c r="PQI244" s="36"/>
      <c r="PQJ244" s="36"/>
      <c r="PQK244" s="36"/>
      <c r="PQL244" s="36"/>
      <c r="PQM244" s="36"/>
      <c r="PQN244" s="36"/>
      <c r="PQO244" s="36"/>
      <c r="PQP244" s="36"/>
      <c r="PQQ244" s="36"/>
      <c r="PQR244" s="36"/>
      <c r="PQS244" s="36"/>
      <c r="PQT244" s="36"/>
      <c r="PQU244" s="36"/>
      <c r="PQV244" s="36"/>
      <c r="PQW244" s="36"/>
      <c r="PQX244" s="36"/>
      <c r="PQY244" s="36"/>
      <c r="PQZ244" s="36"/>
      <c r="PRA244" s="36"/>
      <c r="PRB244" s="36"/>
      <c r="PRC244" s="36"/>
      <c r="PRD244" s="36"/>
      <c r="PRE244" s="36"/>
      <c r="PRF244" s="36"/>
      <c r="PRG244" s="36"/>
      <c r="PRH244" s="36"/>
      <c r="PRI244" s="36"/>
      <c r="PRJ244" s="36"/>
      <c r="PRK244" s="36"/>
      <c r="PRL244" s="36"/>
      <c r="PRM244" s="36"/>
      <c r="PRN244" s="36"/>
      <c r="PRO244" s="36"/>
      <c r="PRP244" s="36"/>
      <c r="PRQ244" s="36"/>
      <c r="PRR244" s="36"/>
      <c r="PRS244" s="36"/>
      <c r="PRT244" s="36"/>
      <c r="PRU244" s="36"/>
      <c r="PRV244" s="36"/>
      <c r="PRW244" s="36"/>
      <c r="PRX244" s="36"/>
      <c r="PRY244" s="36"/>
      <c r="PRZ244" s="36"/>
      <c r="PSA244" s="36"/>
      <c r="PSB244" s="36"/>
      <c r="PSC244" s="36"/>
      <c r="PSD244" s="36"/>
      <c r="PSE244" s="36"/>
      <c r="PSF244" s="36"/>
      <c r="PSG244" s="36"/>
      <c r="PSH244" s="36"/>
      <c r="PSI244" s="36"/>
      <c r="PSJ244" s="36"/>
      <c r="PSK244" s="36"/>
      <c r="PSL244" s="36"/>
      <c r="PSM244" s="36"/>
      <c r="PSN244" s="36"/>
      <c r="PSO244" s="36"/>
      <c r="PSP244" s="36"/>
      <c r="PSQ244" s="36"/>
      <c r="PSR244" s="36"/>
      <c r="PSS244" s="36"/>
      <c r="PST244" s="36"/>
      <c r="PSU244" s="36"/>
      <c r="PSV244" s="36"/>
      <c r="PSW244" s="36"/>
      <c r="PSX244" s="36"/>
      <c r="PSY244" s="36"/>
      <c r="PSZ244" s="36"/>
      <c r="PTA244" s="36"/>
      <c r="PTB244" s="36"/>
      <c r="PTC244" s="36"/>
      <c r="PTD244" s="36"/>
      <c r="PTE244" s="36"/>
      <c r="PTF244" s="36"/>
      <c r="PTG244" s="36"/>
      <c r="PTH244" s="36"/>
      <c r="PTI244" s="36"/>
      <c r="PTJ244" s="36"/>
      <c r="PTK244" s="36"/>
      <c r="PTL244" s="36"/>
      <c r="PTM244" s="36"/>
      <c r="PTN244" s="36"/>
      <c r="PTO244" s="36"/>
      <c r="PTP244" s="36"/>
      <c r="PTQ244" s="36"/>
      <c r="PTR244" s="36"/>
      <c r="PTS244" s="36"/>
      <c r="PTT244" s="36"/>
      <c r="PTU244" s="36"/>
      <c r="PTV244" s="36"/>
      <c r="PTW244" s="36"/>
      <c r="PTX244" s="36"/>
      <c r="PTY244" s="36"/>
      <c r="PTZ244" s="36"/>
      <c r="PUA244" s="36"/>
      <c r="PUB244" s="36"/>
      <c r="PUC244" s="36"/>
      <c r="PUD244" s="36"/>
      <c r="PUE244" s="36"/>
      <c r="PUF244" s="36"/>
      <c r="PUG244" s="36"/>
      <c r="PUH244" s="36"/>
      <c r="PUI244" s="36"/>
      <c r="PUJ244" s="36"/>
      <c r="PUK244" s="36"/>
      <c r="PUL244" s="36"/>
      <c r="PUM244" s="36"/>
      <c r="PUN244" s="36"/>
      <c r="PUO244" s="36"/>
      <c r="PUP244" s="36"/>
      <c r="PUQ244" s="36"/>
      <c r="PUR244" s="36"/>
      <c r="PUS244" s="36"/>
      <c r="PUT244" s="36"/>
      <c r="PUU244" s="36"/>
      <c r="PUV244" s="36"/>
      <c r="PUW244" s="36"/>
      <c r="PUX244" s="36"/>
      <c r="PUY244" s="36"/>
      <c r="PUZ244" s="36"/>
      <c r="PVA244" s="36"/>
      <c r="PVB244" s="36"/>
      <c r="PVC244" s="36"/>
      <c r="PVD244" s="36"/>
      <c r="PVE244" s="36"/>
      <c r="PVF244" s="36"/>
      <c r="PVG244" s="36"/>
      <c r="PVH244" s="36"/>
      <c r="PVI244" s="36"/>
      <c r="PVJ244" s="36"/>
      <c r="PVK244" s="36"/>
      <c r="PVL244" s="36"/>
      <c r="PVM244" s="36"/>
      <c r="PVN244" s="36"/>
      <c r="PVO244" s="36"/>
      <c r="PVP244" s="36"/>
      <c r="PVQ244" s="36"/>
      <c r="PVR244" s="36"/>
      <c r="PVS244" s="36"/>
      <c r="PVT244" s="36"/>
      <c r="PVU244" s="36"/>
      <c r="PVV244" s="36"/>
      <c r="PVW244" s="36"/>
      <c r="PVX244" s="36"/>
      <c r="PVY244" s="36"/>
      <c r="PVZ244" s="36"/>
      <c r="PWA244" s="36"/>
      <c r="PWB244" s="36"/>
      <c r="PWC244" s="36"/>
      <c r="PWD244" s="36"/>
      <c r="PWE244" s="36"/>
      <c r="PWF244" s="36"/>
      <c r="PWG244" s="36"/>
      <c r="PWH244" s="36"/>
      <c r="PWI244" s="36"/>
      <c r="PWJ244" s="36"/>
      <c r="PWK244" s="36"/>
      <c r="PWL244" s="36"/>
      <c r="PWM244" s="36"/>
      <c r="PWN244" s="36"/>
      <c r="PWO244" s="36"/>
      <c r="PWP244" s="36"/>
      <c r="PWQ244" s="36"/>
      <c r="PWR244" s="36"/>
      <c r="PWS244" s="36"/>
      <c r="PWT244" s="36"/>
      <c r="PWU244" s="36"/>
      <c r="PWV244" s="36"/>
      <c r="PWW244" s="36"/>
      <c r="PWX244" s="36"/>
      <c r="PWY244" s="36"/>
      <c r="PWZ244" s="36"/>
      <c r="PXA244" s="36"/>
      <c r="PXB244" s="36"/>
      <c r="PXC244" s="36"/>
      <c r="PXD244" s="36"/>
      <c r="PXE244" s="36"/>
      <c r="PXF244" s="36"/>
      <c r="PXG244" s="36"/>
      <c r="PXH244" s="36"/>
      <c r="PXI244" s="36"/>
      <c r="PXJ244" s="36"/>
      <c r="PXK244" s="36"/>
      <c r="PXL244" s="36"/>
      <c r="PXM244" s="36"/>
      <c r="PXN244" s="36"/>
      <c r="PXO244" s="36"/>
      <c r="PXP244" s="36"/>
      <c r="PXQ244" s="36"/>
      <c r="PXR244" s="36"/>
      <c r="PXS244" s="36"/>
      <c r="PXT244" s="36"/>
      <c r="PXU244" s="36"/>
      <c r="PXV244" s="36"/>
      <c r="PXW244" s="36"/>
      <c r="PXX244" s="36"/>
      <c r="PXY244" s="36"/>
      <c r="PXZ244" s="36"/>
      <c r="PYA244" s="36"/>
      <c r="PYB244" s="36"/>
      <c r="PYC244" s="36"/>
      <c r="PYD244" s="36"/>
      <c r="PYE244" s="36"/>
      <c r="PYF244" s="36"/>
      <c r="PYG244" s="36"/>
      <c r="PYH244" s="36"/>
      <c r="PYI244" s="36"/>
      <c r="PYJ244" s="36"/>
      <c r="PYK244" s="36"/>
      <c r="PYL244" s="36"/>
      <c r="PYM244" s="36"/>
      <c r="PYN244" s="36"/>
      <c r="PYO244" s="36"/>
      <c r="PYP244" s="36"/>
      <c r="PYQ244" s="36"/>
      <c r="PYR244" s="36"/>
      <c r="PYS244" s="36"/>
      <c r="PYT244" s="36"/>
      <c r="PYU244" s="36"/>
      <c r="PYV244" s="36"/>
      <c r="PYW244" s="36"/>
      <c r="PYX244" s="36"/>
      <c r="PYY244" s="36"/>
      <c r="PYZ244" s="36"/>
      <c r="PZA244" s="36"/>
      <c r="PZB244" s="36"/>
      <c r="PZC244" s="36"/>
      <c r="PZD244" s="36"/>
      <c r="PZE244" s="36"/>
      <c r="PZF244" s="36"/>
      <c r="PZG244" s="36"/>
      <c r="PZH244" s="36"/>
      <c r="PZI244" s="36"/>
      <c r="PZJ244" s="36"/>
      <c r="PZK244" s="36"/>
      <c r="PZL244" s="36"/>
      <c r="PZM244" s="36"/>
      <c r="PZN244" s="36"/>
      <c r="PZO244" s="36"/>
      <c r="PZP244" s="36"/>
      <c r="PZQ244" s="36"/>
      <c r="PZR244" s="36"/>
      <c r="PZS244" s="36"/>
      <c r="PZT244" s="36"/>
      <c r="PZU244" s="36"/>
      <c r="PZV244" s="36"/>
      <c r="PZW244" s="36"/>
      <c r="PZX244" s="36"/>
      <c r="PZY244" s="36"/>
      <c r="PZZ244" s="36"/>
      <c r="QAA244" s="36"/>
      <c r="QAB244" s="36"/>
      <c r="QAC244" s="36"/>
      <c r="QAD244" s="36"/>
      <c r="QAE244" s="36"/>
      <c r="QAF244" s="36"/>
      <c r="QAG244" s="36"/>
      <c r="QAH244" s="36"/>
      <c r="QAI244" s="36"/>
      <c r="QAJ244" s="36"/>
      <c r="QAK244" s="36"/>
      <c r="QAL244" s="36"/>
      <c r="QAM244" s="36"/>
      <c r="QAN244" s="36"/>
      <c r="QAO244" s="36"/>
      <c r="QAP244" s="36"/>
      <c r="QAQ244" s="36"/>
      <c r="QAR244" s="36"/>
      <c r="QAS244" s="36"/>
      <c r="QAT244" s="36"/>
      <c r="QAU244" s="36"/>
      <c r="QAV244" s="36"/>
      <c r="QAW244" s="36"/>
      <c r="QAX244" s="36"/>
      <c r="QAY244" s="36"/>
      <c r="QAZ244" s="36"/>
      <c r="QBA244" s="36"/>
      <c r="QBB244" s="36"/>
      <c r="QBC244" s="36"/>
      <c r="QBD244" s="36"/>
      <c r="QBE244" s="36"/>
      <c r="QBF244" s="36"/>
      <c r="QBG244" s="36"/>
      <c r="QBH244" s="36"/>
      <c r="QBI244" s="36"/>
      <c r="QBJ244" s="36"/>
      <c r="QBK244" s="36"/>
      <c r="QBL244" s="36"/>
      <c r="QBM244" s="36"/>
      <c r="QBN244" s="36"/>
      <c r="QBO244" s="36"/>
      <c r="QBP244" s="36"/>
      <c r="QBQ244" s="36"/>
      <c r="QBR244" s="36"/>
      <c r="QBS244" s="36"/>
      <c r="QBT244" s="36"/>
      <c r="QBU244" s="36"/>
      <c r="QBV244" s="36"/>
      <c r="QBW244" s="36"/>
      <c r="QBX244" s="36"/>
      <c r="QBY244" s="36"/>
      <c r="QBZ244" s="36"/>
      <c r="QCA244" s="36"/>
      <c r="QCB244" s="36"/>
      <c r="QCC244" s="36"/>
      <c r="QCD244" s="36"/>
      <c r="QCE244" s="36"/>
      <c r="QCF244" s="36"/>
      <c r="QCG244" s="36"/>
      <c r="QCH244" s="36"/>
      <c r="QCI244" s="36"/>
      <c r="QCJ244" s="36"/>
      <c r="QCK244" s="36"/>
      <c r="QCL244" s="36"/>
      <c r="QCM244" s="36"/>
      <c r="QCN244" s="36"/>
      <c r="QCO244" s="36"/>
      <c r="QCP244" s="36"/>
      <c r="QCQ244" s="36"/>
      <c r="QCR244" s="36"/>
      <c r="QCS244" s="36"/>
      <c r="QCT244" s="36"/>
      <c r="QCU244" s="36"/>
      <c r="QCV244" s="36"/>
      <c r="QCW244" s="36"/>
      <c r="QCX244" s="36"/>
      <c r="QCY244" s="36"/>
      <c r="QCZ244" s="36"/>
      <c r="QDA244" s="36"/>
      <c r="QDB244" s="36"/>
      <c r="QDC244" s="36"/>
      <c r="QDD244" s="36"/>
      <c r="QDE244" s="36"/>
      <c r="QDF244" s="36"/>
      <c r="QDG244" s="36"/>
      <c r="QDH244" s="36"/>
      <c r="QDI244" s="36"/>
      <c r="QDJ244" s="36"/>
      <c r="QDK244" s="36"/>
      <c r="QDL244" s="36"/>
      <c r="QDM244" s="36"/>
      <c r="QDN244" s="36"/>
      <c r="QDO244" s="36"/>
      <c r="QDP244" s="36"/>
      <c r="QDQ244" s="36"/>
      <c r="QDR244" s="36"/>
      <c r="QDS244" s="36"/>
      <c r="QDT244" s="36"/>
      <c r="QDU244" s="36"/>
      <c r="QDV244" s="36"/>
      <c r="QDW244" s="36"/>
      <c r="QDX244" s="36"/>
      <c r="QDY244" s="36"/>
      <c r="QDZ244" s="36"/>
      <c r="QEA244" s="36"/>
      <c r="QEB244" s="36"/>
      <c r="QEC244" s="36"/>
      <c r="QED244" s="36"/>
      <c r="QEE244" s="36"/>
      <c r="QEF244" s="36"/>
      <c r="QEG244" s="36"/>
      <c r="QEH244" s="36"/>
      <c r="QEI244" s="36"/>
      <c r="QEJ244" s="36"/>
      <c r="QEK244" s="36"/>
      <c r="QEL244" s="36"/>
      <c r="QEM244" s="36"/>
      <c r="QEN244" s="36"/>
      <c r="QEO244" s="36"/>
      <c r="QEP244" s="36"/>
      <c r="QEQ244" s="36"/>
      <c r="QER244" s="36"/>
      <c r="QES244" s="36"/>
      <c r="QET244" s="36"/>
      <c r="QEU244" s="36"/>
      <c r="QEV244" s="36"/>
      <c r="QEW244" s="36"/>
      <c r="QEX244" s="36"/>
      <c r="QEY244" s="36"/>
      <c r="QEZ244" s="36"/>
      <c r="QFA244" s="36"/>
      <c r="QFB244" s="36"/>
      <c r="QFC244" s="36"/>
      <c r="QFD244" s="36"/>
      <c r="QFE244" s="36"/>
      <c r="QFF244" s="36"/>
      <c r="QFG244" s="36"/>
      <c r="QFH244" s="36"/>
      <c r="QFI244" s="36"/>
      <c r="QFJ244" s="36"/>
      <c r="QFK244" s="36"/>
      <c r="QFL244" s="36"/>
      <c r="QFM244" s="36"/>
      <c r="QFN244" s="36"/>
      <c r="QFO244" s="36"/>
      <c r="QFP244" s="36"/>
      <c r="QFQ244" s="36"/>
      <c r="QFR244" s="36"/>
      <c r="QFS244" s="36"/>
      <c r="QFT244" s="36"/>
      <c r="QFU244" s="36"/>
      <c r="QFV244" s="36"/>
      <c r="QFW244" s="36"/>
      <c r="QFX244" s="36"/>
      <c r="QFY244" s="36"/>
      <c r="QFZ244" s="36"/>
      <c r="QGA244" s="36"/>
      <c r="QGB244" s="36"/>
      <c r="QGC244" s="36"/>
      <c r="QGD244" s="36"/>
      <c r="QGE244" s="36"/>
      <c r="QGF244" s="36"/>
      <c r="QGG244" s="36"/>
      <c r="QGH244" s="36"/>
      <c r="QGI244" s="36"/>
      <c r="QGJ244" s="36"/>
      <c r="QGK244" s="36"/>
      <c r="QGL244" s="36"/>
      <c r="QGM244" s="36"/>
      <c r="QGN244" s="36"/>
      <c r="QGO244" s="36"/>
      <c r="QGP244" s="36"/>
      <c r="QGQ244" s="36"/>
      <c r="QGR244" s="36"/>
      <c r="QGS244" s="36"/>
      <c r="QGT244" s="36"/>
      <c r="QGU244" s="36"/>
      <c r="QGV244" s="36"/>
      <c r="QGW244" s="36"/>
      <c r="QGX244" s="36"/>
      <c r="QGY244" s="36"/>
      <c r="QGZ244" s="36"/>
      <c r="QHA244" s="36"/>
      <c r="QHB244" s="36"/>
      <c r="QHC244" s="36"/>
      <c r="QHD244" s="36"/>
      <c r="QHE244" s="36"/>
      <c r="QHF244" s="36"/>
      <c r="QHG244" s="36"/>
      <c r="QHH244" s="36"/>
      <c r="QHI244" s="36"/>
      <c r="QHJ244" s="36"/>
      <c r="QHK244" s="36"/>
      <c r="QHL244" s="36"/>
      <c r="QHM244" s="36"/>
      <c r="QHN244" s="36"/>
      <c r="QHO244" s="36"/>
      <c r="QHP244" s="36"/>
      <c r="QHQ244" s="36"/>
      <c r="QHR244" s="36"/>
      <c r="QHS244" s="36"/>
      <c r="QHT244" s="36"/>
      <c r="QHU244" s="36"/>
      <c r="QHV244" s="36"/>
      <c r="QHW244" s="36"/>
      <c r="QHX244" s="36"/>
      <c r="QHY244" s="36"/>
      <c r="QHZ244" s="36"/>
      <c r="QIA244" s="36"/>
      <c r="QIB244" s="36"/>
      <c r="QIC244" s="36"/>
      <c r="QID244" s="36"/>
      <c r="QIE244" s="36"/>
      <c r="QIF244" s="36"/>
      <c r="QIG244" s="36"/>
      <c r="QIH244" s="36"/>
      <c r="QII244" s="36"/>
      <c r="QIJ244" s="36"/>
      <c r="QIK244" s="36"/>
      <c r="QIL244" s="36"/>
      <c r="QIM244" s="36"/>
      <c r="QIN244" s="36"/>
      <c r="QIO244" s="36"/>
      <c r="QIP244" s="36"/>
      <c r="QIQ244" s="36"/>
      <c r="QIR244" s="36"/>
      <c r="QIS244" s="36"/>
      <c r="QIT244" s="36"/>
      <c r="QIU244" s="36"/>
      <c r="QIV244" s="36"/>
      <c r="QIW244" s="36"/>
      <c r="QIX244" s="36"/>
      <c r="QIY244" s="36"/>
      <c r="QIZ244" s="36"/>
      <c r="QJA244" s="36"/>
      <c r="QJB244" s="36"/>
      <c r="QJC244" s="36"/>
      <c r="QJD244" s="36"/>
      <c r="QJE244" s="36"/>
      <c r="QJF244" s="36"/>
      <c r="QJG244" s="36"/>
      <c r="QJH244" s="36"/>
      <c r="QJI244" s="36"/>
      <c r="QJJ244" s="36"/>
      <c r="QJK244" s="36"/>
      <c r="QJL244" s="36"/>
      <c r="QJM244" s="36"/>
      <c r="QJN244" s="36"/>
      <c r="QJO244" s="36"/>
      <c r="QJP244" s="36"/>
      <c r="QJQ244" s="36"/>
      <c r="QJR244" s="36"/>
      <c r="QJS244" s="36"/>
      <c r="QJT244" s="36"/>
      <c r="QJU244" s="36"/>
      <c r="QJV244" s="36"/>
      <c r="QJW244" s="36"/>
      <c r="QJX244" s="36"/>
      <c r="QJY244" s="36"/>
      <c r="QJZ244" s="36"/>
      <c r="QKA244" s="36"/>
      <c r="QKB244" s="36"/>
      <c r="QKC244" s="36"/>
      <c r="QKD244" s="36"/>
      <c r="QKE244" s="36"/>
      <c r="QKF244" s="36"/>
      <c r="QKG244" s="36"/>
      <c r="QKH244" s="36"/>
      <c r="QKI244" s="36"/>
      <c r="QKJ244" s="36"/>
      <c r="QKK244" s="36"/>
      <c r="QKL244" s="36"/>
      <c r="QKM244" s="36"/>
      <c r="QKN244" s="36"/>
      <c r="QKO244" s="36"/>
      <c r="QKP244" s="36"/>
      <c r="QKQ244" s="36"/>
      <c r="QKR244" s="36"/>
      <c r="QKS244" s="36"/>
      <c r="QKT244" s="36"/>
      <c r="QKU244" s="36"/>
      <c r="QKV244" s="36"/>
      <c r="QKW244" s="36"/>
      <c r="QKX244" s="36"/>
      <c r="QKY244" s="36"/>
      <c r="QKZ244" s="36"/>
      <c r="QLA244" s="36"/>
      <c r="QLB244" s="36"/>
      <c r="QLC244" s="36"/>
      <c r="QLD244" s="36"/>
      <c r="QLE244" s="36"/>
      <c r="QLF244" s="36"/>
      <c r="QLG244" s="36"/>
      <c r="QLH244" s="36"/>
      <c r="QLI244" s="36"/>
      <c r="QLJ244" s="36"/>
      <c r="QLK244" s="36"/>
      <c r="QLL244" s="36"/>
      <c r="QLM244" s="36"/>
      <c r="QLN244" s="36"/>
      <c r="QLO244" s="36"/>
      <c r="QLP244" s="36"/>
      <c r="QLQ244" s="36"/>
      <c r="QLR244" s="36"/>
      <c r="QLS244" s="36"/>
      <c r="QLT244" s="36"/>
      <c r="QLU244" s="36"/>
      <c r="QLV244" s="36"/>
      <c r="QLW244" s="36"/>
      <c r="QLX244" s="36"/>
      <c r="QLY244" s="36"/>
      <c r="QLZ244" s="36"/>
      <c r="QMA244" s="36"/>
      <c r="QMB244" s="36"/>
      <c r="QMC244" s="36"/>
      <c r="QMD244" s="36"/>
      <c r="QME244" s="36"/>
      <c r="QMF244" s="36"/>
      <c r="QMG244" s="36"/>
      <c r="QMH244" s="36"/>
      <c r="QMI244" s="36"/>
      <c r="QMJ244" s="36"/>
      <c r="QMK244" s="36"/>
      <c r="QML244" s="36"/>
      <c r="QMM244" s="36"/>
      <c r="QMN244" s="36"/>
      <c r="QMO244" s="36"/>
      <c r="QMP244" s="36"/>
      <c r="QMQ244" s="36"/>
      <c r="QMR244" s="36"/>
      <c r="QMS244" s="36"/>
      <c r="QMT244" s="36"/>
      <c r="QMU244" s="36"/>
      <c r="QMV244" s="36"/>
      <c r="QMW244" s="36"/>
      <c r="QMX244" s="36"/>
      <c r="QMY244" s="36"/>
      <c r="QMZ244" s="36"/>
      <c r="QNA244" s="36"/>
      <c r="QNB244" s="36"/>
      <c r="QNC244" s="36"/>
      <c r="QND244" s="36"/>
      <c r="QNE244" s="36"/>
      <c r="QNF244" s="36"/>
      <c r="QNG244" s="36"/>
      <c r="QNH244" s="36"/>
      <c r="QNI244" s="36"/>
      <c r="QNJ244" s="36"/>
      <c r="QNK244" s="36"/>
      <c r="QNL244" s="36"/>
      <c r="QNM244" s="36"/>
      <c r="QNN244" s="36"/>
      <c r="QNO244" s="36"/>
      <c r="QNP244" s="36"/>
      <c r="QNQ244" s="36"/>
      <c r="QNR244" s="36"/>
      <c r="QNS244" s="36"/>
      <c r="QNT244" s="36"/>
      <c r="QNU244" s="36"/>
      <c r="QNV244" s="36"/>
      <c r="QNW244" s="36"/>
      <c r="QNX244" s="36"/>
      <c r="QNY244" s="36"/>
      <c r="QNZ244" s="36"/>
      <c r="QOA244" s="36"/>
      <c r="QOB244" s="36"/>
      <c r="QOC244" s="36"/>
      <c r="QOD244" s="36"/>
      <c r="QOE244" s="36"/>
      <c r="QOF244" s="36"/>
      <c r="QOG244" s="36"/>
      <c r="QOH244" s="36"/>
      <c r="QOI244" s="36"/>
      <c r="QOJ244" s="36"/>
      <c r="QOK244" s="36"/>
      <c r="QOL244" s="36"/>
      <c r="QOM244" s="36"/>
      <c r="QON244" s="36"/>
      <c r="QOO244" s="36"/>
      <c r="QOP244" s="36"/>
      <c r="QOQ244" s="36"/>
      <c r="QOR244" s="36"/>
      <c r="QOS244" s="36"/>
      <c r="QOT244" s="36"/>
      <c r="QOU244" s="36"/>
      <c r="QOV244" s="36"/>
      <c r="QOW244" s="36"/>
      <c r="QOX244" s="36"/>
      <c r="QOY244" s="36"/>
      <c r="QOZ244" s="36"/>
      <c r="QPA244" s="36"/>
      <c r="QPB244" s="36"/>
      <c r="QPC244" s="36"/>
      <c r="QPD244" s="36"/>
      <c r="QPE244" s="36"/>
      <c r="QPF244" s="36"/>
      <c r="QPG244" s="36"/>
      <c r="QPH244" s="36"/>
      <c r="QPI244" s="36"/>
      <c r="QPJ244" s="36"/>
      <c r="QPK244" s="36"/>
      <c r="QPL244" s="36"/>
      <c r="QPM244" s="36"/>
      <c r="QPN244" s="36"/>
      <c r="QPO244" s="36"/>
      <c r="QPP244" s="36"/>
      <c r="QPQ244" s="36"/>
      <c r="QPR244" s="36"/>
      <c r="QPS244" s="36"/>
      <c r="QPT244" s="36"/>
      <c r="QPU244" s="36"/>
      <c r="QPV244" s="36"/>
      <c r="QPW244" s="36"/>
      <c r="QPX244" s="36"/>
      <c r="QPY244" s="36"/>
      <c r="QPZ244" s="36"/>
      <c r="QQA244" s="36"/>
      <c r="QQB244" s="36"/>
      <c r="QQC244" s="36"/>
      <c r="QQD244" s="36"/>
      <c r="QQE244" s="36"/>
      <c r="QQF244" s="36"/>
      <c r="QQG244" s="36"/>
      <c r="QQH244" s="36"/>
      <c r="QQI244" s="36"/>
      <c r="QQJ244" s="36"/>
      <c r="QQK244" s="36"/>
      <c r="QQL244" s="36"/>
      <c r="QQM244" s="36"/>
      <c r="QQN244" s="36"/>
      <c r="QQO244" s="36"/>
      <c r="QQP244" s="36"/>
      <c r="QQQ244" s="36"/>
      <c r="QQR244" s="36"/>
      <c r="QQS244" s="36"/>
      <c r="QQT244" s="36"/>
      <c r="QQU244" s="36"/>
      <c r="QQV244" s="36"/>
      <c r="QQW244" s="36"/>
      <c r="QQX244" s="36"/>
      <c r="QQY244" s="36"/>
      <c r="QQZ244" s="36"/>
      <c r="QRA244" s="36"/>
      <c r="QRB244" s="36"/>
      <c r="QRC244" s="36"/>
      <c r="QRD244" s="36"/>
      <c r="QRE244" s="36"/>
      <c r="QRF244" s="36"/>
      <c r="QRG244" s="36"/>
      <c r="QRH244" s="36"/>
      <c r="QRI244" s="36"/>
      <c r="QRJ244" s="36"/>
      <c r="QRK244" s="36"/>
      <c r="QRL244" s="36"/>
      <c r="QRM244" s="36"/>
      <c r="QRN244" s="36"/>
      <c r="QRO244" s="36"/>
      <c r="QRP244" s="36"/>
      <c r="QRQ244" s="36"/>
      <c r="QRR244" s="36"/>
      <c r="QRS244" s="36"/>
      <c r="QRT244" s="36"/>
      <c r="QRU244" s="36"/>
      <c r="QRV244" s="36"/>
      <c r="QRW244" s="36"/>
      <c r="QRX244" s="36"/>
      <c r="QRY244" s="36"/>
      <c r="QRZ244" s="36"/>
      <c r="QSA244" s="36"/>
      <c r="QSB244" s="36"/>
      <c r="QSC244" s="36"/>
      <c r="QSD244" s="36"/>
      <c r="QSE244" s="36"/>
      <c r="QSF244" s="36"/>
      <c r="QSG244" s="36"/>
      <c r="QSH244" s="36"/>
      <c r="QSI244" s="36"/>
      <c r="QSJ244" s="36"/>
      <c r="QSK244" s="36"/>
      <c r="QSL244" s="36"/>
      <c r="QSM244" s="36"/>
      <c r="QSN244" s="36"/>
      <c r="QSO244" s="36"/>
      <c r="QSP244" s="36"/>
      <c r="QSQ244" s="36"/>
      <c r="QSR244" s="36"/>
      <c r="QSS244" s="36"/>
      <c r="QST244" s="36"/>
      <c r="QSU244" s="36"/>
      <c r="QSV244" s="36"/>
      <c r="QSW244" s="36"/>
      <c r="QSX244" s="36"/>
      <c r="QSY244" s="36"/>
      <c r="QSZ244" s="36"/>
      <c r="QTA244" s="36"/>
      <c r="QTB244" s="36"/>
      <c r="QTC244" s="36"/>
      <c r="QTD244" s="36"/>
      <c r="QTE244" s="36"/>
      <c r="QTF244" s="36"/>
      <c r="QTG244" s="36"/>
      <c r="QTH244" s="36"/>
      <c r="QTI244" s="36"/>
      <c r="QTJ244" s="36"/>
      <c r="QTK244" s="36"/>
      <c r="QTL244" s="36"/>
      <c r="QTM244" s="36"/>
      <c r="QTN244" s="36"/>
      <c r="QTO244" s="36"/>
      <c r="QTP244" s="36"/>
      <c r="QTQ244" s="36"/>
      <c r="QTR244" s="36"/>
      <c r="QTS244" s="36"/>
      <c r="QTT244" s="36"/>
      <c r="QTU244" s="36"/>
      <c r="QTV244" s="36"/>
      <c r="QTW244" s="36"/>
      <c r="QTX244" s="36"/>
      <c r="QTY244" s="36"/>
      <c r="QTZ244" s="36"/>
      <c r="QUA244" s="36"/>
      <c r="QUB244" s="36"/>
      <c r="QUC244" s="36"/>
      <c r="QUD244" s="36"/>
      <c r="QUE244" s="36"/>
      <c r="QUF244" s="36"/>
      <c r="QUG244" s="36"/>
      <c r="QUH244" s="36"/>
      <c r="QUI244" s="36"/>
      <c r="QUJ244" s="36"/>
      <c r="QUK244" s="36"/>
      <c r="QUL244" s="36"/>
      <c r="QUM244" s="36"/>
      <c r="QUN244" s="36"/>
      <c r="QUO244" s="36"/>
      <c r="QUP244" s="36"/>
      <c r="QUQ244" s="36"/>
      <c r="QUR244" s="36"/>
      <c r="QUS244" s="36"/>
      <c r="QUT244" s="36"/>
      <c r="QUU244" s="36"/>
      <c r="QUV244" s="36"/>
      <c r="QUW244" s="36"/>
      <c r="QUX244" s="36"/>
      <c r="QUY244" s="36"/>
      <c r="QUZ244" s="36"/>
      <c r="QVA244" s="36"/>
      <c r="QVB244" s="36"/>
      <c r="QVC244" s="36"/>
      <c r="QVD244" s="36"/>
      <c r="QVE244" s="36"/>
      <c r="QVF244" s="36"/>
      <c r="QVG244" s="36"/>
      <c r="QVH244" s="36"/>
      <c r="QVI244" s="36"/>
      <c r="QVJ244" s="36"/>
      <c r="QVK244" s="36"/>
      <c r="QVL244" s="36"/>
      <c r="QVM244" s="36"/>
      <c r="QVN244" s="36"/>
      <c r="QVO244" s="36"/>
      <c r="QVP244" s="36"/>
      <c r="QVQ244" s="36"/>
      <c r="QVR244" s="36"/>
      <c r="QVS244" s="36"/>
      <c r="QVT244" s="36"/>
      <c r="QVU244" s="36"/>
      <c r="QVV244" s="36"/>
      <c r="QVW244" s="36"/>
      <c r="QVX244" s="36"/>
      <c r="QVY244" s="36"/>
      <c r="QVZ244" s="36"/>
      <c r="QWA244" s="36"/>
      <c r="QWB244" s="36"/>
      <c r="QWC244" s="36"/>
      <c r="QWD244" s="36"/>
      <c r="QWE244" s="36"/>
      <c r="QWF244" s="36"/>
      <c r="QWG244" s="36"/>
      <c r="QWH244" s="36"/>
      <c r="QWI244" s="36"/>
      <c r="QWJ244" s="36"/>
      <c r="QWK244" s="36"/>
      <c r="QWL244" s="36"/>
      <c r="QWM244" s="36"/>
      <c r="QWN244" s="36"/>
      <c r="QWO244" s="36"/>
      <c r="QWP244" s="36"/>
      <c r="QWQ244" s="36"/>
      <c r="QWR244" s="36"/>
      <c r="QWS244" s="36"/>
      <c r="QWT244" s="36"/>
      <c r="QWU244" s="36"/>
      <c r="QWV244" s="36"/>
      <c r="QWW244" s="36"/>
      <c r="QWX244" s="36"/>
      <c r="QWY244" s="36"/>
      <c r="QWZ244" s="36"/>
      <c r="QXA244" s="36"/>
      <c r="QXB244" s="36"/>
      <c r="QXC244" s="36"/>
      <c r="QXD244" s="36"/>
      <c r="QXE244" s="36"/>
      <c r="QXF244" s="36"/>
      <c r="QXG244" s="36"/>
      <c r="QXH244" s="36"/>
      <c r="QXI244" s="36"/>
      <c r="QXJ244" s="36"/>
      <c r="QXK244" s="36"/>
      <c r="QXL244" s="36"/>
      <c r="QXM244" s="36"/>
      <c r="QXN244" s="36"/>
      <c r="QXO244" s="36"/>
      <c r="QXP244" s="36"/>
      <c r="QXQ244" s="36"/>
      <c r="QXR244" s="36"/>
      <c r="QXS244" s="36"/>
      <c r="QXT244" s="36"/>
      <c r="QXU244" s="36"/>
      <c r="QXV244" s="36"/>
      <c r="QXW244" s="36"/>
      <c r="QXX244" s="36"/>
      <c r="QXY244" s="36"/>
      <c r="QXZ244" s="36"/>
      <c r="QYA244" s="36"/>
      <c r="QYB244" s="36"/>
      <c r="QYC244" s="36"/>
      <c r="QYD244" s="36"/>
      <c r="QYE244" s="36"/>
      <c r="QYF244" s="36"/>
      <c r="QYG244" s="36"/>
      <c r="QYH244" s="36"/>
      <c r="QYI244" s="36"/>
      <c r="QYJ244" s="36"/>
      <c r="QYK244" s="36"/>
      <c r="QYL244" s="36"/>
      <c r="QYM244" s="36"/>
      <c r="QYN244" s="36"/>
      <c r="QYO244" s="36"/>
      <c r="QYP244" s="36"/>
      <c r="QYQ244" s="36"/>
      <c r="QYR244" s="36"/>
      <c r="QYS244" s="36"/>
      <c r="QYT244" s="36"/>
      <c r="QYU244" s="36"/>
      <c r="QYV244" s="36"/>
      <c r="QYW244" s="36"/>
      <c r="QYX244" s="36"/>
      <c r="QYY244" s="36"/>
      <c r="QYZ244" s="36"/>
      <c r="QZA244" s="36"/>
      <c r="QZB244" s="36"/>
      <c r="QZC244" s="36"/>
      <c r="QZD244" s="36"/>
      <c r="QZE244" s="36"/>
      <c r="QZF244" s="36"/>
      <c r="QZG244" s="36"/>
      <c r="QZH244" s="36"/>
      <c r="QZI244" s="36"/>
      <c r="QZJ244" s="36"/>
      <c r="QZK244" s="36"/>
      <c r="QZL244" s="36"/>
      <c r="QZM244" s="36"/>
      <c r="QZN244" s="36"/>
      <c r="QZO244" s="36"/>
      <c r="QZP244" s="36"/>
      <c r="QZQ244" s="36"/>
      <c r="QZR244" s="36"/>
      <c r="QZS244" s="36"/>
      <c r="QZT244" s="36"/>
      <c r="QZU244" s="36"/>
      <c r="QZV244" s="36"/>
      <c r="QZW244" s="36"/>
      <c r="QZX244" s="36"/>
      <c r="QZY244" s="36"/>
      <c r="QZZ244" s="36"/>
      <c r="RAA244" s="36"/>
      <c r="RAB244" s="36"/>
      <c r="RAC244" s="36"/>
      <c r="RAD244" s="36"/>
      <c r="RAE244" s="36"/>
      <c r="RAF244" s="36"/>
      <c r="RAG244" s="36"/>
      <c r="RAH244" s="36"/>
      <c r="RAI244" s="36"/>
      <c r="RAJ244" s="36"/>
      <c r="RAK244" s="36"/>
      <c r="RAL244" s="36"/>
      <c r="RAM244" s="36"/>
      <c r="RAN244" s="36"/>
      <c r="RAO244" s="36"/>
      <c r="RAP244" s="36"/>
      <c r="RAQ244" s="36"/>
      <c r="RAR244" s="36"/>
      <c r="RAS244" s="36"/>
      <c r="RAT244" s="36"/>
      <c r="RAU244" s="36"/>
      <c r="RAV244" s="36"/>
      <c r="RAW244" s="36"/>
      <c r="RAX244" s="36"/>
      <c r="RAY244" s="36"/>
      <c r="RAZ244" s="36"/>
      <c r="RBA244" s="36"/>
      <c r="RBB244" s="36"/>
      <c r="RBC244" s="36"/>
      <c r="RBD244" s="36"/>
      <c r="RBE244" s="36"/>
      <c r="RBF244" s="36"/>
      <c r="RBG244" s="36"/>
      <c r="RBH244" s="36"/>
      <c r="RBI244" s="36"/>
      <c r="RBJ244" s="36"/>
      <c r="RBK244" s="36"/>
      <c r="RBL244" s="36"/>
      <c r="RBM244" s="36"/>
      <c r="RBN244" s="36"/>
      <c r="RBO244" s="36"/>
      <c r="RBP244" s="36"/>
      <c r="RBQ244" s="36"/>
      <c r="RBR244" s="36"/>
      <c r="RBS244" s="36"/>
      <c r="RBT244" s="36"/>
      <c r="RBU244" s="36"/>
      <c r="RBV244" s="36"/>
      <c r="RBW244" s="36"/>
      <c r="RBX244" s="36"/>
      <c r="RBY244" s="36"/>
      <c r="RBZ244" s="36"/>
      <c r="RCA244" s="36"/>
      <c r="RCB244" s="36"/>
      <c r="RCC244" s="36"/>
      <c r="RCD244" s="36"/>
      <c r="RCE244" s="36"/>
      <c r="RCF244" s="36"/>
      <c r="RCG244" s="36"/>
      <c r="RCH244" s="36"/>
      <c r="RCI244" s="36"/>
      <c r="RCJ244" s="36"/>
      <c r="RCK244" s="36"/>
      <c r="RCL244" s="36"/>
      <c r="RCM244" s="36"/>
      <c r="RCN244" s="36"/>
      <c r="RCO244" s="36"/>
      <c r="RCP244" s="36"/>
      <c r="RCQ244" s="36"/>
      <c r="RCR244" s="36"/>
      <c r="RCS244" s="36"/>
      <c r="RCT244" s="36"/>
      <c r="RCU244" s="36"/>
      <c r="RCV244" s="36"/>
      <c r="RCW244" s="36"/>
      <c r="RCX244" s="36"/>
      <c r="RCY244" s="36"/>
      <c r="RCZ244" s="36"/>
      <c r="RDA244" s="36"/>
      <c r="RDB244" s="36"/>
      <c r="RDC244" s="36"/>
      <c r="RDD244" s="36"/>
      <c r="RDE244" s="36"/>
      <c r="RDF244" s="36"/>
      <c r="RDG244" s="36"/>
      <c r="RDH244" s="36"/>
      <c r="RDI244" s="36"/>
      <c r="RDJ244" s="36"/>
      <c r="RDK244" s="36"/>
      <c r="RDL244" s="36"/>
      <c r="RDM244" s="36"/>
      <c r="RDN244" s="36"/>
      <c r="RDO244" s="36"/>
      <c r="RDP244" s="36"/>
      <c r="RDQ244" s="36"/>
      <c r="RDR244" s="36"/>
      <c r="RDS244" s="36"/>
      <c r="RDT244" s="36"/>
      <c r="RDU244" s="36"/>
      <c r="RDV244" s="36"/>
      <c r="RDW244" s="36"/>
      <c r="RDX244" s="36"/>
      <c r="RDY244" s="36"/>
      <c r="RDZ244" s="36"/>
      <c r="REA244" s="36"/>
      <c r="REB244" s="36"/>
      <c r="REC244" s="36"/>
      <c r="RED244" s="36"/>
      <c r="REE244" s="36"/>
      <c r="REF244" s="36"/>
      <c r="REG244" s="36"/>
      <c r="REH244" s="36"/>
      <c r="REI244" s="36"/>
      <c r="REJ244" s="36"/>
      <c r="REK244" s="36"/>
      <c r="REL244" s="36"/>
      <c r="REM244" s="36"/>
      <c r="REN244" s="36"/>
      <c r="REO244" s="36"/>
      <c r="REP244" s="36"/>
      <c r="REQ244" s="36"/>
      <c r="RER244" s="36"/>
      <c r="RES244" s="36"/>
      <c r="RET244" s="36"/>
      <c r="REU244" s="36"/>
      <c r="REV244" s="36"/>
      <c r="REW244" s="36"/>
      <c r="REX244" s="36"/>
      <c r="REY244" s="36"/>
      <c r="REZ244" s="36"/>
      <c r="RFA244" s="36"/>
      <c r="RFB244" s="36"/>
      <c r="RFC244" s="36"/>
      <c r="RFD244" s="36"/>
      <c r="RFE244" s="36"/>
      <c r="RFF244" s="36"/>
      <c r="RFG244" s="36"/>
      <c r="RFH244" s="36"/>
      <c r="RFI244" s="36"/>
      <c r="RFJ244" s="36"/>
      <c r="RFK244" s="36"/>
      <c r="RFL244" s="36"/>
      <c r="RFM244" s="36"/>
      <c r="RFN244" s="36"/>
      <c r="RFO244" s="36"/>
      <c r="RFP244" s="36"/>
      <c r="RFQ244" s="36"/>
      <c r="RFR244" s="36"/>
      <c r="RFS244" s="36"/>
      <c r="RFT244" s="36"/>
      <c r="RFU244" s="36"/>
      <c r="RFV244" s="36"/>
      <c r="RFW244" s="36"/>
      <c r="RFX244" s="36"/>
      <c r="RFY244" s="36"/>
      <c r="RFZ244" s="36"/>
      <c r="RGA244" s="36"/>
      <c r="RGB244" s="36"/>
      <c r="RGC244" s="36"/>
      <c r="RGD244" s="36"/>
      <c r="RGE244" s="36"/>
      <c r="RGF244" s="36"/>
      <c r="RGG244" s="36"/>
      <c r="RGH244" s="36"/>
      <c r="RGI244" s="36"/>
      <c r="RGJ244" s="36"/>
      <c r="RGK244" s="36"/>
      <c r="RGL244" s="36"/>
      <c r="RGM244" s="36"/>
      <c r="RGN244" s="36"/>
      <c r="RGO244" s="36"/>
      <c r="RGP244" s="36"/>
      <c r="RGQ244" s="36"/>
      <c r="RGR244" s="36"/>
      <c r="RGS244" s="36"/>
      <c r="RGT244" s="36"/>
      <c r="RGU244" s="36"/>
      <c r="RGV244" s="36"/>
      <c r="RGW244" s="36"/>
      <c r="RGX244" s="36"/>
      <c r="RGY244" s="36"/>
      <c r="RGZ244" s="36"/>
      <c r="RHA244" s="36"/>
      <c r="RHB244" s="36"/>
      <c r="RHC244" s="36"/>
      <c r="RHD244" s="36"/>
      <c r="RHE244" s="36"/>
      <c r="RHF244" s="36"/>
      <c r="RHG244" s="36"/>
      <c r="RHH244" s="36"/>
      <c r="RHI244" s="36"/>
      <c r="RHJ244" s="36"/>
      <c r="RHK244" s="36"/>
      <c r="RHL244" s="36"/>
      <c r="RHM244" s="36"/>
      <c r="RHN244" s="36"/>
      <c r="RHO244" s="36"/>
      <c r="RHP244" s="36"/>
      <c r="RHQ244" s="36"/>
      <c r="RHR244" s="36"/>
      <c r="RHS244" s="36"/>
      <c r="RHT244" s="36"/>
      <c r="RHU244" s="36"/>
      <c r="RHV244" s="36"/>
      <c r="RHW244" s="36"/>
      <c r="RHX244" s="36"/>
      <c r="RHY244" s="36"/>
      <c r="RHZ244" s="36"/>
      <c r="RIA244" s="36"/>
      <c r="RIB244" s="36"/>
      <c r="RIC244" s="36"/>
      <c r="RID244" s="36"/>
      <c r="RIE244" s="36"/>
      <c r="RIF244" s="36"/>
      <c r="RIG244" s="36"/>
      <c r="RIH244" s="36"/>
      <c r="RII244" s="36"/>
      <c r="RIJ244" s="36"/>
      <c r="RIK244" s="36"/>
      <c r="RIL244" s="36"/>
      <c r="RIM244" s="36"/>
      <c r="RIN244" s="36"/>
      <c r="RIO244" s="36"/>
      <c r="RIP244" s="36"/>
      <c r="RIQ244" s="36"/>
      <c r="RIR244" s="36"/>
      <c r="RIS244" s="36"/>
      <c r="RIT244" s="36"/>
      <c r="RIU244" s="36"/>
      <c r="RIV244" s="36"/>
      <c r="RIW244" s="36"/>
      <c r="RIX244" s="36"/>
      <c r="RIY244" s="36"/>
      <c r="RIZ244" s="36"/>
      <c r="RJA244" s="36"/>
      <c r="RJB244" s="36"/>
      <c r="RJC244" s="36"/>
      <c r="RJD244" s="36"/>
      <c r="RJE244" s="36"/>
      <c r="RJF244" s="36"/>
      <c r="RJG244" s="36"/>
      <c r="RJH244" s="36"/>
      <c r="RJI244" s="36"/>
      <c r="RJJ244" s="36"/>
      <c r="RJK244" s="36"/>
      <c r="RJL244" s="36"/>
      <c r="RJM244" s="36"/>
      <c r="RJN244" s="36"/>
      <c r="RJO244" s="36"/>
      <c r="RJP244" s="36"/>
      <c r="RJQ244" s="36"/>
      <c r="RJR244" s="36"/>
      <c r="RJS244" s="36"/>
      <c r="RJT244" s="36"/>
      <c r="RJU244" s="36"/>
      <c r="RJV244" s="36"/>
      <c r="RJW244" s="36"/>
      <c r="RJX244" s="36"/>
      <c r="RJY244" s="36"/>
      <c r="RJZ244" s="36"/>
      <c r="RKA244" s="36"/>
      <c r="RKB244" s="36"/>
      <c r="RKC244" s="36"/>
      <c r="RKD244" s="36"/>
      <c r="RKE244" s="36"/>
      <c r="RKF244" s="36"/>
      <c r="RKG244" s="36"/>
      <c r="RKH244" s="36"/>
      <c r="RKI244" s="36"/>
      <c r="RKJ244" s="36"/>
      <c r="RKK244" s="36"/>
      <c r="RKL244" s="36"/>
      <c r="RKM244" s="36"/>
      <c r="RKN244" s="36"/>
      <c r="RKO244" s="36"/>
      <c r="RKP244" s="36"/>
      <c r="RKQ244" s="36"/>
      <c r="RKR244" s="36"/>
      <c r="RKS244" s="36"/>
      <c r="RKT244" s="36"/>
      <c r="RKU244" s="36"/>
      <c r="RKV244" s="36"/>
      <c r="RKW244" s="36"/>
      <c r="RKX244" s="36"/>
      <c r="RKY244" s="36"/>
      <c r="RKZ244" s="36"/>
      <c r="RLA244" s="36"/>
      <c r="RLB244" s="36"/>
      <c r="RLC244" s="36"/>
      <c r="RLD244" s="36"/>
      <c r="RLE244" s="36"/>
      <c r="RLF244" s="36"/>
      <c r="RLG244" s="36"/>
      <c r="RLH244" s="36"/>
      <c r="RLI244" s="36"/>
      <c r="RLJ244" s="36"/>
      <c r="RLK244" s="36"/>
      <c r="RLL244" s="36"/>
      <c r="RLM244" s="36"/>
      <c r="RLN244" s="36"/>
      <c r="RLO244" s="36"/>
      <c r="RLP244" s="36"/>
      <c r="RLQ244" s="36"/>
      <c r="RLR244" s="36"/>
      <c r="RLS244" s="36"/>
      <c r="RLT244" s="36"/>
      <c r="RLU244" s="36"/>
      <c r="RLV244" s="36"/>
      <c r="RLW244" s="36"/>
      <c r="RLX244" s="36"/>
      <c r="RLY244" s="36"/>
      <c r="RLZ244" s="36"/>
      <c r="RMA244" s="36"/>
      <c r="RMB244" s="36"/>
      <c r="RMC244" s="36"/>
      <c r="RMD244" s="36"/>
      <c r="RME244" s="36"/>
      <c r="RMF244" s="36"/>
      <c r="RMG244" s="36"/>
      <c r="RMH244" s="36"/>
      <c r="RMI244" s="36"/>
      <c r="RMJ244" s="36"/>
      <c r="RMK244" s="36"/>
      <c r="RML244" s="36"/>
      <c r="RMM244" s="36"/>
      <c r="RMN244" s="36"/>
      <c r="RMO244" s="36"/>
      <c r="RMP244" s="36"/>
      <c r="RMQ244" s="36"/>
      <c r="RMR244" s="36"/>
      <c r="RMS244" s="36"/>
      <c r="RMT244" s="36"/>
      <c r="RMU244" s="36"/>
      <c r="RMV244" s="36"/>
      <c r="RMW244" s="36"/>
      <c r="RMX244" s="36"/>
      <c r="RMY244" s="36"/>
      <c r="RMZ244" s="36"/>
      <c r="RNA244" s="36"/>
      <c r="RNB244" s="36"/>
      <c r="RNC244" s="36"/>
      <c r="RND244" s="36"/>
      <c r="RNE244" s="36"/>
      <c r="RNF244" s="36"/>
      <c r="RNG244" s="36"/>
      <c r="RNH244" s="36"/>
      <c r="RNI244" s="36"/>
      <c r="RNJ244" s="36"/>
      <c r="RNK244" s="36"/>
      <c r="RNL244" s="36"/>
      <c r="RNM244" s="36"/>
      <c r="RNN244" s="36"/>
      <c r="RNO244" s="36"/>
      <c r="RNP244" s="36"/>
      <c r="RNQ244" s="36"/>
      <c r="RNR244" s="36"/>
      <c r="RNS244" s="36"/>
      <c r="RNT244" s="36"/>
      <c r="RNU244" s="36"/>
      <c r="RNV244" s="36"/>
      <c r="RNW244" s="36"/>
      <c r="RNX244" s="36"/>
      <c r="RNY244" s="36"/>
      <c r="RNZ244" s="36"/>
      <c r="ROA244" s="36"/>
      <c r="ROB244" s="36"/>
      <c r="ROC244" s="36"/>
      <c r="ROD244" s="36"/>
      <c r="ROE244" s="36"/>
      <c r="ROF244" s="36"/>
      <c r="ROG244" s="36"/>
      <c r="ROH244" s="36"/>
      <c r="ROI244" s="36"/>
      <c r="ROJ244" s="36"/>
      <c r="ROK244" s="36"/>
      <c r="ROL244" s="36"/>
      <c r="ROM244" s="36"/>
      <c r="RON244" s="36"/>
      <c r="ROO244" s="36"/>
      <c r="ROP244" s="36"/>
      <c r="ROQ244" s="36"/>
      <c r="ROR244" s="36"/>
      <c r="ROS244" s="36"/>
      <c r="ROT244" s="36"/>
      <c r="ROU244" s="36"/>
      <c r="ROV244" s="36"/>
      <c r="ROW244" s="36"/>
      <c r="ROX244" s="36"/>
      <c r="ROY244" s="36"/>
      <c r="ROZ244" s="36"/>
      <c r="RPA244" s="36"/>
      <c r="RPB244" s="36"/>
      <c r="RPC244" s="36"/>
      <c r="RPD244" s="36"/>
      <c r="RPE244" s="36"/>
      <c r="RPF244" s="36"/>
      <c r="RPG244" s="36"/>
      <c r="RPH244" s="36"/>
      <c r="RPI244" s="36"/>
      <c r="RPJ244" s="36"/>
      <c r="RPK244" s="36"/>
      <c r="RPL244" s="36"/>
      <c r="RPM244" s="36"/>
      <c r="RPN244" s="36"/>
      <c r="RPO244" s="36"/>
      <c r="RPP244" s="36"/>
      <c r="RPQ244" s="36"/>
      <c r="RPR244" s="36"/>
      <c r="RPS244" s="36"/>
      <c r="RPT244" s="36"/>
      <c r="RPU244" s="36"/>
      <c r="RPV244" s="36"/>
      <c r="RPW244" s="36"/>
      <c r="RPX244" s="36"/>
      <c r="RPY244" s="36"/>
      <c r="RPZ244" s="36"/>
      <c r="RQA244" s="36"/>
      <c r="RQB244" s="36"/>
      <c r="RQC244" s="36"/>
      <c r="RQD244" s="36"/>
      <c r="RQE244" s="36"/>
      <c r="RQF244" s="36"/>
      <c r="RQG244" s="36"/>
      <c r="RQH244" s="36"/>
      <c r="RQI244" s="36"/>
      <c r="RQJ244" s="36"/>
      <c r="RQK244" s="36"/>
      <c r="RQL244" s="36"/>
      <c r="RQM244" s="36"/>
      <c r="RQN244" s="36"/>
      <c r="RQO244" s="36"/>
      <c r="RQP244" s="36"/>
      <c r="RQQ244" s="36"/>
      <c r="RQR244" s="36"/>
      <c r="RQS244" s="36"/>
      <c r="RQT244" s="36"/>
      <c r="RQU244" s="36"/>
      <c r="RQV244" s="36"/>
      <c r="RQW244" s="36"/>
      <c r="RQX244" s="36"/>
      <c r="RQY244" s="36"/>
      <c r="RQZ244" s="36"/>
      <c r="RRA244" s="36"/>
      <c r="RRB244" s="36"/>
      <c r="RRC244" s="36"/>
      <c r="RRD244" s="36"/>
      <c r="RRE244" s="36"/>
      <c r="RRF244" s="36"/>
      <c r="RRG244" s="36"/>
      <c r="RRH244" s="36"/>
      <c r="RRI244" s="36"/>
      <c r="RRJ244" s="36"/>
      <c r="RRK244" s="36"/>
      <c r="RRL244" s="36"/>
      <c r="RRM244" s="36"/>
      <c r="RRN244" s="36"/>
      <c r="RRO244" s="36"/>
      <c r="RRP244" s="36"/>
      <c r="RRQ244" s="36"/>
      <c r="RRR244" s="36"/>
      <c r="RRS244" s="36"/>
      <c r="RRT244" s="36"/>
      <c r="RRU244" s="36"/>
      <c r="RRV244" s="36"/>
      <c r="RRW244" s="36"/>
      <c r="RRX244" s="36"/>
      <c r="RRY244" s="36"/>
      <c r="RRZ244" s="36"/>
      <c r="RSA244" s="36"/>
      <c r="RSB244" s="36"/>
      <c r="RSC244" s="36"/>
      <c r="RSD244" s="36"/>
      <c r="RSE244" s="36"/>
      <c r="RSF244" s="36"/>
      <c r="RSG244" s="36"/>
      <c r="RSH244" s="36"/>
      <c r="RSI244" s="36"/>
      <c r="RSJ244" s="36"/>
      <c r="RSK244" s="36"/>
      <c r="RSL244" s="36"/>
      <c r="RSM244" s="36"/>
      <c r="RSN244" s="36"/>
      <c r="RSO244" s="36"/>
      <c r="RSP244" s="36"/>
      <c r="RSQ244" s="36"/>
      <c r="RSR244" s="36"/>
      <c r="RSS244" s="36"/>
      <c r="RST244" s="36"/>
      <c r="RSU244" s="36"/>
      <c r="RSV244" s="36"/>
      <c r="RSW244" s="36"/>
      <c r="RSX244" s="36"/>
      <c r="RSY244" s="36"/>
      <c r="RSZ244" s="36"/>
      <c r="RTA244" s="36"/>
      <c r="RTB244" s="36"/>
      <c r="RTC244" s="36"/>
      <c r="RTD244" s="36"/>
      <c r="RTE244" s="36"/>
      <c r="RTF244" s="36"/>
      <c r="RTG244" s="36"/>
      <c r="RTH244" s="36"/>
      <c r="RTI244" s="36"/>
      <c r="RTJ244" s="36"/>
      <c r="RTK244" s="36"/>
      <c r="RTL244" s="36"/>
      <c r="RTM244" s="36"/>
      <c r="RTN244" s="36"/>
      <c r="RTO244" s="36"/>
      <c r="RTP244" s="36"/>
      <c r="RTQ244" s="36"/>
      <c r="RTR244" s="36"/>
      <c r="RTS244" s="36"/>
      <c r="RTT244" s="36"/>
      <c r="RTU244" s="36"/>
      <c r="RTV244" s="36"/>
      <c r="RTW244" s="36"/>
      <c r="RTX244" s="36"/>
      <c r="RTY244" s="36"/>
      <c r="RTZ244" s="36"/>
      <c r="RUA244" s="36"/>
      <c r="RUB244" s="36"/>
      <c r="RUC244" s="36"/>
      <c r="RUD244" s="36"/>
      <c r="RUE244" s="36"/>
      <c r="RUF244" s="36"/>
      <c r="RUG244" s="36"/>
      <c r="RUH244" s="36"/>
      <c r="RUI244" s="36"/>
      <c r="RUJ244" s="36"/>
      <c r="RUK244" s="36"/>
      <c r="RUL244" s="36"/>
      <c r="RUM244" s="36"/>
      <c r="RUN244" s="36"/>
      <c r="RUO244" s="36"/>
      <c r="RUP244" s="36"/>
      <c r="RUQ244" s="36"/>
      <c r="RUR244" s="36"/>
      <c r="RUS244" s="36"/>
      <c r="RUT244" s="36"/>
      <c r="RUU244" s="36"/>
      <c r="RUV244" s="36"/>
      <c r="RUW244" s="36"/>
      <c r="RUX244" s="36"/>
      <c r="RUY244" s="36"/>
      <c r="RUZ244" s="36"/>
      <c r="RVA244" s="36"/>
      <c r="RVB244" s="36"/>
      <c r="RVC244" s="36"/>
      <c r="RVD244" s="36"/>
      <c r="RVE244" s="36"/>
      <c r="RVF244" s="36"/>
      <c r="RVG244" s="36"/>
      <c r="RVH244" s="36"/>
      <c r="RVI244" s="36"/>
      <c r="RVJ244" s="36"/>
      <c r="RVK244" s="36"/>
      <c r="RVL244" s="36"/>
      <c r="RVM244" s="36"/>
      <c r="RVN244" s="36"/>
      <c r="RVO244" s="36"/>
      <c r="RVP244" s="36"/>
      <c r="RVQ244" s="36"/>
      <c r="RVR244" s="36"/>
      <c r="RVS244" s="36"/>
      <c r="RVT244" s="36"/>
      <c r="RVU244" s="36"/>
      <c r="RVV244" s="36"/>
      <c r="RVW244" s="36"/>
      <c r="RVX244" s="36"/>
      <c r="RVY244" s="36"/>
      <c r="RVZ244" s="36"/>
      <c r="RWA244" s="36"/>
      <c r="RWB244" s="36"/>
      <c r="RWC244" s="36"/>
      <c r="RWD244" s="36"/>
      <c r="RWE244" s="36"/>
      <c r="RWF244" s="36"/>
      <c r="RWG244" s="36"/>
      <c r="RWH244" s="36"/>
      <c r="RWI244" s="36"/>
      <c r="RWJ244" s="36"/>
      <c r="RWK244" s="36"/>
      <c r="RWL244" s="36"/>
      <c r="RWM244" s="36"/>
      <c r="RWN244" s="36"/>
      <c r="RWO244" s="36"/>
      <c r="RWP244" s="36"/>
      <c r="RWQ244" s="36"/>
      <c r="RWR244" s="36"/>
      <c r="RWS244" s="36"/>
      <c r="RWT244" s="36"/>
      <c r="RWU244" s="36"/>
      <c r="RWV244" s="36"/>
      <c r="RWW244" s="36"/>
      <c r="RWX244" s="36"/>
      <c r="RWY244" s="36"/>
      <c r="RWZ244" s="36"/>
      <c r="RXA244" s="36"/>
      <c r="RXB244" s="36"/>
      <c r="RXC244" s="36"/>
      <c r="RXD244" s="36"/>
      <c r="RXE244" s="36"/>
      <c r="RXF244" s="36"/>
      <c r="RXG244" s="36"/>
      <c r="RXH244" s="36"/>
      <c r="RXI244" s="36"/>
      <c r="RXJ244" s="36"/>
      <c r="RXK244" s="36"/>
      <c r="RXL244" s="36"/>
      <c r="RXM244" s="36"/>
      <c r="RXN244" s="36"/>
      <c r="RXO244" s="36"/>
      <c r="RXP244" s="36"/>
      <c r="RXQ244" s="36"/>
      <c r="RXR244" s="36"/>
      <c r="RXS244" s="36"/>
      <c r="RXT244" s="36"/>
      <c r="RXU244" s="36"/>
      <c r="RXV244" s="36"/>
      <c r="RXW244" s="36"/>
      <c r="RXX244" s="36"/>
      <c r="RXY244" s="36"/>
      <c r="RXZ244" s="36"/>
      <c r="RYA244" s="36"/>
      <c r="RYB244" s="36"/>
      <c r="RYC244" s="36"/>
      <c r="RYD244" s="36"/>
      <c r="RYE244" s="36"/>
      <c r="RYF244" s="36"/>
      <c r="RYG244" s="36"/>
      <c r="RYH244" s="36"/>
      <c r="RYI244" s="36"/>
      <c r="RYJ244" s="36"/>
      <c r="RYK244" s="36"/>
      <c r="RYL244" s="36"/>
      <c r="RYM244" s="36"/>
      <c r="RYN244" s="36"/>
      <c r="RYO244" s="36"/>
      <c r="RYP244" s="36"/>
      <c r="RYQ244" s="36"/>
      <c r="RYR244" s="36"/>
      <c r="RYS244" s="36"/>
      <c r="RYT244" s="36"/>
      <c r="RYU244" s="36"/>
      <c r="RYV244" s="36"/>
      <c r="RYW244" s="36"/>
      <c r="RYX244" s="36"/>
      <c r="RYY244" s="36"/>
      <c r="RYZ244" s="36"/>
      <c r="RZA244" s="36"/>
      <c r="RZB244" s="36"/>
      <c r="RZC244" s="36"/>
      <c r="RZD244" s="36"/>
      <c r="RZE244" s="36"/>
      <c r="RZF244" s="36"/>
      <c r="RZG244" s="36"/>
      <c r="RZH244" s="36"/>
      <c r="RZI244" s="36"/>
      <c r="RZJ244" s="36"/>
      <c r="RZK244" s="36"/>
      <c r="RZL244" s="36"/>
      <c r="RZM244" s="36"/>
      <c r="RZN244" s="36"/>
      <c r="RZO244" s="36"/>
      <c r="RZP244" s="36"/>
      <c r="RZQ244" s="36"/>
      <c r="RZR244" s="36"/>
      <c r="RZS244" s="36"/>
      <c r="RZT244" s="36"/>
      <c r="RZU244" s="36"/>
      <c r="RZV244" s="36"/>
      <c r="RZW244" s="36"/>
      <c r="RZX244" s="36"/>
      <c r="RZY244" s="36"/>
      <c r="RZZ244" s="36"/>
      <c r="SAA244" s="36"/>
      <c r="SAB244" s="36"/>
      <c r="SAC244" s="36"/>
      <c r="SAD244" s="36"/>
      <c r="SAE244" s="36"/>
      <c r="SAF244" s="36"/>
      <c r="SAG244" s="36"/>
      <c r="SAH244" s="36"/>
      <c r="SAI244" s="36"/>
      <c r="SAJ244" s="36"/>
      <c r="SAK244" s="36"/>
      <c r="SAL244" s="36"/>
      <c r="SAM244" s="36"/>
      <c r="SAN244" s="36"/>
      <c r="SAO244" s="36"/>
      <c r="SAP244" s="36"/>
      <c r="SAQ244" s="36"/>
      <c r="SAR244" s="36"/>
      <c r="SAS244" s="36"/>
      <c r="SAT244" s="36"/>
      <c r="SAU244" s="36"/>
      <c r="SAV244" s="36"/>
      <c r="SAW244" s="36"/>
      <c r="SAX244" s="36"/>
      <c r="SAY244" s="36"/>
      <c r="SAZ244" s="36"/>
      <c r="SBA244" s="36"/>
      <c r="SBB244" s="36"/>
      <c r="SBC244" s="36"/>
      <c r="SBD244" s="36"/>
      <c r="SBE244" s="36"/>
      <c r="SBF244" s="36"/>
      <c r="SBG244" s="36"/>
      <c r="SBH244" s="36"/>
      <c r="SBI244" s="36"/>
      <c r="SBJ244" s="36"/>
      <c r="SBK244" s="36"/>
      <c r="SBL244" s="36"/>
      <c r="SBM244" s="36"/>
      <c r="SBN244" s="36"/>
      <c r="SBO244" s="36"/>
      <c r="SBP244" s="36"/>
      <c r="SBQ244" s="36"/>
      <c r="SBR244" s="36"/>
      <c r="SBS244" s="36"/>
      <c r="SBT244" s="36"/>
      <c r="SBU244" s="36"/>
      <c r="SBV244" s="36"/>
      <c r="SBW244" s="36"/>
      <c r="SBX244" s="36"/>
      <c r="SBY244" s="36"/>
      <c r="SBZ244" s="36"/>
      <c r="SCA244" s="36"/>
      <c r="SCB244" s="36"/>
      <c r="SCC244" s="36"/>
      <c r="SCD244" s="36"/>
      <c r="SCE244" s="36"/>
      <c r="SCF244" s="36"/>
      <c r="SCG244" s="36"/>
      <c r="SCH244" s="36"/>
      <c r="SCI244" s="36"/>
      <c r="SCJ244" s="36"/>
      <c r="SCK244" s="36"/>
      <c r="SCL244" s="36"/>
      <c r="SCM244" s="36"/>
      <c r="SCN244" s="36"/>
      <c r="SCO244" s="36"/>
      <c r="SCP244" s="36"/>
      <c r="SCQ244" s="36"/>
      <c r="SCR244" s="36"/>
      <c r="SCS244" s="36"/>
      <c r="SCT244" s="36"/>
      <c r="SCU244" s="36"/>
      <c r="SCV244" s="36"/>
      <c r="SCW244" s="36"/>
      <c r="SCX244" s="36"/>
      <c r="SCY244" s="36"/>
      <c r="SCZ244" s="36"/>
      <c r="SDA244" s="36"/>
      <c r="SDB244" s="36"/>
      <c r="SDC244" s="36"/>
      <c r="SDD244" s="36"/>
      <c r="SDE244" s="36"/>
      <c r="SDF244" s="36"/>
      <c r="SDG244" s="36"/>
      <c r="SDH244" s="36"/>
      <c r="SDI244" s="36"/>
      <c r="SDJ244" s="36"/>
      <c r="SDK244" s="36"/>
      <c r="SDL244" s="36"/>
      <c r="SDM244" s="36"/>
      <c r="SDN244" s="36"/>
      <c r="SDO244" s="36"/>
      <c r="SDP244" s="36"/>
      <c r="SDQ244" s="36"/>
      <c r="SDR244" s="36"/>
      <c r="SDS244" s="36"/>
      <c r="SDT244" s="36"/>
      <c r="SDU244" s="36"/>
      <c r="SDV244" s="36"/>
      <c r="SDW244" s="36"/>
      <c r="SDX244" s="36"/>
      <c r="SDY244" s="36"/>
      <c r="SDZ244" s="36"/>
      <c r="SEA244" s="36"/>
      <c r="SEB244" s="36"/>
      <c r="SEC244" s="36"/>
      <c r="SED244" s="36"/>
      <c r="SEE244" s="36"/>
      <c r="SEF244" s="36"/>
      <c r="SEG244" s="36"/>
      <c r="SEH244" s="36"/>
      <c r="SEI244" s="36"/>
      <c r="SEJ244" s="36"/>
      <c r="SEK244" s="36"/>
      <c r="SEL244" s="36"/>
      <c r="SEM244" s="36"/>
      <c r="SEN244" s="36"/>
      <c r="SEO244" s="36"/>
      <c r="SEP244" s="36"/>
      <c r="SEQ244" s="36"/>
      <c r="SER244" s="36"/>
      <c r="SES244" s="36"/>
      <c r="SET244" s="36"/>
      <c r="SEU244" s="36"/>
      <c r="SEV244" s="36"/>
      <c r="SEW244" s="36"/>
      <c r="SEX244" s="36"/>
      <c r="SEY244" s="36"/>
      <c r="SEZ244" s="36"/>
      <c r="SFA244" s="36"/>
      <c r="SFB244" s="36"/>
      <c r="SFC244" s="36"/>
      <c r="SFD244" s="36"/>
      <c r="SFE244" s="36"/>
      <c r="SFF244" s="36"/>
      <c r="SFG244" s="36"/>
      <c r="SFH244" s="36"/>
      <c r="SFI244" s="36"/>
      <c r="SFJ244" s="36"/>
      <c r="SFK244" s="36"/>
      <c r="SFL244" s="36"/>
      <c r="SFM244" s="36"/>
      <c r="SFN244" s="36"/>
      <c r="SFO244" s="36"/>
      <c r="SFP244" s="36"/>
      <c r="SFQ244" s="36"/>
      <c r="SFR244" s="36"/>
      <c r="SFS244" s="36"/>
      <c r="SFT244" s="36"/>
      <c r="SFU244" s="36"/>
      <c r="SFV244" s="36"/>
      <c r="SFW244" s="36"/>
      <c r="SFX244" s="36"/>
      <c r="SFY244" s="36"/>
      <c r="SFZ244" s="36"/>
      <c r="SGA244" s="36"/>
      <c r="SGB244" s="36"/>
      <c r="SGC244" s="36"/>
      <c r="SGD244" s="36"/>
      <c r="SGE244" s="36"/>
      <c r="SGF244" s="36"/>
      <c r="SGG244" s="36"/>
      <c r="SGH244" s="36"/>
      <c r="SGI244" s="36"/>
      <c r="SGJ244" s="36"/>
      <c r="SGK244" s="36"/>
      <c r="SGL244" s="36"/>
      <c r="SGM244" s="36"/>
      <c r="SGN244" s="36"/>
      <c r="SGO244" s="36"/>
      <c r="SGP244" s="36"/>
      <c r="SGQ244" s="36"/>
      <c r="SGR244" s="36"/>
      <c r="SGS244" s="36"/>
      <c r="SGT244" s="36"/>
      <c r="SGU244" s="36"/>
      <c r="SGV244" s="36"/>
      <c r="SGW244" s="36"/>
      <c r="SGX244" s="36"/>
      <c r="SGY244" s="36"/>
      <c r="SGZ244" s="36"/>
      <c r="SHA244" s="36"/>
      <c r="SHB244" s="36"/>
      <c r="SHC244" s="36"/>
      <c r="SHD244" s="36"/>
      <c r="SHE244" s="36"/>
      <c r="SHF244" s="36"/>
      <c r="SHG244" s="36"/>
      <c r="SHH244" s="36"/>
      <c r="SHI244" s="36"/>
      <c r="SHJ244" s="36"/>
      <c r="SHK244" s="36"/>
      <c r="SHL244" s="36"/>
      <c r="SHM244" s="36"/>
      <c r="SHN244" s="36"/>
      <c r="SHO244" s="36"/>
      <c r="SHP244" s="36"/>
      <c r="SHQ244" s="36"/>
      <c r="SHR244" s="36"/>
      <c r="SHS244" s="36"/>
      <c r="SHT244" s="36"/>
      <c r="SHU244" s="36"/>
      <c r="SHV244" s="36"/>
      <c r="SHW244" s="36"/>
      <c r="SHX244" s="36"/>
      <c r="SHY244" s="36"/>
      <c r="SHZ244" s="36"/>
      <c r="SIA244" s="36"/>
      <c r="SIB244" s="36"/>
      <c r="SIC244" s="36"/>
      <c r="SID244" s="36"/>
      <c r="SIE244" s="36"/>
      <c r="SIF244" s="36"/>
      <c r="SIG244" s="36"/>
      <c r="SIH244" s="36"/>
      <c r="SII244" s="36"/>
      <c r="SIJ244" s="36"/>
      <c r="SIK244" s="36"/>
      <c r="SIL244" s="36"/>
      <c r="SIM244" s="36"/>
      <c r="SIN244" s="36"/>
      <c r="SIO244" s="36"/>
      <c r="SIP244" s="36"/>
      <c r="SIQ244" s="36"/>
      <c r="SIR244" s="36"/>
      <c r="SIS244" s="36"/>
      <c r="SIT244" s="36"/>
      <c r="SIU244" s="36"/>
      <c r="SIV244" s="36"/>
      <c r="SIW244" s="36"/>
      <c r="SIX244" s="36"/>
      <c r="SIY244" s="36"/>
      <c r="SIZ244" s="36"/>
      <c r="SJA244" s="36"/>
      <c r="SJB244" s="36"/>
      <c r="SJC244" s="36"/>
      <c r="SJD244" s="36"/>
      <c r="SJE244" s="36"/>
      <c r="SJF244" s="36"/>
      <c r="SJG244" s="36"/>
      <c r="SJH244" s="36"/>
      <c r="SJI244" s="36"/>
      <c r="SJJ244" s="36"/>
      <c r="SJK244" s="36"/>
      <c r="SJL244" s="36"/>
      <c r="SJM244" s="36"/>
      <c r="SJN244" s="36"/>
      <c r="SJO244" s="36"/>
      <c r="SJP244" s="36"/>
      <c r="SJQ244" s="36"/>
      <c r="SJR244" s="36"/>
      <c r="SJS244" s="36"/>
      <c r="SJT244" s="36"/>
      <c r="SJU244" s="36"/>
      <c r="SJV244" s="36"/>
      <c r="SJW244" s="36"/>
      <c r="SJX244" s="36"/>
      <c r="SJY244" s="36"/>
      <c r="SJZ244" s="36"/>
      <c r="SKA244" s="36"/>
      <c r="SKB244" s="36"/>
      <c r="SKC244" s="36"/>
      <c r="SKD244" s="36"/>
      <c r="SKE244" s="36"/>
      <c r="SKF244" s="36"/>
      <c r="SKG244" s="36"/>
      <c r="SKH244" s="36"/>
      <c r="SKI244" s="36"/>
      <c r="SKJ244" s="36"/>
      <c r="SKK244" s="36"/>
      <c r="SKL244" s="36"/>
      <c r="SKM244" s="36"/>
      <c r="SKN244" s="36"/>
      <c r="SKO244" s="36"/>
      <c r="SKP244" s="36"/>
      <c r="SKQ244" s="36"/>
      <c r="SKR244" s="36"/>
      <c r="SKS244" s="36"/>
      <c r="SKT244" s="36"/>
      <c r="SKU244" s="36"/>
      <c r="SKV244" s="36"/>
      <c r="SKW244" s="36"/>
      <c r="SKX244" s="36"/>
      <c r="SKY244" s="36"/>
      <c r="SKZ244" s="36"/>
      <c r="SLA244" s="36"/>
      <c r="SLB244" s="36"/>
      <c r="SLC244" s="36"/>
      <c r="SLD244" s="36"/>
      <c r="SLE244" s="36"/>
      <c r="SLF244" s="36"/>
      <c r="SLG244" s="36"/>
      <c r="SLH244" s="36"/>
      <c r="SLI244" s="36"/>
      <c r="SLJ244" s="36"/>
      <c r="SLK244" s="36"/>
      <c r="SLL244" s="36"/>
      <c r="SLM244" s="36"/>
      <c r="SLN244" s="36"/>
      <c r="SLO244" s="36"/>
      <c r="SLP244" s="36"/>
      <c r="SLQ244" s="36"/>
      <c r="SLR244" s="36"/>
      <c r="SLS244" s="36"/>
      <c r="SLT244" s="36"/>
      <c r="SLU244" s="36"/>
      <c r="SLV244" s="36"/>
      <c r="SLW244" s="36"/>
      <c r="SLX244" s="36"/>
      <c r="SLY244" s="36"/>
      <c r="SLZ244" s="36"/>
      <c r="SMA244" s="36"/>
      <c r="SMB244" s="36"/>
      <c r="SMC244" s="36"/>
      <c r="SMD244" s="36"/>
      <c r="SME244" s="36"/>
      <c r="SMF244" s="36"/>
      <c r="SMG244" s="36"/>
      <c r="SMH244" s="36"/>
      <c r="SMI244" s="36"/>
      <c r="SMJ244" s="36"/>
      <c r="SMK244" s="36"/>
      <c r="SML244" s="36"/>
      <c r="SMM244" s="36"/>
      <c r="SMN244" s="36"/>
      <c r="SMO244" s="36"/>
      <c r="SMP244" s="36"/>
      <c r="SMQ244" s="36"/>
      <c r="SMR244" s="36"/>
      <c r="SMS244" s="36"/>
      <c r="SMT244" s="36"/>
      <c r="SMU244" s="36"/>
      <c r="SMV244" s="36"/>
      <c r="SMW244" s="36"/>
      <c r="SMX244" s="36"/>
      <c r="SMY244" s="36"/>
      <c r="SMZ244" s="36"/>
      <c r="SNA244" s="36"/>
      <c r="SNB244" s="36"/>
      <c r="SNC244" s="36"/>
      <c r="SND244" s="36"/>
      <c r="SNE244" s="36"/>
      <c r="SNF244" s="36"/>
      <c r="SNG244" s="36"/>
      <c r="SNH244" s="36"/>
      <c r="SNI244" s="36"/>
      <c r="SNJ244" s="36"/>
      <c r="SNK244" s="36"/>
      <c r="SNL244" s="36"/>
      <c r="SNM244" s="36"/>
      <c r="SNN244" s="36"/>
      <c r="SNO244" s="36"/>
      <c r="SNP244" s="36"/>
      <c r="SNQ244" s="36"/>
      <c r="SNR244" s="36"/>
      <c r="SNS244" s="36"/>
      <c r="SNT244" s="36"/>
      <c r="SNU244" s="36"/>
      <c r="SNV244" s="36"/>
      <c r="SNW244" s="36"/>
      <c r="SNX244" s="36"/>
      <c r="SNY244" s="36"/>
      <c r="SNZ244" s="36"/>
      <c r="SOA244" s="36"/>
      <c r="SOB244" s="36"/>
      <c r="SOC244" s="36"/>
      <c r="SOD244" s="36"/>
      <c r="SOE244" s="36"/>
      <c r="SOF244" s="36"/>
      <c r="SOG244" s="36"/>
      <c r="SOH244" s="36"/>
      <c r="SOI244" s="36"/>
      <c r="SOJ244" s="36"/>
      <c r="SOK244" s="36"/>
      <c r="SOL244" s="36"/>
      <c r="SOM244" s="36"/>
      <c r="SON244" s="36"/>
      <c r="SOO244" s="36"/>
      <c r="SOP244" s="36"/>
      <c r="SOQ244" s="36"/>
      <c r="SOR244" s="36"/>
      <c r="SOS244" s="36"/>
      <c r="SOT244" s="36"/>
      <c r="SOU244" s="36"/>
      <c r="SOV244" s="36"/>
      <c r="SOW244" s="36"/>
      <c r="SOX244" s="36"/>
      <c r="SOY244" s="36"/>
      <c r="SOZ244" s="36"/>
      <c r="SPA244" s="36"/>
      <c r="SPB244" s="36"/>
      <c r="SPC244" s="36"/>
      <c r="SPD244" s="36"/>
      <c r="SPE244" s="36"/>
      <c r="SPF244" s="36"/>
      <c r="SPG244" s="36"/>
      <c r="SPH244" s="36"/>
      <c r="SPI244" s="36"/>
      <c r="SPJ244" s="36"/>
      <c r="SPK244" s="36"/>
      <c r="SPL244" s="36"/>
      <c r="SPM244" s="36"/>
      <c r="SPN244" s="36"/>
      <c r="SPO244" s="36"/>
      <c r="SPP244" s="36"/>
      <c r="SPQ244" s="36"/>
      <c r="SPR244" s="36"/>
      <c r="SPS244" s="36"/>
      <c r="SPT244" s="36"/>
      <c r="SPU244" s="36"/>
      <c r="SPV244" s="36"/>
      <c r="SPW244" s="36"/>
      <c r="SPX244" s="36"/>
      <c r="SPY244" s="36"/>
      <c r="SPZ244" s="36"/>
      <c r="SQA244" s="36"/>
      <c r="SQB244" s="36"/>
      <c r="SQC244" s="36"/>
      <c r="SQD244" s="36"/>
      <c r="SQE244" s="36"/>
      <c r="SQF244" s="36"/>
      <c r="SQG244" s="36"/>
      <c r="SQH244" s="36"/>
      <c r="SQI244" s="36"/>
      <c r="SQJ244" s="36"/>
      <c r="SQK244" s="36"/>
      <c r="SQL244" s="36"/>
      <c r="SQM244" s="36"/>
      <c r="SQN244" s="36"/>
      <c r="SQO244" s="36"/>
      <c r="SQP244" s="36"/>
      <c r="SQQ244" s="36"/>
      <c r="SQR244" s="36"/>
      <c r="SQS244" s="36"/>
      <c r="SQT244" s="36"/>
      <c r="SQU244" s="36"/>
      <c r="SQV244" s="36"/>
      <c r="SQW244" s="36"/>
      <c r="SQX244" s="36"/>
      <c r="SQY244" s="36"/>
      <c r="SQZ244" s="36"/>
      <c r="SRA244" s="36"/>
      <c r="SRB244" s="36"/>
      <c r="SRC244" s="36"/>
      <c r="SRD244" s="36"/>
      <c r="SRE244" s="36"/>
      <c r="SRF244" s="36"/>
      <c r="SRG244" s="36"/>
      <c r="SRH244" s="36"/>
      <c r="SRI244" s="36"/>
      <c r="SRJ244" s="36"/>
      <c r="SRK244" s="36"/>
      <c r="SRL244" s="36"/>
      <c r="SRM244" s="36"/>
      <c r="SRN244" s="36"/>
      <c r="SRO244" s="36"/>
      <c r="SRP244" s="36"/>
      <c r="SRQ244" s="36"/>
      <c r="SRR244" s="36"/>
      <c r="SRS244" s="36"/>
      <c r="SRT244" s="36"/>
      <c r="SRU244" s="36"/>
      <c r="SRV244" s="36"/>
      <c r="SRW244" s="36"/>
      <c r="SRX244" s="36"/>
      <c r="SRY244" s="36"/>
      <c r="SRZ244" s="36"/>
      <c r="SSA244" s="36"/>
      <c r="SSB244" s="36"/>
      <c r="SSC244" s="36"/>
      <c r="SSD244" s="36"/>
      <c r="SSE244" s="36"/>
      <c r="SSF244" s="36"/>
      <c r="SSG244" s="36"/>
      <c r="SSH244" s="36"/>
      <c r="SSI244" s="36"/>
      <c r="SSJ244" s="36"/>
      <c r="SSK244" s="36"/>
      <c r="SSL244" s="36"/>
      <c r="SSM244" s="36"/>
      <c r="SSN244" s="36"/>
      <c r="SSO244" s="36"/>
      <c r="SSP244" s="36"/>
      <c r="SSQ244" s="36"/>
      <c r="SSR244" s="36"/>
      <c r="SSS244" s="36"/>
      <c r="SST244" s="36"/>
      <c r="SSU244" s="36"/>
      <c r="SSV244" s="36"/>
      <c r="SSW244" s="36"/>
      <c r="SSX244" s="36"/>
      <c r="SSY244" s="36"/>
      <c r="SSZ244" s="36"/>
      <c r="STA244" s="36"/>
      <c r="STB244" s="36"/>
      <c r="STC244" s="36"/>
      <c r="STD244" s="36"/>
      <c r="STE244" s="36"/>
      <c r="STF244" s="36"/>
      <c r="STG244" s="36"/>
      <c r="STH244" s="36"/>
      <c r="STI244" s="36"/>
      <c r="STJ244" s="36"/>
      <c r="STK244" s="36"/>
      <c r="STL244" s="36"/>
      <c r="STM244" s="36"/>
      <c r="STN244" s="36"/>
      <c r="STO244" s="36"/>
      <c r="STP244" s="36"/>
      <c r="STQ244" s="36"/>
      <c r="STR244" s="36"/>
      <c r="STS244" s="36"/>
      <c r="STT244" s="36"/>
      <c r="STU244" s="36"/>
      <c r="STV244" s="36"/>
      <c r="STW244" s="36"/>
      <c r="STX244" s="36"/>
      <c r="STY244" s="36"/>
      <c r="STZ244" s="36"/>
      <c r="SUA244" s="36"/>
      <c r="SUB244" s="36"/>
      <c r="SUC244" s="36"/>
      <c r="SUD244" s="36"/>
      <c r="SUE244" s="36"/>
      <c r="SUF244" s="36"/>
      <c r="SUG244" s="36"/>
      <c r="SUH244" s="36"/>
      <c r="SUI244" s="36"/>
      <c r="SUJ244" s="36"/>
      <c r="SUK244" s="36"/>
      <c r="SUL244" s="36"/>
      <c r="SUM244" s="36"/>
      <c r="SUN244" s="36"/>
      <c r="SUO244" s="36"/>
      <c r="SUP244" s="36"/>
      <c r="SUQ244" s="36"/>
      <c r="SUR244" s="36"/>
      <c r="SUS244" s="36"/>
      <c r="SUT244" s="36"/>
      <c r="SUU244" s="36"/>
      <c r="SUV244" s="36"/>
      <c r="SUW244" s="36"/>
      <c r="SUX244" s="36"/>
      <c r="SUY244" s="36"/>
      <c r="SUZ244" s="36"/>
      <c r="SVA244" s="36"/>
      <c r="SVB244" s="36"/>
      <c r="SVC244" s="36"/>
      <c r="SVD244" s="36"/>
      <c r="SVE244" s="36"/>
      <c r="SVF244" s="36"/>
      <c r="SVG244" s="36"/>
      <c r="SVH244" s="36"/>
      <c r="SVI244" s="36"/>
      <c r="SVJ244" s="36"/>
      <c r="SVK244" s="36"/>
      <c r="SVL244" s="36"/>
      <c r="SVM244" s="36"/>
      <c r="SVN244" s="36"/>
      <c r="SVO244" s="36"/>
      <c r="SVP244" s="36"/>
      <c r="SVQ244" s="36"/>
      <c r="SVR244" s="36"/>
      <c r="SVS244" s="36"/>
      <c r="SVT244" s="36"/>
      <c r="SVU244" s="36"/>
      <c r="SVV244" s="36"/>
      <c r="SVW244" s="36"/>
      <c r="SVX244" s="36"/>
      <c r="SVY244" s="36"/>
      <c r="SVZ244" s="36"/>
      <c r="SWA244" s="36"/>
      <c r="SWB244" s="36"/>
      <c r="SWC244" s="36"/>
      <c r="SWD244" s="36"/>
      <c r="SWE244" s="36"/>
      <c r="SWF244" s="36"/>
      <c r="SWG244" s="36"/>
      <c r="SWH244" s="36"/>
      <c r="SWI244" s="36"/>
      <c r="SWJ244" s="36"/>
      <c r="SWK244" s="36"/>
      <c r="SWL244" s="36"/>
      <c r="SWM244" s="36"/>
      <c r="SWN244" s="36"/>
      <c r="SWO244" s="36"/>
      <c r="SWP244" s="36"/>
      <c r="SWQ244" s="36"/>
      <c r="SWR244" s="36"/>
      <c r="SWS244" s="36"/>
      <c r="SWT244" s="36"/>
      <c r="SWU244" s="36"/>
      <c r="SWV244" s="36"/>
      <c r="SWW244" s="36"/>
      <c r="SWX244" s="36"/>
      <c r="SWY244" s="36"/>
      <c r="SWZ244" s="36"/>
      <c r="SXA244" s="36"/>
      <c r="SXB244" s="36"/>
      <c r="SXC244" s="36"/>
      <c r="SXD244" s="36"/>
      <c r="SXE244" s="36"/>
      <c r="SXF244" s="36"/>
      <c r="SXG244" s="36"/>
      <c r="SXH244" s="36"/>
      <c r="SXI244" s="36"/>
      <c r="SXJ244" s="36"/>
      <c r="SXK244" s="36"/>
      <c r="SXL244" s="36"/>
      <c r="SXM244" s="36"/>
      <c r="SXN244" s="36"/>
      <c r="SXO244" s="36"/>
      <c r="SXP244" s="36"/>
      <c r="SXQ244" s="36"/>
      <c r="SXR244" s="36"/>
      <c r="SXS244" s="36"/>
      <c r="SXT244" s="36"/>
      <c r="SXU244" s="36"/>
      <c r="SXV244" s="36"/>
      <c r="SXW244" s="36"/>
      <c r="SXX244" s="36"/>
      <c r="SXY244" s="36"/>
      <c r="SXZ244" s="36"/>
      <c r="SYA244" s="36"/>
      <c r="SYB244" s="36"/>
      <c r="SYC244" s="36"/>
      <c r="SYD244" s="36"/>
      <c r="SYE244" s="36"/>
      <c r="SYF244" s="36"/>
      <c r="SYG244" s="36"/>
      <c r="SYH244" s="36"/>
      <c r="SYI244" s="36"/>
      <c r="SYJ244" s="36"/>
      <c r="SYK244" s="36"/>
      <c r="SYL244" s="36"/>
      <c r="SYM244" s="36"/>
      <c r="SYN244" s="36"/>
      <c r="SYO244" s="36"/>
      <c r="SYP244" s="36"/>
      <c r="SYQ244" s="36"/>
      <c r="SYR244" s="36"/>
      <c r="SYS244" s="36"/>
      <c r="SYT244" s="36"/>
      <c r="SYU244" s="36"/>
      <c r="SYV244" s="36"/>
      <c r="SYW244" s="36"/>
      <c r="SYX244" s="36"/>
      <c r="SYY244" s="36"/>
      <c r="SYZ244" s="36"/>
      <c r="SZA244" s="36"/>
      <c r="SZB244" s="36"/>
      <c r="SZC244" s="36"/>
      <c r="SZD244" s="36"/>
      <c r="SZE244" s="36"/>
      <c r="SZF244" s="36"/>
      <c r="SZG244" s="36"/>
      <c r="SZH244" s="36"/>
      <c r="SZI244" s="36"/>
      <c r="SZJ244" s="36"/>
      <c r="SZK244" s="36"/>
      <c r="SZL244" s="36"/>
      <c r="SZM244" s="36"/>
      <c r="SZN244" s="36"/>
      <c r="SZO244" s="36"/>
      <c r="SZP244" s="36"/>
      <c r="SZQ244" s="36"/>
      <c r="SZR244" s="36"/>
      <c r="SZS244" s="36"/>
      <c r="SZT244" s="36"/>
      <c r="SZU244" s="36"/>
      <c r="SZV244" s="36"/>
      <c r="SZW244" s="36"/>
      <c r="SZX244" s="36"/>
      <c r="SZY244" s="36"/>
      <c r="SZZ244" s="36"/>
      <c r="TAA244" s="36"/>
      <c r="TAB244" s="36"/>
      <c r="TAC244" s="36"/>
      <c r="TAD244" s="36"/>
      <c r="TAE244" s="36"/>
      <c r="TAF244" s="36"/>
      <c r="TAG244" s="36"/>
      <c r="TAH244" s="36"/>
      <c r="TAI244" s="36"/>
      <c r="TAJ244" s="36"/>
      <c r="TAK244" s="36"/>
      <c r="TAL244" s="36"/>
      <c r="TAM244" s="36"/>
      <c r="TAN244" s="36"/>
      <c r="TAO244" s="36"/>
      <c r="TAP244" s="36"/>
      <c r="TAQ244" s="36"/>
      <c r="TAR244" s="36"/>
      <c r="TAS244" s="36"/>
      <c r="TAT244" s="36"/>
      <c r="TAU244" s="36"/>
      <c r="TAV244" s="36"/>
      <c r="TAW244" s="36"/>
      <c r="TAX244" s="36"/>
      <c r="TAY244" s="36"/>
      <c r="TAZ244" s="36"/>
      <c r="TBA244" s="36"/>
      <c r="TBB244" s="36"/>
      <c r="TBC244" s="36"/>
      <c r="TBD244" s="36"/>
      <c r="TBE244" s="36"/>
      <c r="TBF244" s="36"/>
      <c r="TBG244" s="36"/>
      <c r="TBH244" s="36"/>
      <c r="TBI244" s="36"/>
      <c r="TBJ244" s="36"/>
      <c r="TBK244" s="36"/>
      <c r="TBL244" s="36"/>
      <c r="TBM244" s="36"/>
      <c r="TBN244" s="36"/>
      <c r="TBO244" s="36"/>
      <c r="TBP244" s="36"/>
      <c r="TBQ244" s="36"/>
      <c r="TBR244" s="36"/>
      <c r="TBS244" s="36"/>
      <c r="TBT244" s="36"/>
      <c r="TBU244" s="36"/>
      <c r="TBV244" s="36"/>
      <c r="TBW244" s="36"/>
      <c r="TBX244" s="36"/>
      <c r="TBY244" s="36"/>
      <c r="TBZ244" s="36"/>
      <c r="TCA244" s="36"/>
      <c r="TCB244" s="36"/>
      <c r="TCC244" s="36"/>
      <c r="TCD244" s="36"/>
      <c r="TCE244" s="36"/>
      <c r="TCF244" s="36"/>
      <c r="TCG244" s="36"/>
      <c r="TCH244" s="36"/>
      <c r="TCI244" s="36"/>
      <c r="TCJ244" s="36"/>
      <c r="TCK244" s="36"/>
      <c r="TCL244" s="36"/>
      <c r="TCM244" s="36"/>
      <c r="TCN244" s="36"/>
      <c r="TCO244" s="36"/>
      <c r="TCP244" s="36"/>
      <c r="TCQ244" s="36"/>
      <c r="TCR244" s="36"/>
      <c r="TCS244" s="36"/>
      <c r="TCT244" s="36"/>
      <c r="TCU244" s="36"/>
      <c r="TCV244" s="36"/>
      <c r="TCW244" s="36"/>
      <c r="TCX244" s="36"/>
      <c r="TCY244" s="36"/>
      <c r="TCZ244" s="36"/>
      <c r="TDA244" s="36"/>
      <c r="TDB244" s="36"/>
      <c r="TDC244" s="36"/>
      <c r="TDD244" s="36"/>
      <c r="TDE244" s="36"/>
      <c r="TDF244" s="36"/>
      <c r="TDG244" s="36"/>
      <c r="TDH244" s="36"/>
      <c r="TDI244" s="36"/>
      <c r="TDJ244" s="36"/>
      <c r="TDK244" s="36"/>
      <c r="TDL244" s="36"/>
      <c r="TDM244" s="36"/>
      <c r="TDN244" s="36"/>
      <c r="TDO244" s="36"/>
      <c r="TDP244" s="36"/>
      <c r="TDQ244" s="36"/>
      <c r="TDR244" s="36"/>
      <c r="TDS244" s="36"/>
      <c r="TDT244" s="36"/>
      <c r="TDU244" s="36"/>
      <c r="TDV244" s="36"/>
      <c r="TDW244" s="36"/>
      <c r="TDX244" s="36"/>
      <c r="TDY244" s="36"/>
      <c r="TDZ244" s="36"/>
      <c r="TEA244" s="36"/>
      <c r="TEB244" s="36"/>
      <c r="TEC244" s="36"/>
      <c r="TED244" s="36"/>
      <c r="TEE244" s="36"/>
      <c r="TEF244" s="36"/>
      <c r="TEG244" s="36"/>
      <c r="TEH244" s="36"/>
      <c r="TEI244" s="36"/>
      <c r="TEJ244" s="36"/>
      <c r="TEK244" s="36"/>
      <c r="TEL244" s="36"/>
      <c r="TEM244" s="36"/>
      <c r="TEN244" s="36"/>
      <c r="TEO244" s="36"/>
      <c r="TEP244" s="36"/>
      <c r="TEQ244" s="36"/>
      <c r="TER244" s="36"/>
      <c r="TES244" s="36"/>
      <c r="TET244" s="36"/>
      <c r="TEU244" s="36"/>
      <c r="TEV244" s="36"/>
      <c r="TEW244" s="36"/>
      <c r="TEX244" s="36"/>
      <c r="TEY244" s="36"/>
      <c r="TEZ244" s="36"/>
      <c r="TFA244" s="36"/>
      <c r="TFB244" s="36"/>
      <c r="TFC244" s="36"/>
      <c r="TFD244" s="36"/>
      <c r="TFE244" s="36"/>
      <c r="TFF244" s="36"/>
      <c r="TFG244" s="36"/>
      <c r="TFH244" s="36"/>
      <c r="TFI244" s="36"/>
      <c r="TFJ244" s="36"/>
      <c r="TFK244" s="36"/>
      <c r="TFL244" s="36"/>
      <c r="TFM244" s="36"/>
      <c r="TFN244" s="36"/>
      <c r="TFO244" s="36"/>
      <c r="TFP244" s="36"/>
      <c r="TFQ244" s="36"/>
      <c r="TFR244" s="36"/>
      <c r="TFS244" s="36"/>
      <c r="TFT244" s="36"/>
      <c r="TFU244" s="36"/>
      <c r="TFV244" s="36"/>
      <c r="TFW244" s="36"/>
      <c r="TFX244" s="36"/>
      <c r="TFY244" s="36"/>
      <c r="TFZ244" s="36"/>
      <c r="TGA244" s="36"/>
      <c r="TGB244" s="36"/>
      <c r="TGC244" s="36"/>
      <c r="TGD244" s="36"/>
      <c r="TGE244" s="36"/>
      <c r="TGF244" s="36"/>
      <c r="TGG244" s="36"/>
      <c r="TGH244" s="36"/>
      <c r="TGI244" s="36"/>
      <c r="TGJ244" s="36"/>
      <c r="TGK244" s="36"/>
      <c r="TGL244" s="36"/>
      <c r="TGM244" s="36"/>
      <c r="TGN244" s="36"/>
      <c r="TGO244" s="36"/>
      <c r="TGP244" s="36"/>
      <c r="TGQ244" s="36"/>
      <c r="TGR244" s="36"/>
      <c r="TGS244" s="36"/>
      <c r="TGT244" s="36"/>
      <c r="TGU244" s="36"/>
      <c r="TGV244" s="36"/>
      <c r="TGW244" s="36"/>
      <c r="TGX244" s="36"/>
      <c r="TGY244" s="36"/>
      <c r="TGZ244" s="36"/>
      <c r="THA244" s="36"/>
      <c r="THB244" s="36"/>
      <c r="THC244" s="36"/>
      <c r="THD244" s="36"/>
      <c r="THE244" s="36"/>
      <c r="THF244" s="36"/>
      <c r="THG244" s="36"/>
      <c r="THH244" s="36"/>
      <c r="THI244" s="36"/>
      <c r="THJ244" s="36"/>
      <c r="THK244" s="36"/>
      <c r="THL244" s="36"/>
      <c r="THM244" s="36"/>
      <c r="THN244" s="36"/>
      <c r="THO244" s="36"/>
      <c r="THP244" s="36"/>
      <c r="THQ244" s="36"/>
      <c r="THR244" s="36"/>
      <c r="THS244" s="36"/>
      <c r="THT244" s="36"/>
      <c r="THU244" s="36"/>
      <c r="THV244" s="36"/>
      <c r="THW244" s="36"/>
      <c r="THX244" s="36"/>
      <c r="THY244" s="36"/>
      <c r="THZ244" s="36"/>
      <c r="TIA244" s="36"/>
      <c r="TIB244" s="36"/>
      <c r="TIC244" s="36"/>
      <c r="TID244" s="36"/>
      <c r="TIE244" s="36"/>
      <c r="TIF244" s="36"/>
      <c r="TIG244" s="36"/>
      <c r="TIH244" s="36"/>
      <c r="TII244" s="36"/>
      <c r="TIJ244" s="36"/>
      <c r="TIK244" s="36"/>
      <c r="TIL244" s="36"/>
      <c r="TIM244" s="36"/>
      <c r="TIN244" s="36"/>
      <c r="TIO244" s="36"/>
      <c r="TIP244" s="36"/>
      <c r="TIQ244" s="36"/>
      <c r="TIR244" s="36"/>
      <c r="TIS244" s="36"/>
      <c r="TIT244" s="36"/>
      <c r="TIU244" s="36"/>
      <c r="TIV244" s="36"/>
      <c r="TIW244" s="36"/>
      <c r="TIX244" s="36"/>
      <c r="TIY244" s="36"/>
      <c r="TIZ244" s="36"/>
      <c r="TJA244" s="36"/>
      <c r="TJB244" s="36"/>
      <c r="TJC244" s="36"/>
      <c r="TJD244" s="36"/>
      <c r="TJE244" s="36"/>
      <c r="TJF244" s="36"/>
      <c r="TJG244" s="36"/>
      <c r="TJH244" s="36"/>
      <c r="TJI244" s="36"/>
      <c r="TJJ244" s="36"/>
      <c r="TJK244" s="36"/>
      <c r="TJL244" s="36"/>
      <c r="TJM244" s="36"/>
      <c r="TJN244" s="36"/>
      <c r="TJO244" s="36"/>
      <c r="TJP244" s="36"/>
      <c r="TJQ244" s="36"/>
      <c r="TJR244" s="36"/>
      <c r="TJS244" s="36"/>
      <c r="TJT244" s="36"/>
      <c r="TJU244" s="36"/>
      <c r="TJV244" s="36"/>
      <c r="TJW244" s="36"/>
      <c r="TJX244" s="36"/>
      <c r="TJY244" s="36"/>
      <c r="TJZ244" s="36"/>
      <c r="TKA244" s="36"/>
      <c r="TKB244" s="36"/>
      <c r="TKC244" s="36"/>
      <c r="TKD244" s="36"/>
      <c r="TKE244" s="36"/>
      <c r="TKF244" s="36"/>
      <c r="TKG244" s="36"/>
      <c r="TKH244" s="36"/>
      <c r="TKI244" s="36"/>
      <c r="TKJ244" s="36"/>
      <c r="TKK244" s="36"/>
      <c r="TKL244" s="36"/>
      <c r="TKM244" s="36"/>
      <c r="TKN244" s="36"/>
      <c r="TKO244" s="36"/>
      <c r="TKP244" s="36"/>
      <c r="TKQ244" s="36"/>
      <c r="TKR244" s="36"/>
      <c r="TKS244" s="36"/>
      <c r="TKT244" s="36"/>
      <c r="TKU244" s="36"/>
      <c r="TKV244" s="36"/>
      <c r="TKW244" s="36"/>
      <c r="TKX244" s="36"/>
      <c r="TKY244" s="36"/>
      <c r="TKZ244" s="36"/>
      <c r="TLA244" s="36"/>
      <c r="TLB244" s="36"/>
      <c r="TLC244" s="36"/>
      <c r="TLD244" s="36"/>
      <c r="TLE244" s="36"/>
      <c r="TLF244" s="36"/>
      <c r="TLG244" s="36"/>
      <c r="TLH244" s="36"/>
      <c r="TLI244" s="36"/>
      <c r="TLJ244" s="36"/>
      <c r="TLK244" s="36"/>
      <c r="TLL244" s="36"/>
      <c r="TLM244" s="36"/>
      <c r="TLN244" s="36"/>
      <c r="TLO244" s="36"/>
      <c r="TLP244" s="36"/>
      <c r="TLQ244" s="36"/>
      <c r="TLR244" s="36"/>
      <c r="TLS244" s="36"/>
      <c r="TLT244" s="36"/>
      <c r="TLU244" s="36"/>
      <c r="TLV244" s="36"/>
      <c r="TLW244" s="36"/>
      <c r="TLX244" s="36"/>
      <c r="TLY244" s="36"/>
      <c r="TLZ244" s="36"/>
      <c r="TMA244" s="36"/>
      <c r="TMB244" s="36"/>
      <c r="TMC244" s="36"/>
      <c r="TMD244" s="36"/>
      <c r="TME244" s="36"/>
      <c r="TMF244" s="36"/>
      <c r="TMG244" s="36"/>
      <c r="TMH244" s="36"/>
      <c r="TMI244" s="36"/>
      <c r="TMJ244" s="36"/>
      <c r="TMK244" s="36"/>
      <c r="TML244" s="36"/>
      <c r="TMM244" s="36"/>
      <c r="TMN244" s="36"/>
      <c r="TMO244" s="36"/>
      <c r="TMP244" s="36"/>
      <c r="TMQ244" s="36"/>
      <c r="TMR244" s="36"/>
      <c r="TMS244" s="36"/>
      <c r="TMT244" s="36"/>
      <c r="TMU244" s="36"/>
      <c r="TMV244" s="36"/>
      <c r="TMW244" s="36"/>
      <c r="TMX244" s="36"/>
      <c r="TMY244" s="36"/>
      <c r="TMZ244" s="36"/>
      <c r="TNA244" s="36"/>
      <c r="TNB244" s="36"/>
      <c r="TNC244" s="36"/>
      <c r="TND244" s="36"/>
      <c r="TNE244" s="36"/>
      <c r="TNF244" s="36"/>
      <c r="TNG244" s="36"/>
      <c r="TNH244" s="36"/>
      <c r="TNI244" s="36"/>
      <c r="TNJ244" s="36"/>
      <c r="TNK244" s="36"/>
      <c r="TNL244" s="36"/>
      <c r="TNM244" s="36"/>
      <c r="TNN244" s="36"/>
      <c r="TNO244" s="36"/>
      <c r="TNP244" s="36"/>
      <c r="TNQ244" s="36"/>
      <c r="TNR244" s="36"/>
      <c r="TNS244" s="36"/>
      <c r="TNT244" s="36"/>
      <c r="TNU244" s="36"/>
      <c r="TNV244" s="36"/>
      <c r="TNW244" s="36"/>
      <c r="TNX244" s="36"/>
      <c r="TNY244" s="36"/>
      <c r="TNZ244" s="36"/>
      <c r="TOA244" s="36"/>
      <c r="TOB244" s="36"/>
      <c r="TOC244" s="36"/>
      <c r="TOD244" s="36"/>
      <c r="TOE244" s="36"/>
      <c r="TOF244" s="36"/>
      <c r="TOG244" s="36"/>
      <c r="TOH244" s="36"/>
      <c r="TOI244" s="36"/>
      <c r="TOJ244" s="36"/>
      <c r="TOK244" s="36"/>
      <c r="TOL244" s="36"/>
      <c r="TOM244" s="36"/>
      <c r="TON244" s="36"/>
      <c r="TOO244" s="36"/>
      <c r="TOP244" s="36"/>
      <c r="TOQ244" s="36"/>
      <c r="TOR244" s="36"/>
      <c r="TOS244" s="36"/>
      <c r="TOT244" s="36"/>
      <c r="TOU244" s="36"/>
      <c r="TOV244" s="36"/>
      <c r="TOW244" s="36"/>
      <c r="TOX244" s="36"/>
      <c r="TOY244" s="36"/>
      <c r="TOZ244" s="36"/>
      <c r="TPA244" s="36"/>
      <c r="TPB244" s="36"/>
      <c r="TPC244" s="36"/>
      <c r="TPD244" s="36"/>
      <c r="TPE244" s="36"/>
      <c r="TPF244" s="36"/>
      <c r="TPG244" s="36"/>
      <c r="TPH244" s="36"/>
      <c r="TPI244" s="36"/>
      <c r="TPJ244" s="36"/>
      <c r="TPK244" s="36"/>
      <c r="TPL244" s="36"/>
      <c r="TPM244" s="36"/>
      <c r="TPN244" s="36"/>
      <c r="TPO244" s="36"/>
      <c r="TPP244" s="36"/>
      <c r="TPQ244" s="36"/>
      <c r="TPR244" s="36"/>
      <c r="TPS244" s="36"/>
      <c r="TPT244" s="36"/>
      <c r="TPU244" s="36"/>
      <c r="TPV244" s="36"/>
      <c r="TPW244" s="36"/>
      <c r="TPX244" s="36"/>
      <c r="TPY244" s="36"/>
      <c r="TPZ244" s="36"/>
      <c r="TQA244" s="36"/>
      <c r="TQB244" s="36"/>
      <c r="TQC244" s="36"/>
      <c r="TQD244" s="36"/>
      <c r="TQE244" s="36"/>
      <c r="TQF244" s="36"/>
      <c r="TQG244" s="36"/>
      <c r="TQH244" s="36"/>
      <c r="TQI244" s="36"/>
      <c r="TQJ244" s="36"/>
      <c r="TQK244" s="36"/>
      <c r="TQL244" s="36"/>
      <c r="TQM244" s="36"/>
      <c r="TQN244" s="36"/>
      <c r="TQO244" s="36"/>
      <c r="TQP244" s="36"/>
      <c r="TQQ244" s="36"/>
      <c r="TQR244" s="36"/>
      <c r="TQS244" s="36"/>
      <c r="TQT244" s="36"/>
      <c r="TQU244" s="36"/>
      <c r="TQV244" s="36"/>
      <c r="TQW244" s="36"/>
      <c r="TQX244" s="36"/>
      <c r="TQY244" s="36"/>
      <c r="TQZ244" s="36"/>
      <c r="TRA244" s="36"/>
      <c r="TRB244" s="36"/>
      <c r="TRC244" s="36"/>
      <c r="TRD244" s="36"/>
      <c r="TRE244" s="36"/>
      <c r="TRF244" s="36"/>
      <c r="TRG244" s="36"/>
      <c r="TRH244" s="36"/>
      <c r="TRI244" s="36"/>
      <c r="TRJ244" s="36"/>
      <c r="TRK244" s="36"/>
      <c r="TRL244" s="36"/>
      <c r="TRM244" s="36"/>
      <c r="TRN244" s="36"/>
      <c r="TRO244" s="36"/>
      <c r="TRP244" s="36"/>
      <c r="TRQ244" s="36"/>
      <c r="TRR244" s="36"/>
      <c r="TRS244" s="36"/>
      <c r="TRT244" s="36"/>
      <c r="TRU244" s="36"/>
      <c r="TRV244" s="36"/>
      <c r="TRW244" s="36"/>
      <c r="TRX244" s="36"/>
      <c r="TRY244" s="36"/>
      <c r="TRZ244" s="36"/>
      <c r="TSA244" s="36"/>
      <c r="TSB244" s="36"/>
      <c r="TSC244" s="36"/>
      <c r="TSD244" s="36"/>
      <c r="TSE244" s="36"/>
      <c r="TSF244" s="36"/>
      <c r="TSG244" s="36"/>
      <c r="TSH244" s="36"/>
      <c r="TSI244" s="36"/>
      <c r="TSJ244" s="36"/>
      <c r="TSK244" s="36"/>
      <c r="TSL244" s="36"/>
      <c r="TSM244" s="36"/>
      <c r="TSN244" s="36"/>
      <c r="TSO244" s="36"/>
      <c r="TSP244" s="36"/>
      <c r="TSQ244" s="36"/>
      <c r="TSR244" s="36"/>
      <c r="TSS244" s="36"/>
      <c r="TST244" s="36"/>
      <c r="TSU244" s="36"/>
      <c r="TSV244" s="36"/>
      <c r="TSW244" s="36"/>
      <c r="TSX244" s="36"/>
      <c r="TSY244" s="36"/>
      <c r="TSZ244" s="36"/>
      <c r="TTA244" s="36"/>
      <c r="TTB244" s="36"/>
      <c r="TTC244" s="36"/>
      <c r="TTD244" s="36"/>
      <c r="TTE244" s="36"/>
      <c r="TTF244" s="36"/>
      <c r="TTG244" s="36"/>
      <c r="TTH244" s="36"/>
      <c r="TTI244" s="36"/>
      <c r="TTJ244" s="36"/>
      <c r="TTK244" s="36"/>
      <c r="TTL244" s="36"/>
      <c r="TTM244" s="36"/>
      <c r="TTN244" s="36"/>
      <c r="TTO244" s="36"/>
      <c r="TTP244" s="36"/>
      <c r="TTQ244" s="36"/>
      <c r="TTR244" s="36"/>
      <c r="TTS244" s="36"/>
      <c r="TTT244" s="36"/>
      <c r="TTU244" s="36"/>
      <c r="TTV244" s="36"/>
      <c r="TTW244" s="36"/>
      <c r="TTX244" s="36"/>
      <c r="TTY244" s="36"/>
      <c r="TTZ244" s="36"/>
      <c r="TUA244" s="36"/>
      <c r="TUB244" s="36"/>
      <c r="TUC244" s="36"/>
      <c r="TUD244" s="36"/>
      <c r="TUE244" s="36"/>
      <c r="TUF244" s="36"/>
      <c r="TUG244" s="36"/>
      <c r="TUH244" s="36"/>
      <c r="TUI244" s="36"/>
      <c r="TUJ244" s="36"/>
      <c r="TUK244" s="36"/>
      <c r="TUL244" s="36"/>
      <c r="TUM244" s="36"/>
      <c r="TUN244" s="36"/>
      <c r="TUO244" s="36"/>
      <c r="TUP244" s="36"/>
      <c r="TUQ244" s="36"/>
      <c r="TUR244" s="36"/>
      <c r="TUS244" s="36"/>
      <c r="TUT244" s="36"/>
      <c r="TUU244" s="36"/>
      <c r="TUV244" s="36"/>
      <c r="TUW244" s="36"/>
      <c r="TUX244" s="36"/>
      <c r="TUY244" s="36"/>
      <c r="TUZ244" s="36"/>
      <c r="TVA244" s="36"/>
      <c r="TVB244" s="36"/>
      <c r="TVC244" s="36"/>
      <c r="TVD244" s="36"/>
      <c r="TVE244" s="36"/>
      <c r="TVF244" s="36"/>
      <c r="TVG244" s="36"/>
      <c r="TVH244" s="36"/>
      <c r="TVI244" s="36"/>
      <c r="TVJ244" s="36"/>
      <c r="TVK244" s="36"/>
      <c r="TVL244" s="36"/>
      <c r="TVM244" s="36"/>
      <c r="TVN244" s="36"/>
      <c r="TVO244" s="36"/>
      <c r="TVP244" s="36"/>
      <c r="TVQ244" s="36"/>
      <c r="TVR244" s="36"/>
      <c r="TVS244" s="36"/>
      <c r="TVT244" s="36"/>
      <c r="TVU244" s="36"/>
      <c r="TVV244" s="36"/>
      <c r="TVW244" s="36"/>
      <c r="TVX244" s="36"/>
      <c r="TVY244" s="36"/>
      <c r="TVZ244" s="36"/>
      <c r="TWA244" s="36"/>
      <c r="TWB244" s="36"/>
      <c r="TWC244" s="36"/>
      <c r="TWD244" s="36"/>
      <c r="TWE244" s="36"/>
      <c r="TWF244" s="36"/>
      <c r="TWG244" s="36"/>
      <c r="TWH244" s="36"/>
      <c r="TWI244" s="36"/>
      <c r="TWJ244" s="36"/>
      <c r="TWK244" s="36"/>
      <c r="TWL244" s="36"/>
      <c r="TWM244" s="36"/>
      <c r="TWN244" s="36"/>
      <c r="TWO244" s="36"/>
      <c r="TWP244" s="36"/>
      <c r="TWQ244" s="36"/>
      <c r="TWR244" s="36"/>
      <c r="TWS244" s="36"/>
      <c r="TWT244" s="36"/>
      <c r="TWU244" s="36"/>
      <c r="TWV244" s="36"/>
      <c r="TWW244" s="36"/>
      <c r="TWX244" s="36"/>
      <c r="TWY244" s="36"/>
      <c r="TWZ244" s="36"/>
      <c r="TXA244" s="36"/>
      <c r="TXB244" s="36"/>
      <c r="TXC244" s="36"/>
      <c r="TXD244" s="36"/>
      <c r="TXE244" s="36"/>
      <c r="TXF244" s="36"/>
      <c r="TXG244" s="36"/>
      <c r="TXH244" s="36"/>
      <c r="TXI244" s="36"/>
      <c r="TXJ244" s="36"/>
      <c r="TXK244" s="36"/>
      <c r="TXL244" s="36"/>
      <c r="TXM244" s="36"/>
      <c r="TXN244" s="36"/>
      <c r="TXO244" s="36"/>
      <c r="TXP244" s="36"/>
      <c r="TXQ244" s="36"/>
      <c r="TXR244" s="36"/>
      <c r="TXS244" s="36"/>
      <c r="TXT244" s="36"/>
      <c r="TXU244" s="36"/>
      <c r="TXV244" s="36"/>
      <c r="TXW244" s="36"/>
      <c r="TXX244" s="36"/>
      <c r="TXY244" s="36"/>
      <c r="TXZ244" s="36"/>
      <c r="TYA244" s="36"/>
      <c r="TYB244" s="36"/>
      <c r="TYC244" s="36"/>
      <c r="TYD244" s="36"/>
      <c r="TYE244" s="36"/>
      <c r="TYF244" s="36"/>
      <c r="TYG244" s="36"/>
      <c r="TYH244" s="36"/>
      <c r="TYI244" s="36"/>
      <c r="TYJ244" s="36"/>
      <c r="TYK244" s="36"/>
      <c r="TYL244" s="36"/>
      <c r="TYM244" s="36"/>
      <c r="TYN244" s="36"/>
      <c r="TYO244" s="36"/>
      <c r="TYP244" s="36"/>
      <c r="TYQ244" s="36"/>
      <c r="TYR244" s="36"/>
      <c r="TYS244" s="36"/>
      <c r="TYT244" s="36"/>
      <c r="TYU244" s="36"/>
      <c r="TYV244" s="36"/>
      <c r="TYW244" s="36"/>
      <c r="TYX244" s="36"/>
      <c r="TYY244" s="36"/>
      <c r="TYZ244" s="36"/>
      <c r="TZA244" s="36"/>
      <c r="TZB244" s="36"/>
      <c r="TZC244" s="36"/>
      <c r="TZD244" s="36"/>
      <c r="TZE244" s="36"/>
      <c r="TZF244" s="36"/>
      <c r="TZG244" s="36"/>
      <c r="TZH244" s="36"/>
      <c r="TZI244" s="36"/>
      <c r="TZJ244" s="36"/>
      <c r="TZK244" s="36"/>
      <c r="TZL244" s="36"/>
      <c r="TZM244" s="36"/>
      <c r="TZN244" s="36"/>
      <c r="TZO244" s="36"/>
      <c r="TZP244" s="36"/>
      <c r="TZQ244" s="36"/>
      <c r="TZR244" s="36"/>
      <c r="TZS244" s="36"/>
      <c r="TZT244" s="36"/>
      <c r="TZU244" s="36"/>
      <c r="TZV244" s="36"/>
      <c r="TZW244" s="36"/>
      <c r="TZX244" s="36"/>
      <c r="TZY244" s="36"/>
      <c r="TZZ244" s="36"/>
      <c r="UAA244" s="36"/>
      <c r="UAB244" s="36"/>
      <c r="UAC244" s="36"/>
      <c r="UAD244" s="36"/>
      <c r="UAE244" s="36"/>
      <c r="UAF244" s="36"/>
      <c r="UAG244" s="36"/>
      <c r="UAH244" s="36"/>
      <c r="UAI244" s="36"/>
      <c r="UAJ244" s="36"/>
      <c r="UAK244" s="36"/>
      <c r="UAL244" s="36"/>
      <c r="UAM244" s="36"/>
      <c r="UAN244" s="36"/>
      <c r="UAO244" s="36"/>
      <c r="UAP244" s="36"/>
      <c r="UAQ244" s="36"/>
      <c r="UAR244" s="36"/>
      <c r="UAS244" s="36"/>
      <c r="UAT244" s="36"/>
      <c r="UAU244" s="36"/>
      <c r="UAV244" s="36"/>
      <c r="UAW244" s="36"/>
      <c r="UAX244" s="36"/>
      <c r="UAY244" s="36"/>
      <c r="UAZ244" s="36"/>
      <c r="UBA244" s="36"/>
      <c r="UBB244" s="36"/>
      <c r="UBC244" s="36"/>
      <c r="UBD244" s="36"/>
      <c r="UBE244" s="36"/>
      <c r="UBF244" s="36"/>
      <c r="UBG244" s="36"/>
      <c r="UBH244" s="36"/>
      <c r="UBI244" s="36"/>
      <c r="UBJ244" s="36"/>
      <c r="UBK244" s="36"/>
      <c r="UBL244" s="36"/>
      <c r="UBM244" s="36"/>
      <c r="UBN244" s="36"/>
      <c r="UBO244" s="36"/>
      <c r="UBP244" s="36"/>
      <c r="UBQ244" s="36"/>
      <c r="UBR244" s="36"/>
      <c r="UBS244" s="36"/>
      <c r="UBT244" s="36"/>
      <c r="UBU244" s="36"/>
      <c r="UBV244" s="36"/>
      <c r="UBW244" s="36"/>
      <c r="UBX244" s="36"/>
      <c r="UBY244" s="36"/>
      <c r="UBZ244" s="36"/>
      <c r="UCA244" s="36"/>
      <c r="UCB244" s="36"/>
      <c r="UCC244" s="36"/>
      <c r="UCD244" s="36"/>
      <c r="UCE244" s="36"/>
      <c r="UCF244" s="36"/>
      <c r="UCG244" s="36"/>
      <c r="UCH244" s="36"/>
      <c r="UCI244" s="36"/>
      <c r="UCJ244" s="36"/>
      <c r="UCK244" s="36"/>
      <c r="UCL244" s="36"/>
      <c r="UCM244" s="36"/>
      <c r="UCN244" s="36"/>
      <c r="UCO244" s="36"/>
      <c r="UCP244" s="36"/>
      <c r="UCQ244" s="36"/>
      <c r="UCR244" s="36"/>
      <c r="UCS244" s="36"/>
      <c r="UCT244" s="36"/>
      <c r="UCU244" s="36"/>
      <c r="UCV244" s="36"/>
      <c r="UCW244" s="36"/>
      <c r="UCX244" s="36"/>
      <c r="UCY244" s="36"/>
      <c r="UCZ244" s="36"/>
      <c r="UDA244" s="36"/>
      <c r="UDB244" s="36"/>
      <c r="UDC244" s="36"/>
      <c r="UDD244" s="36"/>
      <c r="UDE244" s="36"/>
      <c r="UDF244" s="36"/>
      <c r="UDG244" s="36"/>
      <c r="UDH244" s="36"/>
      <c r="UDI244" s="36"/>
      <c r="UDJ244" s="36"/>
      <c r="UDK244" s="36"/>
      <c r="UDL244" s="36"/>
      <c r="UDM244" s="36"/>
      <c r="UDN244" s="36"/>
      <c r="UDO244" s="36"/>
      <c r="UDP244" s="36"/>
      <c r="UDQ244" s="36"/>
      <c r="UDR244" s="36"/>
      <c r="UDS244" s="36"/>
      <c r="UDT244" s="36"/>
      <c r="UDU244" s="36"/>
      <c r="UDV244" s="36"/>
      <c r="UDW244" s="36"/>
      <c r="UDX244" s="36"/>
      <c r="UDY244" s="36"/>
      <c r="UDZ244" s="36"/>
      <c r="UEA244" s="36"/>
      <c r="UEB244" s="36"/>
      <c r="UEC244" s="36"/>
      <c r="UED244" s="36"/>
      <c r="UEE244" s="36"/>
      <c r="UEF244" s="36"/>
      <c r="UEG244" s="36"/>
      <c r="UEH244" s="36"/>
      <c r="UEI244" s="36"/>
      <c r="UEJ244" s="36"/>
      <c r="UEK244" s="36"/>
      <c r="UEL244" s="36"/>
      <c r="UEM244" s="36"/>
      <c r="UEN244" s="36"/>
      <c r="UEO244" s="36"/>
      <c r="UEP244" s="36"/>
      <c r="UEQ244" s="36"/>
      <c r="UER244" s="36"/>
      <c r="UES244" s="36"/>
      <c r="UET244" s="36"/>
      <c r="UEU244" s="36"/>
      <c r="UEV244" s="36"/>
      <c r="UEW244" s="36"/>
      <c r="UEX244" s="36"/>
      <c r="UEY244" s="36"/>
      <c r="UEZ244" s="36"/>
      <c r="UFA244" s="36"/>
      <c r="UFB244" s="36"/>
      <c r="UFC244" s="36"/>
      <c r="UFD244" s="36"/>
      <c r="UFE244" s="36"/>
      <c r="UFF244" s="36"/>
      <c r="UFG244" s="36"/>
      <c r="UFH244" s="36"/>
      <c r="UFI244" s="36"/>
      <c r="UFJ244" s="36"/>
      <c r="UFK244" s="36"/>
      <c r="UFL244" s="36"/>
      <c r="UFM244" s="36"/>
      <c r="UFN244" s="36"/>
      <c r="UFO244" s="36"/>
      <c r="UFP244" s="36"/>
      <c r="UFQ244" s="36"/>
      <c r="UFR244" s="36"/>
      <c r="UFS244" s="36"/>
      <c r="UFT244" s="36"/>
      <c r="UFU244" s="36"/>
      <c r="UFV244" s="36"/>
      <c r="UFW244" s="36"/>
      <c r="UFX244" s="36"/>
      <c r="UFY244" s="36"/>
      <c r="UFZ244" s="36"/>
      <c r="UGA244" s="36"/>
      <c r="UGB244" s="36"/>
      <c r="UGC244" s="36"/>
      <c r="UGD244" s="36"/>
      <c r="UGE244" s="36"/>
      <c r="UGF244" s="36"/>
      <c r="UGG244" s="36"/>
      <c r="UGH244" s="36"/>
      <c r="UGI244" s="36"/>
      <c r="UGJ244" s="36"/>
      <c r="UGK244" s="36"/>
      <c r="UGL244" s="36"/>
      <c r="UGM244" s="36"/>
      <c r="UGN244" s="36"/>
      <c r="UGO244" s="36"/>
      <c r="UGP244" s="36"/>
      <c r="UGQ244" s="36"/>
      <c r="UGR244" s="36"/>
      <c r="UGS244" s="36"/>
      <c r="UGT244" s="36"/>
      <c r="UGU244" s="36"/>
      <c r="UGV244" s="36"/>
      <c r="UGW244" s="36"/>
      <c r="UGX244" s="36"/>
      <c r="UGY244" s="36"/>
      <c r="UGZ244" s="36"/>
      <c r="UHA244" s="36"/>
      <c r="UHB244" s="36"/>
      <c r="UHC244" s="36"/>
      <c r="UHD244" s="36"/>
      <c r="UHE244" s="36"/>
      <c r="UHF244" s="36"/>
      <c r="UHG244" s="36"/>
      <c r="UHH244" s="36"/>
      <c r="UHI244" s="36"/>
      <c r="UHJ244" s="36"/>
      <c r="UHK244" s="36"/>
      <c r="UHL244" s="36"/>
      <c r="UHM244" s="36"/>
      <c r="UHN244" s="36"/>
      <c r="UHO244" s="36"/>
      <c r="UHP244" s="36"/>
      <c r="UHQ244" s="36"/>
      <c r="UHR244" s="36"/>
      <c r="UHS244" s="36"/>
      <c r="UHT244" s="36"/>
      <c r="UHU244" s="36"/>
      <c r="UHV244" s="36"/>
      <c r="UHW244" s="36"/>
      <c r="UHX244" s="36"/>
      <c r="UHY244" s="36"/>
      <c r="UHZ244" s="36"/>
      <c r="UIA244" s="36"/>
      <c r="UIB244" s="36"/>
      <c r="UIC244" s="36"/>
      <c r="UID244" s="36"/>
      <c r="UIE244" s="36"/>
      <c r="UIF244" s="36"/>
      <c r="UIG244" s="36"/>
      <c r="UIH244" s="36"/>
      <c r="UII244" s="36"/>
      <c r="UIJ244" s="36"/>
      <c r="UIK244" s="36"/>
      <c r="UIL244" s="36"/>
      <c r="UIM244" s="36"/>
      <c r="UIN244" s="36"/>
      <c r="UIO244" s="36"/>
      <c r="UIP244" s="36"/>
      <c r="UIQ244" s="36"/>
      <c r="UIR244" s="36"/>
      <c r="UIS244" s="36"/>
      <c r="UIT244" s="36"/>
      <c r="UIU244" s="36"/>
      <c r="UIV244" s="36"/>
      <c r="UIW244" s="36"/>
      <c r="UIX244" s="36"/>
      <c r="UIY244" s="36"/>
      <c r="UIZ244" s="36"/>
      <c r="UJA244" s="36"/>
      <c r="UJB244" s="36"/>
      <c r="UJC244" s="36"/>
      <c r="UJD244" s="36"/>
      <c r="UJE244" s="36"/>
      <c r="UJF244" s="36"/>
      <c r="UJG244" s="36"/>
      <c r="UJH244" s="36"/>
      <c r="UJI244" s="36"/>
      <c r="UJJ244" s="36"/>
      <c r="UJK244" s="36"/>
      <c r="UJL244" s="36"/>
      <c r="UJM244" s="36"/>
      <c r="UJN244" s="36"/>
      <c r="UJO244" s="36"/>
      <c r="UJP244" s="36"/>
      <c r="UJQ244" s="36"/>
      <c r="UJR244" s="36"/>
      <c r="UJS244" s="36"/>
      <c r="UJT244" s="36"/>
      <c r="UJU244" s="36"/>
      <c r="UJV244" s="36"/>
      <c r="UJW244" s="36"/>
      <c r="UJX244" s="36"/>
      <c r="UJY244" s="36"/>
      <c r="UJZ244" s="36"/>
      <c r="UKA244" s="36"/>
      <c r="UKB244" s="36"/>
      <c r="UKC244" s="36"/>
      <c r="UKD244" s="36"/>
      <c r="UKE244" s="36"/>
      <c r="UKF244" s="36"/>
      <c r="UKG244" s="36"/>
      <c r="UKH244" s="36"/>
      <c r="UKI244" s="36"/>
      <c r="UKJ244" s="36"/>
      <c r="UKK244" s="36"/>
      <c r="UKL244" s="36"/>
      <c r="UKM244" s="36"/>
      <c r="UKN244" s="36"/>
      <c r="UKO244" s="36"/>
      <c r="UKP244" s="36"/>
      <c r="UKQ244" s="36"/>
      <c r="UKR244" s="36"/>
      <c r="UKS244" s="36"/>
      <c r="UKT244" s="36"/>
      <c r="UKU244" s="36"/>
      <c r="UKV244" s="36"/>
      <c r="UKW244" s="36"/>
      <c r="UKX244" s="36"/>
      <c r="UKY244" s="36"/>
      <c r="UKZ244" s="36"/>
      <c r="ULA244" s="36"/>
      <c r="ULB244" s="36"/>
      <c r="ULC244" s="36"/>
      <c r="ULD244" s="36"/>
      <c r="ULE244" s="36"/>
      <c r="ULF244" s="36"/>
      <c r="ULG244" s="36"/>
      <c r="ULH244" s="36"/>
      <c r="ULI244" s="36"/>
      <c r="ULJ244" s="36"/>
      <c r="ULK244" s="36"/>
      <c r="ULL244" s="36"/>
      <c r="ULM244" s="36"/>
      <c r="ULN244" s="36"/>
      <c r="ULO244" s="36"/>
      <c r="ULP244" s="36"/>
      <c r="ULQ244" s="36"/>
      <c r="ULR244" s="36"/>
      <c r="ULS244" s="36"/>
      <c r="ULT244" s="36"/>
      <c r="ULU244" s="36"/>
      <c r="ULV244" s="36"/>
      <c r="ULW244" s="36"/>
      <c r="ULX244" s="36"/>
      <c r="ULY244" s="36"/>
      <c r="ULZ244" s="36"/>
      <c r="UMA244" s="36"/>
      <c r="UMB244" s="36"/>
      <c r="UMC244" s="36"/>
      <c r="UMD244" s="36"/>
      <c r="UME244" s="36"/>
      <c r="UMF244" s="36"/>
      <c r="UMG244" s="36"/>
      <c r="UMH244" s="36"/>
      <c r="UMI244" s="36"/>
      <c r="UMJ244" s="36"/>
      <c r="UMK244" s="36"/>
      <c r="UML244" s="36"/>
      <c r="UMM244" s="36"/>
      <c r="UMN244" s="36"/>
      <c r="UMO244" s="36"/>
      <c r="UMP244" s="36"/>
      <c r="UMQ244" s="36"/>
      <c r="UMR244" s="36"/>
      <c r="UMS244" s="36"/>
      <c r="UMT244" s="36"/>
      <c r="UMU244" s="36"/>
      <c r="UMV244" s="36"/>
      <c r="UMW244" s="36"/>
      <c r="UMX244" s="36"/>
      <c r="UMY244" s="36"/>
      <c r="UMZ244" s="36"/>
      <c r="UNA244" s="36"/>
      <c r="UNB244" s="36"/>
      <c r="UNC244" s="36"/>
      <c r="UND244" s="36"/>
      <c r="UNE244" s="36"/>
      <c r="UNF244" s="36"/>
      <c r="UNG244" s="36"/>
      <c r="UNH244" s="36"/>
      <c r="UNI244" s="36"/>
      <c r="UNJ244" s="36"/>
      <c r="UNK244" s="36"/>
      <c r="UNL244" s="36"/>
      <c r="UNM244" s="36"/>
      <c r="UNN244" s="36"/>
      <c r="UNO244" s="36"/>
      <c r="UNP244" s="36"/>
      <c r="UNQ244" s="36"/>
      <c r="UNR244" s="36"/>
      <c r="UNS244" s="36"/>
      <c r="UNT244" s="36"/>
      <c r="UNU244" s="36"/>
      <c r="UNV244" s="36"/>
      <c r="UNW244" s="36"/>
      <c r="UNX244" s="36"/>
      <c r="UNY244" s="36"/>
      <c r="UNZ244" s="36"/>
      <c r="UOA244" s="36"/>
      <c r="UOB244" s="36"/>
      <c r="UOC244" s="36"/>
      <c r="UOD244" s="36"/>
      <c r="UOE244" s="36"/>
      <c r="UOF244" s="36"/>
      <c r="UOG244" s="36"/>
      <c r="UOH244" s="36"/>
      <c r="UOI244" s="36"/>
      <c r="UOJ244" s="36"/>
      <c r="UOK244" s="36"/>
      <c r="UOL244" s="36"/>
      <c r="UOM244" s="36"/>
      <c r="UON244" s="36"/>
      <c r="UOO244" s="36"/>
      <c r="UOP244" s="36"/>
      <c r="UOQ244" s="36"/>
      <c r="UOR244" s="36"/>
      <c r="UOS244" s="36"/>
      <c r="UOT244" s="36"/>
      <c r="UOU244" s="36"/>
      <c r="UOV244" s="36"/>
      <c r="UOW244" s="36"/>
      <c r="UOX244" s="36"/>
      <c r="UOY244" s="36"/>
      <c r="UOZ244" s="36"/>
      <c r="UPA244" s="36"/>
      <c r="UPB244" s="36"/>
      <c r="UPC244" s="36"/>
      <c r="UPD244" s="36"/>
      <c r="UPE244" s="36"/>
      <c r="UPF244" s="36"/>
      <c r="UPG244" s="36"/>
      <c r="UPH244" s="36"/>
      <c r="UPI244" s="36"/>
      <c r="UPJ244" s="36"/>
      <c r="UPK244" s="36"/>
      <c r="UPL244" s="36"/>
      <c r="UPM244" s="36"/>
      <c r="UPN244" s="36"/>
      <c r="UPO244" s="36"/>
      <c r="UPP244" s="36"/>
      <c r="UPQ244" s="36"/>
      <c r="UPR244" s="36"/>
      <c r="UPS244" s="36"/>
      <c r="UPT244" s="36"/>
      <c r="UPU244" s="36"/>
      <c r="UPV244" s="36"/>
      <c r="UPW244" s="36"/>
      <c r="UPX244" s="36"/>
      <c r="UPY244" s="36"/>
      <c r="UPZ244" s="36"/>
      <c r="UQA244" s="36"/>
      <c r="UQB244" s="36"/>
      <c r="UQC244" s="36"/>
      <c r="UQD244" s="36"/>
      <c r="UQE244" s="36"/>
      <c r="UQF244" s="36"/>
      <c r="UQG244" s="36"/>
      <c r="UQH244" s="36"/>
      <c r="UQI244" s="36"/>
      <c r="UQJ244" s="36"/>
      <c r="UQK244" s="36"/>
      <c r="UQL244" s="36"/>
      <c r="UQM244" s="36"/>
      <c r="UQN244" s="36"/>
      <c r="UQO244" s="36"/>
      <c r="UQP244" s="36"/>
      <c r="UQQ244" s="36"/>
      <c r="UQR244" s="36"/>
      <c r="UQS244" s="36"/>
      <c r="UQT244" s="36"/>
      <c r="UQU244" s="36"/>
      <c r="UQV244" s="36"/>
      <c r="UQW244" s="36"/>
      <c r="UQX244" s="36"/>
      <c r="UQY244" s="36"/>
      <c r="UQZ244" s="36"/>
      <c r="URA244" s="36"/>
      <c r="URB244" s="36"/>
      <c r="URC244" s="36"/>
      <c r="URD244" s="36"/>
      <c r="URE244" s="36"/>
      <c r="URF244" s="36"/>
      <c r="URG244" s="36"/>
      <c r="URH244" s="36"/>
      <c r="URI244" s="36"/>
      <c r="URJ244" s="36"/>
      <c r="URK244" s="36"/>
      <c r="URL244" s="36"/>
      <c r="URM244" s="36"/>
      <c r="URN244" s="36"/>
      <c r="URO244" s="36"/>
      <c r="URP244" s="36"/>
      <c r="URQ244" s="36"/>
      <c r="URR244" s="36"/>
      <c r="URS244" s="36"/>
      <c r="URT244" s="36"/>
      <c r="URU244" s="36"/>
      <c r="URV244" s="36"/>
      <c r="URW244" s="36"/>
      <c r="URX244" s="36"/>
      <c r="URY244" s="36"/>
      <c r="URZ244" s="36"/>
      <c r="USA244" s="36"/>
      <c r="USB244" s="36"/>
      <c r="USC244" s="36"/>
      <c r="USD244" s="36"/>
      <c r="USE244" s="36"/>
      <c r="USF244" s="36"/>
      <c r="USG244" s="36"/>
      <c r="USH244" s="36"/>
      <c r="USI244" s="36"/>
      <c r="USJ244" s="36"/>
      <c r="USK244" s="36"/>
      <c r="USL244" s="36"/>
      <c r="USM244" s="36"/>
      <c r="USN244" s="36"/>
      <c r="USO244" s="36"/>
      <c r="USP244" s="36"/>
      <c r="USQ244" s="36"/>
      <c r="USR244" s="36"/>
      <c r="USS244" s="36"/>
      <c r="UST244" s="36"/>
      <c r="USU244" s="36"/>
      <c r="USV244" s="36"/>
      <c r="USW244" s="36"/>
      <c r="USX244" s="36"/>
      <c r="USY244" s="36"/>
      <c r="USZ244" s="36"/>
      <c r="UTA244" s="36"/>
      <c r="UTB244" s="36"/>
      <c r="UTC244" s="36"/>
      <c r="UTD244" s="36"/>
      <c r="UTE244" s="36"/>
      <c r="UTF244" s="36"/>
      <c r="UTG244" s="36"/>
      <c r="UTH244" s="36"/>
      <c r="UTI244" s="36"/>
      <c r="UTJ244" s="36"/>
      <c r="UTK244" s="36"/>
      <c r="UTL244" s="36"/>
      <c r="UTM244" s="36"/>
      <c r="UTN244" s="36"/>
      <c r="UTO244" s="36"/>
      <c r="UTP244" s="36"/>
      <c r="UTQ244" s="36"/>
      <c r="UTR244" s="36"/>
      <c r="UTS244" s="36"/>
      <c r="UTT244" s="36"/>
      <c r="UTU244" s="36"/>
      <c r="UTV244" s="36"/>
      <c r="UTW244" s="36"/>
      <c r="UTX244" s="36"/>
      <c r="UTY244" s="36"/>
      <c r="UTZ244" s="36"/>
      <c r="UUA244" s="36"/>
      <c r="UUB244" s="36"/>
      <c r="UUC244" s="36"/>
      <c r="UUD244" s="36"/>
      <c r="UUE244" s="36"/>
      <c r="UUF244" s="36"/>
      <c r="UUG244" s="36"/>
      <c r="UUH244" s="36"/>
      <c r="UUI244" s="36"/>
      <c r="UUJ244" s="36"/>
      <c r="UUK244" s="36"/>
      <c r="UUL244" s="36"/>
      <c r="UUM244" s="36"/>
      <c r="UUN244" s="36"/>
      <c r="UUO244" s="36"/>
      <c r="UUP244" s="36"/>
      <c r="UUQ244" s="36"/>
      <c r="UUR244" s="36"/>
      <c r="UUS244" s="36"/>
      <c r="UUT244" s="36"/>
      <c r="UUU244" s="36"/>
      <c r="UUV244" s="36"/>
      <c r="UUW244" s="36"/>
      <c r="UUX244" s="36"/>
      <c r="UUY244" s="36"/>
      <c r="UUZ244" s="36"/>
      <c r="UVA244" s="36"/>
      <c r="UVB244" s="36"/>
      <c r="UVC244" s="36"/>
      <c r="UVD244" s="36"/>
      <c r="UVE244" s="36"/>
      <c r="UVF244" s="36"/>
      <c r="UVG244" s="36"/>
      <c r="UVH244" s="36"/>
      <c r="UVI244" s="36"/>
      <c r="UVJ244" s="36"/>
      <c r="UVK244" s="36"/>
      <c r="UVL244" s="36"/>
      <c r="UVM244" s="36"/>
      <c r="UVN244" s="36"/>
      <c r="UVO244" s="36"/>
      <c r="UVP244" s="36"/>
      <c r="UVQ244" s="36"/>
      <c r="UVR244" s="36"/>
      <c r="UVS244" s="36"/>
      <c r="UVT244" s="36"/>
      <c r="UVU244" s="36"/>
      <c r="UVV244" s="36"/>
      <c r="UVW244" s="36"/>
      <c r="UVX244" s="36"/>
      <c r="UVY244" s="36"/>
      <c r="UVZ244" s="36"/>
      <c r="UWA244" s="36"/>
      <c r="UWB244" s="36"/>
      <c r="UWC244" s="36"/>
      <c r="UWD244" s="36"/>
      <c r="UWE244" s="36"/>
      <c r="UWF244" s="36"/>
      <c r="UWG244" s="36"/>
      <c r="UWH244" s="36"/>
      <c r="UWI244" s="36"/>
      <c r="UWJ244" s="36"/>
      <c r="UWK244" s="36"/>
      <c r="UWL244" s="36"/>
      <c r="UWM244" s="36"/>
      <c r="UWN244" s="36"/>
      <c r="UWO244" s="36"/>
      <c r="UWP244" s="36"/>
      <c r="UWQ244" s="36"/>
      <c r="UWR244" s="36"/>
      <c r="UWS244" s="36"/>
      <c r="UWT244" s="36"/>
      <c r="UWU244" s="36"/>
      <c r="UWV244" s="36"/>
      <c r="UWW244" s="36"/>
      <c r="UWX244" s="36"/>
      <c r="UWY244" s="36"/>
      <c r="UWZ244" s="36"/>
      <c r="UXA244" s="36"/>
      <c r="UXB244" s="36"/>
      <c r="UXC244" s="36"/>
      <c r="UXD244" s="36"/>
      <c r="UXE244" s="36"/>
      <c r="UXF244" s="36"/>
      <c r="UXG244" s="36"/>
      <c r="UXH244" s="36"/>
      <c r="UXI244" s="36"/>
      <c r="UXJ244" s="36"/>
      <c r="UXK244" s="36"/>
      <c r="UXL244" s="36"/>
      <c r="UXM244" s="36"/>
      <c r="UXN244" s="36"/>
      <c r="UXO244" s="36"/>
      <c r="UXP244" s="36"/>
      <c r="UXQ244" s="36"/>
      <c r="UXR244" s="36"/>
      <c r="UXS244" s="36"/>
      <c r="UXT244" s="36"/>
      <c r="UXU244" s="36"/>
      <c r="UXV244" s="36"/>
      <c r="UXW244" s="36"/>
      <c r="UXX244" s="36"/>
      <c r="UXY244" s="36"/>
      <c r="UXZ244" s="36"/>
      <c r="UYA244" s="36"/>
      <c r="UYB244" s="36"/>
      <c r="UYC244" s="36"/>
      <c r="UYD244" s="36"/>
      <c r="UYE244" s="36"/>
      <c r="UYF244" s="36"/>
      <c r="UYG244" s="36"/>
      <c r="UYH244" s="36"/>
      <c r="UYI244" s="36"/>
      <c r="UYJ244" s="36"/>
      <c r="UYK244" s="36"/>
      <c r="UYL244" s="36"/>
      <c r="UYM244" s="36"/>
      <c r="UYN244" s="36"/>
      <c r="UYO244" s="36"/>
      <c r="UYP244" s="36"/>
      <c r="UYQ244" s="36"/>
      <c r="UYR244" s="36"/>
      <c r="UYS244" s="36"/>
      <c r="UYT244" s="36"/>
      <c r="UYU244" s="36"/>
      <c r="UYV244" s="36"/>
      <c r="UYW244" s="36"/>
      <c r="UYX244" s="36"/>
      <c r="UYY244" s="36"/>
      <c r="UYZ244" s="36"/>
      <c r="UZA244" s="36"/>
      <c r="UZB244" s="36"/>
      <c r="UZC244" s="36"/>
      <c r="UZD244" s="36"/>
      <c r="UZE244" s="36"/>
      <c r="UZF244" s="36"/>
      <c r="UZG244" s="36"/>
      <c r="UZH244" s="36"/>
      <c r="UZI244" s="36"/>
      <c r="UZJ244" s="36"/>
      <c r="UZK244" s="36"/>
      <c r="UZL244" s="36"/>
      <c r="UZM244" s="36"/>
      <c r="UZN244" s="36"/>
      <c r="UZO244" s="36"/>
      <c r="UZP244" s="36"/>
      <c r="UZQ244" s="36"/>
      <c r="UZR244" s="36"/>
      <c r="UZS244" s="36"/>
      <c r="UZT244" s="36"/>
      <c r="UZU244" s="36"/>
      <c r="UZV244" s="36"/>
      <c r="UZW244" s="36"/>
      <c r="UZX244" s="36"/>
      <c r="UZY244" s="36"/>
      <c r="UZZ244" s="36"/>
      <c r="VAA244" s="36"/>
      <c r="VAB244" s="36"/>
      <c r="VAC244" s="36"/>
      <c r="VAD244" s="36"/>
      <c r="VAE244" s="36"/>
      <c r="VAF244" s="36"/>
      <c r="VAG244" s="36"/>
      <c r="VAH244" s="36"/>
      <c r="VAI244" s="36"/>
      <c r="VAJ244" s="36"/>
      <c r="VAK244" s="36"/>
      <c r="VAL244" s="36"/>
      <c r="VAM244" s="36"/>
      <c r="VAN244" s="36"/>
      <c r="VAO244" s="36"/>
      <c r="VAP244" s="36"/>
      <c r="VAQ244" s="36"/>
      <c r="VAR244" s="36"/>
      <c r="VAS244" s="36"/>
      <c r="VAT244" s="36"/>
      <c r="VAU244" s="36"/>
      <c r="VAV244" s="36"/>
      <c r="VAW244" s="36"/>
      <c r="VAX244" s="36"/>
      <c r="VAY244" s="36"/>
      <c r="VAZ244" s="36"/>
      <c r="VBA244" s="36"/>
      <c r="VBB244" s="36"/>
      <c r="VBC244" s="36"/>
      <c r="VBD244" s="36"/>
      <c r="VBE244" s="36"/>
      <c r="VBF244" s="36"/>
      <c r="VBG244" s="36"/>
      <c r="VBH244" s="36"/>
      <c r="VBI244" s="36"/>
      <c r="VBJ244" s="36"/>
      <c r="VBK244" s="36"/>
      <c r="VBL244" s="36"/>
      <c r="VBM244" s="36"/>
      <c r="VBN244" s="36"/>
      <c r="VBO244" s="36"/>
      <c r="VBP244" s="36"/>
      <c r="VBQ244" s="36"/>
      <c r="VBR244" s="36"/>
      <c r="VBS244" s="36"/>
      <c r="VBT244" s="36"/>
      <c r="VBU244" s="36"/>
      <c r="VBV244" s="36"/>
      <c r="VBW244" s="36"/>
      <c r="VBX244" s="36"/>
      <c r="VBY244" s="36"/>
      <c r="VBZ244" s="36"/>
      <c r="VCA244" s="36"/>
      <c r="VCB244" s="36"/>
      <c r="VCC244" s="36"/>
      <c r="VCD244" s="36"/>
      <c r="VCE244" s="36"/>
      <c r="VCF244" s="36"/>
      <c r="VCG244" s="36"/>
      <c r="VCH244" s="36"/>
      <c r="VCI244" s="36"/>
      <c r="VCJ244" s="36"/>
      <c r="VCK244" s="36"/>
      <c r="VCL244" s="36"/>
      <c r="VCM244" s="36"/>
      <c r="VCN244" s="36"/>
      <c r="VCO244" s="36"/>
      <c r="VCP244" s="36"/>
      <c r="VCQ244" s="36"/>
      <c r="VCR244" s="36"/>
      <c r="VCS244" s="36"/>
      <c r="VCT244" s="36"/>
      <c r="VCU244" s="36"/>
      <c r="VCV244" s="36"/>
      <c r="VCW244" s="36"/>
      <c r="VCX244" s="36"/>
      <c r="VCY244" s="36"/>
      <c r="VCZ244" s="36"/>
      <c r="VDA244" s="36"/>
      <c r="VDB244" s="36"/>
      <c r="VDC244" s="36"/>
      <c r="VDD244" s="36"/>
      <c r="VDE244" s="36"/>
      <c r="VDF244" s="36"/>
      <c r="VDG244" s="36"/>
      <c r="VDH244" s="36"/>
      <c r="VDI244" s="36"/>
      <c r="VDJ244" s="36"/>
      <c r="VDK244" s="36"/>
      <c r="VDL244" s="36"/>
      <c r="VDM244" s="36"/>
      <c r="VDN244" s="36"/>
      <c r="VDO244" s="36"/>
      <c r="VDP244" s="36"/>
      <c r="VDQ244" s="36"/>
      <c r="VDR244" s="36"/>
      <c r="VDS244" s="36"/>
      <c r="VDT244" s="36"/>
      <c r="VDU244" s="36"/>
      <c r="VDV244" s="36"/>
      <c r="VDW244" s="36"/>
      <c r="VDX244" s="36"/>
      <c r="VDY244" s="36"/>
      <c r="VDZ244" s="36"/>
      <c r="VEA244" s="36"/>
      <c r="VEB244" s="36"/>
      <c r="VEC244" s="36"/>
      <c r="VED244" s="36"/>
      <c r="VEE244" s="36"/>
      <c r="VEF244" s="36"/>
      <c r="VEG244" s="36"/>
      <c r="VEH244" s="36"/>
      <c r="VEI244" s="36"/>
      <c r="VEJ244" s="36"/>
      <c r="VEK244" s="36"/>
      <c r="VEL244" s="36"/>
      <c r="VEM244" s="36"/>
      <c r="VEN244" s="36"/>
      <c r="VEO244" s="36"/>
      <c r="VEP244" s="36"/>
      <c r="VEQ244" s="36"/>
      <c r="VER244" s="36"/>
      <c r="VES244" s="36"/>
      <c r="VET244" s="36"/>
      <c r="VEU244" s="36"/>
      <c r="VEV244" s="36"/>
      <c r="VEW244" s="36"/>
      <c r="VEX244" s="36"/>
      <c r="VEY244" s="36"/>
      <c r="VEZ244" s="36"/>
      <c r="VFA244" s="36"/>
      <c r="VFB244" s="36"/>
      <c r="VFC244" s="36"/>
      <c r="VFD244" s="36"/>
      <c r="VFE244" s="36"/>
      <c r="VFF244" s="36"/>
      <c r="VFG244" s="36"/>
      <c r="VFH244" s="36"/>
      <c r="VFI244" s="36"/>
      <c r="VFJ244" s="36"/>
      <c r="VFK244" s="36"/>
      <c r="VFL244" s="36"/>
      <c r="VFM244" s="36"/>
      <c r="VFN244" s="36"/>
      <c r="VFO244" s="36"/>
      <c r="VFP244" s="36"/>
      <c r="VFQ244" s="36"/>
      <c r="VFR244" s="36"/>
      <c r="VFS244" s="36"/>
      <c r="VFT244" s="36"/>
      <c r="VFU244" s="36"/>
      <c r="VFV244" s="36"/>
      <c r="VFW244" s="36"/>
      <c r="VFX244" s="36"/>
      <c r="VFY244" s="36"/>
      <c r="VFZ244" s="36"/>
      <c r="VGA244" s="36"/>
      <c r="VGB244" s="36"/>
      <c r="VGC244" s="36"/>
      <c r="VGD244" s="36"/>
      <c r="VGE244" s="36"/>
      <c r="VGF244" s="36"/>
      <c r="VGG244" s="36"/>
      <c r="VGH244" s="36"/>
      <c r="VGI244" s="36"/>
      <c r="VGJ244" s="36"/>
      <c r="VGK244" s="36"/>
      <c r="VGL244" s="36"/>
      <c r="VGM244" s="36"/>
      <c r="VGN244" s="36"/>
      <c r="VGO244" s="36"/>
      <c r="VGP244" s="36"/>
      <c r="VGQ244" s="36"/>
      <c r="VGR244" s="36"/>
      <c r="VGS244" s="36"/>
      <c r="VGT244" s="36"/>
      <c r="VGU244" s="36"/>
      <c r="VGV244" s="36"/>
      <c r="VGW244" s="36"/>
      <c r="VGX244" s="36"/>
      <c r="VGY244" s="36"/>
      <c r="VGZ244" s="36"/>
      <c r="VHA244" s="36"/>
      <c r="VHB244" s="36"/>
      <c r="VHC244" s="36"/>
      <c r="VHD244" s="36"/>
      <c r="VHE244" s="36"/>
      <c r="VHF244" s="36"/>
      <c r="VHG244" s="36"/>
      <c r="VHH244" s="36"/>
      <c r="VHI244" s="36"/>
      <c r="VHJ244" s="36"/>
      <c r="VHK244" s="36"/>
      <c r="VHL244" s="36"/>
      <c r="VHM244" s="36"/>
      <c r="VHN244" s="36"/>
      <c r="VHO244" s="36"/>
      <c r="VHP244" s="36"/>
      <c r="VHQ244" s="36"/>
      <c r="VHR244" s="36"/>
      <c r="VHS244" s="36"/>
      <c r="VHT244" s="36"/>
      <c r="VHU244" s="36"/>
      <c r="VHV244" s="36"/>
      <c r="VHW244" s="36"/>
      <c r="VHX244" s="36"/>
      <c r="VHY244" s="36"/>
      <c r="VHZ244" s="36"/>
      <c r="VIA244" s="36"/>
      <c r="VIB244" s="36"/>
      <c r="VIC244" s="36"/>
      <c r="VID244" s="36"/>
      <c r="VIE244" s="36"/>
      <c r="VIF244" s="36"/>
      <c r="VIG244" s="36"/>
      <c r="VIH244" s="36"/>
      <c r="VII244" s="36"/>
      <c r="VIJ244" s="36"/>
      <c r="VIK244" s="36"/>
      <c r="VIL244" s="36"/>
      <c r="VIM244" s="36"/>
      <c r="VIN244" s="36"/>
      <c r="VIO244" s="36"/>
      <c r="VIP244" s="36"/>
      <c r="VIQ244" s="36"/>
      <c r="VIR244" s="36"/>
      <c r="VIS244" s="36"/>
      <c r="VIT244" s="36"/>
      <c r="VIU244" s="36"/>
      <c r="VIV244" s="36"/>
      <c r="VIW244" s="36"/>
      <c r="VIX244" s="36"/>
      <c r="VIY244" s="36"/>
      <c r="VIZ244" s="36"/>
      <c r="VJA244" s="36"/>
      <c r="VJB244" s="36"/>
      <c r="VJC244" s="36"/>
      <c r="VJD244" s="36"/>
      <c r="VJE244" s="36"/>
      <c r="VJF244" s="36"/>
      <c r="VJG244" s="36"/>
      <c r="VJH244" s="36"/>
      <c r="VJI244" s="36"/>
      <c r="VJJ244" s="36"/>
      <c r="VJK244" s="36"/>
      <c r="VJL244" s="36"/>
      <c r="VJM244" s="36"/>
      <c r="VJN244" s="36"/>
      <c r="VJO244" s="36"/>
      <c r="VJP244" s="36"/>
      <c r="VJQ244" s="36"/>
      <c r="VJR244" s="36"/>
      <c r="VJS244" s="36"/>
      <c r="VJT244" s="36"/>
      <c r="VJU244" s="36"/>
      <c r="VJV244" s="36"/>
      <c r="VJW244" s="36"/>
      <c r="VJX244" s="36"/>
      <c r="VJY244" s="36"/>
      <c r="VJZ244" s="36"/>
      <c r="VKA244" s="36"/>
      <c r="VKB244" s="36"/>
      <c r="VKC244" s="36"/>
      <c r="VKD244" s="36"/>
      <c r="VKE244" s="36"/>
      <c r="VKF244" s="36"/>
      <c r="VKG244" s="36"/>
      <c r="VKH244" s="36"/>
      <c r="VKI244" s="36"/>
      <c r="VKJ244" s="36"/>
      <c r="VKK244" s="36"/>
      <c r="VKL244" s="36"/>
      <c r="VKM244" s="36"/>
      <c r="VKN244" s="36"/>
      <c r="VKO244" s="36"/>
      <c r="VKP244" s="36"/>
      <c r="VKQ244" s="36"/>
      <c r="VKR244" s="36"/>
      <c r="VKS244" s="36"/>
      <c r="VKT244" s="36"/>
      <c r="VKU244" s="36"/>
      <c r="VKV244" s="36"/>
      <c r="VKW244" s="36"/>
      <c r="VKX244" s="36"/>
      <c r="VKY244" s="36"/>
      <c r="VKZ244" s="36"/>
      <c r="VLA244" s="36"/>
      <c r="VLB244" s="36"/>
      <c r="VLC244" s="36"/>
      <c r="VLD244" s="36"/>
      <c r="VLE244" s="36"/>
      <c r="VLF244" s="36"/>
      <c r="VLG244" s="36"/>
      <c r="VLH244" s="36"/>
      <c r="VLI244" s="36"/>
      <c r="VLJ244" s="36"/>
      <c r="VLK244" s="36"/>
      <c r="VLL244" s="36"/>
      <c r="VLM244" s="36"/>
      <c r="VLN244" s="36"/>
      <c r="VLO244" s="36"/>
      <c r="VLP244" s="36"/>
      <c r="VLQ244" s="36"/>
      <c r="VLR244" s="36"/>
      <c r="VLS244" s="36"/>
      <c r="VLT244" s="36"/>
      <c r="VLU244" s="36"/>
      <c r="VLV244" s="36"/>
      <c r="VLW244" s="36"/>
      <c r="VLX244" s="36"/>
      <c r="VLY244" s="36"/>
      <c r="VLZ244" s="36"/>
      <c r="VMA244" s="36"/>
      <c r="VMB244" s="36"/>
      <c r="VMC244" s="36"/>
      <c r="VMD244" s="36"/>
      <c r="VME244" s="36"/>
      <c r="VMF244" s="36"/>
      <c r="VMG244" s="36"/>
      <c r="VMH244" s="36"/>
      <c r="VMI244" s="36"/>
      <c r="VMJ244" s="36"/>
      <c r="VMK244" s="36"/>
      <c r="VML244" s="36"/>
      <c r="VMM244" s="36"/>
      <c r="VMN244" s="36"/>
      <c r="VMO244" s="36"/>
      <c r="VMP244" s="36"/>
      <c r="VMQ244" s="36"/>
      <c r="VMR244" s="36"/>
      <c r="VMS244" s="36"/>
      <c r="VMT244" s="36"/>
      <c r="VMU244" s="36"/>
      <c r="VMV244" s="36"/>
      <c r="VMW244" s="36"/>
      <c r="VMX244" s="36"/>
      <c r="VMY244" s="36"/>
      <c r="VMZ244" s="36"/>
      <c r="VNA244" s="36"/>
      <c r="VNB244" s="36"/>
      <c r="VNC244" s="36"/>
      <c r="VND244" s="36"/>
      <c r="VNE244" s="36"/>
      <c r="VNF244" s="36"/>
      <c r="VNG244" s="36"/>
      <c r="VNH244" s="36"/>
      <c r="VNI244" s="36"/>
      <c r="VNJ244" s="36"/>
      <c r="VNK244" s="36"/>
      <c r="VNL244" s="36"/>
      <c r="VNM244" s="36"/>
      <c r="VNN244" s="36"/>
      <c r="VNO244" s="36"/>
      <c r="VNP244" s="36"/>
      <c r="VNQ244" s="36"/>
      <c r="VNR244" s="36"/>
      <c r="VNS244" s="36"/>
      <c r="VNT244" s="36"/>
      <c r="VNU244" s="36"/>
      <c r="VNV244" s="36"/>
      <c r="VNW244" s="36"/>
      <c r="VNX244" s="36"/>
      <c r="VNY244" s="36"/>
      <c r="VNZ244" s="36"/>
      <c r="VOA244" s="36"/>
      <c r="VOB244" s="36"/>
      <c r="VOC244" s="36"/>
      <c r="VOD244" s="36"/>
      <c r="VOE244" s="36"/>
      <c r="VOF244" s="36"/>
      <c r="VOG244" s="36"/>
      <c r="VOH244" s="36"/>
      <c r="VOI244" s="36"/>
      <c r="VOJ244" s="36"/>
      <c r="VOK244" s="36"/>
      <c r="VOL244" s="36"/>
      <c r="VOM244" s="36"/>
      <c r="VON244" s="36"/>
      <c r="VOO244" s="36"/>
      <c r="VOP244" s="36"/>
      <c r="VOQ244" s="36"/>
      <c r="VOR244" s="36"/>
      <c r="VOS244" s="36"/>
      <c r="VOT244" s="36"/>
      <c r="VOU244" s="36"/>
      <c r="VOV244" s="36"/>
      <c r="VOW244" s="36"/>
      <c r="VOX244" s="36"/>
      <c r="VOY244" s="36"/>
      <c r="VOZ244" s="36"/>
      <c r="VPA244" s="36"/>
      <c r="VPB244" s="36"/>
      <c r="VPC244" s="36"/>
      <c r="VPD244" s="36"/>
      <c r="VPE244" s="36"/>
      <c r="VPF244" s="36"/>
      <c r="VPG244" s="36"/>
      <c r="VPH244" s="36"/>
      <c r="VPI244" s="36"/>
      <c r="VPJ244" s="36"/>
      <c r="VPK244" s="36"/>
      <c r="VPL244" s="36"/>
      <c r="VPM244" s="36"/>
      <c r="VPN244" s="36"/>
      <c r="VPO244" s="36"/>
      <c r="VPP244" s="36"/>
      <c r="VPQ244" s="36"/>
      <c r="VPR244" s="36"/>
      <c r="VPS244" s="36"/>
      <c r="VPT244" s="36"/>
      <c r="VPU244" s="36"/>
      <c r="VPV244" s="36"/>
      <c r="VPW244" s="36"/>
      <c r="VPX244" s="36"/>
      <c r="VPY244" s="36"/>
      <c r="VPZ244" s="36"/>
      <c r="VQA244" s="36"/>
      <c r="VQB244" s="36"/>
      <c r="VQC244" s="36"/>
      <c r="VQD244" s="36"/>
      <c r="VQE244" s="36"/>
      <c r="VQF244" s="36"/>
      <c r="VQG244" s="36"/>
      <c r="VQH244" s="36"/>
      <c r="VQI244" s="36"/>
      <c r="VQJ244" s="36"/>
      <c r="VQK244" s="36"/>
      <c r="VQL244" s="36"/>
      <c r="VQM244" s="36"/>
      <c r="VQN244" s="36"/>
      <c r="VQO244" s="36"/>
      <c r="VQP244" s="36"/>
      <c r="VQQ244" s="36"/>
      <c r="VQR244" s="36"/>
      <c r="VQS244" s="36"/>
      <c r="VQT244" s="36"/>
      <c r="VQU244" s="36"/>
      <c r="VQV244" s="36"/>
      <c r="VQW244" s="36"/>
      <c r="VQX244" s="36"/>
      <c r="VQY244" s="36"/>
      <c r="VQZ244" s="36"/>
      <c r="VRA244" s="36"/>
      <c r="VRB244" s="36"/>
      <c r="VRC244" s="36"/>
      <c r="VRD244" s="36"/>
      <c r="VRE244" s="36"/>
      <c r="VRF244" s="36"/>
      <c r="VRG244" s="36"/>
      <c r="VRH244" s="36"/>
      <c r="VRI244" s="36"/>
      <c r="VRJ244" s="36"/>
      <c r="VRK244" s="36"/>
      <c r="VRL244" s="36"/>
      <c r="VRM244" s="36"/>
      <c r="VRN244" s="36"/>
      <c r="VRO244" s="36"/>
      <c r="VRP244" s="36"/>
      <c r="VRQ244" s="36"/>
      <c r="VRR244" s="36"/>
      <c r="VRS244" s="36"/>
      <c r="VRT244" s="36"/>
      <c r="VRU244" s="36"/>
      <c r="VRV244" s="36"/>
      <c r="VRW244" s="36"/>
      <c r="VRX244" s="36"/>
      <c r="VRY244" s="36"/>
      <c r="VRZ244" s="36"/>
      <c r="VSA244" s="36"/>
      <c r="VSB244" s="36"/>
      <c r="VSC244" s="36"/>
      <c r="VSD244" s="36"/>
      <c r="VSE244" s="36"/>
      <c r="VSF244" s="36"/>
      <c r="VSG244" s="36"/>
      <c r="VSH244" s="36"/>
      <c r="VSI244" s="36"/>
      <c r="VSJ244" s="36"/>
      <c r="VSK244" s="36"/>
      <c r="VSL244" s="36"/>
      <c r="VSM244" s="36"/>
      <c r="VSN244" s="36"/>
      <c r="VSO244" s="36"/>
      <c r="VSP244" s="36"/>
      <c r="VSQ244" s="36"/>
      <c r="VSR244" s="36"/>
      <c r="VSS244" s="36"/>
      <c r="VST244" s="36"/>
      <c r="VSU244" s="36"/>
      <c r="VSV244" s="36"/>
      <c r="VSW244" s="36"/>
      <c r="VSX244" s="36"/>
      <c r="VSY244" s="36"/>
      <c r="VSZ244" s="36"/>
      <c r="VTA244" s="36"/>
      <c r="VTB244" s="36"/>
      <c r="VTC244" s="36"/>
      <c r="VTD244" s="36"/>
      <c r="VTE244" s="36"/>
      <c r="VTF244" s="36"/>
      <c r="VTG244" s="36"/>
      <c r="VTH244" s="36"/>
      <c r="VTI244" s="36"/>
      <c r="VTJ244" s="36"/>
      <c r="VTK244" s="36"/>
      <c r="VTL244" s="36"/>
      <c r="VTM244" s="36"/>
      <c r="VTN244" s="36"/>
      <c r="VTO244" s="36"/>
      <c r="VTP244" s="36"/>
      <c r="VTQ244" s="36"/>
      <c r="VTR244" s="36"/>
      <c r="VTS244" s="36"/>
      <c r="VTT244" s="36"/>
      <c r="VTU244" s="36"/>
      <c r="VTV244" s="36"/>
      <c r="VTW244" s="36"/>
      <c r="VTX244" s="36"/>
      <c r="VTY244" s="36"/>
      <c r="VTZ244" s="36"/>
      <c r="VUA244" s="36"/>
      <c r="VUB244" s="36"/>
      <c r="VUC244" s="36"/>
      <c r="VUD244" s="36"/>
      <c r="VUE244" s="36"/>
      <c r="VUF244" s="36"/>
      <c r="VUG244" s="36"/>
      <c r="VUH244" s="36"/>
      <c r="VUI244" s="36"/>
      <c r="VUJ244" s="36"/>
      <c r="VUK244" s="36"/>
      <c r="VUL244" s="36"/>
      <c r="VUM244" s="36"/>
      <c r="VUN244" s="36"/>
      <c r="VUO244" s="36"/>
      <c r="VUP244" s="36"/>
      <c r="VUQ244" s="36"/>
      <c r="VUR244" s="36"/>
      <c r="VUS244" s="36"/>
      <c r="VUT244" s="36"/>
      <c r="VUU244" s="36"/>
      <c r="VUV244" s="36"/>
      <c r="VUW244" s="36"/>
      <c r="VUX244" s="36"/>
      <c r="VUY244" s="36"/>
      <c r="VUZ244" s="36"/>
      <c r="VVA244" s="36"/>
      <c r="VVB244" s="36"/>
      <c r="VVC244" s="36"/>
      <c r="VVD244" s="36"/>
      <c r="VVE244" s="36"/>
      <c r="VVF244" s="36"/>
      <c r="VVG244" s="36"/>
      <c r="VVH244" s="36"/>
      <c r="VVI244" s="36"/>
      <c r="VVJ244" s="36"/>
      <c r="VVK244" s="36"/>
      <c r="VVL244" s="36"/>
      <c r="VVM244" s="36"/>
      <c r="VVN244" s="36"/>
      <c r="VVO244" s="36"/>
      <c r="VVP244" s="36"/>
      <c r="VVQ244" s="36"/>
      <c r="VVR244" s="36"/>
      <c r="VVS244" s="36"/>
      <c r="VVT244" s="36"/>
      <c r="VVU244" s="36"/>
      <c r="VVV244" s="36"/>
      <c r="VVW244" s="36"/>
      <c r="VVX244" s="36"/>
      <c r="VVY244" s="36"/>
      <c r="VVZ244" s="36"/>
      <c r="VWA244" s="36"/>
      <c r="VWB244" s="36"/>
      <c r="VWC244" s="36"/>
      <c r="VWD244" s="36"/>
      <c r="VWE244" s="36"/>
      <c r="VWF244" s="36"/>
      <c r="VWG244" s="36"/>
      <c r="VWH244" s="36"/>
      <c r="VWI244" s="36"/>
      <c r="VWJ244" s="36"/>
      <c r="VWK244" s="36"/>
      <c r="VWL244" s="36"/>
      <c r="VWM244" s="36"/>
      <c r="VWN244" s="36"/>
      <c r="VWO244" s="36"/>
      <c r="VWP244" s="36"/>
      <c r="VWQ244" s="36"/>
      <c r="VWR244" s="36"/>
      <c r="VWS244" s="36"/>
      <c r="VWT244" s="36"/>
      <c r="VWU244" s="36"/>
      <c r="VWV244" s="36"/>
      <c r="VWW244" s="36"/>
      <c r="VWX244" s="36"/>
      <c r="VWY244" s="36"/>
      <c r="VWZ244" s="36"/>
      <c r="VXA244" s="36"/>
      <c r="VXB244" s="36"/>
      <c r="VXC244" s="36"/>
      <c r="VXD244" s="36"/>
      <c r="VXE244" s="36"/>
      <c r="VXF244" s="36"/>
      <c r="VXG244" s="36"/>
      <c r="VXH244" s="36"/>
      <c r="VXI244" s="36"/>
      <c r="VXJ244" s="36"/>
      <c r="VXK244" s="36"/>
      <c r="VXL244" s="36"/>
      <c r="VXM244" s="36"/>
      <c r="VXN244" s="36"/>
      <c r="VXO244" s="36"/>
      <c r="VXP244" s="36"/>
      <c r="VXQ244" s="36"/>
      <c r="VXR244" s="36"/>
      <c r="VXS244" s="36"/>
      <c r="VXT244" s="36"/>
      <c r="VXU244" s="36"/>
      <c r="VXV244" s="36"/>
      <c r="VXW244" s="36"/>
      <c r="VXX244" s="36"/>
      <c r="VXY244" s="36"/>
      <c r="VXZ244" s="36"/>
      <c r="VYA244" s="36"/>
      <c r="VYB244" s="36"/>
      <c r="VYC244" s="36"/>
      <c r="VYD244" s="36"/>
      <c r="VYE244" s="36"/>
      <c r="VYF244" s="36"/>
      <c r="VYG244" s="36"/>
      <c r="VYH244" s="36"/>
      <c r="VYI244" s="36"/>
      <c r="VYJ244" s="36"/>
      <c r="VYK244" s="36"/>
      <c r="VYL244" s="36"/>
      <c r="VYM244" s="36"/>
      <c r="VYN244" s="36"/>
      <c r="VYO244" s="36"/>
      <c r="VYP244" s="36"/>
      <c r="VYQ244" s="36"/>
      <c r="VYR244" s="36"/>
      <c r="VYS244" s="36"/>
      <c r="VYT244" s="36"/>
      <c r="VYU244" s="36"/>
      <c r="VYV244" s="36"/>
      <c r="VYW244" s="36"/>
      <c r="VYX244" s="36"/>
      <c r="VYY244" s="36"/>
      <c r="VYZ244" s="36"/>
      <c r="VZA244" s="36"/>
      <c r="VZB244" s="36"/>
      <c r="VZC244" s="36"/>
      <c r="VZD244" s="36"/>
      <c r="VZE244" s="36"/>
      <c r="VZF244" s="36"/>
      <c r="VZG244" s="36"/>
      <c r="VZH244" s="36"/>
      <c r="VZI244" s="36"/>
      <c r="VZJ244" s="36"/>
      <c r="VZK244" s="36"/>
      <c r="VZL244" s="36"/>
      <c r="VZM244" s="36"/>
      <c r="VZN244" s="36"/>
      <c r="VZO244" s="36"/>
      <c r="VZP244" s="36"/>
      <c r="VZQ244" s="36"/>
      <c r="VZR244" s="36"/>
      <c r="VZS244" s="36"/>
      <c r="VZT244" s="36"/>
      <c r="VZU244" s="36"/>
      <c r="VZV244" s="36"/>
      <c r="VZW244" s="36"/>
      <c r="VZX244" s="36"/>
      <c r="VZY244" s="36"/>
      <c r="VZZ244" s="36"/>
      <c r="WAA244" s="36"/>
      <c r="WAB244" s="36"/>
      <c r="WAC244" s="36"/>
      <c r="WAD244" s="36"/>
      <c r="WAE244" s="36"/>
      <c r="WAF244" s="36"/>
      <c r="WAG244" s="36"/>
      <c r="WAH244" s="36"/>
      <c r="WAI244" s="36"/>
      <c r="WAJ244" s="36"/>
      <c r="WAK244" s="36"/>
      <c r="WAL244" s="36"/>
      <c r="WAM244" s="36"/>
      <c r="WAN244" s="36"/>
      <c r="WAO244" s="36"/>
      <c r="WAP244" s="36"/>
      <c r="WAQ244" s="36"/>
      <c r="WAR244" s="36"/>
      <c r="WAS244" s="36"/>
      <c r="WAT244" s="36"/>
      <c r="WAU244" s="36"/>
      <c r="WAV244" s="36"/>
      <c r="WAW244" s="36"/>
      <c r="WAX244" s="36"/>
      <c r="WAY244" s="36"/>
      <c r="WAZ244" s="36"/>
      <c r="WBA244" s="36"/>
      <c r="WBB244" s="36"/>
      <c r="WBC244" s="36"/>
      <c r="WBD244" s="36"/>
      <c r="WBE244" s="36"/>
      <c r="WBF244" s="36"/>
      <c r="WBG244" s="36"/>
      <c r="WBH244" s="36"/>
      <c r="WBI244" s="36"/>
      <c r="WBJ244" s="36"/>
      <c r="WBK244" s="36"/>
      <c r="WBL244" s="36"/>
      <c r="WBM244" s="36"/>
      <c r="WBN244" s="36"/>
      <c r="WBO244" s="36"/>
      <c r="WBP244" s="36"/>
      <c r="WBQ244" s="36"/>
      <c r="WBR244" s="36"/>
      <c r="WBS244" s="36"/>
      <c r="WBT244" s="36"/>
      <c r="WBU244" s="36"/>
      <c r="WBV244" s="36"/>
      <c r="WBW244" s="36"/>
      <c r="WBX244" s="36"/>
      <c r="WBY244" s="36"/>
      <c r="WBZ244" s="36"/>
      <c r="WCA244" s="36"/>
      <c r="WCB244" s="36"/>
      <c r="WCC244" s="36"/>
      <c r="WCD244" s="36"/>
      <c r="WCE244" s="36"/>
      <c r="WCF244" s="36"/>
      <c r="WCG244" s="36"/>
      <c r="WCH244" s="36"/>
      <c r="WCI244" s="36"/>
      <c r="WCJ244" s="36"/>
      <c r="WCK244" s="36"/>
      <c r="WCL244" s="36"/>
      <c r="WCM244" s="36"/>
      <c r="WCN244" s="36"/>
      <c r="WCO244" s="36"/>
      <c r="WCP244" s="36"/>
      <c r="WCQ244" s="36"/>
      <c r="WCR244" s="36"/>
      <c r="WCS244" s="36"/>
      <c r="WCT244" s="36"/>
      <c r="WCU244" s="36"/>
      <c r="WCV244" s="36"/>
      <c r="WCW244" s="36"/>
      <c r="WCX244" s="36"/>
      <c r="WCY244" s="36"/>
      <c r="WCZ244" s="36"/>
      <c r="WDA244" s="36"/>
      <c r="WDB244" s="36"/>
      <c r="WDC244" s="36"/>
      <c r="WDD244" s="36"/>
      <c r="WDE244" s="36"/>
      <c r="WDF244" s="36"/>
      <c r="WDG244" s="36"/>
      <c r="WDH244" s="36"/>
      <c r="WDI244" s="36"/>
      <c r="WDJ244" s="36"/>
      <c r="WDK244" s="36"/>
      <c r="WDL244" s="36"/>
      <c r="WDM244" s="36"/>
      <c r="WDN244" s="36"/>
      <c r="WDO244" s="36"/>
      <c r="WDP244" s="36"/>
      <c r="WDQ244" s="36"/>
      <c r="WDR244" s="36"/>
      <c r="WDS244" s="36"/>
      <c r="WDT244" s="36"/>
      <c r="WDU244" s="36"/>
      <c r="WDV244" s="36"/>
      <c r="WDW244" s="36"/>
      <c r="WDX244" s="36"/>
      <c r="WDY244" s="36"/>
      <c r="WDZ244" s="36"/>
      <c r="WEA244" s="36"/>
      <c r="WEB244" s="36"/>
      <c r="WEC244" s="36"/>
      <c r="WED244" s="36"/>
      <c r="WEE244" s="36"/>
      <c r="WEF244" s="36"/>
      <c r="WEG244" s="36"/>
      <c r="WEH244" s="36"/>
      <c r="WEI244" s="36"/>
      <c r="WEJ244" s="36"/>
      <c r="WEK244" s="36"/>
      <c r="WEL244" s="36"/>
      <c r="WEM244" s="36"/>
      <c r="WEN244" s="36"/>
      <c r="WEO244" s="36"/>
      <c r="WEP244" s="36"/>
      <c r="WEQ244" s="36"/>
      <c r="WER244" s="36"/>
      <c r="WES244" s="36"/>
      <c r="WET244" s="36"/>
      <c r="WEU244" s="36"/>
      <c r="WEV244" s="36"/>
      <c r="WEW244" s="36"/>
      <c r="WEX244" s="36"/>
      <c r="WEY244" s="36"/>
      <c r="WEZ244" s="36"/>
      <c r="WFA244" s="36"/>
      <c r="WFB244" s="36"/>
      <c r="WFC244" s="36"/>
      <c r="WFD244" s="36"/>
      <c r="WFE244" s="36"/>
      <c r="WFF244" s="36"/>
      <c r="WFG244" s="36"/>
      <c r="WFH244" s="36"/>
      <c r="WFI244" s="36"/>
      <c r="WFJ244" s="36"/>
      <c r="WFK244" s="36"/>
      <c r="WFL244" s="36"/>
      <c r="WFM244" s="36"/>
      <c r="WFN244" s="36"/>
      <c r="WFO244" s="36"/>
      <c r="WFP244" s="36"/>
      <c r="WFQ244" s="36"/>
      <c r="WFR244" s="36"/>
      <c r="WFS244" s="36"/>
      <c r="WFT244" s="36"/>
      <c r="WFU244" s="36"/>
      <c r="WFV244" s="36"/>
      <c r="WFW244" s="36"/>
      <c r="WFX244" s="36"/>
      <c r="WFY244" s="36"/>
      <c r="WFZ244" s="36"/>
      <c r="WGA244" s="36"/>
      <c r="WGB244" s="36"/>
      <c r="WGC244" s="36"/>
      <c r="WGD244" s="36"/>
      <c r="WGE244" s="36"/>
      <c r="WGF244" s="36"/>
      <c r="WGG244" s="36"/>
      <c r="WGH244" s="36"/>
      <c r="WGI244" s="36"/>
      <c r="WGJ244" s="36"/>
      <c r="WGK244" s="36"/>
      <c r="WGL244" s="36"/>
      <c r="WGM244" s="36"/>
      <c r="WGN244" s="36"/>
      <c r="WGO244" s="36"/>
      <c r="WGP244" s="36"/>
      <c r="WGQ244" s="36"/>
      <c r="WGR244" s="36"/>
      <c r="WGS244" s="36"/>
      <c r="WGT244" s="36"/>
      <c r="WGU244" s="36"/>
      <c r="WGV244" s="36"/>
      <c r="WGW244" s="36"/>
      <c r="WGX244" s="36"/>
      <c r="WGY244" s="36"/>
      <c r="WGZ244" s="36"/>
      <c r="WHA244" s="36"/>
      <c r="WHB244" s="36"/>
      <c r="WHC244" s="36"/>
      <c r="WHD244" s="36"/>
      <c r="WHE244" s="36"/>
      <c r="WHF244" s="36"/>
      <c r="WHG244" s="36"/>
      <c r="WHH244" s="36"/>
      <c r="WHI244" s="36"/>
      <c r="WHJ244" s="36"/>
      <c r="WHK244" s="36"/>
      <c r="WHL244" s="36"/>
      <c r="WHM244" s="36"/>
      <c r="WHN244" s="36"/>
      <c r="WHO244" s="36"/>
      <c r="WHP244" s="36"/>
      <c r="WHQ244" s="36"/>
      <c r="WHR244" s="36"/>
      <c r="WHS244" s="36"/>
      <c r="WHT244" s="36"/>
      <c r="WHU244" s="36"/>
      <c r="WHV244" s="36"/>
      <c r="WHW244" s="36"/>
      <c r="WHX244" s="36"/>
      <c r="WHY244" s="36"/>
      <c r="WHZ244" s="36"/>
      <c r="WIA244" s="36"/>
      <c r="WIB244" s="36"/>
      <c r="WIC244" s="36"/>
      <c r="WID244" s="36"/>
      <c r="WIE244" s="36"/>
      <c r="WIF244" s="36"/>
      <c r="WIG244" s="36"/>
      <c r="WIH244" s="36"/>
      <c r="WII244" s="36"/>
      <c r="WIJ244" s="36"/>
      <c r="WIK244" s="36"/>
      <c r="WIL244" s="36"/>
      <c r="WIM244" s="36"/>
      <c r="WIN244" s="36"/>
      <c r="WIO244" s="36"/>
      <c r="WIP244" s="36"/>
      <c r="WIQ244" s="36"/>
      <c r="WIR244" s="36"/>
      <c r="WIS244" s="36"/>
      <c r="WIT244" s="36"/>
      <c r="WIU244" s="36"/>
      <c r="WIV244" s="36"/>
      <c r="WIW244" s="36"/>
      <c r="WIX244" s="36"/>
      <c r="WIY244" s="36"/>
      <c r="WIZ244" s="36"/>
      <c r="WJA244" s="36"/>
      <c r="WJB244" s="36"/>
      <c r="WJC244" s="36"/>
      <c r="WJD244" s="36"/>
      <c r="WJE244" s="36"/>
      <c r="WJF244" s="36"/>
      <c r="WJG244" s="36"/>
      <c r="WJH244" s="36"/>
      <c r="WJI244" s="36"/>
      <c r="WJJ244" s="36"/>
      <c r="WJK244" s="36"/>
      <c r="WJL244" s="36"/>
      <c r="WJM244" s="36"/>
      <c r="WJN244" s="36"/>
      <c r="WJO244" s="36"/>
      <c r="WJP244" s="36"/>
      <c r="WJQ244" s="36"/>
      <c r="WJR244" s="36"/>
      <c r="WJS244" s="36"/>
      <c r="WJT244" s="36"/>
      <c r="WJU244" s="36"/>
      <c r="WJV244" s="36"/>
      <c r="WJW244" s="36"/>
      <c r="WJX244" s="36"/>
      <c r="WJY244" s="36"/>
      <c r="WJZ244" s="36"/>
      <c r="WKA244" s="36"/>
      <c r="WKB244" s="36"/>
      <c r="WKC244" s="36"/>
      <c r="WKD244" s="36"/>
      <c r="WKE244" s="36"/>
      <c r="WKF244" s="36"/>
      <c r="WKG244" s="36"/>
      <c r="WKH244" s="36"/>
      <c r="WKI244" s="36"/>
      <c r="WKJ244" s="36"/>
      <c r="WKK244" s="36"/>
      <c r="WKL244" s="36"/>
      <c r="WKM244" s="36"/>
      <c r="WKN244" s="36"/>
      <c r="WKO244" s="36"/>
      <c r="WKP244" s="36"/>
      <c r="WKQ244" s="36"/>
      <c r="WKR244" s="36"/>
      <c r="WKS244" s="36"/>
      <c r="WKT244" s="36"/>
      <c r="WKU244" s="36"/>
      <c r="WKV244" s="36"/>
      <c r="WKW244" s="36"/>
      <c r="WKX244" s="36"/>
      <c r="WKY244" s="36"/>
      <c r="WKZ244" s="36"/>
      <c r="WLA244" s="36"/>
      <c r="WLB244" s="36"/>
      <c r="WLC244" s="36"/>
      <c r="WLD244" s="36"/>
      <c r="WLE244" s="36"/>
      <c r="WLF244" s="36"/>
      <c r="WLG244" s="36"/>
      <c r="WLH244" s="36"/>
      <c r="WLI244" s="36"/>
      <c r="WLJ244" s="36"/>
      <c r="WLK244" s="36"/>
      <c r="WLL244" s="36"/>
      <c r="WLM244" s="36"/>
      <c r="WLN244" s="36"/>
      <c r="WLO244" s="36"/>
      <c r="WLP244" s="36"/>
      <c r="WLQ244" s="36"/>
      <c r="WLR244" s="36"/>
      <c r="WLS244" s="36"/>
      <c r="WLT244" s="36"/>
      <c r="WLU244" s="36"/>
      <c r="WLV244" s="36"/>
      <c r="WLW244" s="36"/>
      <c r="WLX244" s="36"/>
      <c r="WLY244" s="36"/>
      <c r="WLZ244" s="36"/>
      <c r="WMA244" s="36"/>
      <c r="WMB244" s="36"/>
      <c r="WMC244" s="36"/>
      <c r="WMD244" s="36"/>
      <c r="WME244" s="36"/>
      <c r="WMF244" s="36"/>
      <c r="WMG244" s="36"/>
      <c r="WMH244" s="36"/>
      <c r="WMI244" s="36"/>
      <c r="WMJ244" s="36"/>
      <c r="WMK244" s="36"/>
      <c r="WML244" s="36"/>
      <c r="WMM244" s="36"/>
      <c r="WMN244" s="36"/>
      <c r="WMO244" s="36"/>
      <c r="WMP244" s="36"/>
      <c r="WMQ244" s="36"/>
      <c r="WMR244" s="36"/>
      <c r="WMS244" s="36"/>
      <c r="WMT244" s="36"/>
      <c r="WMU244" s="36"/>
      <c r="WMV244" s="36"/>
      <c r="WMW244" s="36"/>
      <c r="WMX244" s="36"/>
      <c r="WMY244" s="36"/>
      <c r="WMZ244" s="36"/>
      <c r="WNA244" s="36"/>
      <c r="WNB244" s="36"/>
      <c r="WNC244" s="36"/>
      <c r="WND244" s="36"/>
      <c r="WNE244" s="36"/>
      <c r="WNF244" s="36"/>
      <c r="WNG244" s="36"/>
      <c r="WNH244" s="36"/>
      <c r="WNI244" s="36"/>
      <c r="WNJ244" s="36"/>
      <c r="WNK244" s="36"/>
      <c r="WNL244" s="36"/>
      <c r="WNM244" s="36"/>
      <c r="WNN244" s="36"/>
      <c r="WNO244" s="36"/>
      <c r="WNP244" s="36"/>
      <c r="WNQ244" s="36"/>
      <c r="WNR244" s="36"/>
      <c r="WNS244" s="36"/>
      <c r="WNT244" s="36"/>
      <c r="WNU244" s="36"/>
      <c r="WNV244" s="36"/>
      <c r="WNW244" s="36"/>
      <c r="WNX244" s="36"/>
      <c r="WNY244" s="36"/>
      <c r="WNZ244" s="36"/>
      <c r="WOA244" s="36"/>
      <c r="WOB244" s="36"/>
      <c r="WOC244" s="36"/>
      <c r="WOD244" s="36"/>
      <c r="WOE244" s="36"/>
      <c r="WOF244" s="36"/>
      <c r="WOG244" s="36"/>
      <c r="WOH244" s="36"/>
      <c r="WOI244" s="36"/>
      <c r="WOJ244" s="36"/>
      <c r="WOK244" s="36"/>
      <c r="WOL244" s="36"/>
      <c r="WOM244" s="36"/>
      <c r="WON244" s="36"/>
      <c r="WOO244" s="36"/>
      <c r="WOP244" s="36"/>
      <c r="WOQ244" s="36"/>
      <c r="WOR244" s="36"/>
      <c r="WOS244" s="36"/>
      <c r="WOT244" s="36"/>
      <c r="WOU244" s="36"/>
      <c r="WOV244" s="36"/>
      <c r="WOW244" s="36"/>
      <c r="WOX244" s="36"/>
      <c r="WOY244" s="36"/>
      <c r="WOZ244" s="36"/>
      <c r="WPA244" s="36"/>
      <c r="WPB244" s="36"/>
      <c r="WPC244" s="36"/>
      <c r="WPD244" s="36"/>
      <c r="WPE244" s="36"/>
      <c r="WPF244" s="36"/>
      <c r="WPG244" s="36"/>
      <c r="WPH244" s="36"/>
      <c r="WPI244" s="36"/>
      <c r="WPJ244" s="36"/>
      <c r="WPK244" s="36"/>
      <c r="WPL244" s="36"/>
      <c r="WPM244" s="36"/>
      <c r="WPN244" s="36"/>
      <c r="WPO244" s="36"/>
      <c r="WPP244" s="36"/>
      <c r="WPQ244" s="36"/>
      <c r="WPR244" s="36"/>
      <c r="WPS244" s="36"/>
      <c r="WPT244" s="36"/>
      <c r="WPU244" s="36"/>
      <c r="WPV244" s="36"/>
      <c r="WPW244" s="36"/>
      <c r="WPX244" s="36"/>
      <c r="WPY244" s="36"/>
      <c r="WPZ244" s="36"/>
      <c r="WQA244" s="36"/>
      <c r="WQB244" s="36"/>
      <c r="WQC244" s="36"/>
      <c r="WQD244" s="36"/>
      <c r="WQE244" s="36"/>
      <c r="WQF244" s="36"/>
      <c r="WQG244" s="36"/>
      <c r="WQH244" s="36"/>
      <c r="WQI244" s="36"/>
      <c r="WQJ244" s="36"/>
      <c r="WQK244" s="36"/>
      <c r="WQL244" s="36"/>
      <c r="WQM244" s="36"/>
      <c r="WQN244" s="36"/>
      <c r="WQO244" s="36"/>
      <c r="WQP244" s="36"/>
      <c r="WQQ244" s="36"/>
      <c r="WQR244" s="36"/>
      <c r="WQS244" s="36"/>
      <c r="WQT244" s="36"/>
      <c r="WQU244" s="36"/>
      <c r="WQV244" s="36"/>
      <c r="WQW244" s="36"/>
      <c r="WQX244" s="36"/>
      <c r="WQY244" s="36"/>
      <c r="WQZ244" s="36"/>
      <c r="WRA244" s="36"/>
      <c r="WRB244" s="36"/>
      <c r="WRC244" s="36"/>
      <c r="WRD244" s="36"/>
      <c r="WRE244" s="36"/>
      <c r="WRF244" s="36"/>
      <c r="WRG244" s="36"/>
      <c r="WRH244" s="36"/>
      <c r="WRI244" s="36"/>
      <c r="WRJ244" s="36"/>
      <c r="WRK244" s="36"/>
      <c r="WRL244" s="36"/>
      <c r="WRM244" s="36"/>
      <c r="WRN244" s="36"/>
      <c r="WRO244" s="36"/>
      <c r="WRP244" s="36"/>
      <c r="WRQ244" s="36"/>
      <c r="WRR244" s="36"/>
      <c r="WRS244" s="36"/>
      <c r="WRT244" s="36"/>
      <c r="WRU244" s="36"/>
      <c r="WRV244" s="36"/>
      <c r="WRW244" s="36"/>
      <c r="WRX244" s="36"/>
      <c r="WRY244" s="36"/>
      <c r="WRZ244" s="36"/>
      <c r="WSA244" s="36"/>
      <c r="WSB244" s="36"/>
      <c r="WSC244" s="36"/>
      <c r="WSD244" s="36"/>
      <c r="WSE244" s="36"/>
      <c r="WSF244" s="36"/>
      <c r="WSG244" s="36"/>
      <c r="WSH244" s="36"/>
      <c r="WSI244" s="36"/>
      <c r="WSJ244" s="36"/>
      <c r="WSK244" s="36"/>
      <c r="WSL244" s="36"/>
      <c r="WSM244" s="36"/>
      <c r="WSN244" s="36"/>
      <c r="WSO244" s="36"/>
      <c r="WSP244" s="36"/>
      <c r="WSQ244" s="36"/>
      <c r="WSR244" s="36"/>
      <c r="WSS244" s="36"/>
      <c r="WST244" s="36"/>
      <c r="WSU244" s="36"/>
      <c r="WSV244" s="36"/>
      <c r="WSW244" s="36"/>
      <c r="WSX244" s="36"/>
      <c r="WSY244" s="36"/>
      <c r="WSZ244" s="36"/>
      <c r="WTA244" s="36"/>
      <c r="WTB244" s="36"/>
      <c r="WTC244" s="36"/>
      <c r="WTD244" s="36"/>
      <c r="WTE244" s="36"/>
      <c r="WTF244" s="36"/>
      <c r="WTG244" s="36"/>
      <c r="WTH244" s="36"/>
      <c r="WTI244" s="36"/>
      <c r="WTJ244" s="36"/>
      <c r="WTK244" s="36"/>
      <c r="WTL244" s="36"/>
      <c r="WTM244" s="36"/>
      <c r="WTN244" s="36"/>
      <c r="WTO244" s="36"/>
      <c r="WTP244" s="36"/>
      <c r="WTQ244" s="36"/>
      <c r="WTR244" s="36"/>
      <c r="WTS244" s="36"/>
      <c r="WTT244" s="36"/>
      <c r="WTU244" s="36"/>
      <c r="WTV244" s="36"/>
      <c r="WTW244" s="36"/>
      <c r="WTX244" s="36"/>
      <c r="WTY244" s="36"/>
      <c r="WTZ244" s="36"/>
      <c r="WUA244" s="36"/>
      <c r="WUB244" s="36"/>
      <c r="WUC244" s="36"/>
      <c r="WUD244" s="36"/>
      <c r="WUE244" s="36"/>
      <c r="WUF244" s="36"/>
      <c r="WUG244" s="36"/>
      <c r="WUH244" s="36"/>
      <c r="WUI244" s="36"/>
      <c r="WUJ244" s="36"/>
      <c r="WUK244" s="36"/>
      <c r="WUL244" s="36"/>
      <c r="WUM244" s="36"/>
      <c r="WUN244" s="36"/>
      <c r="WUO244" s="36"/>
      <c r="WUP244" s="36"/>
      <c r="WUQ244" s="36"/>
      <c r="WUR244" s="36"/>
      <c r="WUS244" s="36"/>
      <c r="WUT244" s="36"/>
      <c r="WUU244" s="36"/>
      <c r="WUV244" s="36"/>
      <c r="WUW244" s="36"/>
      <c r="WUX244" s="36"/>
      <c r="WUY244" s="36"/>
      <c r="WUZ244" s="36"/>
      <c r="WVA244" s="36"/>
      <c r="WVB244" s="36"/>
      <c r="WVC244" s="36"/>
      <c r="WVD244" s="36"/>
      <c r="WVE244" s="36"/>
      <c r="WVF244" s="36"/>
      <c r="WVG244" s="36"/>
      <c r="WVH244" s="36"/>
      <c r="WVI244" s="36"/>
      <c r="WVJ244" s="36"/>
      <c r="WVK244" s="36"/>
      <c r="WVL244" s="36"/>
      <c r="WVM244" s="36"/>
      <c r="WVN244" s="36"/>
      <c r="WVO244" s="36"/>
      <c r="WVP244" s="36"/>
      <c r="WVQ244" s="36"/>
      <c r="WVR244" s="36"/>
      <c r="WVS244" s="36"/>
      <c r="WVT244" s="36"/>
      <c r="WVU244" s="36"/>
      <c r="WVV244" s="36"/>
      <c r="WVW244" s="36"/>
      <c r="WVX244" s="36"/>
      <c r="WVY244" s="36"/>
      <c r="WVZ244" s="36"/>
      <c r="WWA244" s="36"/>
      <c r="WWB244" s="36"/>
      <c r="WWC244" s="36"/>
      <c r="WWD244" s="36"/>
      <c r="WWE244" s="36"/>
      <c r="WWF244" s="36"/>
      <c r="WWG244" s="36"/>
      <c r="WWH244" s="36"/>
      <c r="WWI244" s="36"/>
      <c r="WWJ244" s="36"/>
      <c r="WWK244" s="36"/>
      <c r="WWL244" s="36"/>
      <c r="WWM244" s="36"/>
      <c r="WWN244" s="36"/>
      <c r="WWO244" s="36"/>
      <c r="WWP244" s="36"/>
      <c r="WWQ244" s="36"/>
      <c r="WWR244" s="36"/>
      <c r="WWS244" s="36"/>
      <c r="WWT244" s="36"/>
      <c r="WWU244" s="36"/>
      <c r="WWV244" s="36"/>
      <c r="WWW244" s="36"/>
      <c r="WWX244" s="36"/>
      <c r="WWY244" s="36"/>
      <c r="WWZ244" s="36"/>
      <c r="WXA244" s="36"/>
      <c r="WXB244" s="36"/>
      <c r="WXC244" s="36"/>
      <c r="WXD244" s="36"/>
      <c r="WXE244" s="36"/>
      <c r="WXF244" s="36"/>
      <c r="WXG244" s="36"/>
      <c r="WXH244" s="36"/>
      <c r="WXI244" s="36"/>
      <c r="WXJ244" s="36"/>
      <c r="WXK244" s="36"/>
      <c r="WXL244" s="36"/>
      <c r="WXM244" s="36"/>
      <c r="WXN244" s="36"/>
      <c r="WXO244" s="36"/>
      <c r="WXP244" s="36"/>
      <c r="WXQ244" s="36"/>
      <c r="WXR244" s="36"/>
      <c r="WXS244" s="36"/>
      <c r="WXT244" s="36"/>
      <c r="WXU244" s="36"/>
      <c r="WXV244" s="36"/>
      <c r="WXW244" s="36"/>
      <c r="WXX244" s="36"/>
      <c r="WXY244" s="36"/>
      <c r="WXZ244" s="36"/>
      <c r="WYA244" s="36"/>
      <c r="WYB244" s="36"/>
      <c r="WYC244" s="36"/>
      <c r="WYD244" s="36"/>
      <c r="WYE244" s="36"/>
      <c r="WYF244" s="36"/>
      <c r="WYG244" s="36"/>
      <c r="WYH244" s="36"/>
      <c r="WYI244" s="36"/>
      <c r="WYJ244" s="36"/>
      <c r="WYK244" s="36"/>
      <c r="WYL244" s="36"/>
      <c r="WYM244" s="36"/>
      <c r="WYN244" s="36"/>
      <c r="WYO244" s="36"/>
      <c r="WYP244" s="36"/>
      <c r="WYQ244" s="36"/>
      <c r="WYR244" s="36"/>
      <c r="WYS244" s="36"/>
      <c r="WYT244" s="36"/>
      <c r="WYU244" s="36"/>
      <c r="WYV244" s="36"/>
      <c r="WYW244" s="36"/>
      <c r="WYX244" s="36"/>
      <c r="WYY244" s="36"/>
      <c r="WYZ244" s="36"/>
      <c r="WZA244" s="36"/>
      <c r="WZB244" s="36"/>
      <c r="WZC244" s="36"/>
      <c r="WZD244" s="36"/>
      <c r="WZE244" s="36"/>
      <c r="WZF244" s="36"/>
      <c r="WZG244" s="36"/>
      <c r="WZH244" s="36"/>
      <c r="WZI244" s="36"/>
      <c r="WZJ244" s="36"/>
      <c r="WZK244" s="36"/>
      <c r="WZL244" s="36"/>
      <c r="WZM244" s="36"/>
      <c r="WZN244" s="36"/>
      <c r="WZO244" s="36"/>
      <c r="WZP244" s="36"/>
      <c r="WZQ244" s="36"/>
      <c r="WZR244" s="36"/>
      <c r="WZS244" s="36"/>
      <c r="WZT244" s="36"/>
      <c r="WZU244" s="36"/>
      <c r="WZV244" s="36"/>
      <c r="WZW244" s="36"/>
      <c r="WZX244" s="36"/>
      <c r="WZY244" s="36"/>
      <c r="WZZ244" s="36"/>
      <c r="XAA244" s="36"/>
      <c r="XAB244" s="36"/>
      <c r="XAC244" s="36"/>
      <c r="XAD244" s="36"/>
      <c r="XAE244" s="36"/>
      <c r="XAF244" s="36"/>
      <c r="XAG244" s="36"/>
      <c r="XAH244" s="36"/>
      <c r="XAI244" s="36"/>
      <c r="XAJ244" s="36"/>
      <c r="XAK244" s="36"/>
      <c r="XAL244" s="36"/>
      <c r="XAM244" s="36"/>
      <c r="XAN244" s="36"/>
      <c r="XAO244" s="36"/>
      <c r="XAP244" s="36"/>
      <c r="XAQ244" s="36"/>
      <c r="XAR244" s="36"/>
      <c r="XAS244" s="36"/>
      <c r="XAT244" s="36"/>
      <c r="XAU244" s="36"/>
      <c r="XAV244" s="36"/>
      <c r="XAW244" s="36"/>
      <c r="XAX244" s="36"/>
      <c r="XAY244" s="36"/>
      <c r="XAZ244" s="36"/>
      <c r="XBA244" s="36"/>
      <c r="XBB244" s="36"/>
      <c r="XBC244" s="36"/>
      <c r="XBD244" s="36"/>
      <c r="XBE244" s="36"/>
      <c r="XBF244" s="36"/>
      <c r="XBG244" s="36"/>
      <c r="XBH244" s="36"/>
      <c r="XBI244" s="36"/>
      <c r="XBJ244" s="36"/>
      <c r="XBK244" s="36"/>
      <c r="XBL244" s="36"/>
      <c r="XBM244" s="36"/>
      <c r="XBN244" s="36"/>
      <c r="XBO244" s="36"/>
      <c r="XBP244" s="36"/>
      <c r="XBQ244" s="36"/>
      <c r="XBR244" s="36"/>
      <c r="XBS244" s="36"/>
      <c r="XBT244" s="36"/>
      <c r="XBU244" s="36"/>
      <c r="XBV244" s="36"/>
      <c r="XBW244" s="36"/>
      <c r="XBX244" s="36"/>
      <c r="XBY244" s="36"/>
      <c r="XBZ244" s="36"/>
      <c r="XCA244" s="36"/>
      <c r="XCB244" s="36"/>
      <c r="XCC244" s="36"/>
      <c r="XCD244" s="36"/>
      <c r="XCE244" s="36"/>
      <c r="XCF244" s="36"/>
      <c r="XCG244" s="36"/>
      <c r="XCH244" s="36"/>
      <c r="XCI244" s="36"/>
      <c r="XCJ244" s="36"/>
      <c r="XCK244" s="36"/>
      <c r="XCL244" s="36"/>
      <c r="XCM244" s="36"/>
      <c r="XCN244" s="36"/>
      <c r="XCO244" s="36"/>
      <c r="XCP244" s="36"/>
      <c r="XCQ244" s="36"/>
      <c r="XCR244" s="36"/>
      <c r="XCS244" s="36"/>
      <c r="XCT244" s="36"/>
      <c r="XCU244" s="36"/>
      <c r="XCV244" s="36"/>
      <c r="XCW244" s="36"/>
      <c r="XCX244" s="36"/>
      <c r="XCY244" s="36"/>
      <c r="XCZ244" s="36"/>
      <c r="XDA244" s="36"/>
      <c r="XDB244" s="36"/>
      <c r="XDC244" s="36"/>
      <c r="XDD244" s="36"/>
      <c r="XDE244" s="36"/>
      <c r="XDF244" s="36"/>
      <c r="XDG244" s="36"/>
      <c r="XDH244" s="36"/>
      <c r="XDI244" s="36"/>
      <c r="XDJ244" s="36"/>
      <c r="XDK244" s="36"/>
      <c r="XDL244" s="36"/>
      <c r="XDM244" s="36"/>
      <c r="XDN244" s="36"/>
      <c r="XDO244" s="36"/>
      <c r="XDP244" s="36"/>
      <c r="XDQ244" s="36"/>
      <c r="XDR244" s="36"/>
      <c r="XDS244" s="36"/>
      <c r="XDT244" s="36"/>
      <c r="XDU244" s="36"/>
      <c r="XDV244" s="36"/>
      <c r="XDW244" s="36"/>
      <c r="XDX244" s="36"/>
      <c r="XDY244" s="36"/>
      <c r="XDZ244" s="36"/>
      <c r="XEA244" s="36"/>
      <c r="XEB244" s="36"/>
      <c r="XEC244" s="36"/>
      <c r="XED244" s="36"/>
      <c r="XEE244" s="36"/>
      <c r="XEF244" s="36"/>
      <c r="XEG244" s="36"/>
      <c r="XEH244" s="36"/>
      <c r="XEI244" s="36"/>
      <c r="XEJ244" s="36"/>
      <c r="XEK244" s="36"/>
      <c r="XEL244" s="36"/>
      <c r="XEM244" s="36"/>
      <c r="XEN244" s="36"/>
      <c r="XEO244" s="36"/>
      <c r="XEP244" s="36"/>
      <c r="XEQ244" s="36"/>
      <c r="XER244" s="36"/>
      <c r="XES244" s="36"/>
      <c r="XET244" s="36"/>
      <c r="XEU244" s="36"/>
      <c r="XEV244" s="36"/>
      <c r="XEW244" s="36"/>
      <c r="XEX244" s="36"/>
      <c r="XEY244" s="36"/>
      <c r="XEZ244" s="36"/>
      <c r="XFA244" s="36"/>
      <c r="XFB244" s="36"/>
      <c r="XFC244" s="36"/>
    </row>
    <row r="245" spans="1:16383">
      <c r="B245" s="412" t="str">
        <f>D$245</f>
        <v>Engrais verts</v>
      </c>
      <c r="C245" s="2086" t="s">
        <v>275</v>
      </c>
      <c r="D245" s="832" t="s">
        <v>26</v>
      </c>
      <c r="E245" s="1370" t="s">
        <v>224</v>
      </c>
      <c r="F245" s="1945" t="str">
        <f>IFERROR(G245/G$248,"")</f>
        <v/>
      </c>
      <c r="G245" s="1946">
        <f>SUMIFS(F$92:F$101,PlanRotationPaturageS0,$B245)+SUMIFS(F$78:F$87,PlanRotationS0,$B245)</f>
        <v>0</v>
      </c>
      <c r="H245" s="837" t="str">
        <f>IFERROR(I245/I$248,"")</f>
        <v/>
      </c>
      <c r="I245" s="844">
        <f>SUMIFS(H$92:H$101,PlanRotationPaturageS1,$B245)+SUMIFS(H$78:H$87,PlanRotationS1,$B245)</f>
        <v>0</v>
      </c>
      <c r="J245" s="840" t="str">
        <f>IFERROR(K245/K$248,"")</f>
        <v/>
      </c>
      <c r="K245" s="844">
        <f>SUMIFS(J$92:J$101,PlanRotationPaturageS2,$B245)+SUMIFS(J$78:J$87,PlanRotationS2,$B245)</f>
        <v>0</v>
      </c>
      <c r="L245" s="840" t="str">
        <f>IFERROR(M245/M$248,"")</f>
        <v/>
      </c>
      <c r="M245" s="844">
        <f>SUMIFS(L$92:L$101,PlanRotationPaturageS3,$B245)+SUMIFS(L$78:L$87,PlanRotationS3,$B245)</f>
        <v>0</v>
      </c>
      <c r="N245" s="840" t="str">
        <f>IFERROR(O245/O$248,"")</f>
        <v/>
      </c>
      <c r="O245" s="844">
        <f>SUMIFS(N$92:N$101,PlanRotationPaturageS4,$B245)+SUMIFS(N$78:N$87,PlanRotationS4,$B245)</f>
        <v>0</v>
      </c>
      <c r="P245" s="840" t="str">
        <f>IFERROR(Q245/Q$248,"")</f>
        <v/>
      </c>
      <c r="Q245" s="844">
        <f>SUMIFS(P$92:P$101,PlanRotationPaturageS5,$B245)+SUMIFS(P$78:P$87,PlanRotationS5,$B245)</f>
        <v>0</v>
      </c>
    </row>
    <row r="246" spans="1:16383">
      <c r="B246" s="412" t="str">
        <f>D$245</f>
        <v>Engrais verts</v>
      </c>
      <c r="D246" s="765" t="s">
        <v>281</v>
      </c>
      <c r="E246" s="1371" t="s">
        <v>254</v>
      </c>
      <c r="F246" s="1945"/>
      <c r="G246" s="1946">
        <f ca="1">OFFSET(RéfChamps!$DX$55,0,IF(ProdS0="Biologique",0,3))</f>
        <v>0</v>
      </c>
      <c r="H246" s="1613"/>
      <c r="I246" s="1612">
        <f ca="1">OFFSET(RéfChamps!$DX$55,0,IF(ProdS1="Biologique",0,3))</f>
        <v>0</v>
      </c>
      <c r="J246" s="1002"/>
      <c r="K246" s="1612">
        <f ca="1">OFFSET(RéfChamps!$DX$55,0,IF(ProdS2="Biologique",0,3))</f>
        <v>0</v>
      </c>
      <c r="L246" s="1002"/>
      <c r="M246" s="1612">
        <f ca="1">OFFSET(RéfChamps!$DX$55,0,IF(ProdS3="Biologique",0,3))</f>
        <v>0</v>
      </c>
      <c r="N246" s="1002"/>
      <c r="O246" s="1612">
        <f ca="1">OFFSET(RéfChamps!$DX$55,0,IF(ProdS4="Biologique",0,3))</f>
        <v>0</v>
      </c>
      <c r="P246" s="1002"/>
      <c r="Q246" s="1612">
        <f ca="1">OFFSET(RéfChamps!$DX$55,0,IF(ProdS5="Biologique",0,3))</f>
        <v>0</v>
      </c>
    </row>
    <row r="247" spans="1:16383" s="453" customFormat="1" ht="12.75" thickBot="1">
      <c r="D247" s="830"/>
      <c r="E247" s="1374"/>
      <c r="F247" s="1921"/>
      <c r="G247" s="1921"/>
      <c r="H247" s="1591"/>
      <c r="I247" s="1591"/>
      <c r="J247" s="1591"/>
      <c r="K247" s="1591"/>
      <c r="L247" s="1591"/>
      <c r="M247" s="1591"/>
      <c r="N247" s="1591"/>
      <c r="O247" s="1591"/>
      <c r="P247" s="1591"/>
      <c r="Q247" s="1591"/>
      <c r="R247" s="1697"/>
      <c r="S247" s="1592"/>
    </row>
    <row r="248" spans="1:16383" s="46" customFormat="1" ht="15" thickTop="1">
      <c r="A248" s="419"/>
      <c r="B248" s="432"/>
      <c r="D248" s="831" t="s">
        <v>141</v>
      </c>
      <c r="E248" s="1375" t="s">
        <v>224</v>
      </c>
      <c r="F248" s="1925"/>
      <c r="G248" s="1954">
        <f>IFERROR(SUMIFS(G$106:G$246,$E$106:$E$246,"ha"),0)</f>
        <v>0</v>
      </c>
      <c r="H248" s="1614"/>
      <c r="I248" s="1843">
        <f>IFERROR(SUMIFS(I$106:I$246,$E$106:$E$246,"ha"),0)</f>
        <v>0</v>
      </c>
      <c r="J248" s="1844"/>
      <c r="K248" s="1843">
        <f>IFERROR(SUMIFS(K$106:K$246,$E$106:$E$246,"ha"),0)</f>
        <v>0</v>
      </c>
      <c r="L248" s="1844"/>
      <c r="M248" s="1843">
        <f>IFERROR(SUMIFS(M$106:M$246,$E$106:$E$246,"ha"),0)</f>
        <v>0</v>
      </c>
      <c r="N248" s="1844"/>
      <c r="O248" s="1843">
        <f>IFERROR(SUMIFS(O$106:O$246,$E$106:$E$246,"ha"),0)</f>
        <v>0</v>
      </c>
      <c r="P248" s="1844"/>
      <c r="Q248" s="1843">
        <f>IFERROR(SUMIFS(Q$106:Q$246,$E$106:$E$246,"ha"),0)</f>
        <v>0</v>
      </c>
      <c r="R248" s="17"/>
      <c r="S248" s="97"/>
    </row>
    <row r="249" spans="1:16383" s="49" customFormat="1">
      <c r="A249" s="409"/>
      <c r="B249" s="412"/>
      <c r="E249" s="1365"/>
      <c r="F249" s="623"/>
      <c r="G249" s="1955"/>
      <c r="H249" s="1003"/>
      <c r="I249" s="1615"/>
      <c r="J249" s="992"/>
      <c r="K249" s="1615"/>
      <c r="L249" s="992"/>
      <c r="M249" s="1615"/>
      <c r="N249" s="992"/>
      <c r="O249" s="1615"/>
      <c r="P249" s="992"/>
      <c r="Q249" s="1615"/>
      <c r="R249" s="1692"/>
      <c r="S249" s="97"/>
    </row>
    <row r="250" spans="1:16383" s="32" customFormat="1" ht="19.5" thickBot="1">
      <c r="A250" s="414"/>
      <c r="B250" s="429"/>
      <c r="C250" s="806" t="s">
        <v>282</v>
      </c>
      <c r="D250" s="806"/>
      <c r="E250" s="1376" t="s">
        <v>1274</v>
      </c>
      <c r="F250" s="1956"/>
      <c r="G250" s="1957"/>
      <c r="H250" s="1588"/>
      <c r="I250" s="1588"/>
      <c r="J250" s="1588"/>
      <c r="K250" s="1588"/>
      <c r="L250" s="1588"/>
      <c r="M250" s="1588"/>
      <c r="N250" s="1588"/>
      <c r="O250" s="1588"/>
      <c r="P250" s="1588"/>
      <c r="Q250" s="1588"/>
      <c r="R250" s="1702"/>
      <c r="S250" s="34"/>
    </row>
    <row r="251" spans="1:16383" s="32" customFormat="1" ht="15.75" thickTop="1" thickBot="1">
      <c r="A251" s="414"/>
      <c r="B251" s="429"/>
      <c r="E251" s="1358"/>
      <c r="F251" s="1958" t="s">
        <v>244</v>
      </c>
      <c r="G251" s="1959" t="s">
        <v>260</v>
      </c>
      <c r="H251" s="1616" t="str">
        <f t="shared" ref="H251" si="18">F251</f>
        <v>t</v>
      </c>
      <c r="I251" s="1845" t="str">
        <f t="shared" ref="I251:Q251" si="19">G251</f>
        <v>$</v>
      </c>
      <c r="J251" s="1616" t="str">
        <f t="shared" si="19"/>
        <v>t</v>
      </c>
      <c r="K251" s="1845" t="str">
        <f t="shared" si="19"/>
        <v>$</v>
      </c>
      <c r="L251" s="1616" t="str">
        <f t="shared" si="19"/>
        <v>t</v>
      </c>
      <c r="M251" s="1845" t="str">
        <f t="shared" si="19"/>
        <v>$</v>
      </c>
      <c r="N251" s="1616" t="str">
        <f t="shared" si="19"/>
        <v>t</v>
      </c>
      <c r="O251" s="1845" t="str">
        <f t="shared" si="19"/>
        <v>$</v>
      </c>
      <c r="P251" s="1616" t="str">
        <f t="shared" si="19"/>
        <v>t</v>
      </c>
      <c r="Q251" s="1845" t="str">
        <f t="shared" si="19"/>
        <v>$</v>
      </c>
      <c r="R251" s="1702"/>
      <c r="S251" s="34"/>
    </row>
    <row r="252" spans="1:16383" s="28" customFormat="1" ht="15.75" thickTop="1" thickBot="1">
      <c r="A252" s="411" t="s">
        <v>297</v>
      </c>
      <c r="B252" s="430" t="s">
        <v>2</v>
      </c>
      <c r="C252" s="32"/>
      <c r="D252" s="44" t="s">
        <v>942</v>
      </c>
      <c r="E252" s="1377" t="s">
        <v>941</v>
      </c>
      <c r="F252" s="1960">
        <f>IF(fermeLaitière,G108*G106,0)</f>
        <v>0</v>
      </c>
      <c r="G252" s="1961">
        <f ca="1">IF(fermeLaitière,G110*F252,0)</f>
        <v>0</v>
      </c>
      <c r="H252" s="2065">
        <f>IF(fermeLaitière,I108*I106,0)</f>
        <v>0</v>
      </c>
      <c r="I252" s="1617">
        <f ca="1">IF(fermeLaitière,I110*H252,0)</f>
        <v>0</v>
      </c>
      <c r="J252" s="2065">
        <f>IF(fermeLaitière,K108*K106,0)</f>
        <v>0</v>
      </c>
      <c r="K252" s="1617">
        <f ca="1">IF(fermeLaitière,K110*J252,0)</f>
        <v>0</v>
      </c>
      <c r="L252" s="2065">
        <f>IF(fermeLaitière,M108*M106,0)</f>
        <v>0</v>
      </c>
      <c r="M252" s="1617">
        <f ca="1">IF(fermeLaitière,M110*L252,0)</f>
        <v>0</v>
      </c>
      <c r="N252" s="2065">
        <f>IF(fermeLaitière,O108*O106,0)</f>
        <v>0</v>
      </c>
      <c r="O252" s="1617">
        <f ca="1">IF(fermeLaitière,O110*N252,0)</f>
        <v>0</v>
      </c>
      <c r="P252" s="2065">
        <f>IF(fermeLaitière,Q108*Q106,0)</f>
        <v>0</v>
      </c>
      <c r="Q252" s="1617">
        <f ca="1">IF(fermeLaitière,Q110*P252,0)</f>
        <v>0</v>
      </c>
      <c r="R252" s="1703"/>
      <c r="S252" s="31"/>
    </row>
    <row r="253" spans="1:16383" s="28" customFormat="1" ht="15.75" thickTop="1" thickBot="1">
      <c r="A253" s="411" t="s">
        <v>297</v>
      </c>
      <c r="B253" s="430" t="s">
        <v>140</v>
      </c>
      <c r="C253" s="32"/>
      <c r="D253" s="43" t="s">
        <v>940</v>
      </c>
      <c r="E253" s="1378" t="s">
        <v>941</v>
      </c>
      <c r="F253" s="1960">
        <f>IF(fermeLaitière,G114*G112,0)</f>
        <v>0</v>
      </c>
      <c r="G253" s="1961">
        <f ca="1">IF(fermeLaitière,G122*F253,0)</f>
        <v>0</v>
      </c>
      <c r="H253" s="2065">
        <f>IF(fermeLaitière,I114*I112,0)</f>
        <v>0</v>
      </c>
      <c r="I253" s="1617">
        <f ca="1">IF(fermeLaitière,I122*H253,0)</f>
        <v>0</v>
      </c>
      <c r="J253" s="2065">
        <f>IF(fermeLaitière,K114*K112,0)</f>
        <v>0</v>
      </c>
      <c r="K253" s="1617">
        <f ca="1">IF(fermeLaitière,K122*J253,0)</f>
        <v>0</v>
      </c>
      <c r="L253" s="2065">
        <f>IF(fermeLaitière,M114*M112,0)</f>
        <v>0</v>
      </c>
      <c r="M253" s="1617">
        <f ca="1">IF(fermeLaitière,M122*L253,0)</f>
        <v>0</v>
      </c>
      <c r="N253" s="2065">
        <f>IF(fermeLaitière,O114*O112,0)</f>
        <v>0</v>
      </c>
      <c r="O253" s="1617">
        <f ca="1">IF(fermeLaitière,O122*N253,0)</f>
        <v>0</v>
      </c>
      <c r="P253" s="2065">
        <f>IF(fermeLaitière,Q114*Q112,0)</f>
        <v>0</v>
      </c>
      <c r="Q253" s="1617">
        <f ca="1">IF(fermeLaitière,Q122*P253,0)</f>
        <v>0</v>
      </c>
      <c r="R253" s="1703"/>
      <c r="S253" s="31"/>
    </row>
    <row r="254" spans="1:16383" s="416" customFormat="1" ht="15" thickTop="1">
      <c r="A254" s="415"/>
      <c r="B254" s="431" t="s">
        <v>142</v>
      </c>
      <c r="C254" s="1909"/>
      <c r="D254" s="770" t="s">
        <v>939</v>
      </c>
      <c r="E254" s="1842" t="s">
        <v>1491</v>
      </c>
      <c r="F254" s="1962">
        <f>G$112*G$114</f>
        <v>0</v>
      </c>
      <c r="G254" s="1963">
        <f ca="1">G$115*G$112</f>
        <v>0</v>
      </c>
      <c r="H254" s="2065">
        <f>I$112*I$114</f>
        <v>0</v>
      </c>
      <c r="I254" s="1617">
        <f ca="1">I$115*I$112</f>
        <v>0</v>
      </c>
      <c r="J254" s="2065">
        <f>K$112*K$114</f>
        <v>0</v>
      </c>
      <c r="K254" s="1617">
        <f ca="1">K$115*K$112</f>
        <v>0</v>
      </c>
      <c r="L254" s="2065">
        <f>M$112*M$114</f>
        <v>0</v>
      </c>
      <c r="M254" s="1617">
        <f ca="1">M$115*M$112</f>
        <v>0</v>
      </c>
      <c r="N254" s="2065">
        <f>O$112*O$114</f>
        <v>0</v>
      </c>
      <c r="O254" s="1617">
        <f ca="1">O$115*O$112</f>
        <v>0</v>
      </c>
      <c r="P254" s="2065">
        <f>Q$112*Q$114</f>
        <v>0</v>
      </c>
      <c r="Q254" s="1617">
        <f ca="1">Q$115*Q$112</f>
        <v>0</v>
      </c>
      <c r="R254" s="1703"/>
      <c r="S254" s="31"/>
    </row>
    <row r="255" spans="1:16383" s="28" customFormat="1">
      <c r="A255" s="411" t="s">
        <v>297</v>
      </c>
      <c r="B255" s="430" t="s">
        <v>142</v>
      </c>
      <c r="C255" s="32"/>
      <c r="D255" s="12" t="s">
        <v>263</v>
      </c>
      <c r="E255" s="1360" t="s">
        <v>1491</v>
      </c>
      <c r="F255" s="1964">
        <f>IF(fermeLaitière,MIN(F254,Lait!G111),0)</f>
        <v>0</v>
      </c>
      <c r="G255" s="1965">
        <f ca="1">IF(fermeLaitière,IFERROR(F255/F254*G254,0),0)</f>
        <v>0</v>
      </c>
      <c r="H255" s="2066">
        <f>IF(fermeLaitière,MIN(H254,Lait!I111),0)</f>
        <v>0</v>
      </c>
      <c r="I255" s="420">
        <f ca="1">IF(fermeLaitière,IFERROR(H255/H254*I254,0),0)</f>
        <v>0</v>
      </c>
      <c r="J255" s="2066">
        <f>IF(fermeLaitière,MIN(J254,Lait!K111),0)</f>
        <v>0</v>
      </c>
      <c r="K255" s="420">
        <f ca="1">IF(fermeLaitière,IFERROR(J255/J254*K254,0),0)</f>
        <v>0</v>
      </c>
      <c r="L255" s="2066">
        <f>IF(fermeLaitière,MIN(L254,Lait!M111),0)</f>
        <v>0</v>
      </c>
      <c r="M255" s="420">
        <f ca="1">IF(fermeLaitière,IFERROR(L255/L254*M254,0),0)</f>
        <v>0</v>
      </c>
      <c r="N255" s="2066">
        <f>IF(fermeLaitière,MIN(N254,Lait!O111),0)</f>
        <v>0</v>
      </c>
      <c r="O255" s="420">
        <f ca="1">IF(fermeLaitière,IFERROR(N255/N254*O254,0),0)</f>
        <v>0</v>
      </c>
      <c r="P255" s="2066">
        <f>IF(fermeLaitière,MIN(P254,Lait!Q111),0)</f>
        <v>0</v>
      </c>
      <c r="Q255" s="420">
        <f ca="1">IF(fermeLaitière,IFERROR(P255/P254*Q254,0),0)</f>
        <v>0</v>
      </c>
      <c r="R255" s="1703"/>
      <c r="S255" s="31"/>
    </row>
    <row r="256" spans="1:16383" s="28" customFormat="1" ht="15" thickBot="1">
      <c r="A256" s="411"/>
      <c r="B256" s="430" t="s">
        <v>142</v>
      </c>
      <c r="D256" s="764" t="s">
        <v>262</v>
      </c>
      <c r="E256" s="1371" t="s">
        <v>1491</v>
      </c>
      <c r="F256" s="1964">
        <f>F254-F255</f>
        <v>0</v>
      </c>
      <c r="G256" s="1965">
        <f ca="1">IFERROR(F256/F254*G254,0)</f>
        <v>0</v>
      </c>
      <c r="H256" s="2067">
        <f>H254-H255</f>
        <v>0</v>
      </c>
      <c r="I256" s="420">
        <f ca="1">IFERROR(H256/H254*I254,0)</f>
        <v>0</v>
      </c>
      <c r="J256" s="2067">
        <f>J254-J255</f>
        <v>0</v>
      </c>
      <c r="K256" s="420">
        <f ca="1">IFERROR(J256/J254*K254,0)</f>
        <v>0</v>
      </c>
      <c r="L256" s="2067">
        <f>L254-L255</f>
        <v>0</v>
      </c>
      <c r="M256" s="420">
        <f ca="1">IFERROR(L256/L254*M254,0)</f>
        <v>0</v>
      </c>
      <c r="N256" s="2067">
        <f>N254-N255</f>
        <v>0</v>
      </c>
      <c r="O256" s="420">
        <f ca="1">IFERROR(N256/N254*O254,0)</f>
        <v>0</v>
      </c>
      <c r="P256" s="2067">
        <f>P254-P255</f>
        <v>0</v>
      </c>
      <c r="Q256" s="420">
        <f ca="1">IFERROR(P256/P254*Q254,0)</f>
        <v>0</v>
      </c>
      <c r="R256" s="1703"/>
      <c r="S256" s="31"/>
    </row>
    <row r="257" spans="1:19" s="416" customFormat="1" ht="15" hidden="1" thickTop="1">
      <c r="A257" s="415"/>
      <c r="B257" s="431" t="s">
        <v>11</v>
      </c>
      <c r="D257" s="770" t="s">
        <v>264</v>
      </c>
      <c r="E257" s="1842" t="s">
        <v>1491</v>
      </c>
      <c r="F257" s="1962">
        <f ca="1">G133*G135</f>
        <v>0</v>
      </c>
      <c r="G257" s="1963">
        <f ca="1">G$137*G$133</f>
        <v>0</v>
      </c>
      <c r="H257" s="2065">
        <f ca="1">I133*I135</f>
        <v>0</v>
      </c>
      <c r="I257" s="1617">
        <f ca="1">I$137*I$133</f>
        <v>0</v>
      </c>
      <c r="J257" s="2065">
        <f ca="1">K133*K135</f>
        <v>0</v>
      </c>
      <c r="K257" s="1617">
        <f ca="1">K$137*K$133</f>
        <v>0</v>
      </c>
      <c r="L257" s="2065">
        <f ca="1">M133*M135</f>
        <v>0</v>
      </c>
      <c r="M257" s="1617">
        <f ca="1">M$137*M$133</f>
        <v>0</v>
      </c>
      <c r="N257" s="2065">
        <f ca="1">O133*O135</f>
        <v>0</v>
      </c>
      <c r="O257" s="1617">
        <f ca="1">O$137*O$133</f>
        <v>0</v>
      </c>
      <c r="P257" s="2065">
        <f ca="1">Q133*Q135</f>
        <v>0</v>
      </c>
      <c r="Q257" s="1617">
        <f ca="1">Q$137*Q$133</f>
        <v>0</v>
      </c>
      <c r="R257" s="1703"/>
      <c r="S257" s="31"/>
    </row>
    <row r="258" spans="1:19" s="28" customFormat="1" ht="15" hidden="1" thickBot="1">
      <c r="A258" s="411" t="s">
        <v>297</v>
      </c>
      <c r="B258" s="431" t="s">
        <v>11</v>
      </c>
      <c r="D258" s="12" t="s">
        <v>263</v>
      </c>
      <c r="E258" s="1360" t="s">
        <v>1491</v>
      </c>
      <c r="F258" s="1964">
        <f ca="1">IF(fermeLaitière,MIN(INDEX(autoconsS0,MATCH($B258,autoconsCulture,0)),F257),0)</f>
        <v>0</v>
      </c>
      <c r="G258" s="1965">
        <f ca="1">IF(fermeLaitière,IFERROR(F258/F257*G257,0),0)</f>
        <v>0</v>
      </c>
      <c r="H258" s="2066">
        <f ca="1">IF(fermeLaitière,MIN(INDEX(autoconsS1,MATCH($B258,autoconsCulture,0)),H257),0)</f>
        <v>0</v>
      </c>
      <c r="I258" s="420">
        <f ca="1">IF(fermeLaitière,IFERROR(H258/H257*I257,0),0)</f>
        <v>0</v>
      </c>
      <c r="J258" s="2066">
        <f ca="1">IF(fermeLaitière,MIN(INDEX(autoconsS2,MATCH($B258,autoconsCulture,0)),J257),0)</f>
        <v>0</v>
      </c>
      <c r="K258" s="420">
        <f ca="1">IF(fermeLaitière,IFERROR(J258/J257*K257,0),0)</f>
        <v>0</v>
      </c>
      <c r="L258" s="2066">
        <f ca="1">IF(fermeLaitière,MIN(INDEX(autoconsS3,MATCH($B258,autoconsCulture,0)),L257),0)</f>
        <v>0</v>
      </c>
      <c r="M258" s="420">
        <f ca="1">IF(fermeLaitière,IFERROR(L258/L257*M257,0),0)</f>
        <v>0</v>
      </c>
      <c r="N258" s="2066">
        <f ca="1">IF(fermeLaitière,MIN(INDEX(autoconsS4,MATCH($B258,autoconsCulture,0)),N257),0)</f>
        <v>0</v>
      </c>
      <c r="O258" s="420">
        <f ca="1">IF(fermeLaitière,IFERROR(N258/N257*O257,0),0)</f>
        <v>0</v>
      </c>
      <c r="P258" s="2066">
        <f ca="1">IF(fermeLaitière,MIN(INDEX(autoconsS5,MATCH($B258,autoconsCulture,0)),P257),0)</f>
        <v>0</v>
      </c>
      <c r="Q258" s="420">
        <f ca="1">IF(fermeLaitière,IFERROR(P258/P257*Q257,0),0)</f>
        <v>0</v>
      </c>
      <c r="R258" s="1703"/>
      <c r="S258" s="31"/>
    </row>
    <row r="259" spans="1:19" s="28" customFormat="1" ht="15" hidden="1" thickBot="1">
      <c r="A259" s="411"/>
      <c r="B259" s="431" t="s">
        <v>11</v>
      </c>
      <c r="D259" s="764" t="s">
        <v>262</v>
      </c>
      <c r="E259" s="1371" t="s">
        <v>1491</v>
      </c>
      <c r="F259" s="1964">
        <f ca="1">F257-F258</f>
        <v>0</v>
      </c>
      <c r="G259" s="1965">
        <f ca="1">IFERROR(F259/F257*G257,0)</f>
        <v>0</v>
      </c>
      <c r="H259" s="2067">
        <f ca="1">H257-H258</f>
        <v>0</v>
      </c>
      <c r="I259" s="420">
        <f ca="1">IFERROR(H259/H257*I257,0)</f>
        <v>0</v>
      </c>
      <c r="J259" s="2067">
        <f ca="1">J257-J258</f>
        <v>0</v>
      </c>
      <c r="K259" s="420">
        <f ca="1">IFERROR(J259/J257*K257,0)</f>
        <v>0</v>
      </c>
      <c r="L259" s="2067">
        <f ca="1">L257-L258</f>
        <v>0</v>
      </c>
      <c r="M259" s="420">
        <f ca="1">IFERROR(L259/L257*M257,0)</f>
        <v>0</v>
      </c>
      <c r="N259" s="2067">
        <f ca="1">N257-N258</f>
        <v>0</v>
      </c>
      <c r="O259" s="420">
        <f ca="1">IFERROR(N259/N257*O257,0)</f>
        <v>0</v>
      </c>
      <c r="P259" s="2067">
        <f ca="1">P257-P258</f>
        <v>0</v>
      </c>
      <c r="Q259" s="420">
        <f ca="1">IFERROR(P259/P257*Q257,0)</f>
        <v>0</v>
      </c>
      <c r="R259" s="1703"/>
      <c r="S259" s="31"/>
    </row>
    <row r="260" spans="1:19" s="416" customFormat="1" ht="15" thickTop="1">
      <c r="A260" s="415"/>
      <c r="B260" s="432" t="s">
        <v>0</v>
      </c>
      <c r="D260" s="770" t="s">
        <v>265</v>
      </c>
      <c r="E260" s="1842" t="s">
        <v>1491</v>
      </c>
      <c r="F260" s="2217">
        <f ca="1">G$126*G$128</f>
        <v>0</v>
      </c>
      <c r="G260" s="1963">
        <f ca="1">G$130*G$126</f>
        <v>0</v>
      </c>
      <c r="H260" s="2065">
        <f ca="1">I$126*I$128</f>
        <v>0</v>
      </c>
      <c r="I260" s="1906">
        <f ca="1">I$130*I$126</f>
        <v>0</v>
      </c>
      <c r="J260" s="2065">
        <f ca="1">K$126*K$128</f>
        <v>0</v>
      </c>
      <c r="K260" s="1906">
        <f ca="1">K$130*K$126</f>
        <v>0</v>
      </c>
      <c r="L260" s="2065">
        <f ca="1">M$126*M$128</f>
        <v>0</v>
      </c>
      <c r="M260" s="1906">
        <f ca="1">M$130*M$126</f>
        <v>0</v>
      </c>
      <c r="N260" s="2065">
        <f ca="1">O$126*O$128</f>
        <v>0</v>
      </c>
      <c r="O260" s="1906">
        <f ca="1">O$130*O$126</f>
        <v>0</v>
      </c>
      <c r="P260" s="2065">
        <f ca="1">Q$126*Q$128</f>
        <v>0</v>
      </c>
      <c r="Q260" s="1906">
        <f ca="1">Q$130*Q$126</f>
        <v>0</v>
      </c>
      <c r="R260" s="1703"/>
      <c r="S260" s="31"/>
    </row>
    <row r="261" spans="1:19" s="28" customFormat="1">
      <c r="A261" s="411" t="s">
        <v>297</v>
      </c>
      <c r="B261" s="412" t="s">
        <v>0</v>
      </c>
      <c r="D261" s="12" t="s">
        <v>263</v>
      </c>
      <c r="E261" s="1360" t="s">
        <v>1491</v>
      </c>
      <c r="F261" s="1964">
        <f ca="1">IF(fermeLaitière,MIN(INDEX(autoconsS0,MATCH($B261,autoconsCulture,0)),F260),0)</f>
        <v>0</v>
      </c>
      <c r="G261" s="1965">
        <f ca="1">IF(fermeLaitière,IFERROR(F261/F260*G260,0),0)</f>
        <v>0</v>
      </c>
      <c r="H261" s="2066">
        <f ca="1">IF(fermeLaitière,MIN(INDEX(autoconsS1,MATCH($B261,autoconsCulture,0)),H260),0)</f>
        <v>0</v>
      </c>
      <c r="I261" s="1907">
        <f ca="1">IF(fermeLaitière,IFERROR(H261/H260*I260,0),0)</f>
        <v>0</v>
      </c>
      <c r="J261" s="2066">
        <f ca="1">IF(fermeLaitière,MIN(INDEX(autoconsS2,MATCH($B261,autoconsCulture,0)),J260),0)</f>
        <v>0</v>
      </c>
      <c r="K261" s="1907">
        <f ca="1">IF(fermeLaitière,IFERROR(J261/J260*K260,0),0)</f>
        <v>0</v>
      </c>
      <c r="L261" s="2066">
        <f ca="1">IF(fermeLaitière,MIN(INDEX(autoconsS3,MATCH($B261,autoconsCulture,0)),L260),0)</f>
        <v>0</v>
      </c>
      <c r="M261" s="1907">
        <f ca="1">IF(fermeLaitière,IFERROR(L261/L260*M260,0),0)</f>
        <v>0</v>
      </c>
      <c r="N261" s="2066">
        <f ca="1">IF(fermeLaitière,MIN(INDEX(autoconsS4,MATCH($B261,autoconsCulture,0)),N260),0)</f>
        <v>0</v>
      </c>
      <c r="O261" s="1907">
        <f ca="1">IF(fermeLaitière,IFERROR(N261/N260*O260,0),0)</f>
        <v>0</v>
      </c>
      <c r="P261" s="2066">
        <f ca="1">IF(fermeLaitière,MIN(INDEX(autoconsS5,MATCH($B261,autoconsCulture,0)),P260),0)</f>
        <v>0</v>
      </c>
      <c r="Q261" s="1907">
        <f ca="1">IF(fermeLaitière,IFERROR(P261/P260*Q260,0),0)</f>
        <v>0</v>
      </c>
      <c r="R261" s="1703"/>
      <c r="S261" s="31"/>
    </row>
    <row r="262" spans="1:19" s="28" customFormat="1" ht="15" thickBot="1">
      <c r="A262" s="411"/>
      <c r="B262" s="412" t="s">
        <v>0</v>
      </c>
      <c r="D262" s="764" t="s">
        <v>262</v>
      </c>
      <c r="E262" s="1371" t="s">
        <v>1491</v>
      </c>
      <c r="F262" s="1964">
        <f ca="1">F260-F261</f>
        <v>0</v>
      </c>
      <c r="G262" s="1965">
        <f ca="1">IFERROR(F262/F260*G260,0)</f>
        <v>0</v>
      </c>
      <c r="H262" s="2067">
        <f ca="1">H260-H261</f>
        <v>0</v>
      </c>
      <c r="I262" s="1907">
        <f ca="1">IFERROR(H262/H260*I260,0)</f>
        <v>0</v>
      </c>
      <c r="J262" s="2067">
        <f ca="1">J260-J261</f>
        <v>0</v>
      </c>
      <c r="K262" s="1907">
        <f ca="1">IFERROR(J262/J260*K260,0)</f>
        <v>0</v>
      </c>
      <c r="L262" s="2067">
        <f ca="1">L260-L261</f>
        <v>0</v>
      </c>
      <c r="M262" s="1907">
        <f ca="1">IFERROR(L262/L260*M260,0)</f>
        <v>0</v>
      </c>
      <c r="N262" s="2067">
        <f ca="1">N260-N261</f>
        <v>0</v>
      </c>
      <c r="O262" s="1907">
        <f ca="1">IFERROR(N262/N260*O260,0)</f>
        <v>0</v>
      </c>
      <c r="P262" s="2067">
        <f ca="1">P260-P261</f>
        <v>0</v>
      </c>
      <c r="Q262" s="1907">
        <f ca="1">IFERROR(P262/P260*Q260,0)</f>
        <v>0</v>
      </c>
      <c r="R262" s="1703"/>
      <c r="S262" s="31"/>
    </row>
    <row r="263" spans="1:19" s="416" customFormat="1" ht="15" thickTop="1">
      <c r="A263" s="415"/>
      <c r="B263" s="432" t="s">
        <v>1</v>
      </c>
      <c r="D263" s="770" t="s">
        <v>266</v>
      </c>
      <c r="E263" s="1842" t="s">
        <v>1491</v>
      </c>
      <c r="F263" s="1962">
        <f ca="1">G$140*G$142</f>
        <v>0</v>
      </c>
      <c r="G263" s="1963">
        <f ca="1">G$144*G$140</f>
        <v>0</v>
      </c>
      <c r="H263" s="2065">
        <f ca="1">I$140*I$142</f>
        <v>0</v>
      </c>
      <c r="I263" s="1906">
        <f ca="1">I$144*I$140</f>
        <v>0</v>
      </c>
      <c r="J263" s="2065">
        <f ca="1">K$140*K$142</f>
        <v>0</v>
      </c>
      <c r="K263" s="1906">
        <f ca="1">K$144*K$140</f>
        <v>0</v>
      </c>
      <c r="L263" s="2065">
        <f ca="1">M$140*M$142</f>
        <v>0</v>
      </c>
      <c r="M263" s="1906">
        <f ca="1">M$144*M$140</f>
        <v>0</v>
      </c>
      <c r="N263" s="2065">
        <f ca="1">O$140*O$142</f>
        <v>0</v>
      </c>
      <c r="O263" s="1906">
        <f ca="1">O$144*O$140</f>
        <v>0</v>
      </c>
      <c r="P263" s="2065">
        <f ca="1">Q$140*Q$142</f>
        <v>0</v>
      </c>
      <c r="Q263" s="1906">
        <f ca="1">Q$144*Q$140</f>
        <v>0</v>
      </c>
      <c r="R263" s="1703"/>
      <c r="S263" s="31"/>
    </row>
    <row r="264" spans="1:19" s="28" customFormat="1" hidden="1">
      <c r="A264" s="411" t="s">
        <v>297</v>
      </c>
      <c r="B264" s="412" t="s">
        <v>1</v>
      </c>
      <c r="D264" s="12" t="s">
        <v>263</v>
      </c>
      <c r="E264" s="1360" t="s">
        <v>1491</v>
      </c>
      <c r="F264" s="1964">
        <f ca="1">IF(fermeLaitière,MIN(INDEX(autoconsS0,MATCH($B264,autoconsCulture,0)),F263),0)</f>
        <v>0</v>
      </c>
      <c r="G264" s="1965">
        <f ca="1">IF(fermeLaitière,IFERROR(F264/F263*G263,0),0)</f>
        <v>0</v>
      </c>
      <c r="H264" s="2066">
        <f ca="1">IF(fermeLaitière,MIN(INDEX(autoconsS1,MATCH($B264,autoconsCulture,0)),H263),0)</f>
        <v>0</v>
      </c>
      <c r="I264" s="1907">
        <f ca="1">IF(fermeLaitière,IFERROR(H264/H263*I263,0),0)</f>
        <v>0</v>
      </c>
      <c r="J264" s="2066">
        <f ca="1">IF(fermeLaitière,MIN(INDEX(autoconsS2,MATCH($B264,autoconsCulture,0)),J263),0)</f>
        <v>0</v>
      </c>
      <c r="K264" s="1907">
        <f ca="1">IF(fermeLaitière,IFERROR(J264/J263*K263,0),0)</f>
        <v>0</v>
      </c>
      <c r="L264" s="2066">
        <f ca="1">IF(fermeLaitière,MIN(INDEX(autoconsS3,MATCH($B264,autoconsCulture,0)),L263),0)</f>
        <v>0</v>
      </c>
      <c r="M264" s="1907">
        <f ca="1">IF(fermeLaitière,IFERROR(L264/L263*M263,0),0)</f>
        <v>0</v>
      </c>
      <c r="N264" s="2066">
        <f ca="1">IF(fermeLaitière,MIN(INDEX(autoconsS4,MATCH($B264,autoconsCulture,0)),N263),0)</f>
        <v>0</v>
      </c>
      <c r="O264" s="1907">
        <f ca="1">IF(fermeLaitière,IFERROR(N264/N263*O263,0),0)</f>
        <v>0</v>
      </c>
      <c r="P264" s="2066">
        <f ca="1">IF(fermeLaitière,MIN(INDEX(autoconsS5,MATCH($B264,autoconsCulture,0)),P263),0)</f>
        <v>0</v>
      </c>
      <c r="Q264" s="1907">
        <f ca="1">IF(fermeLaitière,IFERROR(P264/P263*Q263,0),0)</f>
        <v>0</v>
      </c>
      <c r="R264" s="1703"/>
      <c r="S264" s="31"/>
    </row>
    <row r="265" spans="1:19" s="28" customFormat="1" ht="15" thickBot="1">
      <c r="A265" s="411"/>
      <c r="B265" s="412" t="s">
        <v>1</v>
      </c>
      <c r="D265" s="764" t="s">
        <v>262</v>
      </c>
      <c r="E265" s="1371" t="s">
        <v>1491</v>
      </c>
      <c r="F265" s="1964">
        <f ca="1">F263-F264</f>
        <v>0</v>
      </c>
      <c r="G265" s="1965">
        <f ca="1">IFERROR(F265/F263*G263,0)</f>
        <v>0</v>
      </c>
      <c r="H265" s="2067">
        <f ca="1">H263-H264</f>
        <v>0</v>
      </c>
      <c r="I265" s="1907">
        <f ca="1">IFERROR(H265/H263*I263,0)</f>
        <v>0</v>
      </c>
      <c r="J265" s="2067">
        <f ca="1">J263-J264</f>
        <v>0</v>
      </c>
      <c r="K265" s="1907">
        <f ca="1">IFERROR(J265/J263*K263,0)</f>
        <v>0</v>
      </c>
      <c r="L265" s="2067">
        <f ca="1">L263-L264</f>
        <v>0</v>
      </c>
      <c r="M265" s="1907">
        <f ca="1">IFERROR(L265/L263*M263,0)</f>
        <v>0</v>
      </c>
      <c r="N265" s="2067">
        <f ca="1">N263-N264</f>
        <v>0</v>
      </c>
      <c r="O265" s="1907">
        <f ca="1">IFERROR(N265/N263*O263,0)</f>
        <v>0</v>
      </c>
      <c r="P265" s="2067">
        <f ca="1">P263-P264</f>
        <v>0</v>
      </c>
      <c r="Q265" s="1907">
        <f ca="1">IFERROR(P265/P263*Q263,0)</f>
        <v>0</v>
      </c>
      <c r="R265" s="1703"/>
      <c r="S265" s="31"/>
    </row>
    <row r="266" spans="1:19" s="416" customFormat="1" ht="15" thickTop="1">
      <c r="A266" s="415"/>
      <c r="B266" s="431" t="s">
        <v>3</v>
      </c>
      <c r="D266" s="770" t="s">
        <v>938</v>
      </c>
      <c r="E266" s="1842" t="s">
        <v>1491</v>
      </c>
      <c r="F266" s="1962">
        <f ca="1">G$147*G$149</f>
        <v>0</v>
      </c>
      <c r="G266" s="1963">
        <f ca="1">G$151*G$147</f>
        <v>0</v>
      </c>
      <c r="H266" s="2065">
        <f ca="1">I$147*I$149</f>
        <v>0</v>
      </c>
      <c r="I266" s="1906">
        <f ca="1">I$151*I$147</f>
        <v>0</v>
      </c>
      <c r="J266" s="2065">
        <f ca="1">K$147*K$149</f>
        <v>0</v>
      </c>
      <c r="K266" s="1906">
        <f ca="1">K$151*K$147</f>
        <v>0</v>
      </c>
      <c r="L266" s="2065">
        <f ca="1">M$147*M$149</f>
        <v>0</v>
      </c>
      <c r="M266" s="1906">
        <f ca="1">M$151*M$147</f>
        <v>0</v>
      </c>
      <c r="N266" s="2065">
        <f ca="1">O$147*O$149</f>
        <v>0</v>
      </c>
      <c r="O266" s="1906">
        <f ca="1">O$151*O$147</f>
        <v>0</v>
      </c>
      <c r="P266" s="2065">
        <f ca="1">Q$147*Q$149</f>
        <v>0</v>
      </c>
      <c r="Q266" s="1906">
        <f ca="1">Q$151*Q$147</f>
        <v>0</v>
      </c>
      <c r="R266" s="1703"/>
      <c r="S266" s="31"/>
    </row>
    <row r="267" spans="1:19" s="28" customFormat="1" hidden="1">
      <c r="A267" s="411" t="s">
        <v>297</v>
      </c>
      <c r="B267" s="430" t="s">
        <v>3</v>
      </c>
      <c r="D267" s="12" t="s">
        <v>263</v>
      </c>
      <c r="E267" s="1360" t="s">
        <v>1491</v>
      </c>
      <c r="F267" s="1964">
        <f ca="1">IF(fermeLaitière,MIN(INDEX(autoconsS0,MATCH($B267,autoconsCulture,0)),F266),0)</f>
        <v>0</v>
      </c>
      <c r="G267" s="1965">
        <f ca="1">IF(fermeLaitière,IFERROR(F267/F266*G266,0),0)</f>
        <v>0</v>
      </c>
      <c r="H267" s="2066">
        <f ca="1">IF(fermeLaitière,MIN(INDEX(autoconsS1,MATCH($B267,autoconsCulture,0)),H266),0)</f>
        <v>0</v>
      </c>
      <c r="I267" s="1907">
        <f ca="1">IF(fermeLaitière,IFERROR(H267/H266*I266,0),0)</f>
        <v>0</v>
      </c>
      <c r="J267" s="2066">
        <f ca="1">IF(fermeLaitière,MIN(INDEX(autoconsS2,MATCH($B267,autoconsCulture,0)),J266),0)</f>
        <v>0</v>
      </c>
      <c r="K267" s="1907">
        <f ca="1">IF(fermeLaitière,IFERROR(J267/J266*K266,0),0)</f>
        <v>0</v>
      </c>
      <c r="L267" s="2066">
        <f ca="1">IF(fermeLaitière,MIN(INDEX(autoconsS3,MATCH($B267,autoconsCulture,0)),L266),0)</f>
        <v>0</v>
      </c>
      <c r="M267" s="1907">
        <f ca="1">IF(fermeLaitière,IFERROR(L267/L266*M266,0),0)</f>
        <v>0</v>
      </c>
      <c r="N267" s="2066">
        <f ca="1">IF(fermeLaitière,MIN(INDEX(autoconsS4,MATCH($B267,autoconsCulture,0)),N266),0)</f>
        <v>0</v>
      </c>
      <c r="O267" s="1907">
        <f ca="1">IF(fermeLaitière,IFERROR(N267/N266*O266,0),0)</f>
        <v>0</v>
      </c>
      <c r="P267" s="2066">
        <f ca="1">IF(fermeLaitière,MIN(INDEX(autoconsS5,MATCH($B267,autoconsCulture,0)),P266),0)</f>
        <v>0</v>
      </c>
      <c r="Q267" s="1907">
        <f ca="1">IF(fermeLaitière,IFERROR(P267/P266*Q266,0),0)</f>
        <v>0</v>
      </c>
      <c r="R267" s="1703"/>
      <c r="S267" s="31"/>
    </row>
    <row r="268" spans="1:19" s="28" customFormat="1" ht="15" thickBot="1">
      <c r="A268" s="411"/>
      <c r="B268" s="430" t="s">
        <v>3</v>
      </c>
      <c r="D268" s="764" t="s">
        <v>262</v>
      </c>
      <c r="E268" s="1371" t="s">
        <v>1491</v>
      </c>
      <c r="F268" s="1964">
        <f ca="1">F266-F267</f>
        <v>0</v>
      </c>
      <c r="G268" s="1965">
        <f ca="1">IFERROR(F268/F266*G266,0)</f>
        <v>0</v>
      </c>
      <c r="H268" s="2067">
        <f ca="1">H266-H267</f>
        <v>0</v>
      </c>
      <c r="I268" s="1907">
        <f ca="1">IFERROR(H268/H266*I266,0)</f>
        <v>0</v>
      </c>
      <c r="J268" s="2067">
        <f ca="1">J266-J267</f>
        <v>0</v>
      </c>
      <c r="K268" s="1907">
        <f ca="1">IFERROR(J268/J266*K266,0)</f>
        <v>0</v>
      </c>
      <c r="L268" s="2067">
        <f ca="1">L266-L267</f>
        <v>0</v>
      </c>
      <c r="M268" s="1907">
        <f ca="1">IFERROR(L268/L266*M266,0)</f>
        <v>0</v>
      </c>
      <c r="N268" s="2067">
        <f ca="1">N266-N267</f>
        <v>0</v>
      </c>
      <c r="O268" s="1907">
        <f ca="1">IFERROR(N268/N266*O266,0)</f>
        <v>0</v>
      </c>
      <c r="P268" s="2067">
        <f ca="1">P266-P267</f>
        <v>0</v>
      </c>
      <c r="Q268" s="1907">
        <f ca="1">IFERROR(P268/P266*Q266,0)</f>
        <v>0</v>
      </c>
      <c r="R268" s="1703"/>
      <c r="S268" s="31"/>
    </row>
    <row r="269" spans="1:19" s="416" customFormat="1" ht="15" hidden="1" thickTop="1">
      <c r="A269" s="415"/>
      <c r="B269" s="433" t="s">
        <v>4</v>
      </c>
      <c r="D269" s="770" t="s">
        <v>301</v>
      </c>
      <c r="E269" s="1842" t="s">
        <v>1491</v>
      </c>
      <c r="F269" s="1962">
        <f ca="1">G$154*G$156</f>
        <v>0</v>
      </c>
      <c r="G269" s="1963">
        <f ca="1">G$158*G$154</f>
        <v>0</v>
      </c>
      <c r="H269" s="2065">
        <f ca="1">I$154*I$156</f>
        <v>0</v>
      </c>
      <c r="I269" s="1906">
        <f ca="1">I$158*I$154</f>
        <v>0</v>
      </c>
      <c r="J269" s="2065">
        <f ca="1">K$154*K$156</f>
        <v>0</v>
      </c>
      <c r="K269" s="1906">
        <f ca="1">K$158*K$154</f>
        <v>0</v>
      </c>
      <c r="L269" s="2065">
        <f ca="1">M$154*M$156</f>
        <v>0</v>
      </c>
      <c r="M269" s="1906">
        <f ca="1">M$158*M$154</f>
        <v>0</v>
      </c>
      <c r="N269" s="2065">
        <f ca="1">O$154*O$156</f>
        <v>0</v>
      </c>
      <c r="O269" s="1906">
        <f ca="1">O$158*O$154</f>
        <v>0</v>
      </c>
      <c r="P269" s="2065">
        <f ca="1">Q$154*Q$156</f>
        <v>0</v>
      </c>
      <c r="Q269" s="1906">
        <f ca="1">Q$158*Q$154</f>
        <v>0</v>
      </c>
      <c r="R269" s="1703"/>
      <c r="S269" s="31"/>
    </row>
    <row r="270" spans="1:19" s="28" customFormat="1" hidden="1">
      <c r="A270" s="411" t="s">
        <v>297</v>
      </c>
      <c r="B270" s="429" t="s">
        <v>4</v>
      </c>
      <c r="C270" s="32"/>
      <c r="D270" s="12" t="s">
        <v>263</v>
      </c>
      <c r="E270" s="1360" t="s">
        <v>1491</v>
      </c>
      <c r="F270" s="1964">
        <f ca="1">IF(fermeLaitière,MIN(INDEX(autoconsS0,MATCH($B270,autoconsCulture,0)),F269),0)</f>
        <v>0</v>
      </c>
      <c r="G270" s="1965">
        <f ca="1">IF(fermeLaitière,IFERROR(F270/F269*G269,0),0)</f>
        <v>0</v>
      </c>
      <c r="H270" s="2066">
        <f ca="1">IF(fermeLaitière,MIN(INDEX(autoconsS1,MATCH($B270,autoconsCulture,0)),H269),0)</f>
        <v>0</v>
      </c>
      <c r="I270" s="1907">
        <f ca="1">IF(fermeLaitière,IFERROR(H270/H269*I269,0),0)</f>
        <v>0</v>
      </c>
      <c r="J270" s="2066">
        <f ca="1">IF(fermeLaitière,MIN(INDEX(autoconsS2,MATCH($B270,autoconsCulture,0)),J269),0)</f>
        <v>0</v>
      </c>
      <c r="K270" s="1907">
        <f ca="1">IF(fermeLaitière,IFERROR(J270/J269*K269,0),0)</f>
        <v>0</v>
      </c>
      <c r="L270" s="2066">
        <f ca="1">IF(fermeLaitière,MIN(INDEX(autoconsS3,MATCH($B270,autoconsCulture,0)),L269),0)</f>
        <v>0</v>
      </c>
      <c r="M270" s="1907">
        <f ca="1">IF(fermeLaitière,IFERROR(L270/L269*M269,0),0)</f>
        <v>0</v>
      </c>
      <c r="N270" s="2066">
        <f ca="1">IF(fermeLaitière,MIN(INDEX(autoconsS4,MATCH($B270,autoconsCulture,0)),N269),0)</f>
        <v>0</v>
      </c>
      <c r="O270" s="1907">
        <f ca="1">IF(fermeLaitière,IFERROR(N270/N269*O269,0),0)</f>
        <v>0</v>
      </c>
      <c r="P270" s="2066">
        <f ca="1">IF(fermeLaitière,MIN(INDEX(autoconsS5,MATCH($B270,autoconsCulture,0)),P269),0)</f>
        <v>0</v>
      </c>
      <c r="Q270" s="1907">
        <f ca="1">IF(fermeLaitière,IFERROR(P270/P269*Q269,0),0)</f>
        <v>0</v>
      </c>
      <c r="R270" s="1703"/>
      <c r="S270" s="31"/>
    </row>
    <row r="271" spans="1:19" s="28" customFormat="1" ht="15" hidden="1" thickBot="1">
      <c r="A271" s="411"/>
      <c r="B271" s="429" t="s">
        <v>4</v>
      </c>
      <c r="D271" s="764" t="s">
        <v>262</v>
      </c>
      <c r="E271" s="1371" t="s">
        <v>1491</v>
      </c>
      <c r="F271" s="1964">
        <f ca="1">F269-F270</f>
        <v>0</v>
      </c>
      <c r="G271" s="1965">
        <f ca="1">IFERROR(F271/F269*G269,0)</f>
        <v>0</v>
      </c>
      <c r="H271" s="2067">
        <f ca="1">H269-H270</f>
        <v>0</v>
      </c>
      <c r="I271" s="1907">
        <f ca="1">IFERROR(H271/H269*I269,0)</f>
        <v>0</v>
      </c>
      <c r="J271" s="2067">
        <f ca="1">J269-J270</f>
        <v>0</v>
      </c>
      <c r="K271" s="1907">
        <f ca="1">IFERROR(J271/J269*K269,0)</f>
        <v>0</v>
      </c>
      <c r="L271" s="2067">
        <f ca="1">L269-L270</f>
        <v>0</v>
      </c>
      <c r="M271" s="1907">
        <f ca="1">IFERROR(L271/L269*M269,0)</f>
        <v>0</v>
      </c>
      <c r="N271" s="2067">
        <f ca="1">N269-N270</f>
        <v>0</v>
      </c>
      <c r="O271" s="1907">
        <f ca="1">IFERROR(N271/N269*O269,0)</f>
        <v>0</v>
      </c>
      <c r="P271" s="2067">
        <f ca="1">P269-P270</f>
        <v>0</v>
      </c>
      <c r="Q271" s="1907">
        <f ca="1">IFERROR(P271/P269*Q269,0)</f>
        <v>0</v>
      </c>
      <c r="R271" s="1703"/>
      <c r="S271" s="31"/>
    </row>
    <row r="272" spans="1:19" s="416" customFormat="1" ht="15" hidden="1" thickTop="1">
      <c r="A272" s="415"/>
      <c r="B272" s="432" t="s">
        <v>5</v>
      </c>
      <c r="D272" s="770" t="s">
        <v>300</v>
      </c>
      <c r="E272" s="1842" t="s">
        <v>1491</v>
      </c>
      <c r="F272" s="1962">
        <f ca="1">G$161*G$163</f>
        <v>0</v>
      </c>
      <c r="G272" s="1963">
        <f ca="1">G$165*G$161</f>
        <v>0</v>
      </c>
      <c r="H272" s="2065">
        <f ca="1">I$161*I$163</f>
        <v>0</v>
      </c>
      <c r="I272" s="1906">
        <f ca="1">I$165*I$161</f>
        <v>0</v>
      </c>
      <c r="J272" s="2065">
        <f ca="1">K$161*K$163</f>
        <v>0</v>
      </c>
      <c r="K272" s="1906">
        <f ca="1">K$165*K$161</f>
        <v>0</v>
      </c>
      <c r="L272" s="2065">
        <f ca="1">M$161*M$163</f>
        <v>0</v>
      </c>
      <c r="M272" s="1906">
        <f ca="1">M$165*M$161</f>
        <v>0</v>
      </c>
      <c r="N272" s="2065">
        <f ca="1">O$161*O$163</f>
        <v>0</v>
      </c>
      <c r="O272" s="1906">
        <f ca="1">O$165*O$161</f>
        <v>0</v>
      </c>
      <c r="P272" s="2065">
        <f ca="1">Q$161*Q$163</f>
        <v>0</v>
      </c>
      <c r="Q272" s="1906">
        <f ca="1">Q$165*Q$161</f>
        <v>0</v>
      </c>
      <c r="R272" s="1703"/>
      <c r="S272" s="31"/>
    </row>
    <row r="273" spans="1:19" s="28" customFormat="1" ht="15" hidden="1" thickBot="1">
      <c r="A273" s="411" t="s">
        <v>297</v>
      </c>
      <c r="B273" s="412" t="str">
        <f>B272</f>
        <v>Avoine</v>
      </c>
      <c r="D273" s="12" t="s">
        <v>263</v>
      </c>
      <c r="E273" s="1360" t="s">
        <v>1491</v>
      </c>
      <c r="F273" s="1964">
        <f ca="1">IF(fermeLaitière,MIN(INDEX(autoconsS0,MATCH($B273,autoconsCulture,0)),F272),0)</f>
        <v>0</v>
      </c>
      <c r="G273" s="1965">
        <f ca="1">IF(fermeLaitière,IFERROR(F273/F272*G272,0),0)</f>
        <v>0</v>
      </c>
      <c r="H273" s="2066">
        <f ca="1">IF(fermeLaitière,MIN(INDEX(autoconsS1,MATCH($B273,autoconsCulture,0)),H272),0)</f>
        <v>0</v>
      </c>
      <c r="I273" s="1907">
        <f ca="1">IF(fermeLaitière,IFERROR(H273/H272*I272,0),0)</f>
        <v>0</v>
      </c>
      <c r="J273" s="2066">
        <f ca="1">IF(fermeLaitière,MIN(INDEX(autoconsS2,MATCH($B273,autoconsCulture,0)),J272),0)</f>
        <v>0</v>
      </c>
      <c r="K273" s="1907">
        <f ca="1">IF(fermeLaitière,IFERROR(J273/J272*K272,0),0)</f>
        <v>0</v>
      </c>
      <c r="L273" s="2066">
        <f ca="1">IF(fermeLaitière,MIN(INDEX(autoconsS3,MATCH($B273,autoconsCulture,0)),L272),0)</f>
        <v>0</v>
      </c>
      <c r="M273" s="1907">
        <f ca="1">IF(fermeLaitière,IFERROR(L273/L272*M272,0),0)</f>
        <v>0</v>
      </c>
      <c r="N273" s="2066">
        <f ca="1">IF(fermeLaitière,MIN(INDEX(autoconsS4,MATCH($B273,autoconsCulture,0)),N272),0)</f>
        <v>0</v>
      </c>
      <c r="O273" s="1907">
        <f ca="1">IF(fermeLaitière,IFERROR(N273/N272*O272,0),0)</f>
        <v>0</v>
      </c>
      <c r="P273" s="2066">
        <f ca="1">IF(fermeLaitière,MIN(INDEX(autoconsS5,MATCH($B273,autoconsCulture,0)),P272),0)</f>
        <v>0</v>
      </c>
      <c r="Q273" s="1907">
        <f ca="1">IF(fermeLaitière,IFERROR(P273/P272*Q272,0),0)</f>
        <v>0</v>
      </c>
      <c r="R273" s="1703"/>
      <c r="S273" s="31"/>
    </row>
    <row r="274" spans="1:19" s="28" customFormat="1" ht="15" hidden="1" thickBot="1">
      <c r="A274" s="411"/>
      <c r="B274" s="412" t="str">
        <f>B273</f>
        <v>Avoine</v>
      </c>
      <c r="D274" s="764" t="s">
        <v>262</v>
      </c>
      <c r="E274" s="1371" t="s">
        <v>1491</v>
      </c>
      <c r="F274" s="1964">
        <f ca="1">F272-F273</f>
        <v>0</v>
      </c>
      <c r="G274" s="1965">
        <f ca="1">IFERROR(F274/F272*G272,0)</f>
        <v>0</v>
      </c>
      <c r="H274" s="2067">
        <f ca="1">H272-H273</f>
        <v>0</v>
      </c>
      <c r="I274" s="1907">
        <f ca="1">IFERROR(H274/H272*I272,0)</f>
        <v>0</v>
      </c>
      <c r="J274" s="2067">
        <f ca="1">J272-J273</f>
        <v>0</v>
      </c>
      <c r="K274" s="1907">
        <f ca="1">IFERROR(J274/J272*K272,0)</f>
        <v>0</v>
      </c>
      <c r="L274" s="2067">
        <f ca="1">L272-L273</f>
        <v>0</v>
      </c>
      <c r="M274" s="1907">
        <f ca="1">IFERROR(L274/L272*M272,0)</f>
        <v>0</v>
      </c>
      <c r="N274" s="2067">
        <f ca="1">N272-N273</f>
        <v>0</v>
      </c>
      <c r="O274" s="1907">
        <f ca="1">IFERROR(N274/N272*O272,0)</f>
        <v>0</v>
      </c>
      <c r="P274" s="2067">
        <f ca="1">P272-P273</f>
        <v>0</v>
      </c>
      <c r="Q274" s="1907">
        <f ca="1">IFERROR(P274/P272*Q272,0)</f>
        <v>0</v>
      </c>
      <c r="R274" s="1703"/>
      <c r="S274" s="31"/>
    </row>
    <row r="275" spans="1:19" s="416" customFormat="1" ht="15" thickTop="1">
      <c r="A275" s="415"/>
      <c r="B275" s="432" t="s">
        <v>6</v>
      </c>
      <c r="D275" s="770" t="s">
        <v>299</v>
      </c>
      <c r="E275" s="1842" t="s">
        <v>1491</v>
      </c>
      <c r="F275" s="1962">
        <f ca="1">G$168*G$170</f>
        <v>0</v>
      </c>
      <c r="G275" s="1963">
        <f ca="1">G$172*G$168</f>
        <v>0</v>
      </c>
      <c r="H275" s="2065">
        <f ca="1">I$168*I$170</f>
        <v>0</v>
      </c>
      <c r="I275" s="1906">
        <f ca="1">I$172*I$168</f>
        <v>0</v>
      </c>
      <c r="J275" s="2065">
        <f ca="1">K$168*K$170</f>
        <v>0</v>
      </c>
      <c r="K275" s="1906">
        <f ca="1">K$172*K$168</f>
        <v>0</v>
      </c>
      <c r="L275" s="2065">
        <f ca="1">M$168*M$170</f>
        <v>0</v>
      </c>
      <c r="M275" s="1906">
        <f ca="1">M$172*M$168</f>
        <v>0</v>
      </c>
      <c r="N275" s="2065">
        <f ca="1">O$168*O$170</f>
        <v>0</v>
      </c>
      <c r="O275" s="1906">
        <f ca="1">O$172*O$168</f>
        <v>0</v>
      </c>
      <c r="P275" s="2065">
        <f ca="1">Q$168*Q$170</f>
        <v>0</v>
      </c>
      <c r="Q275" s="1906">
        <f ca="1">Q$172*Q$168</f>
        <v>0</v>
      </c>
      <c r="R275" s="1703"/>
      <c r="S275" s="31"/>
    </row>
    <row r="276" spans="1:19" s="28" customFormat="1" hidden="1">
      <c r="A276" s="411" t="s">
        <v>297</v>
      </c>
      <c r="B276" s="412" t="str">
        <f>B275</f>
        <v>Blé d'automne</v>
      </c>
      <c r="D276" s="12" t="s">
        <v>263</v>
      </c>
      <c r="E276" s="1360" t="s">
        <v>1491</v>
      </c>
      <c r="F276" s="1964">
        <f ca="1">IF(fermeLaitière,MIN(INDEX(autoconsS0,MATCH($B276,autoconsCulture,0)),F275),0)</f>
        <v>0</v>
      </c>
      <c r="G276" s="1965">
        <f ca="1">IF(fermeLaitière,IFERROR(F276/F275*G275,0),0)</f>
        <v>0</v>
      </c>
      <c r="H276" s="2066">
        <f ca="1">IF(fermeLaitière,MIN(INDEX(autoconsS1,MATCH($B276,autoconsCulture,0)),H275),0)</f>
        <v>0</v>
      </c>
      <c r="I276" s="1907">
        <f ca="1">IF(fermeLaitière,IFERROR(H276/H275*I275,0),0)</f>
        <v>0</v>
      </c>
      <c r="J276" s="2066">
        <f ca="1">IF(fermeLaitière,MIN(INDEX(autoconsS2,MATCH($B276,autoconsCulture,0)),J275),0)</f>
        <v>0</v>
      </c>
      <c r="K276" s="1907">
        <f ca="1">IF(fermeLaitière,IFERROR(J276/J275*K275,0),0)</f>
        <v>0</v>
      </c>
      <c r="L276" s="2066">
        <f ca="1">IF(fermeLaitière,MIN(INDEX(autoconsS3,MATCH($B276,autoconsCulture,0)),L275),0)</f>
        <v>0</v>
      </c>
      <c r="M276" s="1907">
        <f ca="1">IF(fermeLaitière,IFERROR(L276/L275*M275,0),0)</f>
        <v>0</v>
      </c>
      <c r="N276" s="2066">
        <f ca="1">IF(fermeLaitière,MIN(INDEX(autoconsS4,MATCH($B276,autoconsCulture,0)),N275),0)</f>
        <v>0</v>
      </c>
      <c r="O276" s="1907">
        <f ca="1">IF(fermeLaitière,IFERROR(N276/N275*O275,0),0)</f>
        <v>0</v>
      </c>
      <c r="P276" s="2066">
        <f ca="1">IF(fermeLaitière,MIN(INDEX(autoconsS5,MATCH($B276,autoconsCulture,0)),P275),0)</f>
        <v>0</v>
      </c>
      <c r="Q276" s="1907">
        <f ca="1">IF(fermeLaitière,IFERROR(P276/P275*Q275,0),0)</f>
        <v>0</v>
      </c>
      <c r="R276" s="1703"/>
      <c r="S276" s="31"/>
    </row>
    <row r="277" spans="1:19" s="28" customFormat="1" ht="15" thickBot="1">
      <c r="A277" s="411"/>
      <c r="B277" s="412" t="str">
        <f>B276</f>
        <v>Blé d'automne</v>
      </c>
      <c r="D277" s="764" t="s">
        <v>262</v>
      </c>
      <c r="E277" s="1371" t="s">
        <v>1491</v>
      </c>
      <c r="F277" s="1964">
        <f ca="1">F275-F276</f>
        <v>0</v>
      </c>
      <c r="G277" s="1965">
        <f ca="1">IFERROR(F277/F275*G275,0)</f>
        <v>0</v>
      </c>
      <c r="H277" s="2067">
        <f ca="1">H275-H276</f>
        <v>0</v>
      </c>
      <c r="I277" s="1907">
        <f ca="1">IFERROR(H277/H275*I275,0)</f>
        <v>0</v>
      </c>
      <c r="J277" s="2067">
        <f ca="1">J275-J276</f>
        <v>0</v>
      </c>
      <c r="K277" s="1907">
        <f ca="1">IFERROR(J277/J275*K275,0)</f>
        <v>0</v>
      </c>
      <c r="L277" s="2067">
        <f ca="1">L275-L276</f>
        <v>0</v>
      </c>
      <c r="M277" s="1907">
        <f ca="1">IFERROR(L277/L275*M275,0)</f>
        <v>0</v>
      </c>
      <c r="N277" s="2067">
        <f ca="1">N275-N276</f>
        <v>0</v>
      </c>
      <c r="O277" s="1907">
        <f ca="1">IFERROR(N277/N275*O275,0)</f>
        <v>0</v>
      </c>
      <c r="P277" s="2067">
        <f ca="1">P275-P276</f>
        <v>0</v>
      </c>
      <c r="Q277" s="1907">
        <f ca="1">IFERROR(P277/P275*Q275,0)</f>
        <v>0</v>
      </c>
      <c r="R277" s="1703"/>
      <c r="S277" s="31"/>
    </row>
    <row r="278" spans="1:19" s="416" customFormat="1" ht="15" hidden="1" thickTop="1">
      <c r="A278" s="415"/>
      <c r="B278" s="432" t="s">
        <v>7</v>
      </c>
      <c r="D278" s="770" t="s">
        <v>298</v>
      </c>
      <c r="E278" s="1842" t="s">
        <v>1491</v>
      </c>
      <c r="F278" s="1962">
        <f ca="1">G$175*G$177</f>
        <v>0</v>
      </c>
      <c r="G278" s="1963">
        <f ca="1">G$179*G$175</f>
        <v>0</v>
      </c>
      <c r="H278" s="2065">
        <f ca="1">I$175*I$177</f>
        <v>0</v>
      </c>
      <c r="I278" s="1906">
        <f ca="1">I$179*I$175</f>
        <v>0</v>
      </c>
      <c r="J278" s="2065">
        <f ca="1">K$175*K$177</f>
        <v>0</v>
      </c>
      <c r="K278" s="1906">
        <f ca="1">K$179*K$175</f>
        <v>0</v>
      </c>
      <c r="L278" s="2065">
        <f ca="1">M$175*M$177</f>
        <v>0</v>
      </c>
      <c r="M278" s="1906">
        <f ca="1">M$179*M$175</f>
        <v>0</v>
      </c>
      <c r="N278" s="2065">
        <f ca="1">O$175*O$177</f>
        <v>0</v>
      </c>
      <c r="O278" s="1906">
        <f ca="1">O$179*O$175</f>
        <v>0</v>
      </c>
      <c r="P278" s="2065">
        <f ca="1">Q$175*Q$177</f>
        <v>0</v>
      </c>
      <c r="Q278" s="1906">
        <f ca="1">Q$179*Q$175</f>
        <v>0</v>
      </c>
      <c r="R278" s="1703"/>
      <c r="S278" s="31"/>
    </row>
    <row r="279" spans="1:19" s="28" customFormat="1" hidden="1">
      <c r="A279" s="411" t="s">
        <v>297</v>
      </c>
      <c r="B279" s="412" t="str">
        <f>B278</f>
        <v>Seigle d'automne</v>
      </c>
      <c r="D279" s="12" t="s">
        <v>263</v>
      </c>
      <c r="E279" s="1360" t="s">
        <v>1491</v>
      </c>
      <c r="F279" s="1964">
        <f ca="1">IF(fermeLaitière,MIN(INDEX(autoconsS0,MATCH($B279,autoconsCulture,0)),F278),0)</f>
        <v>0</v>
      </c>
      <c r="G279" s="1965">
        <f ca="1">IF(fermeLaitière,IFERROR(F279/F278*G278,0),0)</f>
        <v>0</v>
      </c>
      <c r="H279" s="2066">
        <f ca="1">IF(fermeLaitière,MIN(INDEX(autoconsS1,MATCH($B279,autoconsCulture,0)),H278),0)</f>
        <v>0</v>
      </c>
      <c r="I279" s="1907">
        <f ca="1">IF(fermeLaitière,IFERROR(H279/H278*I278,0),0)</f>
        <v>0</v>
      </c>
      <c r="J279" s="2066">
        <f ca="1">IF(fermeLaitière,MIN(INDEX(autoconsS2,MATCH($B279,autoconsCulture,0)),J278),0)</f>
        <v>0</v>
      </c>
      <c r="K279" s="1907">
        <f ca="1">IF(fermeLaitière,IFERROR(J279/J278*K278,0),0)</f>
        <v>0</v>
      </c>
      <c r="L279" s="2066">
        <f ca="1">IF(fermeLaitière,MIN(INDEX(autoconsS3,MATCH($B279,autoconsCulture,0)),L278),0)</f>
        <v>0</v>
      </c>
      <c r="M279" s="1907">
        <f ca="1">IF(fermeLaitière,IFERROR(L279/L278*M278,0),0)</f>
        <v>0</v>
      </c>
      <c r="N279" s="2066">
        <f ca="1">IF(fermeLaitière,MIN(INDEX(autoconsS4,MATCH($B279,autoconsCulture,0)),N278),0)</f>
        <v>0</v>
      </c>
      <c r="O279" s="1907">
        <f ca="1">IF(fermeLaitière,IFERROR(N279/N278*O278,0),0)</f>
        <v>0</v>
      </c>
      <c r="P279" s="2066">
        <f ca="1">IF(fermeLaitière,MIN(INDEX(autoconsS5,MATCH($B279,autoconsCulture,0)),P278),0)</f>
        <v>0</v>
      </c>
      <c r="Q279" s="1907">
        <f ca="1">IF(fermeLaitière,IFERROR(P279/P278*Q278,0),0)</f>
        <v>0</v>
      </c>
      <c r="R279" s="1703"/>
      <c r="S279" s="31"/>
    </row>
    <row r="280" spans="1:19" s="28" customFormat="1" ht="15" hidden="1" thickBot="1">
      <c r="A280" s="411"/>
      <c r="B280" s="412" t="str">
        <f>B279</f>
        <v>Seigle d'automne</v>
      </c>
      <c r="D280" s="764" t="s">
        <v>262</v>
      </c>
      <c r="E280" s="1371" t="s">
        <v>1491</v>
      </c>
      <c r="F280" s="1964">
        <f ca="1">F278-F279</f>
        <v>0</v>
      </c>
      <c r="G280" s="1965">
        <f ca="1">IFERROR(F280/F278*G278,0)</f>
        <v>0</v>
      </c>
      <c r="H280" s="2067">
        <f ca="1">H278-H279</f>
        <v>0</v>
      </c>
      <c r="I280" s="1907">
        <f ca="1">IFERROR(H280/H278*I278,0)</f>
        <v>0</v>
      </c>
      <c r="J280" s="2067">
        <f ca="1">J278-J279</f>
        <v>0</v>
      </c>
      <c r="K280" s="1907">
        <f ca="1">IFERROR(J280/J278*K278,0)</f>
        <v>0</v>
      </c>
      <c r="L280" s="2067">
        <f ca="1">L278-L279</f>
        <v>0</v>
      </c>
      <c r="M280" s="1907">
        <f ca="1">IFERROR(L280/L278*M278,0)</f>
        <v>0</v>
      </c>
      <c r="N280" s="2067">
        <f ca="1">N278-N279</f>
        <v>0</v>
      </c>
      <c r="O280" s="1907">
        <f ca="1">IFERROR(N280/N278*O278,0)</f>
        <v>0</v>
      </c>
      <c r="P280" s="2067">
        <f ca="1">P278-P279</f>
        <v>0</v>
      </c>
      <c r="Q280" s="1907">
        <f ca="1">IFERROR(P280/P278*Q278,0)</f>
        <v>0</v>
      </c>
      <c r="R280" s="1703"/>
      <c r="S280" s="31"/>
    </row>
    <row r="281" spans="1:19" s="416" customFormat="1" ht="15" hidden="1" thickTop="1">
      <c r="A281" s="415"/>
      <c r="B281" s="432" t="s">
        <v>1291</v>
      </c>
      <c r="D281" s="770" t="s">
        <v>1293</v>
      </c>
      <c r="E281" s="1842" t="s">
        <v>1491</v>
      </c>
      <c r="F281" s="1962">
        <f ca="1">G$182*G$184</f>
        <v>0</v>
      </c>
      <c r="G281" s="1963">
        <f ca="1">G$186*G$182</f>
        <v>0</v>
      </c>
      <c r="H281" s="2065">
        <f ca="1">I$182*I$184</f>
        <v>0</v>
      </c>
      <c r="I281" s="1906">
        <f ca="1">I$186*I$182</f>
        <v>0</v>
      </c>
      <c r="J281" s="2065">
        <f ca="1">K$182*K$184</f>
        <v>0</v>
      </c>
      <c r="K281" s="1906">
        <f ca="1">K$186*K$182</f>
        <v>0</v>
      </c>
      <c r="L281" s="2065">
        <f ca="1">M$182*M$184</f>
        <v>0</v>
      </c>
      <c r="M281" s="1906">
        <f ca="1">M$186*M$182</f>
        <v>0</v>
      </c>
      <c r="N281" s="2065">
        <f ca="1">O$182*O$184</f>
        <v>0</v>
      </c>
      <c r="O281" s="1906">
        <f ca="1">O$186*O$182</f>
        <v>0</v>
      </c>
      <c r="P281" s="2065">
        <f ca="1">Q$182*Q$184</f>
        <v>0</v>
      </c>
      <c r="Q281" s="1906">
        <f ca="1">Q$186*Q$182</f>
        <v>0</v>
      </c>
      <c r="R281" s="1703"/>
      <c r="S281" s="31"/>
    </row>
    <row r="282" spans="1:19" s="28" customFormat="1" hidden="1">
      <c r="A282" s="411" t="s">
        <v>297</v>
      </c>
      <c r="B282" s="412" t="str">
        <f>B281</f>
        <v>Épeautre d'automne</v>
      </c>
      <c r="D282" s="12" t="s">
        <v>263</v>
      </c>
      <c r="E282" s="1360" t="s">
        <v>1491</v>
      </c>
      <c r="F282" s="1964">
        <f ca="1">IF(fermeLaitière,MIN(INDEX(autoconsS0,MATCH($B282,autoconsCulture,0)),F281),0)</f>
        <v>0</v>
      </c>
      <c r="G282" s="1965">
        <f ca="1">IF(fermeLaitière,IFERROR(F282/F281*G281,0),0)</f>
        <v>0</v>
      </c>
      <c r="H282" s="2066">
        <f ca="1">IF(fermeLaitière,MIN(INDEX(autoconsS1,MATCH($B282,autoconsCulture,0)),H281),0)</f>
        <v>0</v>
      </c>
      <c r="I282" s="1907">
        <f ca="1">IF(fermeLaitière,IFERROR(H282/H281*I281,0),0)</f>
        <v>0</v>
      </c>
      <c r="J282" s="2066">
        <f ca="1">IF(fermeLaitière,MIN(INDEX(autoconsS2,MATCH($B282,autoconsCulture,0)),J281),0)</f>
        <v>0</v>
      </c>
      <c r="K282" s="1907">
        <f ca="1">IF(fermeLaitière,IFERROR(J282/J281*K281,0),0)</f>
        <v>0</v>
      </c>
      <c r="L282" s="2066">
        <f ca="1">IF(fermeLaitière,MIN(INDEX(autoconsS3,MATCH($B282,autoconsCulture,0)),L281),0)</f>
        <v>0</v>
      </c>
      <c r="M282" s="1907">
        <f ca="1">IF(fermeLaitière,IFERROR(L282/L281*M281,0),0)</f>
        <v>0</v>
      </c>
      <c r="N282" s="2066">
        <f ca="1">IF(fermeLaitière,MIN(INDEX(autoconsS4,MATCH($B282,autoconsCulture,0)),N281),0)</f>
        <v>0</v>
      </c>
      <c r="O282" s="1907">
        <f ca="1">IF(fermeLaitière,IFERROR(N282/N281*O281,0),0)</f>
        <v>0</v>
      </c>
      <c r="P282" s="2066">
        <f ca="1">IF(fermeLaitière,MIN(INDEX(autoconsS5,MATCH($B282,autoconsCulture,0)),P281),0)</f>
        <v>0</v>
      </c>
      <c r="Q282" s="1907">
        <f ca="1">IF(fermeLaitière,IFERROR(P282/P281*Q281,0),0)</f>
        <v>0</v>
      </c>
      <c r="R282" s="1703"/>
      <c r="S282" s="31"/>
    </row>
    <row r="283" spans="1:19" s="28" customFormat="1" ht="15" hidden="1" thickBot="1">
      <c r="A283" s="411"/>
      <c r="B283" s="412" t="str">
        <f>B282</f>
        <v>Épeautre d'automne</v>
      </c>
      <c r="D283" s="764" t="s">
        <v>262</v>
      </c>
      <c r="E283" s="1371" t="s">
        <v>1491</v>
      </c>
      <c r="F283" s="1964">
        <f ca="1">F281-F282</f>
        <v>0</v>
      </c>
      <c r="G283" s="1965">
        <f ca="1">IFERROR(F283/F281*G281,0)</f>
        <v>0</v>
      </c>
      <c r="H283" s="2067">
        <f ca="1">H281-H282</f>
        <v>0</v>
      </c>
      <c r="I283" s="1907">
        <f ca="1">IFERROR(H283/H281*I281,0)</f>
        <v>0</v>
      </c>
      <c r="J283" s="2067">
        <f ca="1">J281-J282</f>
        <v>0</v>
      </c>
      <c r="K283" s="1907">
        <f ca="1">IFERROR(J283/J281*K281,0)</f>
        <v>0</v>
      </c>
      <c r="L283" s="2067">
        <f ca="1">L281-L282</f>
        <v>0</v>
      </c>
      <c r="M283" s="1907">
        <f ca="1">IFERROR(L283/L281*M281,0)</f>
        <v>0</v>
      </c>
      <c r="N283" s="2067">
        <f ca="1">N281-N282</f>
        <v>0</v>
      </c>
      <c r="O283" s="1907">
        <f ca="1">IFERROR(N283/N281*O281,0)</f>
        <v>0</v>
      </c>
      <c r="P283" s="2067">
        <f ca="1">P281-P282</f>
        <v>0</v>
      </c>
      <c r="Q283" s="1907">
        <f ca="1">IFERROR(P283/P281*Q281,0)</f>
        <v>0</v>
      </c>
      <c r="R283" s="1703"/>
      <c r="S283" s="31"/>
    </row>
    <row r="284" spans="1:19" s="416" customFormat="1" ht="15" hidden="1" thickTop="1">
      <c r="A284" s="415"/>
      <c r="B284" s="432" t="s">
        <v>1294</v>
      </c>
      <c r="D284" s="770" t="s">
        <v>1366</v>
      </c>
      <c r="E284" s="1842" t="s">
        <v>1491</v>
      </c>
      <c r="F284" s="1962">
        <f ca="1">G$191*G$189</f>
        <v>0</v>
      </c>
      <c r="G284" s="1963">
        <f ca="1">G$193*G$189</f>
        <v>0</v>
      </c>
      <c r="H284" s="2065">
        <f ca="1">I$191*I$189</f>
        <v>0</v>
      </c>
      <c r="I284" s="1906">
        <f ca="1">I$193*I$189</f>
        <v>0</v>
      </c>
      <c r="J284" s="2065">
        <f ca="1">K$191*K$189</f>
        <v>0</v>
      </c>
      <c r="K284" s="1906">
        <f ca="1">K$193*K$189</f>
        <v>0</v>
      </c>
      <c r="L284" s="2065">
        <f ca="1">M$191*M$189</f>
        <v>0</v>
      </c>
      <c r="M284" s="1906">
        <f ca="1">M$193*M$189</f>
        <v>0</v>
      </c>
      <c r="N284" s="2065">
        <f ca="1">O$191*O$189</f>
        <v>0</v>
      </c>
      <c r="O284" s="1906">
        <f ca="1">O$193*O$189</f>
        <v>0</v>
      </c>
      <c r="P284" s="2065">
        <f ca="1">Q$191*Q$189</f>
        <v>0</v>
      </c>
      <c r="Q284" s="1906">
        <f ca="1">Q$193*Q$189</f>
        <v>0</v>
      </c>
      <c r="R284" s="1703"/>
      <c r="S284" s="31"/>
    </row>
    <row r="285" spans="1:19" s="28" customFormat="1" hidden="1">
      <c r="A285" s="411" t="s">
        <v>297</v>
      </c>
      <c r="B285" s="432" t="s">
        <v>1294</v>
      </c>
      <c r="D285" s="12" t="s">
        <v>263</v>
      </c>
      <c r="E285" s="1360" t="s">
        <v>1491</v>
      </c>
      <c r="F285" s="1964">
        <f ca="1">IF(fermeLaitière,MIN(INDEX(autoconsS0,MATCH($B285,autoconsCulture,0)),F284),0)</f>
        <v>0</v>
      </c>
      <c r="G285" s="1965">
        <f ca="1">IF(fermeLaitière,IFERROR(F285/F284*G284,0),0)</f>
        <v>0</v>
      </c>
      <c r="H285" s="2066">
        <f ca="1">IF(fermeLaitière,MIN(INDEX(autoconsS1,MATCH($B285,autoconsCulture,0)),H284),0)</f>
        <v>0</v>
      </c>
      <c r="I285" s="1907">
        <f ca="1">IF(fermeLaitière,IFERROR(H285/H284*I284,0),0)</f>
        <v>0</v>
      </c>
      <c r="J285" s="2066">
        <f ca="1">IF(fermeLaitière,MIN(INDEX(autoconsS2,MATCH($B285,autoconsCulture,0)),J284),0)</f>
        <v>0</v>
      </c>
      <c r="K285" s="1907">
        <f ca="1">IF(fermeLaitière,IFERROR(J285/J284*K284,0),0)</f>
        <v>0</v>
      </c>
      <c r="L285" s="2066">
        <f ca="1">IF(fermeLaitière,MIN(INDEX(autoconsS3,MATCH($B285,autoconsCulture,0)),L284),0)</f>
        <v>0</v>
      </c>
      <c r="M285" s="1907">
        <f ca="1">IF(fermeLaitière,IFERROR(L285/L284*M284,0),0)</f>
        <v>0</v>
      </c>
      <c r="N285" s="2066">
        <f ca="1">IF(fermeLaitière,MIN(INDEX(autoconsS4,MATCH($B285,autoconsCulture,0)),N284),0)</f>
        <v>0</v>
      </c>
      <c r="O285" s="1907">
        <f ca="1">IF(fermeLaitière,IFERROR(N285/N284*O284,0),0)</f>
        <v>0</v>
      </c>
      <c r="P285" s="2066">
        <f ca="1">IF(fermeLaitière,MIN(INDEX(autoconsS5,MATCH($B285,autoconsCulture,0)),P284),0)</f>
        <v>0</v>
      </c>
      <c r="Q285" s="1907">
        <f ca="1">IF(fermeLaitière,IFERROR(P285/P284*Q284,0),0)</f>
        <v>0</v>
      </c>
      <c r="R285" s="1703"/>
      <c r="S285" s="31"/>
    </row>
    <row r="286" spans="1:19" s="28" customFormat="1" ht="15" hidden="1" thickBot="1">
      <c r="A286" s="411"/>
      <c r="B286" s="432" t="s">
        <v>1294</v>
      </c>
      <c r="D286" s="764" t="s">
        <v>262</v>
      </c>
      <c r="E286" s="1371" t="s">
        <v>1491</v>
      </c>
      <c r="F286" s="1964">
        <f ca="1">F284-F285</f>
        <v>0</v>
      </c>
      <c r="G286" s="1965">
        <f ca="1">IFERROR(F286/F284*G284,0)</f>
        <v>0</v>
      </c>
      <c r="H286" s="2067">
        <f ca="1">H284-H285</f>
        <v>0</v>
      </c>
      <c r="I286" s="1907">
        <f ca="1">IFERROR(H286/H284*I284,0)</f>
        <v>0</v>
      </c>
      <c r="J286" s="2067">
        <f ca="1">J284-J285</f>
        <v>0</v>
      </c>
      <c r="K286" s="1907">
        <f ca="1">IFERROR(J286/J284*K284,0)</f>
        <v>0</v>
      </c>
      <c r="L286" s="2067">
        <f ca="1">L284-L285</f>
        <v>0</v>
      </c>
      <c r="M286" s="1907">
        <f ca="1">IFERROR(L286/L284*M284,0)</f>
        <v>0</v>
      </c>
      <c r="N286" s="2067">
        <f ca="1">N284-N285</f>
        <v>0</v>
      </c>
      <c r="O286" s="1907">
        <f ca="1">IFERROR(N286/N284*O284,0)</f>
        <v>0</v>
      </c>
      <c r="P286" s="2067">
        <f ca="1">P284-P285</f>
        <v>0</v>
      </c>
      <c r="Q286" s="1907">
        <f ca="1">IFERROR(P286/P284*Q284,0)</f>
        <v>0</v>
      </c>
      <c r="R286" s="1703"/>
      <c r="S286" s="31"/>
    </row>
    <row r="287" spans="1:19" s="416" customFormat="1" ht="15" hidden="1" thickTop="1">
      <c r="A287" s="415"/>
      <c r="B287" s="432" t="s">
        <v>218</v>
      </c>
      <c r="D287" s="770" t="s">
        <v>302</v>
      </c>
      <c r="E287" s="1842" t="s">
        <v>1491</v>
      </c>
      <c r="F287" s="1962">
        <f ca="1">G$196*G$198</f>
        <v>0</v>
      </c>
      <c r="G287" s="1963">
        <f ca="1">G$200*G$196</f>
        <v>0</v>
      </c>
      <c r="H287" s="2065">
        <f ca="1">I$196*I$198</f>
        <v>0</v>
      </c>
      <c r="I287" s="1906">
        <f ca="1">I$200*I$196</f>
        <v>0</v>
      </c>
      <c r="J287" s="2065">
        <f ca="1">K$196*K$198</f>
        <v>0</v>
      </c>
      <c r="K287" s="1906">
        <f ca="1">K$200*K$196</f>
        <v>0</v>
      </c>
      <c r="L287" s="2065">
        <f ca="1">M$196*M$198</f>
        <v>0</v>
      </c>
      <c r="M287" s="1906">
        <f ca="1">M$200*M$196</f>
        <v>0</v>
      </c>
      <c r="N287" s="2065">
        <f ca="1">O$196*O$198</f>
        <v>0</v>
      </c>
      <c r="O287" s="1906">
        <f ca="1">O$200*O$196</f>
        <v>0</v>
      </c>
      <c r="P287" s="2065">
        <f ca="1">Q$196*Q$198</f>
        <v>0</v>
      </c>
      <c r="Q287" s="1906">
        <f ca="1">Q$200*Q$196</f>
        <v>0</v>
      </c>
      <c r="R287" s="1703"/>
      <c r="S287" s="31"/>
    </row>
    <row r="288" spans="1:19" s="28" customFormat="1" hidden="1">
      <c r="A288" s="411" t="s">
        <v>297</v>
      </c>
      <c r="B288" s="412" t="str">
        <f>B287</f>
        <v>Canola</v>
      </c>
      <c r="D288" s="12" t="s">
        <v>263</v>
      </c>
      <c r="E288" s="1360" t="s">
        <v>1491</v>
      </c>
      <c r="F288" s="1964">
        <f ca="1">IF(fermeLaitière,MIN(INDEX(autoconsS0,MATCH($B288,autoconsCulture,0)),F287),0)</f>
        <v>0</v>
      </c>
      <c r="G288" s="1965">
        <f ca="1">IF(fermeLaitière,IFERROR(F288/F287*G287,0),0)</f>
        <v>0</v>
      </c>
      <c r="H288" s="2066">
        <f ca="1">IF(fermeLaitière,MIN(INDEX(autoconsS1,MATCH($B288,autoconsCulture,0)),H287),0)</f>
        <v>0</v>
      </c>
      <c r="I288" s="1907">
        <f ca="1">IF(fermeLaitière,IFERROR(H288/H287*I287,0),0)</f>
        <v>0</v>
      </c>
      <c r="J288" s="2066">
        <f ca="1">IF(fermeLaitière,MIN(INDEX(autoconsS2,MATCH($B288,autoconsCulture,0)),J287),0)</f>
        <v>0</v>
      </c>
      <c r="K288" s="1907">
        <f ca="1">IF(fermeLaitière,IFERROR(J288/J287*K287,0),0)</f>
        <v>0</v>
      </c>
      <c r="L288" s="2066">
        <f ca="1">IF(fermeLaitière,MIN(INDEX(autoconsS3,MATCH($B288,autoconsCulture,0)),L287),0)</f>
        <v>0</v>
      </c>
      <c r="M288" s="1907">
        <f ca="1">IF(fermeLaitière,IFERROR(L288/L287*M287,0),0)</f>
        <v>0</v>
      </c>
      <c r="N288" s="2066">
        <f ca="1">IF(fermeLaitière,MIN(INDEX(autoconsS4,MATCH($B288,autoconsCulture,0)),N287),0)</f>
        <v>0</v>
      </c>
      <c r="O288" s="1907">
        <f ca="1">IF(fermeLaitière,IFERROR(N288/N287*O287,0),0)</f>
        <v>0</v>
      </c>
      <c r="P288" s="2066">
        <f ca="1">IF(fermeLaitière,MIN(INDEX(autoconsS5,MATCH($B288,autoconsCulture,0)),P287),0)</f>
        <v>0</v>
      </c>
      <c r="Q288" s="1907">
        <f ca="1">IF(fermeLaitière,IFERROR(P288/P287*Q287,0),0)</f>
        <v>0</v>
      </c>
      <c r="R288" s="1703"/>
      <c r="S288" s="31"/>
    </row>
    <row r="289" spans="1:19" s="28" customFormat="1" ht="15" hidden="1" thickBot="1">
      <c r="A289" s="411"/>
      <c r="B289" s="412" t="str">
        <f>B288</f>
        <v>Canola</v>
      </c>
      <c r="D289" s="764" t="s">
        <v>262</v>
      </c>
      <c r="E289" s="1371" t="s">
        <v>1491</v>
      </c>
      <c r="F289" s="1964">
        <f ca="1">F287-F288</f>
        <v>0</v>
      </c>
      <c r="G289" s="1965">
        <f ca="1">IFERROR(F289/F287*G287,0)</f>
        <v>0</v>
      </c>
      <c r="H289" s="2067">
        <f ca="1">H287-H288</f>
        <v>0</v>
      </c>
      <c r="I289" s="1907">
        <f ca="1">IFERROR(H289/H287*I287,0)</f>
        <v>0</v>
      </c>
      <c r="J289" s="2067">
        <f ca="1">J287-J288</f>
        <v>0</v>
      </c>
      <c r="K289" s="1907">
        <f ca="1">IFERROR(J289/J287*K287,0)</f>
        <v>0</v>
      </c>
      <c r="L289" s="2067">
        <f ca="1">L287-L288</f>
        <v>0</v>
      </c>
      <c r="M289" s="1907">
        <f ca="1">IFERROR(L289/L287*M287,0)</f>
        <v>0</v>
      </c>
      <c r="N289" s="2067">
        <f ca="1">N287-N288</f>
        <v>0</v>
      </c>
      <c r="O289" s="1907">
        <f ca="1">IFERROR(N289/N287*O287,0)</f>
        <v>0</v>
      </c>
      <c r="P289" s="2067">
        <f ca="1">P287-P288</f>
        <v>0</v>
      </c>
      <c r="Q289" s="1907">
        <f ca="1">IFERROR(P289/P287*Q287,0)</f>
        <v>0</v>
      </c>
      <c r="R289" s="1703"/>
      <c r="S289" s="31"/>
    </row>
    <row r="290" spans="1:19" s="416" customFormat="1" ht="15" hidden="1" thickTop="1">
      <c r="A290" s="415"/>
      <c r="B290" s="432" t="s">
        <v>1261</v>
      </c>
      <c r="D290" s="770" t="s">
        <v>1367</v>
      </c>
      <c r="E290" s="1842" t="s">
        <v>1491</v>
      </c>
      <c r="F290" s="1962">
        <f ca="1">G$203*G$205</f>
        <v>0</v>
      </c>
      <c r="G290" s="1963">
        <f ca="1">G$207*G$203</f>
        <v>0</v>
      </c>
      <c r="H290" s="2065">
        <f ca="1">I$203*I$205</f>
        <v>0</v>
      </c>
      <c r="I290" s="1906">
        <f ca="1">I$207*I$203</f>
        <v>0</v>
      </c>
      <c r="J290" s="2065">
        <f ca="1">K$203*K$205</f>
        <v>0</v>
      </c>
      <c r="K290" s="1906">
        <f ca="1">K$207*K$203</f>
        <v>0</v>
      </c>
      <c r="L290" s="2065">
        <f ca="1">M$203*M$205</f>
        <v>0</v>
      </c>
      <c r="M290" s="1906">
        <f ca="1">M$207*M$203</f>
        <v>0</v>
      </c>
      <c r="N290" s="2065">
        <f ca="1">O$203*O$205</f>
        <v>0</v>
      </c>
      <c r="O290" s="1906">
        <f ca="1">O$207*O$203</f>
        <v>0</v>
      </c>
      <c r="P290" s="2065">
        <f ca="1">Q$203*Q$205</f>
        <v>0</v>
      </c>
      <c r="Q290" s="1906">
        <f ca="1">Q$207*Q$203</f>
        <v>0</v>
      </c>
      <c r="R290" s="1703"/>
      <c r="S290" s="31"/>
    </row>
    <row r="291" spans="1:19" s="28" customFormat="1" hidden="1">
      <c r="A291" s="411" t="s">
        <v>297</v>
      </c>
      <c r="B291" s="412" t="str">
        <f>B290</f>
        <v>Sarrasin</v>
      </c>
      <c r="D291" s="12" t="s">
        <v>263</v>
      </c>
      <c r="E291" s="1360" t="s">
        <v>1491</v>
      </c>
      <c r="F291" s="1964">
        <f ca="1">IF(fermeLaitière,MIN(INDEX(autoconsS0,MATCH($B291,autoconsCulture,0)),F290),0)</f>
        <v>0</v>
      </c>
      <c r="G291" s="1965">
        <f ca="1">IF(fermeLaitière,IFERROR(F291/F290*G290,0),0)</f>
        <v>0</v>
      </c>
      <c r="H291" s="2066">
        <f ca="1">IF(fermeLaitière,MIN(INDEX(autoconsS1,MATCH($B291,autoconsCulture,0)),H290),0)</f>
        <v>0</v>
      </c>
      <c r="I291" s="1907">
        <f ca="1">IF(fermeLaitière,IFERROR(H291/H290*I290,0),0)</f>
        <v>0</v>
      </c>
      <c r="J291" s="2066">
        <f ca="1">IF(fermeLaitière,MIN(INDEX(autoconsS2,MATCH($B291,autoconsCulture,0)),J290),0)</f>
        <v>0</v>
      </c>
      <c r="K291" s="1907">
        <f ca="1">IF(fermeLaitière,IFERROR(J291/J290*K290,0),0)</f>
        <v>0</v>
      </c>
      <c r="L291" s="2066">
        <f ca="1">IF(fermeLaitière,MIN(INDEX(autoconsS3,MATCH($B291,autoconsCulture,0)),L290),0)</f>
        <v>0</v>
      </c>
      <c r="M291" s="1907">
        <f ca="1">IF(fermeLaitière,IFERROR(L291/L290*M290,0),0)</f>
        <v>0</v>
      </c>
      <c r="N291" s="2066">
        <f ca="1">IF(fermeLaitière,MIN(INDEX(autoconsS4,MATCH($B291,autoconsCulture,0)),N290),0)</f>
        <v>0</v>
      </c>
      <c r="O291" s="1907">
        <f ca="1">IF(fermeLaitière,IFERROR(N291/N290*O290,0),0)</f>
        <v>0</v>
      </c>
      <c r="P291" s="2066">
        <f ca="1">IF(fermeLaitière,MIN(INDEX(autoconsS5,MATCH($B291,autoconsCulture,0)),P290),0)</f>
        <v>0</v>
      </c>
      <c r="Q291" s="1907">
        <f ca="1">IF(fermeLaitière,IFERROR(P291/P290*Q290,0),0)</f>
        <v>0</v>
      </c>
      <c r="R291" s="1703"/>
      <c r="S291" s="31"/>
    </row>
    <row r="292" spans="1:19" s="28" customFormat="1" ht="15" hidden="1" thickBot="1">
      <c r="A292" s="411"/>
      <c r="B292" s="412" t="str">
        <f>B291</f>
        <v>Sarrasin</v>
      </c>
      <c r="D292" s="764" t="s">
        <v>262</v>
      </c>
      <c r="E292" s="1371" t="s">
        <v>1491</v>
      </c>
      <c r="F292" s="1964">
        <f ca="1">F290-F291</f>
        <v>0</v>
      </c>
      <c r="G292" s="1965">
        <f ca="1">IFERROR(F292/F290*G290,0)</f>
        <v>0</v>
      </c>
      <c r="H292" s="2067">
        <f ca="1">H290-H291</f>
        <v>0</v>
      </c>
      <c r="I292" s="1907">
        <f ca="1">IFERROR(H292/H290*I290,0)</f>
        <v>0</v>
      </c>
      <c r="J292" s="2067">
        <f ca="1">J290-J291</f>
        <v>0</v>
      </c>
      <c r="K292" s="1907">
        <f ca="1">IFERROR(J292/J290*K290,0)</f>
        <v>0</v>
      </c>
      <c r="L292" s="2067">
        <f ca="1">L290-L291</f>
        <v>0</v>
      </c>
      <c r="M292" s="1907">
        <f ca="1">IFERROR(L292/L290*M290,0)</f>
        <v>0</v>
      </c>
      <c r="N292" s="2067">
        <f ca="1">N290-N291</f>
        <v>0</v>
      </c>
      <c r="O292" s="1907">
        <f ca="1">IFERROR(N292/N290*O290,0)</f>
        <v>0</v>
      </c>
      <c r="P292" s="2067">
        <f ca="1">P290-P291</f>
        <v>0</v>
      </c>
      <c r="Q292" s="1907">
        <f ca="1">IFERROR(P292/P290*Q290,0)</f>
        <v>0</v>
      </c>
      <c r="R292" s="1703"/>
      <c r="S292" s="31"/>
    </row>
    <row r="293" spans="1:19" s="416" customFormat="1" ht="15" hidden="1" thickTop="1">
      <c r="A293" s="415"/>
      <c r="B293" s="432" t="s">
        <v>219</v>
      </c>
      <c r="D293" s="770" t="s">
        <v>303</v>
      </c>
      <c r="E293" s="1842" t="s">
        <v>1491</v>
      </c>
      <c r="F293" s="1962">
        <f ca="1">G$210*G$212</f>
        <v>0</v>
      </c>
      <c r="G293" s="1963">
        <f ca="1">G$214*G$210</f>
        <v>0</v>
      </c>
      <c r="H293" s="2065">
        <f ca="1">I$210*I$212</f>
        <v>0</v>
      </c>
      <c r="I293" s="1906">
        <f ca="1">I$214*I$210</f>
        <v>0</v>
      </c>
      <c r="J293" s="2065">
        <f ca="1">K$210*K$212</f>
        <v>0</v>
      </c>
      <c r="K293" s="1906">
        <f ca="1">K$214*K$210</f>
        <v>0</v>
      </c>
      <c r="L293" s="2065">
        <f ca="1">M$210*M$212</f>
        <v>0</v>
      </c>
      <c r="M293" s="1906">
        <f ca="1">M$214*M$210</f>
        <v>0</v>
      </c>
      <c r="N293" s="2065">
        <f ca="1">O$210*O$212</f>
        <v>0</v>
      </c>
      <c r="O293" s="1906">
        <f ca="1">O$214*O$210</f>
        <v>0</v>
      </c>
      <c r="P293" s="2065">
        <f ca="1">Q$210*Q$212</f>
        <v>0</v>
      </c>
      <c r="Q293" s="1906">
        <f ca="1">Q$214*Q$210</f>
        <v>0</v>
      </c>
      <c r="R293" s="1703"/>
      <c r="S293" s="31"/>
    </row>
    <row r="294" spans="1:19" s="28" customFormat="1" hidden="1">
      <c r="A294" s="411" t="s">
        <v>297</v>
      </c>
      <c r="B294" s="412" t="s">
        <v>219</v>
      </c>
      <c r="D294" s="12" t="s">
        <v>263</v>
      </c>
      <c r="E294" s="1360" t="s">
        <v>1491</v>
      </c>
      <c r="F294" s="1964">
        <f ca="1">IF(fermeLaitière,MIN(INDEX(autoconsS0,MATCH($B294,autoconsCulture,0)),F293),0)</f>
        <v>0</v>
      </c>
      <c r="G294" s="1965">
        <f ca="1">IF(fermeLaitière,IFERROR(F294/F293*G293,0),0)</f>
        <v>0</v>
      </c>
      <c r="H294" s="2066">
        <f ca="1">IF(fermeLaitière,MIN(INDEX(autoconsS1,MATCH($B294,autoconsCulture,0)),H293),0)</f>
        <v>0</v>
      </c>
      <c r="I294" s="1907">
        <f ca="1">IF(fermeLaitière,IFERROR(H294/H293*I293,0),0)</f>
        <v>0</v>
      </c>
      <c r="J294" s="2066">
        <f ca="1">IF(fermeLaitière,MIN(INDEX(autoconsS2,MATCH($B294,autoconsCulture,0)),J293),0)</f>
        <v>0</v>
      </c>
      <c r="K294" s="1907">
        <f ca="1">IF(fermeLaitière,IFERROR(J294/J293*K293,0),0)</f>
        <v>0</v>
      </c>
      <c r="L294" s="2066">
        <f ca="1">IF(fermeLaitière,MIN(INDEX(autoconsS3,MATCH($B294,autoconsCulture,0)),L293),0)</f>
        <v>0</v>
      </c>
      <c r="M294" s="1907">
        <f ca="1">IF(fermeLaitière,IFERROR(L294/L293*M293,0),0)</f>
        <v>0</v>
      </c>
      <c r="N294" s="2066">
        <f ca="1">IF(fermeLaitière,MIN(INDEX(autoconsS4,MATCH($B294,autoconsCulture,0)),N293),0)</f>
        <v>0</v>
      </c>
      <c r="O294" s="1907">
        <f ca="1">IF(fermeLaitière,IFERROR(N294/N293*O293,0),0)</f>
        <v>0</v>
      </c>
      <c r="P294" s="2066">
        <f ca="1">IF(fermeLaitière,MIN(INDEX(autoconsS5,MATCH($B294,autoconsCulture,0)),P293),0)</f>
        <v>0</v>
      </c>
      <c r="Q294" s="1907">
        <f ca="1">IF(fermeLaitière,IFERROR(P294/P293*Q293,0),0)</f>
        <v>0</v>
      </c>
      <c r="R294" s="1703"/>
      <c r="S294" s="31"/>
    </row>
    <row r="295" spans="1:19" s="28" customFormat="1" ht="15" hidden="1" thickBot="1">
      <c r="A295" s="411"/>
      <c r="B295" s="412" t="s">
        <v>219</v>
      </c>
      <c r="D295" s="764" t="s">
        <v>262</v>
      </c>
      <c r="E295" s="1371" t="s">
        <v>1491</v>
      </c>
      <c r="F295" s="1964">
        <f ca="1">F293-F294</f>
        <v>0</v>
      </c>
      <c r="G295" s="1965">
        <f ca="1">IFERROR(F295/F293*G293,0)</f>
        <v>0</v>
      </c>
      <c r="H295" s="2067">
        <f ca="1">H293-H294</f>
        <v>0</v>
      </c>
      <c r="I295" s="1907">
        <f ca="1">IFERROR(H295/H293*I293,0)</f>
        <v>0</v>
      </c>
      <c r="J295" s="2067">
        <f ca="1">J293-J294</f>
        <v>0</v>
      </c>
      <c r="K295" s="1907">
        <f ca="1">IFERROR(J295/J293*K293,0)</f>
        <v>0</v>
      </c>
      <c r="L295" s="2067">
        <f ca="1">L293-L294</f>
        <v>0</v>
      </c>
      <c r="M295" s="1907">
        <f ca="1">IFERROR(L295/L293*M293,0)</f>
        <v>0</v>
      </c>
      <c r="N295" s="2067">
        <f ca="1">N293-N294</f>
        <v>0</v>
      </c>
      <c r="O295" s="1907">
        <f ca="1">IFERROR(N295/N293*O293,0)</f>
        <v>0</v>
      </c>
      <c r="P295" s="2067">
        <f ca="1">P293-P294</f>
        <v>0</v>
      </c>
      <c r="Q295" s="1907">
        <f ca="1">IFERROR(P295/P293*Q293,0)</f>
        <v>0</v>
      </c>
      <c r="R295" s="1703"/>
      <c r="S295" s="31"/>
    </row>
    <row r="296" spans="1:19" s="416" customFormat="1" ht="15" hidden="1" thickTop="1">
      <c r="A296" s="415"/>
      <c r="B296" s="432" t="s">
        <v>1262</v>
      </c>
      <c r="D296" s="770" t="s">
        <v>1368</v>
      </c>
      <c r="E296" s="1842" t="s">
        <v>1491</v>
      </c>
      <c r="F296" s="1962">
        <f ca="1">G$219*G$217</f>
        <v>0</v>
      </c>
      <c r="G296" s="1963">
        <f ca="1">G$221*G$217</f>
        <v>0</v>
      </c>
      <c r="H296" s="2065">
        <f ca="1">I$219*I$217</f>
        <v>0</v>
      </c>
      <c r="I296" s="1906">
        <f ca="1">I$221*I$217</f>
        <v>0</v>
      </c>
      <c r="J296" s="2065">
        <f ca="1">K$219*K$217</f>
        <v>0</v>
      </c>
      <c r="K296" s="1906">
        <f ca="1">K$221*K$217</f>
        <v>0</v>
      </c>
      <c r="L296" s="2065">
        <f ca="1">M$219*M$217</f>
        <v>0</v>
      </c>
      <c r="M296" s="1906">
        <f ca="1">M$221*M$217</f>
        <v>0</v>
      </c>
      <c r="N296" s="2065">
        <f ca="1">O$219*O$217</f>
        <v>0</v>
      </c>
      <c r="O296" s="1906">
        <f ca="1">O$221*O$217</f>
        <v>0</v>
      </c>
      <c r="P296" s="2065">
        <f ca="1">Q$219*Q$217</f>
        <v>0</v>
      </c>
      <c r="Q296" s="1906">
        <f ca="1">Q$221*Q$217</f>
        <v>0</v>
      </c>
      <c r="R296" s="1703"/>
      <c r="S296" s="31"/>
    </row>
    <row r="297" spans="1:19" s="28" customFormat="1" hidden="1">
      <c r="A297" s="411" t="s">
        <v>297</v>
      </c>
      <c r="B297" s="412" t="s">
        <v>1262</v>
      </c>
      <c r="D297" s="12" t="s">
        <v>263</v>
      </c>
      <c r="E297" s="1360" t="s">
        <v>1491</v>
      </c>
      <c r="F297" s="1964">
        <f ca="1">IF(fermeLaitière,MIN(INDEX(autoconsS0,MATCH($B297,autoconsCulture,0)),F296),0)</f>
        <v>0</v>
      </c>
      <c r="G297" s="1965">
        <f ca="1">IF(fermeLaitière,IFERROR(F297/F296*G296,0),0)</f>
        <v>0</v>
      </c>
      <c r="H297" s="2066">
        <f ca="1">IF(fermeLaitière,MIN(INDEX(autoconsS1,MATCH($B297,autoconsCulture,0)),H296),0)</f>
        <v>0</v>
      </c>
      <c r="I297" s="1907">
        <f ca="1">IF(fermeLaitière,IFERROR(H297/H296*I296,0),0)</f>
        <v>0</v>
      </c>
      <c r="J297" s="2066">
        <f ca="1">IF(fermeLaitière,MIN(INDEX(autoconsS2,MATCH($B297,autoconsCulture,0)),J296),0)</f>
        <v>0</v>
      </c>
      <c r="K297" s="1907">
        <f ca="1">IF(fermeLaitière,IFERROR(J297/J296*K296,0),0)</f>
        <v>0</v>
      </c>
      <c r="L297" s="2066">
        <f ca="1">IF(fermeLaitière,MIN(INDEX(autoconsS3,MATCH($B297,autoconsCulture,0)),L296),0)</f>
        <v>0</v>
      </c>
      <c r="M297" s="1907">
        <f ca="1">IF(fermeLaitière,IFERROR(L297/L296*M296,0),0)</f>
        <v>0</v>
      </c>
      <c r="N297" s="2066">
        <f ca="1">IF(fermeLaitière,MIN(INDEX(autoconsS4,MATCH($B297,autoconsCulture,0)),N296),0)</f>
        <v>0</v>
      </c>
      <c r="O297" s="1907">
        <f ca="1">IF(fermeLaitière,IFERROR(N297/N296*O296,0),0)</f>
        <v>0</v>
      </c>
      <c r="P297" s="2066">
        <f ca="1">IF(fermeLaitière,MIN(INDEX(autoconsS5,MATCH($B297,autoconsCulture,0)),P296),0)</f>
        <v>0</v>
      </c>
      <c r="Q297" s="1907">
        <f ca="1">IF(fermeLaitière,IFERROR(P297/P296*Q296,0),0)</f>
        <v>0</v>
      </c>
      <c r="R297" s="1703"/>
      <c r="S297" s="31"/>
    </row>
    <row r="298" spans="1:19" s="28" customFormat="1" ht="15" hidden="1" thickBot="1">
      <c r="A298" s="411"/>
      <c r="B298" s="412" t="s">
        <v>1262</v>
      </c>
      <c r="D298" s="764" t="s">
        <v>262</v>
      </c>
      <c r="E298" s="1371" t="s">
        <v>1491</v>
      </c>
      <c r="F298" s="1964">
        <f ca="1">F296-F297</f>
        <v>0</v>
      </c>
      <c r="G298" s="1965">
        <f ca="1">IFERROR(F298/F296*G296,0)</f>
        <v>0</v>
      </c>
      <c r="H298" s="2067">
        <f ca="1">H296-H297</f>
        <v>0</v>
      </c>
      <c r="I298" s="1907">
        <f ca="1">IFERROR(H298/H296*I296,0)</f>
        <v>0</v>
      </c>
      <c r="J298" s="2067">
        <f ca="1">J296-J297</f>
        <v>0</v>
      </c>
      <c r="K298" s="1907">
        <f ca="1">IFERROR(J298/J296*K296,0)</f>
        <v>0</v>
      </c>
      <c r="L298" s="2067">
        <f ca="1">L296-L297</f>
        <v>0</v>
      </c>
      <c r="M298" s="1907">
        <f ca="1">IFERROR(L298/L296*M296,0)</f>
        <v>0</v>
      </c>
      <c r="N298" s="2067">
        <f ca="1">N296-N297</f>
        <v>0</v>
      </c>
      <c r="O298" s="1907">
        <f ca="1">IFERROR(N298/N296*O296,0)</f>
        <v>0</v>
      </c>
      <c r="P298" s="2067">
        <f ca="1">P296-P297</f>
        <v>0</v>
      </c>
      <c r="Q298" s="1907">
        <f ca="1">IFERROR(P298/P296*Q296,0)</f>
        <v>0</v>
      </c>
      <c r="R298" s="1703"/>
      <c r="S298" s="31"/>
    </row>
    <row r="299" spans="1:19" s="416" customFormat="1" ht="15" hidden="1" thickTop="1">
      <c r="A299" s="415"/>
      <c r="B299" s="432" t="str">
        <f>nAutre1</f>
        <v>Autre #1</v>
      </c>
      <c r="D299" s="770" t="str">
        <f>nAutre1&amp;" produit"</f>
        <v>Autre #1 produit</v>
      </c>
      <c r="E299" s="1842" t="s">
        <v>1491</v>
      </c>
      <c r="F299" s="1962">
        <f ca="1">G$224*G$226</f>
        <v>0</v>
      </c>
      <c r="G299" s="1963">
        <f ca="1">G$228*G$224</f>
        <v>0</v>
      </c>
      <c r="H299" s="2065">
        <f ca="1">I$224*I$226</f>
        <v>0</v>
      </c>
      <c r="I299" s="1617">
        <f ca="1">I$228*I$224</f>
        <v>0</v>
      </c>
      <c r="J299" s="2065">
        <f ca="1">K$224*K$226</f>
        <v>0</v>
      </c>
      <c r="K299" s="1617">
        <f ca="1">K$228*K$224</f>
        <v>0</v>
      </c>
      <c r="L299" s="2065">
        <f ca="1">M$224*M$226</f>
        <v>0</v>
      </c>
      <c r="M299" s="1617">
        <f ca="1">M$228*M$224</f>
        <v>0</v>
      </c>
      <c r="N299" s="2065">
        <f ca="1">O$224*O$226</f>
        <v>0</v>
      </c>
      <c r="O299" s="1617">
        <f ca="1">O$228*O$224</f>
        <v>0</v>
      </c>
      <c r="P299" s="2065">
        <f ca="1">Q$224*Q$226</f>
        <v>0</v>
      </c>
      <c r="Q299" s="1617">
        <f ca="1">Q$228*Q$224</f>
        <v>0</v>
      </c>
      <c r="R299" s="1703"/>
      <c r="S299" s="31"/>
    </row>
    <row r="300" spans="1:19" s="28" customFormat="1" hidden="1">
      <c r="A300" s="411" t="s">
        <v>297</v>
      </c>
      <c r="B300" s="412" t="str">
        <f>nAutre1</f>
        <v>Autre #1</v>
      </c>
      <c r="D300" s="12" t="s">
        <v>263</v>
      </c>
      <c r="E300" s="1360" t="s">
        <v>1491</v>
      </c>
      <c r="F300" s="1964">
        <f ca="1">IF(fermeLaitière,MIN(INDEX(autoconsS0,MATCH($B300,autoconsCulture,0)),F299),0)</f>
        <v>0</v>
      </c>
      <c r="G300" s="1965">
        <f ca="1">IF(fermeLaitière,IFERROR(F300/F299*G299,0),0)</f>
        <v>0</v>
      </c>
      <c r="H300" s="2066">
        <f ca="1">IF(fermeLaitière,MIN(INDEX(autoconsS1,MATCH($B300,autoconsCulture,0)),H299),0)</f>
        <v>0</v>
      </c>
      <c r="I300" s="420">
        <f ca="1">IF(fermeLaitière,IFERROR(H300/H299*I299,0),0)</f>
        <v>0</v>
      </c>
      <c r="J300" s="2066">
        <f ca="1">IF(fermeLaitière,MIN(INDEX(autoconsS2,MATCH($B300,autoconsCulture,0)),J299),0)</f>
        <v>0</v>
      </c>
      <c r="K300" s="420">
        <f ca="1">IF(fermeLaitière,IFERROR(J300/J299*K299,0),0)</f>
        <v>0</v>
      </c>
      <c r="L300" s="2066">
        <f ca="1">IF(fermeLaitière,MIN(INDEX(autoconsS3,MATCH($B300,autoconsCulture,0)),L299),0)</f>
        <v>0</v>
      </c>
      <c r="M300" s="420">
        <f ca="1">IF(fermeLaitière,IFERROR(L300/L299*M299,0),0)</f>
        <v>0</v>
      </c>
      <c r="N300" s="2066">
        <f ca="1">IF(fermeLaitière,MIN(INDEX(autoconsS4,MATCH($B300,autoconsCulture,0)),N299),0)</f>
        <v>0</v>
      </c>
      <c r="O300" s="420">
        <f ca="1">IF(fermeLaitière,IFERROR(N300/N299*O299,0),0)</f>
        <v>0</v>
      </c>
      <c r="P300" s="2066">
        <f ca="1">IF(fermeLaitière,MIN(INDEX(autoconsS5,MATCH($B300,autoconsCulture,0)),P299),0)</f>
        <v>0</v>
      </c>
      <c r="Q300" s="420">
        <f ca="1">IF(fermeLaitière,IFERROR(P300/P299*Q299,0),0)</f>
        <v>0</v>
      </c>
      <c r="R300" s="1703"/>
      <c r="S300" s="31"/>
    </row>
    <row r="301" spans="1:19" s="28" customFormat="1" ht="15" hidden="1" thickBot="1">
      <c r="A301" s="411"/>
      <c r="B301" s="412" t="str">
        <f>nAutre1</f>
        <v>Autre #1</v>
      </c>
      <c r="D301" s="764" t="s">
        <v>262</v>
      </c>
      <c r="E301" s="1371" t="s">
        <v>1491</v>
      </c>
      <c r="F301" s="1964">
        <f ca="1">F299-F300</f>
        <v>0</v>
      </c>
      <c r="G301" s="1965">
        <f ca="1">IFERROR(F301/F299*G299,0)</f>
        <v>0</v>
      </c>
      <c r="H301" s="2068">
        <f ca="1">H299-H300</f>
        <v>0</v>
      </c>
      <c r="I301" s="1560">
        <f ca="1">IFERROR(H301/H299*I299,0)</f>
        <v>0</v>
      </c>
      <c r="J301" s="2068">
        <f ca="1">J299-J300</f>
        <v>0</v>
      </c>
      <c r="K301" s="1560">
        <f ca="1">IFERROR(J301/J299*K299,0)</f>
        <v>0</v>
      </c>
      <c r="L301" s="2068">
        <f ca="1">L299-L300</f>
        <v>0</v>
      </c>
      <c r="M301" s="1560">
        <f ca="1">IFERROR(L301/L299*M299,0)</f>
        <v>0</v>
      </c>
      <c r="N301" s="2068">
        <f ca="1">N299-N300</f>
        <v>0</v>
      </c>
      <c r="O301" s="1560">
        <f ca="1">IFERROR(N301/N299*O299,0)</f>
        <v>0</v>
      </c>
      <c r="P301" s="2068">
        <f ca="1">P299-P300</f>
        <v>0</v>
      </c>
      <c r="Q301" s="1560">
        <f ca="1">IFERROR(P301/P299*Q299,0)</f>
        <v>0</v>
      </c>
      <c r="R301" s="1703"/>
      <c r="S301" s="31"/>
    </row>
    <row r="302" spans="1:19" s="416" customFormat="1" ht="15" hidden="1" thickTop="1">
      <c r="A302" s="415"/>
      <c r="B302" s="432" t="str">
        <f>nAutre2</f>
        <v>Autre #2</v>
      </c>
      <c r="D302" s="770" t="str">
        <f>nAutre2&amp;" produit"</f>
        <v>Autre #2 produit</v>
      </c>
      <c r="E302" s="1842" t="s">
        <v>1491</v>
      </c>
      <c r="F302" s="1962">
        <f ca="1">G$231*G$233</f>
        <v>0</v>
      </c>
      <c r="G302" s="1963">
        <f ca="1">G$235*G$231</f>
        <v>0</v>
      </c>
      <c r="H302" s="2065">
        <f ca="1">I$231*I$233</f>
        <v>0</v>
      </c>
      <c r="I302" s="1617">
        <f ca="1">I$235*I$231</f>
        <v>0</v>
      </c>
      <c r="J302" s="2065">
        <f ca="1">K$231*K$233</f>
        <v>0</v>
      </c>
      <c r="K302" s="1617">
        <f ca="1">K$235*K$231</f>
        <v>0</v>
      </c>
      <c r="L302" s="2065">
        <f ca="1">M$231*M$233</f>
        <v>0</v>
      </c>
      <c r="M302" s="1617">
        <f ca="1">M$235*M$231</f>
        <v>0</v>
      </c>
      <c r="N302" s="2065">
        <f ca="1">O$231*O$233</f>
        <v>0</v>
      </c>
      <c r="O302" s="1617">
        <f ca="1">O$235*O$231</f>
        <v>0</v>
      </c>
      <c r="P302" s="2065">
        <f ca="1">Q$231*Q$233</f>
        <v>0</v>
      </c>
      <c r="Q302" s="1617">
        <f ca="1">Q$235*Q$231</f>
        <v>0</v>
      </c>
      <c r="R302" s="1703"/>
      <c r="S302" s="31"/>
    </row>
    <row r="303" spans="1:19" s="28" customFormat="1" hidden="1">
      <c r="A303" s="411" t="s">
        <v>297</v>
      </c>
      <c r="B303" s="412" t="str">
        <f>nAutre2</f>
        <v>Autre #2</v>
      </c>
      <c r="D303" s="12" t="s">
        <v>263</v>
      </c>
      <c r="E303" s="1360" t="s">
        <v>1491</v>
      </c>
      <c r="F303" s="1964">
        <f ca="1">IF(fermeLaitière,MIN(INDEX(autoconsS0,MATCH($B303,autoconsCulture,0)),F302),0)</f>
        <v>0</v>
      </c>
      <c r="G303" s="1965">
        <f ca="1">IF(fermeLaitière,IFERROR(F303/F302*G302,0),0)</f>
        <v>0</v>
      </c>
      <c r="H303" s="2066">
        <f ca="1">IF(fermeLaitière,MIN(INDEX(autoconsS1,MATCH($B303,autoconsCulture,0)),H302),0)</f>
        <v>0</v>
      </c>
      <c r="I303" s="420">
        <f ca="1">IF(fermeLaitière,IFERROR(H303/H302*I302,0),0)</f>
        <v>0</v>
      </c>
      <c r="J303" s="2066">
        <f ca="1">IF(fermeLaitière,MIN(INDEX(autoconsS2,MATCH($B303,autoconsCulture,0)),J302),0)</f>
        <v>0</v>
      </c>
      <c r="K303" s="420">
        <f ca="1">IF(fermeLaitière,IFERROR(J303/J302*K302,0),0)</f>
        <v>0</v>
      </c>
      <c r="L303" s="2066">
        <f ca="1">IF(fermeLaitière,MIN(INDEX(autoconsS3,MATCH($B303,autoconsCulture,0)),L302),0)</f>
        <v>0</v>
      </c>
      <c r="M303" s="420">
        <f ca="1">IF(fermeLaitière,IFERROR(L303/L302*M302,0),0)</f>
        <v>0</v>
      </c>
      <c r="N303" s="2066">
        <f ca="1">IF(fermeLaitière,MIN(INDEX(autoconsS4,MATCH($B303,autoconsCulture,0)),N302),0)</f>
        <v>0</v>
      </c>
      <c r="O303" s="420">
        <f ca="1">IF(fermeLaitière,IFERROR(N303/N302*O302,0),0)</f>
        <v>0</v>
      </c>
      <c r="P303" s="2066">
        <f ca="1">IF(fermeLaitière,MIN(INDEX(autoconsS5,MATCH($B303,autoconsCulture,0)),P302),0)</f>
        <v>0</v>
      </c>
      <c r="Q303" s="420">
        <f ca="1">IF(fermeLaitière,IFERROR(P303/P302*Q302,0),0)</f>
        <v>0</v>
      </c>
      <c r="R303" s="1703"/>
      <c r="S303" s="31"/>
    </row>
    <row r="304" spans="1:19" s="28" customFormat="1" ht="15" hidden="1" thickBot="1">
      <c r="A304" s="411"/>
      <c r="B304" s="412" t="str">
        <f>nAutre2</f>
        <v>Autre #2</v>
      </c>
      <c r="D304" s="764" t="s">
        <v>262</v>
      </c>
      <c r="E304" s="1371" t="s">
        <v>1491</v>
      </c>
      <c r="F304" s="1964">
        <f ca="1">F302-F303</f>
        <v>0</v>
      </c>
      <c r="G304" s="1965">
        <f ca="1">IFERROR(F304/F302*G302,0)</f>
        <v>0</v>
      </c>
      <c r="H304" s="2067">
        <f ca="1">H302-H303</f>
        <v>0</v>
      </c>
      <c r="I304" s="420">
        <f ca="1">IFERROR(H304/H302*I302,0)</f>
        <v>0</v>
      </c>
      <c r="J304" s="2067">
        <f ca="1">J302-J303</f>
        <v>0</v>
      </c>
      <c r="K304" s="420">
        <f ca="1">IFERROR(J304/J302*K302,0)</f>
        <v>0</v>
      </c>
      <c r="L304" s="2067">
        <f ca="1">L302-L303</f>
        <v>0</v>
      </c>
      <c r="M304" s="420">
        <f ca="1">IFERROR(L304/L302*M302,0)</f>
        <v>0</v>
      </c>
      <c r="N304" s="2067">
        <f ca="1">N302-N303</f>
        <v>0</v>
      </c>
      <c r="O304" s="420">
        <f ca="1">IFERROR(N304/N302*O302,0)</f>
        <v>0</v>
      </c>
      <c r="P304" s="2067">
        <f ca="1">P302-P303</f>
        <v>0</v>
      </c>
      <c r="Q304" s="420">
        <f ca="1">IFERROR(P304/P302*Q302,0)</f>
        <v>0</v>
      </c>
      <c r="R304" s="1703"/>
      <c r="S304" s="31"/>
    </row>
    <row r="305" spans="1:19" s="416" customFormat="1" ht="15" hidden="1" thickTop="1">
      <c r="A305" s="415"/>
      <c r="B305" s="432" t="str">
        <f>nAutre3</f>
        <v>Autre #3</v>
      </c>
      <c r="D305" s="770" t="str">
        <f>nAutre3&amp;" produit"</f>
        <v>Autre #3 produit</v>
      </c>
      <c r="E305" s="1842" t="s">
        <v>1491</v>
      </c>
      <c r="F305" s="1962">
        <f ca="1">G$238*G$240</f>
        <v>0</v>
      </c>
      <c r="G305" s="1963">
        <f ca="1">G$242*G$238</f>
        <v>0</v>
      </c>
      <c r="H305" s="2065">
        <f ca="1">I$238*I$240</f>
        <v>0</v>
      </c>
      <c r="I305" s="1617">
        <f ca="1">I$242*I$238</f>
        <v>0</v>
      </c>
      <c r="J305" s="2065">
        <f ca="1">K$238*K$240</f>
        <v>0</v>
      </c>
      <c r="K305" s="1617">
        <f ca="1">K$242*K$238</f>
        <v>0</v>
      </c>
      <c r="L305" s="2065">
        <f ca="1">M$238*M$240</f>
        <v>0</v>
      </c>
      <c r="M305" s="1617">
        <f ca="1">M$242*M$238</f>
        <v>0</v>
      </c>
      <c r="N305" s="2065">
        <f ca="1">O$238*O$240</f>
        <v>0</v>
      </c>
      <c r="O305" s="1617">
        <f ca="1">O$242*O$238</f>
        <v>0</v>
      </c>
      <c r="P305" s="2065">
        <f ca="1">Q$238*Q$240</f>
        <v>0</v>
      </c>
      <c r="Q305" s="1617">
        <f ca="1">Q$242*Q$238</f>
        <v>0</v>
      </c>
      <c r="R305" s="1703"/>
      <c r="S305" s="31"/>
    </row>
    <row r="306" spans="1:19" ht="15" hidden="1" thickBot="1">
      <c r="A306" s="411" t="s">
        <v>297</v>
      </c>
      <c r="B306" s="412" t="str">
        <f>nAutre3</f>
        <v>Autre #3</v>
      </c>
      <c r="C306" s="28"/>
      <c r="D306" s="12" t="s">
        <v>263</v>
      </c>
      <c r="E306" s="1360" t="s">
        <v>1491</v>
      </c>
      <c r="F306" s="1964">
        <f ca="1">IF(fermeLaitière,MIN(INDEX(autoconsS0,MATCH($B306,autoconsCulture,0)),F305),0)</f>
        <v>0</v>
      </c>
      <c r="G306" s="1965">
        <f ca="1">IF(fermeLaitière,IFERROR(F306/F305*G305,0),0)</f>
        <v>0</v>
      </c>
      <c r="H306" s="2066">
        <f ca="1">IF(fermeLaitière,MIN(INDEX(autoconsS1,MATCH($B306,autoconsCulture,0)),H305),0)</f>
        <v>0</v>
      </c>
      <c r="I306" s="420">
        <f ca="1">IF(fermeLaitière,IFERROR(H306/H305*I305,0),0)</f>
        <v>0</v>
      </c>
      <c r="J306" s="2066">
        <f ca="1">IF(fermeLaitière,MIN(INDEX(autoconsS2,MATCH($B306,autoconsCulture,0)),J305),0)</f>
        <v>0</v>
      </c>
      <c r="K306" s="420">
        <f ca="1">IF(fermeLaitière,IFERROR(J306/J305*K305,0),0)</f>
        <v>0</v>
      </c>
      <c r="L306" s="2066">
        <f ca="1">IF(fermeLaitière,MIN(INDEX(autoconsS3,MATCH($B306,autoconsCulture,0)),L305),0)</f>
        <v>0</v>
      </c>
      <c r="M306" s="420">
        <f ca="1">IF(fermeLaitière,IFERROR(L306/L305*M305,0),0)</f>
        <v>0</v>
      </c>
      <c r="N306" s="2066">
        <f ca="1">IF(fermeLaitière,MIN(INDEX(autoconsS4,MATCH($B306,autoconsCulture,0)),N305),0)</f>
        <v>0</v>
      </c>
      <c r="O306" s="420">
        <f ca="1">IF(fermeLaitière,IFERROR(N306/N305*O305,0),0)</f>
        <v>0</v>
      </c>
      <c r="P306" s="2066">
        <f ca="1">IF(fermeLaitière,MIN(INDEX(autoconsS5,MATCH($B306,autoconsCulture,0)),P305),0)</f>
        <v>0</v>
      </c>
      <c r="Q306" s="420">
        <f ca="1">IF(fermeLaitière,IFERROR(P306/P305*Q305,0),0)</f>
        <v>0</v>
      </c>
      <c r="R306" s="1692"/>
    </row>
    <row r="307" spans="1:19" ht="15" hidden="1" thickBot="1">
      <c r="A307" s="411"/>
      <c r="B307" s="412" t="str">
        <f>nAutre3</f>
        <v>Autre #3</v>
      </c>
      <c r="C307" s="28"/>
      <c r="D307" s="764" t="s">
        <v>262</v>
      </c>
      <c r="E307" s="1371" t="s">
        <v>1491</v>
      </c>
      <c r="F307" s="1964">
        <f ca="1">F305-F306</f>
        <v>0</v>
      </c>
      <c r="G307" s="1965">
        <f ca="1">IFERROR(F307/F305*G305,0)</f>
        <v>0</v>
      </c>
      <c r="H307" s="2067">
        <f ca="1">H305-H306</f>
        <v>0</v>
      </c>
      <c r="I307" s="420">
        <f ca="1">IFERROR(H307/H305*I305,0)</f>
        <v>0</v>
      </c>
      <c r="J307" s="2067">
        <f ca="1">J305-J306</f>
        <v>0</v>
      </c>
      <c r="K307" s="420">
        <f ca="1">IFERROR(J307/J305*K305,0)</f>
        <v>0</v>
      </c>
      <c r="L307" s="2067">
        <f ca="1">L305-L306</f>
        <v>0</v>
      </c>
      <c r="M307" s="420">
        <f ca="1">IFERROR(L307/L305*M305,0)</f>
        <v>0</v>
      </c>
      <c r="N307" s="2067">
        <f ca="1">N305-N306</f>
        <v>0</v>
      </c>
      <c r="O307" s="420">
        <f ca="1">IFERROR(N307/N305*O305,0)</f>
        <v>0</v>
      </c>
      <c r="P307" s="2067">
        <f ca="1">P305-P306</f>
        <v>0</v>
      </c>
      <c r="Q307" s="420">
        <f ca="1">IFERROR(P307/P305*Q305,0)</f>
        <v>0</v>
      </c>
      <c r="R307" s="1692"/>
    </row>
    <row r="308" spans="1:19" s="54" customFormat="1" ht="12.75" thickTop="1">
      <c r="E308" s="1349"/>
      <c r="F308" s="1941"/>
      <c r="G308" s="1941"/>
      <c r="H308" s="1004"/>
      <c r="I308" s="1004"/>
      <c r="J308" s="1004"/>
      <c r="K308" s="1004"/>
      <c r="L308" s="1004"/>
      <c r="M308" s="1004"/>
      <c r="N308" s="1004"/>
      <c r="O308" s="1004"/>
      <c r="P308" s="1004"/>
      <c r="Q308" s="1004"/>
      <c r="R308" s="403"/>
    </row>
    <row r="309" spans="1:19">
      <c r="D309" s="1718" t="s">
        <v>1479</v>
      </c>
      <c r="E309" s="1349"/>
      <c r="F309" s="1966"/>
      <c r="G309" s="1961"/>
      <c r="H309" s="993"/>
      <c r="I309" s="1005"/>
      <c r="J309" s="991"/>
      <c r="K309" s="1006"/>
      <c r="L309" s="991"/>
      <c r="M309" s="1006"/>
      <c r="N309" s="991"/>
      <c r="O309" s="1006"/>
      <c r="P309" s="991"/>
      <c r="Q309" s="1006"/>
      <c r="R309" s="16"/>
      <c r="S309" s="18"/>
    </row>
    <row r="310" spans="1:19" s="97" customFormat="1">
      <c r="A310" s="422"/>
      <c r="B310" s="443"/>
      <c r="D310" s="771" t="s">
        <v>274</v>
      </c>
      <c r="E310" s="1371" t="s">
        <v>260</v>
      </c>
      <c r="F310" s="1966"/>
      <c r="G310" s="1961">
        <f ca="1">SUMIFS(G$252:G$307,$D$252:$D$307,"Vente")</f>
        <v>0</v>
      </c>
      <c r="H310" s="993"/>
      <c r="I310" s="421">
        <f ca="1">SUMIFS(I$252:I$307,$D$252:$D$307,"Vente")</f>
        <v>0</v>
      </c>
      <c r="J310" s="991"/>
      <c r="K310" s="421">
        <f ca="1">SUMIFS(K$252:K$307,$D$252:$D$307,"Vente")</f>
        <v>0</v>
      </c>
      <c r="L310" s="991"/>
      <c r="M310" s="421">
        <f ca="1">SUMIFS(M$252:M$307,$D$252:$D$307,"Vente")</f>
        <v>0</v>
      </c>
      <c r="N310" s="991"/>
      <c r="O310" s="421">
        <f ca="1">SUMIFS(O$252:O$307,$D$252:$D$307,"Vente")</f>
        <v>0</v>
      </c>
      <c r="P310" s="991"/>
      <c r="Q310" s="421">
        <f ca="1">SUMIFS(Q$252:Q$307,$D$252:$D$307,"Vente")</f>
        <v>0</v>
      </c>
      <c r="R310" s="16"/>
      <c r="S310" s="18"/>
    </row>
    <row r="311" spans="1:19" s="97" customFormat="1">
      <c r="A311" s="422"/>
      <c r="B311" s="443"/>
      <c r="D311" s="765" t="s">
        <v>806</v>
      </c>
      <c r="E311" s="1371" t="s">
        <v>244</v>
      </c>
      <c r="F311" s="1966"/>
      <c r="G311" s="1967">
        <f ca="1">SUMIFS(F$252:F$307,$D$252:$D$307,"Vente")</f>
        <v>0</v>
      </c>
      <c r="H311" s="993"/>
      <c r="I311" s="444">
        <f ca="1">SUMIFS(H$252:H$307,$D$252:$D$307,"Vente")</f>
        <v>0</v>
      </c>
      <c r="J311" s="991"/>
      <c r="K311" s="444">
        <f ca="1">SUMIFS(J$252:J$307,$D$252:$D$307,"Vente")</f>
        <v>0</v>
      </c>
      <c r="L311" s="991"/>
      <c r="M311" s="444">
        <f ca="1">SUMIFS(L$252:L$307,$D$252:$D$307,"Vente")</f>
        <v>0</v>
      </c>
      <c r="N311" s="991"/>
      <c r="O311" s="444">
        <f ca="1">SUMIFS(N$252:N$307,$D$252:$D$307,"Vente")</f>
        <v>0</v>
      </c>
      <c r="P311" s="991"/>
      <c r="Q311" s="444">
        <f ca="1">SUMIFS(P$252:P$307,$D$252:$D$307,"Vente")</f>
        <v>0</v>
      </c>
      <c r="R311" s="16"/>
      <c r="S311" s="18"/>
    </row>
    <row r="312" spans="1:19" s="97" customFormat="1">
      <c r="A312" s="422"/>
      <c r="B312" s="443"/>
      <c r="D312" s="772" t="s">
        <v>805</v>
      </c>
      <c r="E312" s="1379" t="s">
        <v>260</v>
      </c>
      <c r="F312" s="1958"/>
      <c r="G312" s="1968">
        <f ca="1">SUMIFS(G$254:G$307,$D$254:$D$307,"Autocons*")+SUM(G$252:G$253)</f>
        <v>0</v>
      </c>
      <c r="H312" s="1007"/>
      <c r="I312" s="441">
        <f ca="1">SUMIFS(I$254:I$307,$D$254:$D$307,"Autocons*")+SUM(I$252:I$253)</f>
        <v>0</v>
      </c>
      <c r="J312" s="1007"/>
      <c r="K312" s="441">
        <f ca="1">SUMIFS(K$254:K$307,$D$254:$D$307,"Autocons*")+SUM(K$252:K$253)</f>
        <v>0</v>
      </c>
      <c r="L312" s="1007"/>
      <c r="M312" s="441">
        <f ca="1">SUMIFS(M$254:M$307,$D$254:$D$307,"Autocons*")+SUM(M$252:M$253)</f>
        <v>0</v>
      </c>
      <c r="N312" s="1007"/>
      <c r="O312" s="441">
        <f ca="1">SUMIFS(O$254:O$307,$D$254:$D$307,"Autocons*")+SUM(O$252:O$253)</f>
        <v>0</v>
      </c>
      <c r="P312" s="1007"/>
      <c r="Q312" s="441">
        <f ca="1">SUMIFS(Q$254:Q$307,$D$254:$D$307,"Autocons*")+SUM(Q$252:Q$253)</f>
        <v>0</v>
      </c>
      <c r="R312" s="16"/>
      <c r="S312" s="18"/>
    </row>
    <row r="313" spans="1:19" s="97" customFormat="1">
      <c r="A313" s="422"/>
      <c r="B313" s="443"/>
      <c r="D313" s="764" t="s">
        <v>807</v>
      </c>
      <c r="E313" s="1379" t="s">
        <v>244</v>
      </c>
      <c r="F313" s="1958"/>
      <c r="G313" s="1967">
        <f ca="1">SUMIFS(F$254:F$307,$D$254:$D$307,"*autocons*")+SUM(F$252:F$253)</f>
        <v>0</v>
      </c>
      <c r="H313" s="993"/>
      <c r="I313" s="444">
        <f ca="1">SUMIFS(H$254:H$307,$D$254:$D$307,"*autocons*")+SUM(H$252:H$253)</f>
        <v>0</v>
      </c>
      <c r="J313" s="991"/>
      <c r="K313" s="444">
        <f ca="1">SUMIFS(J$254:J$307,$D$254:$D$307,"*autocons*")+SUM(J$252:J$253)</f>
        <v>0</v>
      </c>
      <c r="L313" s="991"/>
      <c r="M313" s="444">
        <f ca="1">SUMIFS(L$254:L$307,$D$254:$D$307,"*autocons*")+SUM(L$252:L$253)</f>
        <v>0</v>
      </c>
      <c r="N313" s="991"/>
      <c r="O313" s="444">
        <f ca="1">SUMIFS(N$254:N$307,$D$254:$D$307,"*autocons*")+SUM(N$252:N$253)</f>
        <v>0</v>
      </c>
      <c r="P313" s="991"/>
      <c r="Q313" s="444">
        <f ca="1">SUMIFS(P$254:P$307,$D$254:$D$307,"*autocons*")+SUM(P$252:P$253)</f>
        <v>0</v>
      </c>
      <c r="R313" s="16"/>
      <c r="S313" s="18"/>
    </row>
    <row r="314" spans="1:19" s="1519" customFormat="1" ht="15" thickBot="1">
      <c r="A314" s="409"/>
      <c r="B314" s="412"/>
      <c r="D314" s="759" t="s">
        <v>1444</v>
      </c>
      <c r="E314" s="1371" t="s">
        <v>260</v>
      </c>
      <c r="F314" s="1969"/>
      <c r="G314" s="1969"/>
      <c r="H314" s="1644"/>
      <c r="I314" s="1626"/>
      <c r="J314" s="1644"/>
      <c r="K314" s="1626"/>
      <c r="L314" s="1644"/>
      <c r="M314" s="1626"/>
      <c r="N314" s="1648"/>
      <c r="O314" s="1626"/>
      <c r="P314" s="1644"/>
      <c r="Q314" s="1626"/>
      <c r="R314" s="1692"/>
      <c r="S314" s="97"/>
    </row>
    <row r="315" spans="1:19" s="46" customFormat="1" ht="15" thickTop="1">
      <c r="A315" s="419"/>
      <c r="B315" s="432"/>
      <c r="D315" s="1834" t="s">
        <v>258</v>
      </c>
      <c r="E315" s="1835" t="s">
        <v>260</v>
      </c>
      <c r="F315" s="1970"/>
      <c r="G315" s="1971">
        <f ca="1">G314+G312+G310</f>
        <v>0</v>
      </c>
      <c r="H315" s="1715"/>
      <c r="I315" s="1562">
        <f ca="1">I314+I312+I310</f>
        <v>0</v>
      </c>
      <c r="J315" s="1715"/>
      <c r="K315" s="1562">
        <f ca="1">K314+K312+K310</f>
        <v>0</v>
      </c>
      <c r="L315" s="1715"/>
      <c r="M315" s="1562">
        <f ca="1">M314+M312+M310</f>
        <v>0</v>
      </c>
      <c r="N315" s="1715"/>
      <c r="O315" s="1562">
        <f ca="1">O314+O312+O310</f>
        <v>0</v>
      </c>
      <c r="P315" s="1715"/>
      <c r="Q315" s="1562">
        <f ca="1">Q314+Q312+Q310</f>
        <v>0</v>
      </c>
      <c r="R315" s="16"/>
      <c r="S315" s="18"/>
    </row>
    <row r="316" spans="1:19" s="453" customFormat="1" ht="6.75">
      <c r="A316" s="451"/>
      <c r="B316" s="452"/>
      <c r="E316" s="473"/>
      <c r="F316" s="1924"/>
      <c r="G316" s="1972"/>
      <c r="H316" s="1719"/>
      <c r="I316" s="1720"/>
      <c r="J316" s="1719"/>
      <c r="K316" s="1720"/>
      <c r="L316" s="1719"/>
      <c r="M316" s="1720"/>
      <c r="N316" s="1719"/>
      <c r="O316" s="1720"/>
      <c r="P316" s="1719"/>
      <c r="Q316" s="1720"/>
      <c r="R316" s="1721"/>
      <c r="S316" s="474"/>
    </row>
    <row r="317" spans="1:19" s="46" customFormat="1">
      <c r="A317" s="419"/>
      <c r="B317" s="432"/>
      <c r="D317" s="1714" t="s">
        <v>1442</v>
      </c>
      <c r="E317" s="1382" t="s">
        <v>260</v>
      </c>
      <c r="F317" s="1970"/>
      <c r="G317" s="1971">
        <f ca="1">G344</f>
        <v>0</v>
      </c>
      <c r="H317" s="1715"/>
      <c r="I317" s="1716">
        <f ca="1">I344</f>
        <v>0</v>
      </c>
      <c r="J317" s="1717"/>
      <c r="K317" s="1716">
        <f ca="1">K344</f>
        <v>0</v>
      </c>
      <c r="L317" s="1717"/>
      <c r="M317" s="1716">
        <f ca="1">M344</f>
        <v>0</v>
      </c>
      <c r="N317" s="1717"/>
      <c r="O317" s="1716">
        <f ca="1">O344</f>
        <v>0</v>
      </c>
      <c r="P317" s="1717"/>
      <c r="Q317" s="1716">
        <f ca="1">Q344</f>
        <v>0</v>
      </c>
      <c r="R317" s="1692"/>
      <c r="S317" s="97"/>
    </row>
    <row r="318" spans="1:19" s="46" customFormat="1">
      <c r="B318" s="345"/>
      <c r="D318" s="1714" t="s">
        <v>1441</v>
      </c>
      <c r="E318" s="1382" t="s">
        <v>260</v>
      </c>
      <c r="F318" s="1970"/>
      <c r="G318" s="1971">
        <f ca="1">G315-G317</f>
        <v>0</v>
      </c>
      <c r="H318" s="1715"/>
      <c r="I318" s="1716">
        <f ca="1">I315-I317</f>
        <v>0</v>
      </c>
      <c r="J318" s="1715"/>
      <c r="K318" s="1716">
        <f ca="1">K315-K317</f>
        <v>0</v>
      </c>
      <c r="L318" s="1717"/>
      <c r="M318" s="1716">
        <f ca="1">M315-M317</f>
        <v>0</v>
      </c>
      <c r="N318" s="1717"/>
      <c r="O318" s="1716">
        <f ca="1">O315-O317</f>
        <v>0</v>
      </c>
      <c r="P318" s="1717"/>
      <c r="Q318" s="1716">
        <f ca="1">Q315-Q317</f>
        <v>0</v>
      </c>
      <c r="R318" s="1692"/>
      <c r="S318" s="97"/>
    </row>
    <row r="319" spans="1:19" ht="15" thickBot="1">
      <c r="D319" s="768" t="s">
        <v>868</v>
      </c>
      <c r="E319" s="1371" t="s">
        <v>254</v>
      </c>
      <c r="F319" s="1916"/>
      <c r="G319" s="1946">
        <f ca="1">IFERROR(G$318/G$248,0)</f>
        <v>0</v>
      </c>
      <c r="H319" s="1008"/>
      <c r="I319" s="421">
        <f ca="1">IFERROR(I$318/I$248,0)</f>
        <v>0</v>
      </c>
      <c r="J319" s="991"/>
      <c r="K319" s="421">
        <f ca="1">IFERROR(K$318/K$248,0)</f>
        <v>0</v>
      </c>
      <c r="L319" s="991"/>
      <c r="M319" s="421">
        <f ca="1">IFERROR(M$318/M$248,0)</f>
        <v>0</v>
      </c>
      <c r="N319" s="991"/>
      <c r="O319" s="421">
        <f ca="1">IFERROR(O$318/O$248,0)</f>
        <v>0</v>
      </c>
      <c r="P319" s="991"/>
      <c r="Q319" s="421">
        <f ca="1">IFERROR(Q$318/Q$248,0)</f>
        <v>0</v>
      </c>
    </row>
    <row r="320" spans="1:19" s="249" customFormat="1" ht="15" thickBot="1">
      <c r="B320" s="41"/>
      <c r="D320" s="857"/>
      <c r="E320" s="1380"/>
      <c r="F320" s="644"/>
      <c r="G320" s="1973"/>
      <c r="H320" s="2071"/>
      <c r="I320" s="2071"/>
      <c r="J320" s="2071"/>
      <c r="K320" s="1618"/>
      <c r="L320" s="1618"/>
      <c r="M320" s="1618"/>
      <c r="N320" s="1618"/>
      <c r="O320" s="1618"/>
      <c r="P320" s="1618"/>
      <c r="Q320" s="1618"/>
      <c r="R320" s="1692"/>
      <c r="S320" s="97"/>
    </row>
    <row r="321" spans="1:19" s="249" customFormat="1" ht="15.75" thickTop="1" thickBot="1">
      <c r="A321" s="419" t="s">
        <v>297</v>
      </c>
      <c r="B321" s="432"/>
      <c r="C321" s="2086" t="s">
        <v>275</v>
      </c>
      <c r="D321" s="1846" t="s">
        <v>620</v>
      </c>
      <c r="E321" s="1908" t="b">
        <v>1</v>
      </c>
      <c r="F321" s="2069"/>
      <c r="G321" s="1973">
        <f ca="1">IF(fermeLaitière,SUM(G322:G340),0)</f>
        <v>0</v>
      </c>
      <c r="H321" s="2070"/>
      <c r="I321" s="1713">
        <f ca="1">IF(fermeLaitière,SUM(I322:I340),0)</f>
        <v>0</v>
      </c>
      <c r="J321" s="2070"/>
      <c r="K321" s="1713">
        <f ca="1">IF(fermeLaitière,SUM(K322:K340),0)</f>
        <v>0</v>
      </c>
      <c r="L321" s="1712"/>
      <c r="M321" s="1713">
        <f ca="1">IF(fermeLaitière,SUM(M322:M340),0)</f>
        <v>0</v>
      </c>
      <c r="N321" s="1712"/>
      <c r="O321" s="1713">
        <f ca="1">IF(fermeLaitière,SUM(O322:O340),0)</f>
        <v>0</v>
      </c>
      <c r="P321" s="1712"/>
      <c r="Q321" s="1713">
        <f ca="1">IF(fermeLaitière,SUM(Q322:Q340),0)</f>
        <v>0</v>
      </c>
      <c r="R321" s="1692"/>
      <c r="S321" s="97"/>
    </row>
    <row r="322" spans="1:19" s="249" customFormat="1" ht="15" hidden="1" thickTop="1">
      <c r="A322" s="409" t="s">
        <v>297</v>
      </c>
      <c r="B322" s="412" t="s">
        <v>11</v>
      </c>
      <c r="D322" s="268" t="s">
        <v>11</v>
      </c>
      <c r="E322" s="1364" t="s">
        <v>244</v>
      </c>
      <c r="F322" s="644"/>
      <c r="G322" s="1974">
        <f ca="1">G$133*OFFSET(RéfChamps!$AS$7,0,IF(ProdS0="Biologique",0,3))</f>
        <v>0</v>
      </c>
      <c r="H322" s="2070"/>
      <c r="I322" s="1709">
        <f ca="1">I$133*OFFSET(RéfChamps!$AS$7,0,IF(ProdS1="Biologique",0,3))</f>
        <v>0</v>
      </c>
      <c r="J322" s="2070"/>
      <c r="K322" s="1709">
        <f ca="1">K$133*OFFSET(RéfChamps!$AS$7,0,IF(ProdS2="Biologique",0,3))</f>
        <v>0</v>
      </c>
      <c r="L322" s="1710"/>
      <c r="M322" s="1709">
        <f ca="1">M$133*OFFSET(RéfChamps!$AS$7,0,IF(ProdS3="Biologique",0,3))</f>
        <v>0</v>
      </c>
      <c r="N322" s="1710"/>
      <c r="O322" s="1709">
        <f ca="1">O$133*OFFSET(RéfChamps!$AS$7,0,IF(ProdS4="Biologique",0,3))</f>
        <v>0</v>
      </c>
      <c r="P322" s="1710"/>
      <c r="Q322" s="1709">
        <f ca="1">Q$133*OFFSET(RéfChamps!$AS$7,0,IF(ProdS5="Biologique",0,3))</f>
        <v>0</v>
      </c>
      <c r="R322" s="1692"/>
      <c r="S322" s="97"/>
    </row>
    <row r="323" spans="1:19" s="249" customFormat="1" ht="15" thickTop="1">
      <c r="A323" s="409" t="s">
        <v>297</v>
      </c>
      <c r="B323" s="412" t="s">
        <v>0</v>
      </c>
      <c r="D323" s="268" t="s">
        <v>0</v>
      </c>
      <c r="E323" s="1364" t="s">
        <v>244</v>
      </c>
      <c r="F323" s="644"/>
      <c r="G323" s="1974">
        <f ca="1">G$126*OFFSET(RéfChamps!$C$7,0,IF(ProdS0="Biologique",0,3))</f>
        <v>0</v>
      </c>
      <c r="H323" s="1619"/>
      <c r="I323" s="1709">
        <f ca="1">I$126*OFFSET(RéfChamps!$C$7,0,IF(ProdS1="Biologique",0,3))</f>
        <v>0</v>
      </c>
      <c r="J323" s="1710"/>
      <c r="K323" s="1709">
        <f ca="1">K$126*OFFSET(RéfChamps!$C$7,0,IF(ProdS2="Biologique",0,3))</f>
        <v>0</v>
      </c>
      <c r="L323" s="1710"/>
      <c r="M323" s="1709">
        <f ca="1">M$126*OFFSET(RéfChamps!$C$7,0,IF(ProdS3="Biologique",0,3))</f>
        <v>0</v>
      </c>
      <c r="N323" s="1710"/>
      <c r="O323" s="1709">
        <f ca="1">O$126*OFFSET(RéfChamps!$C$7,0,IF(ProdS4="Biologique",0,3))</f>
        <v>0</v>
      </c>
      <c r="P323" s="1710"/>
      <c r="Q323" s="1709">
        <f ca="1">Q$126*OFFSET(RéfChamps!$C$7,0,IF(ProdS5="Biologique",0,3))</f>
        <v>0</v>
      </c>
      <c r="R323" s="1692"/>
      <c r="S323" s="97"/>
    </row>
    <row r="324" spans="1:19" s="249" customFormat="1">
      <c r="A324" s="409" t="s">
        <v>297</v>
      </c>
      <c r="B324" s="412" t="s">
        <v>140</v>
      </c>
      <c r="D324" s="268" t="s">
        <v>140</v>
      </c>
      <c r="E324" s="1364" t="s">
        <v>244</v>
      </c>
      <c r="F324" s="644"/>
      <c r="G324" s="1974">
        <f ca="1">G$118*OFFSET(RéfChamps!$BK$7,0,IF(ProdS0="Biologique",0,3))</f>
        <v>0</v>
      </c>
      <c r="H324" s="444"/>
      <c r="I324" s="1709">
        <f ca="1">I$118*OFFSET(RéfChamps!$BK$7,0,IF(ProdS1="Biologique",0,3))</f>
        <v>0</v>
      </c>
      <c r="J324" s="1711"/>
      <c r="K324" s="1709">
        <f ca="1">K$118*OFFSET(RéfChamps!$BK$7,0,IF(ProdS2="Biologique",0,3))</f>
        <v>0</v>
      </c>
      <c r="L324" s="1711"/>
      <c r="M324" s="1709">
        <f ca="1">M$118*OFFSET(RéfChamps!$BK$7,0,IF(ProdS3="Biologique",0,3))</f>
        <v>0</v>
      </c>
      <c r="N324" s="1711"/>
      <c r="O324" s="1709">
        <f ca="1">O$118*OFFSET(RéfChamps!$BK$7,0,IF(ProdS4="Biologique",0,3))</f>
        <v>0</v>
      </c>
      <c r="P324" s="1711"/>
      <c r="Q324" s="1709">
        <f ca="1">Q$118*OFFSET(RéfChamps!$BK$7,0,IF(ProdS5="Biologique",0,3))</f>
        <v>0</v>
      </c>
      <c r="R324" s="1692"/>
      <c r="S324" s="97"/>
    </row>
    <row r="325" spans="1:19" s="249" customFormat="1" hidden="1">
      <c r="A325" s="409" t="s">
        <v>297</v>
      </c>
      <c r="B325" s="412" t="s">
        <v>1</v>
      </c>
      <c r="D325" s="268" t="s">
        <v>1</v>
      </c>
      <c r="E325" s="1364" t="s">
        <v>244</v>
      </c>
      <c r="F325" s="644"/>
      <c r="G325" s="1974">
        <f ca="1">G$140*OFFSET(RéfChamps!$I$7,0,IF(ProdS0="Biologique",0,3))</f>
        <v>0</v>
      </c>
      <c r="H325" s="1619"/>
      <c r="I325" s="1709">
        <f ca="1">I$140*OFFSET(RéfChamps!$I$7,0,IF(ProdS1="Biologique",0,3))</f>
        <v>0</v>
      </c>
      <c r="J325" s="1710"/>
      <c r="K325" s="1709">
        <f ca="1">K$140*OFFSET(RéfChamps!$I$7,0,IF(ProdS2="Biologique",0,3))</f>
        <v>0</v>
      </c>
      <c r="L325" s="1710"/>
      <c r="M325" s="1709">
        <f ca="1">M$140*OFFSET(RéfChamps!$I$7,0,IF(ProdS3="Biologique",0,3))</f>
        <v>0</v>
      </c>
      <c r="N325" s="1710"/>
      <c r="O325" s="1709">
        <f ca="1">O$140*OFFSET(RéfChamps!$I$7,0,IF(ProdS4="Biologique",0,3))</f>
        <v>0</v>
      </c>
      <c r="P325" s="1710"/>
      <c r="Q325" s="1709">
        <f ca="1">Q$140*OFFSET(RéfChamps!$I$7,0,IF(ProdS5="Biologique",0,3))</f>
        <v>0</v>
      </c>
      <c r="R325" s="1692"/>
      <c r="S325" s="97"/>
    </row>
    <row r="326" spans="1:19" s="249" customFormat="1" hidden="1">
      <c r="A326" s="409" t="s">
        <v>297</v>
      </c>
      <c r="B326" s="412" t="s">
        <v>3</v>
      </c>
      <c r="D326" s="268" t="s">
        <v>3</v>
      </c>
      <c r="E326" s="1364" t="s">
        <v>244</v>
      </c>
      <c r="F326" s="644"/>
      <c r="G326" s="1974">
        <f ca="1">G$147*OFFSET(RéfChamps!$O$7,0,IF(ProdS0="Biologique",0,3))</f>
        <v>0</v>
      </c>
      <c r="H326" s="1619"/>
      <c r="I326" s="1709">
        <f ca="1">I$147*OFFSET(RéfChamps!$O$7,0,IF(ProdS1="Biologique",0,3))</f>
        <v>0</v>
      </c>
      <c r="J326" s="1710"/>
      <c r="K326" s="1709">
        <f ca="1">K$147*OFFSET(RéfChamps!$O$7,0,IF(ProdS2="Biologique",0,3))</f>
        <v>0</v>
      </c>
      <c r="L326" s="1710"/>
      <c r="M326" s="1709">
        <f ca="1">M$147*OFFSET(RéfChamps!$O$7,0,IF(ProdS3="Biologique",0,3))</f>
        <v>0</v>
      </c>
      <c r="N326" s="1710"/>
      <c r="O326" s="1709">
        <f ca="1">O$147*OFFSET(RéfChamps!$O$7,0,IF(ProdS4="Biologique",0,3))</f>
        <v>0</v>
      </c>
      <c r="P326" s="1710"/>
      <c r="Q326" s="1709">
        <f ca="1">Q$147*OFFSET(RéfChamps!$O$7,0,IF(ProdS5="Biologique",0,3))</f>
        <v>0</v>
      </c>
      <c r="R326" s="1692"/>
      <c r="S326" s="97"/>
    </row>
    <row r="327" spans="1:19" s="249" customFormat="1" hidden="1">
      <c r="A327" s="409" t="s">
        <v>297</v>
      </c>
      <c r="B327" s="412" t="s">
        <v>4</v>
      </c>
      <c r="D327" s="268" t="s">
        <v>4</v>
      </c>
      <c r="E327" s="1364" t="s">
        <v>244</v>
      </c>
      <c r="F327" s="644"/>
      <c r="G327" s="1974">
        <f ca="1">G$154*OFFSET(RéfChamps!$AA$7,0,IF(ProdS0="Biologique",0,3))</f>
        <v>0</v>
      </c>
      <c r="H327" s="444"/>
      <c r="I327" s="1709">
        <f ca="1">I$154*OFFSET(RéfChamps!$AA$7,0,IF(ProdS1="Biologique",0,3))</f>
        <v>0</v>
      </c>
      <c r="J327" s="1711"/>
      <c r="K327" s="1709">
        <f ca="1">K$154*OFFSET(RéfChamps!$AA$7,0,IF(ProdS2="Biologique",0,3))</f>
        <v>0</v>
      </c>
      <c r="L327" s="1711"/>
      <c r="M327" s="1709">
        <f ca="1">M$154*OFFSET(RéfChamps!$AA$7,0,IF(ProdS3="Biologique",0,3))</f>
        <v>0</v>
      </c>
      <c r="N327" s="1711"/>
      <c r="O327" s="1709">
        <f ca="1">O$154*OFFSET(RéfChamps!$AA$7,0,IF(ProdS4="Biologique",0,3))</f>
        <v>0</v>
      </c>
      <c r="P327" s="1711"/>
      <c r="Q327" s="1709">
        <f ca="1">Q$154*OFFSET(RéfChamps!$AA$7,0,IF(ProdS5="Biologique",0,3))</f>
        <v>0</v>
      </c>
      <c r="R327" s="1692"/>
      <c r="S327" s="97"/>
    </row>
    <row r="328" spans="1:19" s="249" customFormat="1" hidden="1">
      <c r="A328" s="409" t="s">
        <v>297</v>
      </c>
      <c r="B328" s="412" t="s">
        <v>5</v>
      </c>
      <c r="D328" s="268" t="s">
        <v>5</v>
      </c>
      <c r="E328" s="1364" t="s">
        <v>244</v>
      </c>
      <c r="F328" s="644"/>
      <c r="G328" s="1974">
        <f ca="1">G$161*OFFSET(RéfChamps!$AG$7,0,IF(ProdS0="Biologique",0,3))</f>
        <v>0</v>
      </c>
      <c r="H328" s="1619"/>
      <c r="I328" s="1709">
        <f ca="1">I$161*OFFSET(RéfChamps!$AG$7,0,IF(ProdS1="Biologique",0,3))</f>
        <v>0</v>
      </c>
      <c r="J328" s="1710"/>
      <c r="K328" s="1709">
        <f ca="1">K$161*OFFSET(RéfChamps!$AG$7,0,IF(ProdS2="Biologique",0,3))</f>
        <v>0</v>
      </c>
      <c r="L328" s="1710"/>
      <c r="M328" s="1709">
        <f ca="1">M$161*OFFSET(RéfChamps!$AG$7,0,IF(ProdS3="Biologique",0,3))</f>
        <v>0</v>
      </c>
      <c r="N328" s="1710"/>
      <c r="O328" s="1709">
        <f ca="1">O$161*OFFSET(RéfChamps!$AG$7,0,IF(ProdS4="Biologique",0,3))</f>
        <v>0</v>
      </c>
      <c r="P328" s="1710"/>
      <c r="Q328" s="1709">
        <f ca="1">Q$161*OFFSET(RéfChamps!$AG$7,0,IF(ProdS5="Biologique",0,3))</f>
        <v>0</v>
      </c>
      <c r="R328" s="1692"/>
      <c r="S328" s="97"/>
    </row>
    <row r="329" spans="1:19" s="249" customFormat="1" hidden="1">
      <c r="A329" s="409" t="s">
        <v>297</v>
      </c>
      <c r="B329" s="412" t="s">
        <v>6</v>
      </c>
      <c r="D329" s="268" t="s">
        <v>6</v>
      </c>
      <c r="E329" s="1364" t="s">
        <v>244</v>
      </c>
      <c r="F329" s="644"/>
      <c r="G329" s="1974">
        <f ca="1">G$168*OFFSET(RéfChamps!$U$7,0,IF(ProdS0="Biologique",0,3))</f>
        <v>0</v>
      </c>
      <c r="H329" s="1619"/>
      <c r="I329" s="1709">
        <f ca="1">I$168*OFFSET(RéfChamps!$U$7,0,IF(ProdS1="Biologique",0,3))</f>
        <v>0</v>
      </c>
      <c r="J329" s="1710"/>
      <c r="K329" s="1709">
        <f ca="1">K$168*OFFSET(RéfChamps!$U$7,0,IF(ProdS2="Biologique",0,3))</f>
        <v>0</v>
      </c>
      <c r="L329" s="1710"/>
      <c r="M329" s="1709">
        <f ca="1">M$168*OFFSET(RéfChamps!$U$7,0,IF(ProdS3="Biologique",0,3))</f>
        <v>0</v>
      </c>
      <c r="N329" s="1710"/>
      <c r="O329" s="1709">
        <f ca="1">O$168*OFFSET(RéfChamps!$U$7,0,IF(ProdS4="Biologique",0,3))</f>
        <v>0</v>
      </c>
      <c r="P329" s="1710"/>
      <c r="Q329" s="1709">
        <f ca="1">Q$168*OFFSET(RéfChamps!$U$7,0,IF(ProdS5="Biologique",0,3))</f>
        <v>0</v>
      </c>
      <c r="R329" s="1692"/>
      <c r="S329" s="97"/>
    </row>
    <row r="330" spans="1:19" s="249" customFormat="1" hidden="1">
      <c r="A330" s="409" t="s">
        <v>297</v>
      </c>
      <c r="B330" s="412" t="s">
        <v>7</v>
      </c>
      <c r="D330" s="268" t="s">
        <v>7</v>
      </c>
      <c r="E330" s="1364" t="s">
        <v>244</v>
      </c>
      <c r="F330" s="644"/>
      <c r="G330" s="1974">
        <f ca="1">G$175*OFFSET(RéfChamps!$U$7,0,IF(ProdS0="Biologique",0,3))</f>
        <v>0</v>
      </c>
      <c r="H330" s="1619"/>
      <c r="I330" s="1709">
        <f ca="1">I$175*OFFSET(RéfChamps!$U$7,0,IF(ProdS1="Biologique",0,3))</f>
        <v>0</v>
      </c>
      <c r="J330" s="1710"/>
      <c r="K330" s="1709">
        <f ca="1">K$175*OFFSET(RéfChamps!$U$7,0,IF(ProdS2="Biologique",0,3))</f>
        <v>0</v>
      </c>
      <c r="L330" s="1710"/>
      <c r="M330" s="1709">
        <f ca="1">M$175*OFFSET(RéfChamps!$U$7,0,IF(ProdS3="Biologique",0,3))</f>
        <v>0</v>
      </c>
      <c r="N330" s="1710"/>
      <c r="O330" s="1709">
        <f ca="1">O$175*OFFSET(RéfChamps!$U$7,0,IF(ProdS4="Biologique",0,3))</f>
        <v>0</v>
      </c>
      <c r="P330" s="1710"/>
      <c r="Q330" s="1709">
        <f ca="1">Q$175*OFFSET(RéfChamps!$U$7,0,IF(ProdS5="Biologique",0,3))</f>
        <v>0</v>
      </c>
      <c r="R330" s="1692"/>
      <c r="S330" s="97"/>
    </row>
    <row r="331" spans="1:19" s="249" customFormat="1" hidden="1">
      <c r="A331" s="409" t="s">
        <v>297</v>
      </c>
      <c r="B331" s="412" t="s">
        <v>1291</v>
      </c>
      <c r="D331" s="268" t="s">
        <v>1291</v>
      </c>
      <c r="E331" s="1364" t="s">
        <v>244</v>
      </c>
      <c r="F331" s="644"/>
      <c r="G331" s="1974">
        <f ca="1">G$182*OFFSET(RéfChamps!$BT$7,0,IF(ProdS0="Biologique",0,3))</f>
        <v>0</v>
      </c>
      <c r="H331" s="444"/>
      <c r="I331" s="1709">
        <f ca="1">I$182*OFFSET(RéfChamps!$BT$7,0,IF(ProdS1="Biologique",0,3))</f>
        <v>0</v>
      </c>
      <c r="J331" s="1711"/>
      <c r="K331" s="1709">
        <f ca="1">K$182*OFFSET(RéfChamps!$BT$7,0,IF(ProdS2="Biologique",0,3))</f>
        <v>0</v>
      </c>
      <c r="L331" s="1711"/>
      <c r="M331" s="1709">
        <f ca="1">M$182*OFFSET(RéfChamps!$BT$7,0,IF(ProdS3="Biologique",0,3))</f>
        <v>0</v>
      </c>
      <c r="N331" s="1711"/>
      <c r="O331" s="1709">
        <f ca="1">O$182*OFFSET(RéfChamps!$BT$7,0,IF(ProdS4="Biologique",0,3))</f>
        <v>0</v>
      </c>
      <c r="P331" s="1711"/>
      <c r="Q331" s="1709">
        <f ca="1">Q$182*OFFSET(RéfChamps!$BT$7,0,IF(ProdS5="Biologique",0,3))</f>
        <v>0</v>
      </c>
      <c r="R331" s="1692"/>
      <c r="S331" s="97"/>
    </row>
    <row r="332" spans="1:19" s="1391" customFormat="1" hidden="1">
      <c r="A332" s="409" t="s">
        <v>297</v>
      </c>
      <c r="B332" s="412" t="s">
        <v>1294</v>
      </c>
      <c r="D332" s="268" t="s">
        <v>1294</v>
      </c>
      <c r="E332" s="1364" t="s">
        <v>244</v>
      </c>
      <c r="F332" s="644"/>
      <c r="G332" s="1974">
        <f ca="1">G$189*OFFSET(RéfChamps!$BZ$7,0,IF(ProdS0="Biologique",0,3))</f>
        <v>0</v>
      </c>
      <c r="H332" s="444"/>
      <c r="I332" s="1709">
        <f ca="1">I$189*OFFSET(RéfChamps!$BZ$7,0,IF(ProdS1="Biologique",0,3))</f>
        <v>0</v>
      </c>
      <c r="J332" s="1711"/>
      <c r="K332" s="1709">
        <f ca="1">K$189*OFFSET(RéfChamps!$BZ$7,0,IF(ProdS2="Biologique",0,3))</f>
        <v>0</v>
      </c>
      <c r="L332" s="1711"/>
      <c r="M332" s="1709">
        <f ca="1">M$189*OFFSET(RéfChamps!$BZ$7,0,IF(ProdS3="Biologique",0,3))</f>
        <v>0</v>
      </c>
      <c r="N332" s="1711"/>
      <c r="O332" s="1709">
        <f ca="1">O$189*OFFSET(RéfChamps!$BZ$7,0,IF(ProdS4="Biologique",0,3))</f>
        <v>0</v>
      </c>
      <c r="P332" s="1711"/>
      <c r="Q332" s="1709">
        <f ca="1">Q$189*OFFSET(RéfChamps!$BZ$7,0,IF(ProdS5="Biologique",0,3))</f>
        <v>0</v>
      </c>
      <c r="R332" s="1692"/>
      <c r="S332" s="97"/>
    </row>
    <row r="333" spans="1:19" s="249" customFormat="1" hidden="1">
      <c r="A333" s="409" t="s">
        <v>297</v>
      </c>
      <c r="B333" s="412" t="s">
        <v>218</v>
      </c>
      <c r="D333" s="268" t="s">
        <v>218</v>
      </c>
      <c r="E333" s="1364" t="s">
        <v>244</v>
      </c>
      <c r="F333" s="644"/>
      <c r="G333" s="1974">
        <f ca="1">G$196*OFFSET(RéfChamps!$CF$7,0,IF(ProdS0="Biologique",0,3))</f>
        <v>0</v>
      </c>
      <c r="H333" s="1619"/>
      <c r="I333" s="1709">
        <f ca="1">I$196*OFFSET(RéfChamps!$CF$7,0,IF(ProdS1="Biologique",0,3))</f>
        <v>0</v>
      </c>
      <c r="J333" s="1710"/>
      <c r="K333" s="1709">
        <f ca="1">K$196*OFFSET(RéfChamps!$CF$7,0,IF(ProdS2="Biologique",0,3))</f>
        <v>0</v>
      </c>
      <c r="L333" s="1710"/>
      <c r="M333" s="1709">
        <f ca="1">M$196*OFFSET(RéfChamps!$CF$7,0,IF(ProdS3="Biologique",0,3))</f>
        <v>0</v>
      </c>
      <c r="N333" s="1710"/>
      <c r="O333" s="1709">
        <f ca="1">O$196*OFFSET(RéfChamps!$CF$7,0,IF(ProdS4="Biologique",0,3))</f>
        <v>0</v>
      </c>
      <c r="P333" s="1710"/>
      <c r="Q333" s="1709">
        <f ca="1">Q$196*OFFSET(RéfChamps!$CF$7,0,IF(ProdS5="Biologique",0,3))</f>
        <v>0</v>
      </c>
      <c r="R333" s="1692"/>
      <c r="S333" s="97"/>
    </row>
    <row r="334" spans="1:19" s="249" customFormat="1" hidden="1">
      <c r="A334" s="409" t="s">
        <v>297</v>
      </c>
      <c r="B334" s="412" t="s">
        <v>1261</v>
      </c>
      <c r="D334" s="268" t="s">
        <v>1261</v>
      </c>
      <c r="E334" s="1364" t="s">
        <v>244</v>
      </c>
      <c r="F334" s="644"/>
      <c r="G334" s="1974">
        <f ca="1">G$203*OFFSET(RéfChamps!$CL$7,0,IF(ProdS0="Biologique",0,3))</f>
        <v>0</v>
      </c>
      <c r="H334" s="1619"/>
      <c r="I334" s="1709">
        <f ca="1">I$203*OFFSET(RéfChamps!$CL$7,0,IF(ProdS1="Biologique",0,3))</f>
        <v>0</v>
      </c>
      <c r="J334" s="1710"/>
      <c r="K334" s="1709">
        <f ca="1">K$203*OFFSET(RéfChamps!$CL$7,0,IF(ProdS2="Biologique",0,3))</f>
        <v>0</v>
      </c>
      <c r="L334" s="1710"/>
      <c r="M334" s="1709">
        <f ca="1">M$203*OFFSET(RéfChamps!$CL$7,0,IF(ProdS3="Biologique",0,3))</f>
        <v>0</v>
      </c>
      <c r="N334" s="1710"/>
      <c r="O334" s="1709">
        <f ca="1">O$203*OFFSET(RéfChamps!$CL$7,0,IF(ProdS4="Biologique",0,3))</f>
        <v>0</v>
      </c>
      <c r="P334" s="1710"/>
      <c r="Q334" s="1709">
        <f ca="1">Q$203*OFFSET(RéfChamps!$CL$7,0,IF(ProdS5="Biologique",0,3))</f>
        <v>0</v>
      </c>
      <c r="R334" s="1692"/>
      <c r="S334" s="97"/>
    </row>
    <row r="335" spans="1:19" s="249" customFormat="1" hidden="1">
      <c r="A335" s="409" t="s">
        <v>297</v>
      </c>
      <c r="B335" s="412" t="s">
        <v>219</v>
      </c>
      <c r="D335" s="268" t="s">
        <v>219</v>
      </c>
      <c r="E335" s="1364" t="s">
        <v>244</v>
      </c>
      <c r="F335" s="644"/>
      <c r="G335" s="1974">
        <f ca="1">G$210*OFFSET(RéfChamps!$CR$7,0,IF(ProdS0="Biologique",0,3))</f>
        <v>0</v>
      </c>
      <c r="H335" s="1619"/>
      <c r="I335" s="1709">
        <f ca="1">I$210*OFFSET(RéfChamps!$CR$7,0,IF(ProdS1="Biologique",0,3))</f>
        <v>0</v>
      </c>
      <c r="J335" s="1710"/>
      <c r="K335" s="1709">
        <f ca="1">K$210*OFFSET(RéfChamps!$CR$7,0,IF(ProdS2="Biologique",0,3))</f>
        <v>0</v>
      </c>
      <c r="L335" s="1710"/>
      <c r="M335" s="1709">
        <f ca="1">M$210*OFFSET(RéfChamps!$CR$7,0,IF(ProdS3="Biologique",0,3))</f>
        <v>0</v>
      </c>
      <c r="N335" s="1710"/>
      <c r="O335" s="1709">
        <f ca="1">O$210*OFFSET(RéfChamps!$CR$7,0,IF(ProdS4="Biologique",0,3))</f>
        <v>0</v>
      </c>
      <c r="P335" s="1710"/>
      <c r="Q335" s="1709">
        <f ca="1">Q$210*OFFSET(RéfChamps!$CR$7,0,IF(ProdS5="Biologique",0,3))</f>
        <v>0</v>
      </c>
      <c r="R335" s="1692"/>
      <c r="S335" s="97"/>
    </row>
    <row r="336" spans="1:19" s="1391" customFormat="1" hidden="1">
      <c r="A336" s="409" t="s">
        <v>297</v>
      </c>
      <c r="B336" s="412" t="s">
        <v>1262</v>
      </c>
      <c r="D336" s="268" t="s">
        <v>1262</v>
      </c>
      <c r="E336" s="1364" t="s">
        <v>244</v>
      </c>
      <c r="F336" s="644"/>
      <c r="G336" s="1974">
        <f ca="1">G$217*OFFSET(RéfChamps!$CX$7,0,IF(ProdS0="Biologique",0,3))</f>
        <v>0</v>
      </c>
      <c r="H336" s="1619"/>
      <c r="I336" s="423">
        <f ca="1">I$217*OFFSET(RéfChamps!$CX$7,0,IF(ProdS1="Biologique",0,3))</f>
        <v>0</v>
      </c>
      <c r="J336" s="1619"/>
      <c r="K336" s="423">
        <f ca="1">K$217*OFFSET(RéfChamps!$CX$7,0,IF(ProdS2="Biologique",0,3))</f>
        <v>0</v>
      </c>
      <c r="L336" s="1619"/>
      <c r="M336" s="423">
        <f ca="1">M$217*OFFSET(RéfChamps!$CX$7,0,IF(ProdS3="Biologique",0,3))</f>
        <v>0</v>
      </c>
      <c r="N336" s="1619"/>
      <c r="O336" s="423">
        <f ca="1">O$217*OFFSET(RéfChamps!$CX$7,0,IF(ProdS4="Biologique",0,3))</f>
        <v>0</v>
      </c>
      <c r="P336" s="1619"/>
      <c r="Q336" s="423">
        <f ca="1">Q$217*OFFSET(RéfChamps!$CX$7,0,IF(ProdS5="Biologique",0,3))</f>
        <v>0</v>
      </c>
      <c r="R336" s="1692"/>
      <c r="S336" s="97"/>
    </row>
    <row r="337" spans="1:19" s="249" customFormat="1" hidden="1">
      <c r="A337" s="409" t="s">
        <v>297</v>
      </c>
      <c r="B337" s="412" t="str">
        <f>nAutre1</f>
        <v>Autre #1</v>
      </c>
      <c r="D337" s="268" t="str">
        <f>nAutre1</f>
        <v>Autre #1</v>
      </c>
      <c r="E337" s="1364" t="s">
        <v>244</v>
      </c>
      <c r="F337" s="644"/>
      <c r="G337" s="1974">
        <f ca="1">G$224*OFFSET(RéfChamps!$DD$7,0,IF(ProdS0="Biologique",0,3))</f>
        <v>0</v>
      </c>
      <c r="H337" s="1619"/>
      <c r="I337" s="423">
        <f ca="1">I$224*OFFSET(RéfChamps!$DD$7,0,IF(ProdS1="Biologique",0,3))</f>
        <v>0</v>
      </c>
      <c r="J337" s="1619"/>
      <c r="K337" s="423">
        <f ca="1">K$224*OFFSET(RéfChamps!$DD$7,0,IF(ProdS2="Biologique",0,3))</f>
        <v>0</v>
      </c>
      <c r="L337" s="1619"/>
      <c r="M337" s="423">
        <f ca="1">M$224*OFFSET(RéfChamps!$DD$7,0,IF(ProdS3="Biologique",0,3))</f>
        <v>0</v>
      </c>
      <c r="N337" s="1619"/>
      <c r="O337" s="423">
        <f ca="1">O$224*OFFSET(RéfChamps!$DD$7,0,IF(ProdS4="Biologique",0,3))</f>
        <v>0</v>
      </c>
      <c r="P337" s="1619"/>
      <c r="Q337" s="423">
        <f ca="1">Q$224*OFFSET(RéfChamps!$DD$7,0,IF(ProdS5="Biologique",0,3))</f>
        <v>0</v>
      </c>
      <c r="R337" s="1692"/>
      <c r="S337" s="97"/>
    </row>
    <row r="338" spans="1:19" s="249" customFormat="1" hidden="1">
      <c r="A338" s="409" t="s">
        <v>297</v>
      </c>
      <c r="B338" s="412" t="str">
        <f>nAutre2</f>
        <v>Autre #2</v>
      </c>
      <c r="D338" s="268" t="str">
        <f>nAutre2</f>
        <v>Autre #2</v>
      </c>
      <c r="E338" s="1364" t="s">
        <v>244</v>
      </c>
      <c r="F338" s="644"/>
      <c r="G338" s="1974">
        <f ca="1">G$231*OFFSET(RéfChamps!$DJ$7,0,IF(ProdS0="Biologique",0,3))</f>
        <v>0</v>
      </c>
      <c r="H338" s="444"/>
      <c r="I338" s="423">
        <f ca="1">I$231*OFFSET(RéfChamps!$DJ$7,0,IF(ProdS1="Biologique",0,3))</f>
        <v>0</v>
      </c>
      <c r="J338" s="444"/>
      <c r="K338" s="423">
        <f ca="1">K$231*OFFSET(RéfChamps!$DJ$7,0,IF(ProdS2="Biologique",0,3))</f>
        <v>0</v>
      </c>
      <c r="L338" s="444"/>
      <c r="M338" s="423">
        <f ca="1">M$231*OFFSET(RéfChamps!$DJ$7,0,IF(ProdS3="Biologique",0,3))</f>
        <v>0</v>
      </c>
      <c r="N338" s="444"/>
      <c r="O338" s="423">
        <f ca="1">O$231*OFFSET(RéfChamps!$DJ$7,0,IF(ProdS4="Biologique",0,3))</f>
        <v>0</v>
      </c>
      <c r="P338" s="444"/>
      <c r="Q338" s="423">
        <f ca="1">Q$231*OFFSET(RéfChamps!$DJ$7,0,IF(ProdS5="Biologique",0,3))</f>
        <v>0</v>
      </c>
      <c r="R338" s="1692"/>
      <c r="S338" s="97"/>
    </row>
    <row r="339" spans="1:19" hidden="1">
      <c r="A339" s="409" t="s">
        <v>297</v>
      </c>
      <c r="B339" s="412" t="str">
        <f>nAutre3</f>
        <v>Autre #3</v>
      </c>
      <c r="C339" s="249"/>
      <c r="D339" s="268" t="str">
        <f>nAutre3</f>
        <v>Autre #3</v>
      </c>
      <c r="E339" s="1364" t="s">
        <v>244</v>
      </c>
      <c r="F339" s="644"/>
      <c r="G339" s="1974">
        <f ca="1">G$238*OFFSET(RéfChamps!$DP$7,0,IF(ProdS0="Biologique",0,3))</f>
        <v>0</v>
      </c>
      <c r="H339" s="444"/>
      <c r="I339" s="423">
        <f ca="1">I$238*OFFSET(RéfChamps!$DP$7,0,IF(ProdS1="Biologique",0,3))</f>
        <v>0</v>
      </c>
      <c r="J339" s="424"/>
      <c r="K339" s="423">
        <f ca="1">K$238*OFFSET(RéfChamps!$DP$7,0,IF(ProdS2="Biologique",0,3))</f>
        <v>0</v>
      </c>
      <c r="L339" s="444"/>
      <c r="M339" s="423">
        <f ca="1">M$238*OFFSET(RéfChamps!$DP$7,0,IF(ProdS3="Biologique",0,3))</f>
        <v>0</v>
      </c>
      <c r="N339" s="444"/>
      <c r="O339" s="423">
        <f ca="1">O$238*OFFSET(RéfChamps!$DP$7,0,IF(ProdS4="Biologique",0,3))</f>
        <v>0</v>
      </c>
      <c r="P339" s="444"/>
      <c r="Q339" s="423">
        <f ca="1">Q$238*OFFSET(RéfChamps!$DP$7,0,IF(ProdS5="Biologique",0,3))</f>
        <v>0</v>
      </c>
      <c r="R339" s="16"/>
      <c r="S339" s="18"/>
    </row>
    <row r="340" spans="1:19" hidden="1">
      <c r="A340" s="409" t="s">
        <v>297</v>
      </c>
      <c r="B340" s="412" t="s">
        <v>26</v>
      </c>
      <c r="C340" s="249"/>
      <c r="D340" s="268" t="s">
        <v>26</v>
      </c>
      <c r="E340" s="1364" t="s">
        <v>244</v>
      </c>
      <c r="F340" s="644"/>
      <c r="G340" s="1974">
        <f ca="1">G$245*OFFSET(RéfChamps!$DV$7,0,IF(ProdS0="Biologique",0,3))</f>
        <v>0</v>
      </c>
      <c r="H340" s="444"/>
      <c r="I340" s="423">
        <f ca="1">I$245*OFFSET(RéfChamps!$DV$7,0,IF(ProdS1="Biologique",0,3))</f>
        <v>0</v>
      </c>
      <c r="J340" s="444"/>
      <c r="K340" s="423">
        <f ca="1">K$245*OFFSET(RéfChamps!$DV$7,0,IF(ProdS2="Biologique",0,3))</f>
        <v>0</v>
      </c>
      <c r="L340" s="444"/>
      <c r="M340" s="423">
        <f ca="1">M$245*OFFSET(RéfChamps!$DV$7,0,IF(ProdS3="Biologique",0,3))</f>
        <v>0</v>
      </c>
      <c r="N340" s="444"/>
      <c r="O340" s="423">
        <f ca="1">O$245*OFFSET(RéfChamps!$DV$7,0,IF(ProdS4="Biologique",0,3))</f>
        <v>0</v>
      </c>
      <c r="P340" s="444"/>
      <c r="Q340" s="423">
        <f ca="1">Q$245*OFFSET(RéfChamps!$DV$7,0,IF(ProdS5="Biologique",0,3))</f>
        <v>0</v>
      </c>
      <c r="R340" s="16"/>
      <c r="S340" s="18"/>
    </row>
    <row r="341" spans="1:19" hidden="1">
      <c r="D341" s="35"/>
      <c r="E341" s="1381"/>
      <c r="G341" s="1975"/>
      <c r="H341" s="991"/>
      <c r="I341" s="1009"/>
      <c r="J341" s="991"/>
      <c r="K341" s="1009"/>
      <c r="L341" s="991"/>
      <c r="M341" s="1009"/>
      <c r="N341" s="991"/>
      <c r="O341" s="1009"/>
      <c r="P341" s="991"/>
      <c r="Q341" s="1009"/>
      <c r="R341" s="16"/>
      <c r="S341" s="18"/>
    </row>
    <row r="342" spans="1:19" s="97" customFormat="1" ht="19.5" hidden="1" thickBot="1">
      <c r="A342" s="409"/>
      <c r="B342" s="412"/>
      <c r="C342" s="806" t="s">
        <v>281</v>
      </c>
      <c r="D342" s="806"/>
      <c r="E342" s="1376" t="s">
        <v>1274</v>
      </c>
      <c r="F342" s="1976"/>
      <c r="G342" s="1977"/>
      <c r="H342" s="1588"/>
      <c r="I342" s="1588"/>
      <c r="J342" s="1588"/>
      <c r="K342" s="1588"/>
      <c r="L342" s="1588"/>
      <c r="M342" s="1588"/>
      <c r="N342" s="1588"/>
      <c r="O342" s="1588"/>
      <c r="P342" s="1588"/>
      <c r="Q342" s="1588"/>
      <c r="R342" s="16"/>
      <c r="S342" s="18"/>
    </row>
    <row r="343" spans="1:19" s="453" customFormat="1" ht="12">
      <c r="E343" s="1363"/>
      <c r="F343" s="1921"/>
      <c r="G343" s="1921"/>
      <c r="H343" s="1591"/>
      <c r="I343" s="1591"/>
      <c r="J343" s="1591"/>
      <c r="K343" s="1591"/>
      <c r="L343" s="1591"/>
      <c r="M343" s="1591"/>
      <c r="N343" s="1591"/>
      <c r="O343" s="1591"/>
      <c r="P343" s="1591"/>
      <c r="Q343" s="1591"/>
      <c r="R343" s="1697"/>
      <c r="S343" s="1592"/>
    </row>
    <row r="344" spans="1:19">
      <c r="C344" s="2087" t="s">
        <v>275</v>
      </c>
      <c r="D344" s="766" t="s">
        <v>1171</v>
      </c>
      <c r="E344" s="1382" t="s">
        <v>260</v>
      </c>
      <c r="F344" s="1913"/>
      <c r="G344" s="1978">
        <f ca="1">SUM(G$345:G$363)</f>
        <v>0</v>
      </c>
      <c r="H344" s="1286"/>
      <c r="I344" s="1287">
        <f ca="1">SUM(I$345:I$363)</f>
        <v>0</v>
      </c>
      <c r="J344" s="1288"/>
      <c r="K344" s="1287">
        <f ca="1">SUM(K$345:K$363)</f>
        <v>0</v>
      </c>
      <c r="L344" s="1288"/>
      <c r="M344" s="1287">
        <f ca="1">SUM(M$345:M$363)</f>
        <v>0</v>
      </c>
      <c r="N344" s="1288"/>
      <c r="O344" s="1287">
        <f ca="1">SUM(O$345:O$363)</f>
        <v>0</v>
      </c>
      <c r="P344" s="1288"/>
      <c r="Q344" s="1287">
        <f ca="1">SUM(Q$345:Q$363)</f>
        <v>0</v>
      </c>
    </row>
    <row r="345" spans="1:19" s="48" customFormat="1">
      <c r="A345" s="409"/>
      <c r="B345" s="412" t="str">
        <f>D345</f>
        <v>Pâturage</v>
      </c>
      <c r="D345" s="767" t="s">
        <v>2</v>
      </c>
      <c r="E345" s="1371" t="s">
        <v>260</v>
      </c>
      <c r="F345" s="1916"/>
      <c r="G345" s="1946">
        <f ca="1">G$107*G$106</f>
        <v>0</v>
      </c>
      <c r="H345" s="1008"/>
      <c r="I345" s="456">
        <f ca="1">I$107*I$106</f>
        <v>0</v>
      </c>
      <c r="J345" s="1010"/>
      <c r="K345" s="456">
        <f ca="1">K$107*K$106</f>
        <v>0</v>
      </c>
      <c r="L345" s="1010"/>
      <c r="M345" s="456">
        <f ca="1">M$107*M$106</f>
        <v>0</v>
      </c>
      <c r="N345" s="1010"/>
      <c r="O345" s="456">
        <f ca="1">O$107*O$106</f>
        <v>0</v>
      </c>
      <c r="P345" s="1010"/>
      <c r="Q345" s="456">
        <f ca="1">Q$107*Q$106</f>
        <v>0</v>
      </c>
      <c r="R345" s="17"/>
      <c r="S345" s="97"/>
    </row>
    <row r="346" spans="1:19" s="48" customFormat="1">
      <c r="A346" s="409"/>
      <c r="B346" s="412" t="str">
        <f t="shared" ref="B346:B363" si="20">D346</f>
        <v>Prairies</v>
      </c>
      <c r="D346" s="767" t="s">
        <v>142</v>
      </c>
      <c r="E346" s="1371" t="s">
        <v>260</v>
      </c>
      <c r="F346" s="1916"/>
      <c r="G346" s="1946">
        <f ca="1">G$113*G$112</f>
        <v>0</v>
      </c>
      <c r="H346" s="1008"/>
      <c r="I346" s="456">
        <f ca="1">I$113*I$112</f>
        <v>0</v>
      </c>
      <c r="J346" s="1010"/>
      <c r="K346" s="456">
        <f ca="1">K$113*K$112</f>
        <v>0</v>
      </c>
      <c r="L346" s="1010"/>
      <c r="M346" s="456">
        <f ca="1">M$113*M$112</f>
        <v>0</v>
      </c>
      <c r="N346" s="1010"/>
      <c r="O346" s="456">
        <f ca="1">O$113*O$112</f>
        <v>0</v>
      </c>
      <c r="P346" s="1010"/>
      <c r="Q346" s="456">
        <f ca="1">Q$113*Q$112</f>
        <v>0</v>
      </c>
      <c r="R346" s="17"/>
      <c r="S346" s="97"/>
    </row>
    <row r="347" spans="1:19" s="48" customFormat="1" hidden="1">
      <c r="A347" s="409"/>
      <c r="B347" s="412" t="str">
        <f t="shared" si="20"/>
        <v>Grains mélangés</v>
      </c>
      <c r="D347" s="767" t="s">
        <v>11</v>
      </c>
      <c r="E347" s="1371" t="s">
        <v>260</v>
      </c>
      <c r="F347" s="1916"/>
      <c r="G347" s="1946">
        <f ca="1">G$134*G$133</f>
        <v>0</v>
      </c>
      <c r="H347" s="1008"/>
      <c r="I347" s="456">
        <f ca="1">I$134*I$133</f>
        <v>0</v>
      </c>
      <c r="J347" s="1010"/>
      <c r="K347" s="456">
        <f ca="1">K$134*K$133</f>
        <v>0</v>
      </c>
      <c r="L347" s="1010"/>
      <c r="M347" s="456">
        <f ca="1">M$134*M$133</f>
        <v>0</v>
      </c>
      <c r="N347" s="1010"/>
      <c r="O347" s="456">
        <f ca="1">O$134*O$133</f>
        <v>0</v>
      </c>
      <c r="P347" s="1010"/>
      <c r="Q347" s="456">
        <f ca="1">Q$134*Q$133</f>
        <v>0</v>
      </c>
      <c r="R347" s="17"/>
      <c r="S347" s="97"/>
    </row>
    <row r="348" spans="1:19" s="48" customFormat="1">
      <c r="A348" s="409"/>
      <c r="B348" s="412" t="str">
        <f t="shared" si="20"/>
        <v>Maïs-grain</v>
      </c>
      <c r="D348" s="767" t="s">
        <v>0</v>
      </c>
      <c r="E348" s="1371" t="s">
        <v>260</v>
      </c>
      <c r="F348" s="1916"/>
      <c r="G348" s="1946">
        <f ca="1">G$127*G$126</f>
        <v>0</v>
      </c>
      <c r="H348" s="1008"/>
      <c r="I348" s="456">
        <f ca="1">I$127*I$126</f>
        <v>0</v>
      </c>
      <c r="J348" s="1010"/>
      <c r="K348" s="456">
        <f ca="1">K$127*K$126</f>
        <v>0</v>
      </c>
      <c r="L348" s="1010"/>
      <c r="M348" s="456">
        <f ca="1">M$127*M$126</f>
        <v>0</v>
      </c>
      <c r="N348" s="1010"/>
      <c r="O348" s="456">
        <f ca="1">O$127*O$126</f>
        <v>0</v>
      </c>
      <c r="P348" s="1010"/>
      <c r="Q348" s="456">
        <f ca="1">Q$127*Q$126</f>
        <v>0</v>
      </c>
      <c r="R348" s="17"/>
      <c r="S348" s="97"/>
    </row>
    <row r="349" spans="1:19" s="48" customFormat="1">
      <c r="A349" s="409"/>
      <c r="B349" s="412" t="str">
        <f t="shared" si="20"/>
        <v>Maïs ensilage</v>
      </c>
      <c r="D349" s="767" t="s">
        <v>140</v>
      </c>
      <c r="E349" s="1371" t="s">
        <v>260</v>
      </c>
      <c r="F349" s="1916"/>
      <c r="G349" s="1946">
        <f ca="1">G$119*G$118</f>
        <v>0</v>
      </c>
      <c r="H349" s="40"/>
      <c r="I349" s="456">
        <f ca="1">I$119*I$118</f>
        <v>0</v>
      </c>
      <c r="J349" s="455"/>
      <c r="K349" s="456">
        <f ca="1">K$119*K$118</f>
        <v>0</v>
      </c>
      <c r="L349" s="455"/>
      <c r="M349" s="456">
        <f ca="1">M$119*M$118</f>
        <v>0</v>
      </c>
      <c r="N349" s="455"/>
      <c r="O349" s="456">
        <f ca="1">O$119*O$118</f>
        <v>0</v>
      </c>
      <c r="P349" s="455"/>
      <c r="Q349" s="456">
        <f ca="1">Q$119*Q$118</f>
        <v>0</v>
      </c>
      <c r="R349" s="17"/>
      <c r="S349" s="97"/>
    </row>
    <row r="350" spans="1:19" s="48" customFormat="1">
      <c r="A350" s="409"/>
      <c r="B350" s="412" t="str">
        <f t="shared" si="20"/>
        <v>Soya</v>
      </c>
      <c r="D350" s="767" t="s">
        <v>1</v>
      </c>
      <c r="E350" s="1371" t="s">
        <v>260</v>
      </c>
      <c r="F350" s="1916"/>
      <c r="G350" s="1946">
        <f ca="1">G$141*G$140</f>
        <v>0</v>
      </c>
      <c r="H350" s="1008"/>
      <c r="I350" s="456">
        <f ca="1">I$141*I$140</f>
        <v>0</v>
      </c>
      <c r="J350" s="1010"/>
      <c r="K350" s="456">
        <f ca="1">K$141*K$140</f>
        <v>0</v>
      </c>
      <c r="L350" s="1010"/>
      <c r="M350" s="456">
        <f ca="1">M$141*M$140</f>
        <v>0</v>
      </c>
      <c r="N350" s="1010"/>
      <c r="O350" s="456">
        <f ca="1">O$141*O$140</f>
        <v>0</v>
      </c>
      <c r="P350" s="1010"/>
      <c r="Q350" s="456">
        <f ca="1">Q$141*Q$140</f>
        <v>0</v>
      </c>
      <c r="R350" s="17"/>
      <c r="S350" s="97"/>
    </row>
    <row r="351" spans="1:19" s="48" customFormat="1">
      <c r="A351" s="409"/>
      <c r="B351" s="412" t="str">
        <f t="shared" si="20"/>
        <v>Blé de printemps</v>
      </c>
      <c r="D351" s="767" t="s">
        <v>3</v>
      </c>
      <c r="E351" s="1371" t="s">
        <v>260</v>
      </c>
      <c r="F351" s="1916"/>
      <c r="G351" s="1946">
        <f ca="1">G$148*G$147</f>
        <v>0</v>
      </c>
      <c r="H351" s="1008"/>
      <c r="I351" s="456">
        <f ca="1">I$148*I$147</f>
        <v>0</v>
      </c>
      <c r="J351" s="1010"/>
      <c r="K351" s="456">
        <f ca="1">K$148*K$147</f>
        <v>0</v>
      </c>
      <c r="L351" s="1010"/>
      <c r="M351" s="456">
        <f ca="1">M$148*M$147</f>
        <v>0</v>
      </c>
      <c r="N351" s="1010"/>
      <c r="O351" s="456">
        <f ca="1">O$148*O$147</f>
        <v>0</v>
      </c>
      <c r="P351" s="1010"/>
      <c r="Q351" s="456">
        <f ca="1">Q$148*Q$147</f>
        <v>0</v>
      </c>
      <c r="R351" s="17"/>
      <c r="S351" s="97"/>
    </row>
    <row r="352" spans="1:19" s="48" customFormat="1" hidden="1">
      <c r="A352" s="409"/>
      <c r="B352" s="412" t="str">
        <f t="shared" si="20"/>
        <v>Orge</v>
      </c>
      <c r="D352" s="767" t="s">
        <v>4</v>
      </c>
      <c r="E352" s="1371" t="s">
        <v>260</v>
      </c>
      <c r="F352" s="1916"/>
      <c r="G352" s="1946">
        <f ca="1">G$155*G$154</f>
        <v>0</v>
      </c>
      <c r="H352" s="40"/>
      <c r="I352" s="456">
        <f ca="1">I$155*I$154</f>
        <v>0</v>
      </c>
      <c r="J352" s="455"/>
      <c r="K352" s="456">
        <f ca="1">K$155*K$154</f>
        <v>0</v>
      </c>
      <c r="L352" s="455"/>
      <c r="M352" s="456">
        <f ca="1">M$155*M$154</f>
        <v>0</v>
      </c>
      <c r="N352" s="455"/>
      <c r="O352" s="456">
        <f ca="1">O$155*O$154</f>
        <v>0</v>
      </c>
      <c r="P352" s="455"/>
      <c r="Q352" s="456">
        <f ca="1">Q$155*Q$154</f>
        <v>0</v>
      </c>
      <c r="R352" s="17"/>
      <c r="S352" s="97"/>
    </row>
    <row r="353" spans="1:19" s="48" customFormat="1" hidden="1">
      <c r="A353" s="409"/>
      <c r="B353" s="412" t="str">
        <f t="shared" si="20"/>
        <v>Avoine</v>
      </c>
      <c r="D353" s="767" t="s">
        <v>5</v>
      </c>
      <c r="E353" s="1371" t="s">
        <v>260</v>
      </c>
      <c r="F353" s="1916"/>
      <c r="G353" s="1946">
        <f ca="1">G$162*G$161</f>
        <v>0</v>
      </c>
      <c r="H353" s="1008"/>
      <c r="I353" s="456">
        <f ca="1">I$162*I$161</f>
        <v>0</v>
      </c>
      <c r="J353" s="1010"/>
      <c r="K353" s="456">
        <f ca="1">K$162*K$161</f>
        <v>0</v>
      </c>
      <c r="L353" s="1010"/>
      <c r="M353" s="456">
        <f ca="1">M$162*M$161</f>
        <v>0</v>
      </c>
      <c r="N353" s="1010"/>
      <c r="O353" s="456">
        <f ca="1">O$162*O$161</f>
        <v>0</v>
      </c>
      <c r="P353" s="1010"/>
      <c r="Q353" s="456">
        <f ca="1">Q$162*Q$161</f>
        <v>0</v>
      </c>
      <c r="R353" s="17"/>
      <c r="S353" s="97"/>
    </row>
    <row r="354" spans="1:19" s="48" customFormat="1">
      <c r="A354" s="409"/>
      <c r="B354" s="412" t="str">
        <f t="shared" si="20"/>
        <v>Blé d'automne</v>
      </c>
      <c r="D354" s="767" t="s">
        <v>6</v>
      </c>
      <c r="E354" s="1371" t="s">
        <v>260</v>
      </c>
      <c r="F354" s="1916"/>
      <c r="G354" s="1946">
        <f ca="1">G$169*G$168</f>
        <v>0</v>
      </c>
      <c r="H354" s="1008"/>
      <c r="I354" s="456">
        <f ca="1">I$169*I$168</f>
        <v>0</v>
      </c>
      <c r="J354" s="1010"/>
      <c r="K354" s="456">
        <f ca="1">K$169*K$168</f>
        <v>0</v>
      </c>
      <c r="L354" s="1010"/>
      <c r="M354" s="456">
        <f ca="1">M$169*M$168</f>
        <v>0</v>
      </c>
      <c r="N354" s="1010"/>
      <c r="O354" s="456">
        <f ca="1">O$169*O$168</f>
        <v>0</v>
      </c>
      <c r="P354" s="1010"/>
      <c r="Q354" s="456">
        <f ca="1">Q$169*Q$168</f>
        <v>0</v>
      </c>
      <c r="R354" s="17"/>
      <c r="S354" s="97"/>
    </row>
    <row r="355" spans="1:19" s="48" customFormat="1" hidden="1">
      <c r="A355" s="409"/>
      <c r="B355" s="412" t="str">
        <f t="shared" si="20"/>
        <v>Seigle d'automne</v>
      </c>
      <c r="D355" s="767" t="s">
        <v>7</v>
      </c>
      <c r="E355" s="1371" t="s">
        <v>260</v>
      </c>
      <c r="F355" s="1916"/>
      <c r="G355" s="1946">
        <f ca="1">G$176*G$175</f>
        <v>0</v>
      </c>
      <c r="H355" s="1008"/>
      <c r="I355" s="456">
        <f ca="1">I$176*I$175</f>
        <v>0</v>
      </c>
      <c r="J355" s="1010"/>
      <c r="K355" s="456">
        <f ca="1">K$176*K$175</f>
        <v>0</v>
      </c>
      <c r="L355" s="1010"/>
      <c r="M355" s="456">
        <f ca="1">M$176*M$175</f>
        <v>0</v>
      </c>
      <c r="N355" s="1010"/>
      <c r="O355" s="456">
        <f ca="1">O$176*O$175</f>
        <v>0</v>
      </c>
      <c r="P355" s="1010"/>
      <c r="Q355" s="456">
        <f ca="1">Q$176*Q$175</f>
        <v>0</v>
      </c>
      <c r="R355" s="17"/>
      <c r="S355" s="97"/>
    </row>
    <row r="356" spans="1:19" s="48" customFormat="1" hidden="1">
      <c r="A356" s="409"/>
      <c r="B356" s="412" t="str">
        <f t="shared" si="20"/>
        <v>Épeautre d'automne</v>
      </c>
      <c r="D356" s="767" t="s">
        <v>1291</v>
      </c>
      <c r="E356" s="1371" t="s">
        <v>260</v>
      </c>
      <c r="F356" s="1916"/>
      <c r="G356" s="1946">
        <f ca="1">G$183*G$182</f>
        <v>0</v>
      </c>
      <c r="H356" s="40"/>
      <c r="I356" s="456">
        <f ca="1">I$183*I$182</f>
        <v>0</v>
      </c>
      <c r="J356" s="455"/>
      <c r="K356" s="456">
        <f ca="1">K$183*K$182</f>
        <v>0</v>
      </c>
      <c r="L356" s="455"/>
      <c r="M356" s="456">
        <f ca="1">M$183*M$182</f>
        <v>0</v>
      </c>
      <c r="N356" s="455"/>
      <c r="O356" s="456">
        <f ca="1">O$183*O$182</f>
        <v>0</v>
      </c>
      <c r="P356" s="455"/>
      <c r="Q356" s="456">
        <f ca="1">Q$183*Q$182</f>
        <v>0</v>
      </c>
      <c r="R356" s="17"/>
      <c r="S356" s="97"/>
    </row>
    <row r="357" spans="1:19" s="48" customFormat="1" hidden="1">
      <c r="A357" s="409"/>
      <c r="B357" s="412" t="str">
        <f t="shared" si="20"/>
        <v>Canola</v>
      </c>
      <c r="D357" s="767" t="s">
        <v>218</v>
      </c>
      <c r="E357" s="1371" t="s">
        <v>260</v>
      </c>
      <c r="F357" s="1916"/>
      <c r="G357" s="1946">
        <f ca="1">G$197*G$196</f>
        <v>0</v>
      </c>
      <c r="H357" s="1008"/>
      <c r="I357" s="456">
        <f ca="1">I$197*I$196</f>
        <v>0</v>
      </c>
      <c r="J357" s="1010"/>
      <c r="K357" s="456">
        <f ca="1">K$197*K$196</f>
        <v>0</v>
      </c>
      <c r="L357" s="1010"/>
      <c r="M357" s="456">
        <f ca="1">M$197*M$196</f>
        <v>0</v>
      </c>
      <c r="N357" s="1010"/>
      <c r="O357" s="456">
        <f ca="1">O$197*O$196</f>
        <v>0</v>
      </c>
      <c r="P357" s="1010"/>
      <c r="Q357" s="456">
        <f ca="1">Q$197*Q$196</f>
        <v>0</v>
      </c>
      <c r="R357" s="17"/>
      <c r="S357" s="97"/>
    </row>
    <row r="358" spans="1:19" s="48" customFormat="1" hidden="1">
      <c r="A358" s="409"/>
      <c r="B358" s="412" t="str">
        <f t="shared" si="20"/>
        <v>Sarrasin</v>
      </c>
      <c r="D358" s="767" t="s">
        <v>1261</v>
      </c>
      <c r="E358" s="1371" t="s">
        <v>260</v>
      </c>
      <c r="F358" s="1916"/>
      <c r="G358" s="1946">
        <f ca="1">G$204*G$203</f>
        <v>0</v>
      </c>
      <c r="H358" s="1008"/>
      <c r="I358" s="456">
        <f ca="1">I$204*I$203</f>
        <v>0</v>
      </c>
      <c r="J358" s="1010"/>
      <c r="K358" s="456">
        <f ca="1">K$204*K$203</f>
        <v>0</v>
      </c>
      <c r="L358" s="1010"/>
      <c r="M358" s="456">
        <f ca="1">M$204*M$203</f>
        <v>0</v>
      </c>
      <c r="N358" s="1010"/>
      <c r="O358" s="456">
        <f ca="1">O$204*O$203</f>
        <v>0</v>
      </c>
      <c r="P358" s="1010"/>
      <c r="Q358" s="456">
        <f ca="1">Q$204*Q$203</f>
        <v>0</v>
      </c>
      <c r="R358" s="17"/>
      <c r="S358" s="97"/>
    </row>
    <row r="359" spans="1:19" s="48" customFormat="1" hidden="1">
      <c r="A359" s="409"/>
      <c r="B359" s="412" t="str">
        <f t="shared" si="20"/>
        <v>Chanvre</v>
      </c>
      <c r="D359" s="767" t="s">
        <v>219</v>
      </c>
      <c r="E359" s="1371" t="s">
        <v>260</v>
      </c>
      <c r="F359" s="1916"/>
      <c r="G359" s="1946">
        <f ca="1">G$211*G$210</f>
        <v>0</v>
      </c>
      <c r="H359" s="1008"/>
      <c r="I359" s="456">
        <f ca="1">I$211*I$210</f>
        <v>0</v>
      </c>
      <c r="J359" s="1010"/>
      <c r="K359" s="456">
        <f ca="1">K$211*K$210</f>
        <v>0</v>
      </c>
      <c r="L359" s="1010"/>
      <c r="M359" s="456">
        <f ca="1">M$211*M$210</f>
        <v>0</v>
      </c>
      <c r="N359" s="1010"/>
      <c r="O359" s="456">
        <f ca="1">O$211*O$210</f>
        <v>0</v>
      </c>
      <c r="P359" s="1010"/>
      <c r="Q359" s="456">
        <f ca="1">Q$211*Q$210</f>
        <v>0</v>
      </c>
      <c r="R359" s="17"/>
      <c r="S359" s="97"/>
    </row>
    <row r="360" spans="1:19" s="48" customFormat="1" hidden="1">
      <c r="A360" s="409"/>
      <c r="B360" s="412" t="str">
        <f t="shared" si="20"/>
        <v>Autre #1</v>
      </c>
      <c r="D360" s="767" t="str">
        <f>nAutre1</f>
        <v>Autre #1</v>
      </c>
      <c r="E360" s="1371" t="s">
        <v>260</v>
      </c>
      <c r="F360" s="1916"/>
      <c r="G360" s="1946">
        <f ca="1">G$225*G$224</f>
        <v>0</v>
      </c>
      <c r="H360" s="1008"/>
      <c r="I360" s="456">
        <f ca="1">I$225*I$224</f>
        <v>0</v>
      </c>
      <c r="J360" s="1010"/>
      <c r="K360" s="456">
        <f ca="1">K$225*K$224</f>
        <v>0</v>
      </c>
      <c r="L360" s="1010"/>
      <c r="M360" s="456">
        <f ca="1">M$225*M$224</f>
        <v>0</v>
      </c>
      <c r="N360" s="1010"/>
      <c r="O360" s="456">
        <f ca="1">O$225*O$224</f>
        <v>0</v>
      </c>
      <c r="P360" s="1010"/>
      <c r="Q360" s="456">
        <f ca="1">Q$225*Q$224</f>
        <v>0</v>
      </c>
      <c r="R360" s="17"/>
      <c r="S360" s="97"/>
    </row>
    <row r="361" spans="1:19" s="48" customFormat="1" hidden="1">
      <c r="A361" s="409"/>
      <c r="B361" s="412" t="str">
        <f t="shared" si="20"/>
        <v>Autre #2</v>
      </c>
      <c r="D361" s="767" t="str">
        <f>nAutre2</f>
        <v>Autre #2</v>
      </c>
      <c r="E361" s="1371" t="s">
        <v>260</v>
      </c>
      <c r="F361" s="1916"/>
      <c r="G361" s="1946">
        <f ca="1">G$232*G$231</f>
        <v>0</v>
      </c>
      <c r="H361" s="40"/>
      <c r="I361" s="456">
        <f ca="1">I$232*I$231</f>
        <v>0</v>
      </c>
      <c r="J361" s="455"/>
      <c r="K361" s="456">
        <f ca="1">K$232*K$231</f>
        <v>0</v>
      </c>
      <c r="L361" s="455"/>
      <c r="M361" s="456">
        <f ca="1">M$232*M$231</f>
        <v>0</v>
      </c>
      <c r="N361" s="455"/>
      <c r="O361" s="456">
        <f ca="1">O$232*O$231</f>
        <v>0</v>
      </c>
      <c r="P361" s="455"/>
      <c r="Q361" s="456">
        <f ca="1">Q$232*Q$231</f>
        <v>0</v>
      </c>
      <c r="R361" s="17"/>
      <c r="S361" s="97"/>
    </row>
    <row r="362" spans="1:19" s="48" customFormat="1" hidden="1">
      <c r="A362" s="409"/>
      <c r="B362" s="412" t="str">
        <f t="shared" si="20"/>
        <v>Autre #3</v>
      </c>
      <c r="D362" s="767" t="str">
        <f>nAutre3</f>
        <v>Autre #3</v>
      </c>
      <c r="E362" s="1371" t="s">
        <v>260</v>
      </c>
      <c r="F362" s="1916"/>
      <c r="G362" s="1946">
        <f ca="1">G$239*G$238</f>
        <v>0</v>
      </c>
      <c r="H362" s="40"/>
      <c r="I362" s="456">
        <f ca="1">I$239*I$238</f>
        <v>0</v>
      </c>
      <c r="J362" s="455"/>
      <c r="K362" s="456">
        <f ca="1">K$239*K$238</f>
        <v>0</v>
      </c>
      <c r="L362" s="455"/>
      <c r="M362" s="456">
        <f ca="1">M$239*M$238</f>
        <v>0</v>
      </c>
      <c r="N362" s="455"/>
      <c r="O362" s="456">
        <f ca="1">O$239*O$238</f>
        <v>0</v>
      </c>
      <c r="P362" s="455"/>
      <c r="Q362" s="456">
        <f ca="1">Q$239*Q$238</f>
        <v>0</v>
      </c>
      <c r="R362" s="17"/>
      <c r="S362" s="97"/>
    </row>
    <row r="363" spans="1:19" s="48" customFormat="1">
      <c r="A363" s="409"/>
      <c r="B363" s="412" t="str">
        <f t="shared" si="20"/>
        <v>Engrais verts</v>
      </c>
      <c r="D363" s="767" t="s">
        <v>26</v>
      </c>
      <c r="E363" s="1371" t="s">
        <v>260</v>
      </c>
      <c r="F363" s="1916"/>
      <c r="G363" s="1946">
        <f ca="1">G$246*G$245</f>
        <v>0</v>
      </c>
      <c r="H363" s="40"/>
      <c r="I363" s="456">
        <f ca="1">I$246*I$245</f>
        <v>0</v>
      </c>
      <c r="J363" s="455"/>
      <c r="K363" s="456">
        <f ca="1">K$246*K$245</f>
        <v>0</v>
      </c>
      <c r="L363" s="455"/>
      <c r="M363" s="456">
        <f ca="1">M$246*M$245</f>
        <v>0</v>
      </c>
      <c r="N363" s="455"/>
      <c r="O363" s="456">
        <f ca="1">O$246*O$245</f>
        <v>0</v>
      </c>
      <c r="P363" s="455"/>
      <c r="Q363" s="456">
        <f ca="1">Q$246*Q$245</f>
        <v>0</v>
      </c>
      <c r="R363" s="17"/>
      <c r="S363" s="97"/>
    </row>
    <row r="364" spans="1:19" s="467" customFormat="1">
      <c r="A364" s="465"/>
      <c r="B364" s="466"/>
      <c r="D364" s="468"/>
      <c r="E364" s="1383"/>
      <c r="F364" s="1979"/>
      <c r="G364" s="1980"/>
      <c r="H364" s="1620"/>
      <c r="I364" s="1026"/>
      <c r="J364" s="1022"/>
      <c r="K364" s="1026"/>
      <c r="L364" s="1022"/>
      <c r="M364" s="1026"/>
      <c r="N364" s="1022"/>
      <c r="O364" s="1026"/>
      <c r="P364" s="1022"/>
      <c r="Q364" s="1026"/>
      <c r="R364" s="1704"/>
      <c r="S364" s="1621"/>
    </row>
    <row r="365" spans="1:19" s="49" customFormat="1" ht="28.5">
      <c r="A365" s="409"/>
      <c r="B365" s="412"/>
      <c r="D365" s="769" t="s">
        <v>1005</v>
      </c>
      <c r="E365" s="1371" t="s">
        <v>1006</v>
      </c>
      <c r="F365" s="623"/>
      <c r="G365" s="1954">
        <f>0.17*G32</f>
        <v>0</v>
      </c>
      <c r="H365" s="1622"/>
      <c r="I365" s="1623">
        <f>0.17*I32</f>
        <v>0</v>
      </c>
      <c r="J365" s="1622"/>
      <c r="K365" s="1623">
        <f>0.17*K32</f>
        <v>0</v>
      </c>
      <c r="L365" s="1622"/>
      <c r="M365" s="1623">
        <f>0.17*M32</f>
        <v>0</v>
      </c>
      <c r="N365" s="1622"/>
      <c r="O365" s="1623">
        <f>0.17*O32</f>
        <v>0</v>
      </c>
      <c r="P365" s="1622"/>
      <c r="Q365" s="1623">
        <f>0.17*Q32</f>
        <v>0</v>
      </c>
      <c r="R365" s="1692"/>
      <c r="S365" s="97"/>
    </row>
    <row r="366" spans="1:19" customFormat="1">
      <c r="E366" s="1349"/>
      <c r="F366" s="644"/>
      <c r="G366" s="644"/>
      <c r="H366" s="97"/>
      <c r="I366" s="97"/>
      <c r="J366" s="97"/>
      <c r="K366" s="97"/>
      <c r="L366" s="97"/>
      <c r="M366" s="97"/>
      <c r="N366" s="97"/>
      <c r="O366" s="97"/>
      <c r="P366" s="97"/>
      <c r="Q366" s="97"/>
      <c r="R366" s="1692"/>
      <c r="S366" s="97"/>
    </row>
    <row r="367" spans="1:19" s="1114" customFormat="1">
      <c r="A367" s="409"/>
      <c r="B367" s="412"/>
      <c r="D367" s="1289" t="s">
        <v>1172</v>
      </c>
      <c r="E367" s="1382" t="s">
        <v>260</v>
      </c>
      <c r="F367" s="1981"/>
      <c r="G367" s="1982"/>
      <c r="H367" s="1624"/>
      <c r="I367" s="1625"/>
      <c r="J367" s="1624"/>
      <c r="K367" s="1625"/>
      <c r="L367" s="1624"/>
      <c r="M367" s="1625"/>
      <c r="N367" s="1624"/>
      <c r="O367" s="1625"/>
      <c r="P367" s="1624"/>
      <c r="Q367" s="1625"/>
      <c r="R367" s="1692"/>
      <c r="S367" s="97"/>
    </row>
    <row r="368" spans="1:19" s="1114" customFormat="1">
      <c r="A368" s="409"/>
      <c r="B368" s="412"/>
      <c r="D368" s="1470" t="s">
        <v>1177</v>
      </c>
      <c r="E368" s="1371" t="s">
        <v>260</v>
      </c>
      <c r="F368" s="1983"/>
      <c r="G368" s="1969">
        <f>35*SuperficieTotaleS0</f>
        <v>0</v>
      </c>
      <c r="H368" s="1725"/>
      <c r="I368" s="1726">
        <f>35*SuperficieTotaleS1</f>
        <v>0</v>
      </c>
      <c r="J368" s="1725"/>
      <c r="K368" s="1726">
        <f>35*SuperficieTotaleS2</f>
        <v>0</v>
      </c>
      <c r="L368" s="1725"/>
      <c r="M368" s="1726">
        <f>35*SuperficieTotaleS3</f>
        <v>0</v>
      </c>
      <c r="N368" s="1727"/>
      <c r="O368" s="1726">
        <f>35*SuperficieTotaleS4</f>
        <v>0</v>
      </c>
      <c r="P368" s="1725"/>
      <c r="Q368" s="1726">
        <f>35*SuperficieTotaleS5</f>
        <v>0</v>
      </c>
      <c r="R368" s="1692"/>
      <c r="S368" s="97"/>
    </row>
    <row r="369" spans="1:19" s="1114" customFormat="1">
      <c r="A369" s="409"/>
      <c r="B369" s="412"/>
      <c r="D369" s="1470" t="s">
        <v>1178</v>
      </c>
      <c r="E369" s="1371" t="s">
        <v>260</v>
      </c>
      <c r="F369" s="1983"/>
      <c r="G369" s="1969">
        <f>265035/1000*3.95*80%</f>
        <v>837.51060000000018</v>
      </c>
      <c r="H369" s="1725"/>
      <c r="I369" s="1726">
        <f>265035/1000*3.95*80%</f>
        <v>837.51060000000018</v>
      </c>
      <c r="J369" s="1725"/>
      <c r="K369" s="1726">
        <f>265035/1000*3.95*80%</f>
        <v>837.51060000000018</v>
      </c>
      <c r="L369" s="1725"/>
      <c r="M369" s="1726">
        <f>265035/1000*3.95*80%</f>
        <v>837.51060000000018</v>
      </c>
      <c r="N369" s="1727"/>
      <c r="O369" s="1726">
        <f>265035/1000*3.95*80%</f>
        <v>837.51060000000018</v>
      </c>
      <c r="P369" s="1725"/>
      <c r="Q369" s="1726">
        <f>265035/1000*3.95*80%</f>
        <v>837.51060000000018</v>
      </c>
      <c r="R369" s="1692"/>
      <c r="S369" s="97"/>
    </row>
    <row r="370" spans="1:19" s="1114" customFormat="1">
      <c r="A370" s="409"/>
      <c r="B370" s="412"/>
      <c r="D370" s="1470" t="s">
        <v>1179</v>
      </c>
      <c r="E370" s="1371" t="s">
        <v>260</v>
      </c>
      <c r="F370" s="1983"/>
      <c r="G370" s="1969">
        <f>110383*1.4%</f>
        <v>1545.3619999999999</v>
      </c>
      <c r="H370" s="1725"/>
      <c r="I370" s="1726">
        <f>110383*1.4%</f>
        <v>1545.3619999999999</v>
      </c>
      <c r="J370" s="1725"/>
      <c r="K370" s="1726">
        <f>110383*1.4%</f>
        <v>1545.3619999999999</v>
      </c>
      <c r="L370" s="1725"/>
      <c r="M370" s="1726">
        <f>110383*1.4%</f>
        <v>1545.3619999999999</v>
      </c>
      <c r="N370" s="1727"/>
      <c r="O370" s="1726">
        <f>110383*1.4%</f>
        <v>1545.3619999999999</v>
      </c>
      <c r="P370" s="1725"/>
      <c r="Q370" s="1726">
        <f>110383*1.4%</f>
        <v>1545.3619999999999</v>
      </c>
      <c r="R370" s="1692"/>
      <c r="S370" s="97"/>
    </row>
    <row r="371" spans="1:19" s="1114" customFormat="1">
      <c r="A371" s="409"/>
      <c r="B371" s="412"/>
      <c r="D371" s="1470" t="s">
        <v>1180</v>
      </c>
      <c r="E371" s="1371" t="s">
        <v>260</v>
      </c>
      <c r="F371" s="1983"/>
      <c r="G371" s="1969">
        <f>4233719*0.45%</f>
        <v>19051.735500000003</v>
      </c>
      <c r="H371" s="1725"/>
      <c r="I371" s="1726">
        <f>4233719*0.45%</f>
        <v>19051.735500000003</v>
      </c>
      <c r="J371" s="1725"/>
      <c r="K371" s="1726">
        <f>4233719*0.45%</f>
        <v>19051.735500000003</v>
      </c>
      <c r="L371" s="1725"/>
      <c r="M371" s="1726">
        <f>4233719*0.45%</f>
        <v>19051.735500000003</v>
      </c>
      <c r="N371" s="1727"/>
      <c r="O371" s="1726">
        <f>4233719*0.45%</f>
        <v>19051.735500000003</v>
      </c>
      <c r="P371" s="1725"/>
      <c r="Q371" s="1726">
        <f>4233719*0.45%</f>
        <v>19051.735500000003</v>
      </c>
      <c r="R371" s="1692"/>
      <c r="S371" s="97"/>
    </row>
    <row r="372" spans="1:19" s="1114" customFormat="1" ht="15" thickBot="1">
      <c r="A372" s="409"/>
      <c r="B372" s="412"/>
      <c r="D372" s="1470" t="s">
        <v>1181</v>
      </c>
      <c r="E372" s="1371" t="s">
        <v>260</v>
      </c>
      <c r="F372" s="1983"/>
      <c r="G372" s="1969">
        <f>2150+393+1000+1966+200+7000</f>
        <v>12709</v>
      </c>
      <c r="H372" s="1725"/>
      <c r="I372" s="1726">
        <f>2150+393+1000+1966+200+7000</f>
        <v>12709</v>
      </c>
      <c r="J372" s="1725"/>
      <c r="K372" s="1726">
        <f>2150+393+1000+1966+200+7000</f>
        <v>12709</v>
      </c>
      <c r="L372" s="1725"/>
      <c r="M372" s="1726">
        <f>2150+393+1000+1966+200+7000</f>
        <v>12709</v>
      </c>
      <c r="N372" s="1727"/>
      <c r="O372" s="1726">
        <f>2150+393+1000+1966+200+7000</f>
        <v>12709</v>
      </c>
      <c r="P372" s="1725"/>
      <c r="Q372" s="1726">
        <f>2150+393+1000+1966+200+7000</f>
        <v>12709</v>
      </c>
      <c r="R372" s="1692"/>
      <c r="S372" s="97"/>
    </row>
    <row r="373" spans="1:19" s="1519" customFormat="1" ht="15" thickTop="1">
      <c r="A373" s="409"/>
      <c r="B373" s="412"/>
      <c r="D373" s="1469" t="s">
        <v>1386</v>
      </c>
      <c r="E373" s="1387" t="s">
        <v>260</v>
      </c>
      <c r="F373" s="1983"/>
      <c r="G373" s="1969">
        <f>SUM(G368:G372)</f>
        <v>34143.608099999998</v>
      </c>
      <c r="H373" s="1725"/>
      <c r="I373" s="1728">
        <f>SUM(I368:I372)</f>
        <v>34143.608099999998</v>
      </c>
      <c r="J373" s="1729"/>
      <c r="K373" s="1730">
        <f>SUM(K368:K372)</f>
        <v>34143.608099999998</v>
      </c>
      <c r="L373" s="1729"/>
      <c r="M373" s="1730">
        <f>SUM(M368:M372)</f>
        <v>34143.608099999998</v>
      </c>
      <c r="N373" s="1731"/>
      <c r="O373" s="1730">
        <f>SUM(O368:O372)</f>
        <v>34143.608099999998</v>
      </c>
      <c r="P373" s="1729"/>
      <c r="Q373" s="1730">
        <f>SUM(Q368:Q372)</f>
        <v>34143.608099999998</v>
      </c>
      <c r="R373" s="1692"/>
      <c r="S373" s="97"/>
    </row>
    <row r="374" spans="1:19" s="54" customFormat="1" ht="7.5" thickBot="1">
      <c r="F374" s="1941"/>
      <c r="G374" s="1941"/>
      <c r="H374" s="1732"/>
      <c r="I374" s="1733"/>
      <c r="J374" s="1732"/>
      <c r="K374" s="1733"/>
      <c r="L374" s="1732"/>
      <c r="M374" s="1733"/>
      <c r="N374" s="1734"/>
      <c r="O374" s="1733"/>
      <c r="P374" s="1732"/>
      <c r="Q374" s="1733"/>
      <c r="R374" s="403"/>
    </row>
    <row r="375" spans="1:19" s="1114" customFormat="1" ht="15" thickTop="1">
      <c r="A375" s="409"/>
      <c r="B375" s="412"/>
      <c r="D375" s="1469" t="s">
        <v>1176</v>
      </c>
      <c r="E375" s="1387" t="s">
        <v>1492</v>
      </c>
      <c r="F375" s="1983">
        <v>15</v>
      </c>
      <c r="G375" s="1969">
        <f>F375*SuperficieTotaleS0*G376</f>
        <v>0</v>
      </c>
      <c r="H375" s="1910">
        <f>F375</f>
        <v>15</v>
      </c>
      <c r="I375" s="1735">
        <f>H375*SuperficieTotaleS1*I376</f>
        <v>0</v>
      </c>
      <c r="J375" s="1905">
        <f>H375</f>
        <v>15</v>
      </c>
      <c r="K375" s="1735">
        <f>J375*SuperficieTotaleS2*K376</f>
        <v>0</v>
      </c>
      <c r="L375" s="1905">
        <f>J375</f>
        <v>15</v>
      </c>
      <c r="M375" s="1735">
        <f>L375*SuperficieTotaleS3*M376</f>
        <v>0</v>
      </c>
      <c r="N375" s="1905">
        <f>L375</f>
        <v>15</v>
      </c>
      <c r="O375" s="1735">
        <f>N375*SuperficieTotaleS4*O376</f>
        <v>0</v>
      </c>
      <c r="P375" s="1905">
        <f>N375</f>
        <v>15</v>
      </c>
      <c r="Q375" s="1735">
        <f>P375*SuperficieTotaleS5*Q376</f>
        <v>0</v>
      </c>
      <c r="R375" s="1692"/>
      <c r="S375" s="97"/>
    </row>
    <row r="376" spans="1:19" s="1474" customFormat="1">
      <c r="A376" s="409"/>
      <c r="B376" s="412"/>
      <c r="D376" s="1647" t="s">
        <v>1373</v>
      </c>
      <c r="E376" s="1371" t="s">
        <v>920</v>
      </c>
      <c r="F376" s="1983"/>
      <c r="G376" s="1984">
        <v>16</v>
      </c>
      <c r="H376" s="1736"/>
      <c r="I376" s="1737">
        <f>G376</f>
        <v>16</v>
      </c>
      <c r="J376" s="1736"/>
      <c r="K376" s="1737">
        <f>I376</f>
        <v>16</v>
      </c>
      <c r="L376" s="1736"/>
      <c r="M376" s="1737">
        <f>K376</f>
        <v>16</v>
      </c>
      <c r="N376" s="1736"/>
      <c r="O376" s="1737">
        <f>M376</f>
        <v>16</v>
      </c>
      <c r="P376" s="1736"/>
      <c r="Q376" s="1737">
        <f>O376</f>
        <v>16</v>
      </c>
      <c r="R376" s="1692"/>
      <c r="S376" s="97"/>
    </row>
    <row r="377" spans="1:19" s="1114" customFormat="1">
      <c r="A377" s="409"/>
      <c r="B377" s="412"/>
      <c r="D377" s="1470" t="s">
        <v>1374</v>
      </c>
      <c r="E377" s="1371" t="s">
        <v>1375</v>
      </c>
      <c r="F377" s="1983"/>
      <c r="G377" s="1969">
        <v>0</v>
      </c>
      <c r="H377" s="1738"/>
      <c r="I377" s="1726">
        <f>G377</f>
        <v>0</v>
      </c>
      <c r="J377" s="1738"/>
      <c r="K377" s="1726">
        <f>I377</f>
        <v>0</v>
      </c>
      <c r="L377" s="1738"/>
      <c r="M377" s="1726">
        <f>K377</f>
        <v>0</v>
      </c>
      <c r="N377" s="1739"/>
      <c r="O377" s="1726">
        <f>M377</f>
        <v>0</v>
      </c>
      <c r="P377" s="1738"/>
      <c r="Q377" s="1726">
        <f>O377</f>
        <v>0</v>
      </c>
      <c r="R377" s="1692"/>
      <c r="S377" s="97"/>
    </row>
    <row r="378" spans="1:19" s="54" customFormat="1" ht="6.75">
      <c r="F378" s="1941"/>
      <c r="G378" s="1941"/>
      <c r="H378" s="1732"/>
      <c r="I378" s="1733"/>
      <c r="J378" s="1732"/>
      <c r="K378" s="1733"/>
      <c r="L378" s="1732"/>
      <c r="M378" s="1733"/>
      <c r="N378" s="1734"/>
      <c r="O378" s="1733"/>
      <c r="P378" s="1732"/>
      <c r="Q378" s="1733"/>
      <c r="R378" s="403"/>
    </row>
    <row r="379" spans="1:19" s="1114" customFormat="1">
      <c r="A379" s="409"/>
      <c r="B379" s="412"/>
      <c r="D379" s="1116" t="s">
        <v>1173</v>
      </c>
      <c r="E379" s="1371" t="s">
        <v>260</v>
      </c>
      <c r="F379" s="1983"/>
      <c r="G379" s="1969">
        <v>1222</v>
      </c>
      <c r="H379" s="1725"/>
      <c r="I379" s="1726">
        <f>G379</f>
        <v>1222</v>
      </c>
      <c r="J379" s="1725"/>
      <c r="K379" s="1726">
        <f>I379</f>
        <v>1222</v>
      </c>
      <c r="L379" s="1725"/>
      <c r="M379" s="1726">
        <f>K379</f>
        <v>1222</v>
      </c>
      <c r="N379" s="1727"/>
      <c r="O379" s="1726">
        <f>M379</f>
        <v>1222</v>
      </c>
      <c r="P379" s="1725"/>
      <c r="Q379" s="1726">
        <f>O379</f>
        <v>1222</v>
      </c>
      <c r="R379" s="1692"/>
      <c r="S379" s="97"/>
    </row>
    <row r="380" spans="1:19" s="1114" customFormat="1">
      <c r="A380" s="409"/>
      <c r="B380" s="412"/>
      <c r="D380" s="1116" t="s">
        <v>1175</v>
      </c>
      <c r="E380" s="1371" t="s">
        <v>1493</v>
      </c>
      <c r="F380" s="1985">
        <v>0.05</v>
      </c>
      <c r="G380" s="1969">
        <f>F380*G394</f>
        <v>0</v>
      </c>
      <c r="H380" s="1911">
        <f>F380</f>
        <v>0.05</v>
      </c>
      <c r="I380" s="1726">
        <f>H380*I394</f>
        <v>0</v>
      </c>
      <c r="J380" s="1740">
        <f>H380</f>
        <v>0.05</v>
      </c>
      <c r="K380" s="1726">
        <f>J380*K394</f>
        <v>0</v>
      </c>
      <c r="L380" s="1740">
        <f>J380</f>
        <v>0.05</v>
      </c>
      <c r="M380" s="1726">
        <f>L380*M394</f>
        <v>0</v>
      </c>
      <c r="N380" s="1741">
        <f>L380</f>
        <v>0.05</v>
      </c>
      <c r="O380" s="1726">
        <f>N380*O394</f>
        <v>0</v>
      </c>
      <c r="P380" s="1740">
        <f>N380</f>
        <v>0.05</v>
      </c>
      <c r="Q380" s="1726">
        <f>P380*Q394</f>
        <v>0</v>
      </c>
      <c r="R380" s="1692"/>
      <c r="S380" s="97"/>
    </row>
    <row r="381" spans="1:19" s="54" customFormat="1" ht="6.75">
      <c r="F381" s="1941"/>
      <c r="G381" s="1941"/>
      <c r="H381" s="1732"/>
      <c r="I381" s="1733"/>
      <c r="J381" s="1732"/>
      <c r="K381" s="1733"/>
      <c r="L381" s="1732"/>
      <c r="M381" s="1733"/>
      <c r="N381" s="1734"/>
      <c r="O381" s="1733"/>
      <c r="P381" s="1732"/>
      <c r="Q381" s="1733"/>
      <c r="R381" s="403"/>
    </row>
    <row r="382" spans="1:19" s="1114" customFormat="1">
      <c r="A382" s="409"/>
      <c r="B382" s="412"/>
      <c r="D382" s="1116" t="s">
        <v>988</v>
      </c>
      <c r="E382" s="1371" t="s">
        <v>260</v>
      </c>
      <c r="F382" s="1983"/>
      <c r="G382" s="1969">
        <v>96676</v>
      </c>
      <c r="H382" s="1725"/>
      <c r="I382" s="1726">
        <f>G382</f>
        <v>96676</v>
      </c>
      <c r="J382" s="1725"/>
      <c r="K382" s="1726">
        <f>I382</f>
        <v>96676</v>
      </c>
      <c r="L382" s="1725"/>
      <c r="M382" s="1726">
        <f>K382</f>
        <v>96676</v>
      </c>
      <c r="N382" s="1727"/>
      <c r="O382" s="1726">
        <f>M382</f>
        <v>96676</v>
      </c>
      <c r="P382" s="1725"/>
      <c r="Q382" s="1726">
        <f>O382</f>
        <v>96676</v>
      </c>
      <c r="R382" s="1692"/>
      <c r="S382" s="97"/>
    </row>
    <row r="383" spans="1:19" s="1114" customFormat="1">
      <c r="A383" s="409"/>
      <c r="B383" s="412"/>
      <c r="D383" s="1116" t="s">
        <v>1174</v>
      </c>
      <c r="E383" s="1371" t="s">
        <v>260</v>
      </c>
      <c r="F383" s="1969"/>
      <c r="G383" s="2063">
        <f>IFERROR(SUMIF(Batiments[[#All],[Colonne9]],F$2,Batiments[[#All],[Colonne8]])+SUMIF(#REF!,F$2,#REF!)+SUMIF(Investissements!$J$16:$J$16,F$2,Investissements!$I$16:$I$16),0)</f>
        <v>0</v>
      </c>
      <c r="H383" s="1725"/>
      <c r="I383" s="2108">
        <f>IFERROR(SUMIF(Batiments[[#All],[Colonne9]],H$2,Batiments[[#All],[Colonne8]])+SUMIF(#REF!,H$2,#REF!)+SUMIF(Investissements!$J$16:$J$16,H$2,Investissements!$I$16:$I$16),0)</f>
        <v>0</v>
      </c>
      <c r="J383" s="1725"/>
      <c r="K383" s="2108">
        <f>IFERROR(SUMIF(Batiments[[#All],[Colonne9]],J$2,Batiments[[#All],[Colonne8]])+SUMIF(#REF!,J$2,#REF!)+SUMIF(Investissements!$J$16:$J$16,J$2,Investissements!$I$16:$I$16),0)</f>
        <v>0</v>
      </c>
      <c r="L383" s="1725"/>
      <c r="M383" s="2108">
        <f>IFERROR(SUMIF(Batiments[[#All],[Colonne9]],L$2,Batiments[[#All],[Colonne8]])+SUMIF(#REF!,L$2,#REF!)+SUMIF(Investissements!$J$16:$J$16,L$2,Investissements!$I$16:$I$16),0)</f>
        <v>0</v>
      </c>
      <c r="N383" s="1727"/>
      <c r="O383" s="2108">
        <f>IFERROR(SUMIF(Batiments[[#All],[Colonne9]],N$2,Batiments[[#All],[Colonne8]])+SUMIF(#REF!,N$2,#REF!)+SUMIF(Investissements!$J$16:$J$16,N$2,Investissements!$I$16:$I$16),0)</f>
        <v>0</v>
      </c>
      <c r="P383" s="1725"/>
      <c r="Q383" s="2108">
        <f>IFERROR(SUMIF(Batiments[[#All],[Colonne9]],P$2,Batiments[[#All],[Colonne8]])+SUMIF(#REF!,P$2,#REF!)+SUMIF(Investissements!$J$16:$J$16,P$2,Investissements!$I$16:$I$16),0)</f>
        <v>0</v>
      </c>
      <c r="R383" s="1692"/>
      <c r="S383" s="97"/>
    </row>
    <row r="384" spans="1:19" s="49" customFormat="1">
      <c r="A384" s="409"/>
      <c r="B384" s="412"/>
      <c r="E384" s="1349"/>
      <c r="F384" s="644"/>
      <c r="G384" s="1986"/>
      <c r="H384" s="992"/>
      <c r="I384" s="1629"/>
      <c r="J384" s="992"/>
      <c r="K384" s="1629"/>
      <c r="L384" s="992"/>
      <c r="M384" s="1629"/>
      <c r="N384" s="992"/>
      <c r="O384" s="1629"/>
      <c r="P384" s="992"/>
      <c r="Q384" s="1629"/>
      <c r="R384" s="1692"/>
      <c r="S384" s="97"/>
    </row>
    <row r="385" spans="1:19" ht="19.5" thickBot="1">
      <c r="C385" s="806" t="s">
        <v>10</v>
      </c>
      <c r="D385" s="855"/>
      <c r="E385" s="1384"/>
      <c r="F385" s="1976"/>
      <c r="G385" s="1987"/>
      <c r="H385" s="1588"/>
      <c r="I385" s="1588"/>
      <c r="J385" s="1588"/>
      <c r="K385" s="1588"/>
      <c r="L385" s="1588"/>
      <c r="M385" s="1588"/>
      <c r="N385" s="1588"/>
      <c r="O385" s="1588"/>
      <c r="P385" s="1588"/>
      <c r="Q385" s="1588"/>
      <c r="R385" s="16"/>
      <c r="S385" s="18"/>
    </row>
    <row r="386" spans="1:19" s="1639" customFormat="1" ht="6" thickTop="1">
      <c r="A386" s="1637"/>
      <c r="B386" s="1638"/>
      <c r="E386" s="1640"/>
      <c r="F386" s="1988"/>
      <c r="G386" s="1989"/>
      <c r="H386" s="1641"/>
      <c r="I386" s="1642"/>
      <c r="J386" s="1643"/>
      <c r="K386" s="1641"/>
      <c r="L386" s="1643"/>
      <c r="M386" s="1641"/>
      <c r="N386" s="1643"/>
      <c r="O386" s="1641"/>
      <c r="P386" s="1643"/>
      <c r="Q386" s="1641"/>
      <c r="R386" s="1705"/>
    </row>
    <row r="387" spans="1:19" s="32" customFormat="1" ht="18" thickBot="1">
      <c r="A387" s="414"/>
      <c r="B387" s="429"/>
      <c r="C387" s="1636"/>
      <c r="D387" s="2190" t="s">
        <v>1438</v>
      </c>
      <c r="E387" s="2190"/>
      <c r="F387" s="1966"/>
      <c r="G387" s="644"/>
      <c r="H387" s="993"/>
      <c r="I387" s="992"/>
      <c r="J387" s="1013"/>
      <c r="K387" s="1011"/>
      <c r="L387" s="1013"/>
      <c r="M387" s="1011"/>
      <c r="N387" s="1013"/>
      <c r="O387" s="1011"/>
      <c r="P387" s="1013"/>
      <c r="Q387" s="1011"/>
      <c r="R387" s="1702"/>
      <c r="S387" s="34"/>
    </row>
    <row r="388" spans="1:19" s="32" customFormat="1" ht="15" thickTop="1">
      <c r="A388" s="414"/>
      <c r="B388" s="429"/>
      <c r="C388" s="1558"/>
      <c r="D388" s="1634" t="s">
        <v>700</v>
      </c>
      <c r="E388" s="1635" t="s">
        <v>260</v>
      </c>
      <c r="F388" s="1966"/>
      <c r="G388" s="1990">
        <f>SUMIF(Batiments[Colonne9],Champs!F$2,Batiments[Colonne5])</f>
        <v>0</v>
      </c>
      <c r="H388" s="1472"/>
      <c r="I388" s="1563">
        <f>SUMIF(Batiments[Colonne9],Champs!H$2,Batiments[Colonne5])</f>
        <v>0</v>
      </c>
      <c r="J388" s="1564"/>
      <c r="K388" s="1564">
        <f>SUMIF(Batiments[Colonne9],Champs!J$2,Batiments[Colonne5])</f>
        <v>0</v>
      </c>
      <c r="L388" s="1564"/>
      <c r="M388" s="1564">
        <f>SUMIF(Batiments[Colonne9],Champs!L$2,Batiments[Colonne5])</f>
        <v>0</v>
      </c>
      <c r="N388" s="1564"/>
      <c r="O388" s="1564">
        <f>SUMIF(Batiments[Colonne9],Champs!N$2,Batiments[Colonne5])</f>
        <v>0</v>
      </c>
      <c r="P388" s="1564"/>
      <c r="Q388" s="1564">
        <f>SUMIF(Batiments[Colonne9],Champs!P$2,Batiments[Colonne5])</f>
        <v>0</v>
      </c>
      <c r="R388" s="1708" t="str">
        <f>IF(SUM(I388:Q388)&lt;&gt;Investissements!SommeBâtiments,"Ne balance pas avec feuille Investissements","")</f>
        <v/>
      </c>
      <c r="S388" s="34"/>
    </row>
    <row r="389" spans="1:19" s="32" customFormat="1">
      <c r="A389" s="414"/>
      <c r="B389" s="429"/>
      <c r="C389" s="97"/>
      <c r="D389" s="1470" t="s">
        <v>310</v>
      </c>
      <c r="E389" s="1371" t="s">
        <v>260</v>
      </c>
      <c r="F389" s="1966"/>
      <c r="G389" s="1990">
        <f>SUMIF(Tracteurs[Colonne9],Champs!F$2,Tracteurs[Colonne5])</f>
        <v>0</v>
      </c>
      <c r="H389" s="1472"/>
      <c r="I389" s="1563">
        <f>SUMIF(Tracteurs[Colonne9],Champs!H$2,Tracteurs[Colonne5])</f>
        <v>0</v>
      </c>
      <c r="J389" s="1564"/>
      <c r="K389" s="1564">
        <f>SUMIF(Tracteurs[Colonne9],Champs!J$2,Tracteurs[Colonne5])</f>
        <v>0</v>
      </c>
      <c r="L389" s="1564"/>
      <c r="M389" s="1564">
        <f>SUMIF(Tracteurs[Colonne9],Champs!L$2,Tracteurs[Colonne5])</f>
        <v>0</v>
      </c>
      <c r="N389" s="1564"/>
      <c r="O389" s="1564">
        <f>SUMIF(Tracteurs[Colonne9],Champs!N$2,Tracteurs[Colonne5])</f>
        <v>0</v>
      </c>
      <c r="P389" s="1564"/>
      <c r="Q389" s="1564">
        <f>SUMIF(Tracteurs[Colonne9],Champs!P$2,Tracteurs[Colonne5])</f>
        <v>0</v>
      </c>
      <c r="R389" s="1708" t="str">
        <f>IF(SUM(I389:Q389)&lt;&gt;Investissements!SommeTracteurs,"Ne balance pas avec feuille Investissements","")</f>
        <v/>
      </c>
      <c r="S389" s="34"/>
    </row>
    <row r="390" spans="1:19" s="32" customFormat="1">
      <c r="A390" s="414"/>
      <c r="B390" s="429"/>
      <c r="C390" s="97"/>
      <c r="D390" s="1470" t="s">
        <v>736</v>
      </c>
      <c r="E390" s="1371" t="s">
        <v>260</v>
      </c>
      <c r="F390" s="1966"/>
      <c r="G390" s="1990">
        <f>SUMIF(Machineries[Colonne9],Champs!F$2,Machineries[Colonne5])</f>
        <v>0</v>
      </c>
      <c r="H390" s="1557"/>
      <c r="I390" s="1887">
        <f>SUMIF(Machineries[Colonne9],Champs!H$2,Machineries[Colonne5])</f>
        <v>0</v>
      </c>
      <c r="J390" s="1564"/>
      <c r="K390" s="1886">
        <f>SUMIF(Machineries[Colonne9],Champs!J$2,Machineries[Colonne5])</f>
        <v>0</v>
      </c>
      <c r="L390" s="1564"/>
      <c r="M390" s="1886">
        <f>SUMIF(Machineries[Colonne9],Champs!L$2,Machineries[Colonne5])</f>
        <v>0</v>
      </c>
      <c r="N390" s="1564"/>
      <c r="O390" s="1886">
        <f>SUMIF(Machineries[Colonne9],Champs!N$2,Machineries[Colonne5])</f>
        <v>0</v>
      </c>
      <c r="P390" s="1564"/>
      <c r="Q390" s="1886">
        <f>SUMIF(Machineries[Colonne9],Champs!P$2,Machineries[Colonne5])</f>
        <v>0</v>
      </c>
      <c r="R390" s="1708" t="str">
        <f>IF(SUM(I390:Q390)&lt;&gt;Investissements!SommeMachineries,"Ne balance pas avec feuille Investissements","")</f>
        <v/>
      </c>
      <c r="S390" s="34"/>
    </row>
    <row r="391" spans="1:19" s="32" customFormat="1">
      <c r="A391" s="414"/>
      <c r="B391" s="429"/>
      <c r="C391" s="97"/>
      <c r="D391" s="1724" t="s">
        <v>1369</v>
      </c>
      <c r="E391" s="1559" t="s">
        <v>260</v>
      </c>
      <c r="F391" s="1966"/>
      <c r="G391" s="1991">
        <f>SUM(G388:G390)</f>
        <v>0</v>
      </c>
      <c r="H391" s="1557"/>
      <c r="I391" s="1722">
        <f>SUM(I388:I390)</f>
        <v>0</v>
      </c>
      <c r="J391" s="1723"/>
      <c r="K391" s="1722">
        <f>SUM(K388:K390)</f>
        <v>0</v>
      </c>
      <c r="L391" s="1723"/>
      <c r="M391" s="1722">
        <f>SUM(M388:M390)</f>
        <v>0</v>
      </c>
      <c r="N391" s="1723"/>
      <c r="O391" s="1722">
        <f>SUM(O388:O390)</f>
        <v>0</v>
      </c>
      <c r="P391" s="1723"/>
      <c r="Q391" s="1722">
        <f>SUM(Q388:Q390)</f>
        <v>0</v>
      </c>
      <c r="R391" s="1708" t="str">
        <f>IF(SUM(I391:Q391)&lt;&gt;SUM(Investissements!SommeBâtiments,Investissements!SommeTracteurs,Investissements!SommeMachineries),"Ne balance pas avec feuille Investissements","")</f>
        <v/>
      </c>
      <c r="S391" s="34"/>
    </row>
    <row r="392" spans="1:19" s="54" customFormat="1" ht="7.5" thickBot="1">
      <c r="F392" s="1941"/>
      <c r="G392" s="1941"/>
      <c r="R392" s="403"/>
    </row>
    <row r="393" spans="1:19" s="32" customFormat="1" ht="15" thickTop="1">
      <c r="A393" s="414"/>
      <c r="B393" s="429"/>
      <c r="C393" s="97"/>
      <c r="D393" s="1634" t="s">
        <v>1271</v>
      </c>
      <c r="E393" s="1635" t="s">
        <v>260</v>
      </c>
      <c r="F393" s="1966"/>
      <c r="G393" s="1991">
        <v>0</v>
      </c>
      <c r="H393" s="1472"/>
      <c r="I393" s="1747">
        <f>G393</f>
        <v>0</v>
      </c>
      <c r="J393" s="1471"/>
      <c r="K393" s="1747">
        <f>I393</f>
        <v>0</v>
      </c>
      <c r="L393" s="1471"/>
      <c r="M393" s="1747">
        <f>K393</f>
        <v>0</v>
      </c>
      <c r="N393" s="1471"/>
      <c r="O393" s="1747">
        <f>M393</f>
        <v>0</v>
      </c>
      <c r="P393" s="1471"/>
      <c r="Q393" s="1747">
        <f>O393</f>
        <v>0</v>
      </c>
      <c r="R393" s="1702"/>
      <c r="S393" s="34"/>
    </row>
    <row r="394" spans="1:19" s="32" customFormat="1">
      <c r="A394" s="414"/>
      <c r="B394" s="429"/>
      <c r="C394" s="746"/>
      <c r="D394" s="1470" t="s">
        <v>1372</v>
      </c>
      <c r="E394" s="1371" t="s">
        <v>260</v>
      </c>
      <c r="F394" s="1966"/>
      <c r="G394" s="1991">
        <f>G391-G393</f>
        <v>0</v>
      </c>
      <c r="H394" s="993"/>
      <c r="I394" s="1565">
        <f>I391-I393</f>
        <v>0</v>
      </c>
      <c r="J394" s="1566"/>
      <c r="K394" s="1567">
        <f>K391-K393</f>
        <v>0</v>
      </c>
      <c r="L394" s="1566"/>
      <c r="M394" s="1566">
        <f>M391-M393</f>
        <v>0</v>
      </c>
      <c r="N394" s="1566"/>
      <c r="O394" s="1566">
        <f>O391-O393</f>
        <v>0</v>
      </c>
      <c r="P394" s="1566"/>
      <c r="Q394" s="1566">
        <f>Q391-Q393</f>
        <v>0</v>
      </c>
      <c r="R394" s="1702"/>
      <c r="S394" s="34"/>
    </row>
    <row r="395" spans="1:19" s="32" customFormat="1">
      <c r="A395" s="414"/>
      <c r="B395" s="429"/>
      <c r="C395" s="746"/>
      <c r="D395" s="1470" t="s">
        <v>1439</v>
      </c>
      <c r="E395" s="1371" t="s">
        <v>260</v>
      </c>
      <c r="F395" s="1966"/>
      <c r="G395" s="1991">
        <f>IFERROR(G394+E395-E398+G380,0)</f>
        <v>0</v>
      </c>
      <c r="H395" s="993"/>
      <c r="I395" s="1565">
        <f>IFERROR(I394+G395-G398+I380,0)</f>
        <v>0</v>
      </c>
      <c r="J395" s="1566"/>
      <c r="K395" s="1567">
        <f>IFERROR(K394+I395-I398+K380,0)</f>
        <v>0</v>
      </c>
      <c r="L395" s="1566"/>
      <c r="M395" s="1566">
        <f>IFERROR(M394+K395-K398+M380,0)</f>
        <v>0</v>
      </c>
      <c r="N395" s="1566"/>
      <c r="O395" s="1566">
        <f>IFERROR(O394+M395-M398+O380,0)</f>
        <v>0</v>
      </c>
      <c r="P395" s="1566"/>
      <c r="Q395" s="1566">
        <f>IFERROR(Q394+O395-O398+Q380,0)</f>
        <v>0</v>
      </c>
      <c r="R395" s="1702"/>
      <c r="S395" s="34"/>
    </row>
    <row r="396" spans="1:19" s="32" customFormat="1">
      <c r="A396" s="414"/>
      <c r="B396" s="429"/>
      <c r="C396" s="746"/>
      <c r="D396" s="1470" t="s">
        <v>680</v>
      </c>
      <c r="E396" s="1371" t="s">
        <v>279</v>
      </c>
      <c r="F396" s="1966"/>
      <c r="G396" s="1992">
        <v>0.05</v>
      </c>
      <c r="H396" s="993"/>
      <c r="I396" s="2018">
        <f>G396</f>
        <v>0.05</v>
      </c>
      <c r="J396" s="2019"/>
      <c r="K396" s="2018">
        <f>I396</f>
        <v>0.05</v>
      </c>
      <c r="L396" s="2019"/>
      <c r="M396" s="2018">
        <f>K396</f>
        <v>0.05</v>
      </c>
      <c r="N396" s="2019"/>
      <c r="O396" s="2018">
        <f>M396</f>
        <v>0.05</v>
      </c>
      <c r="P396" s="2019"/>
      <c r="Q396" s="2018">
        <f>O396</f>
        <v>0.05</v>
      </c>
      <c r="R396" s="1702"/>
      <c r="S396" s="34"/>
    </row>
    <row r="397" spans="1:19" s="32" customFormat="1">
      <c r="A397" s="414"/>
      <c r="B397" s="429"/>
      <c r="C397" s="746"/>
      <c r="D397" s="1470" t="s">
        <v>681</v>
      </c>
      <c r="E397" s="1371" t="s">
        <v>682</v>
      </c>
      <c r="F397" s="1966"/>
      <c r="G397" s="1993">
        <f>IFERROR(_xlfn.MAXIFS(Investissements!$G:$G,Investissements!$J:$J,F2),0)</f>
        <v>0</v>
      </c>
      <c r="H397" s="993"/>
      <c r="I397" s="1748">
        <f>IFERROR(_xlfn.MAXIFS(Investissements!$G:$G,Investissements!$J:$J,H2),0)</f>
        <v>0</v>
      </c>
      <c r="J397" s="1471"/>
      <c r="K397" s="1748">
        <f>IFERROR(_xlfn.MAXIFS(Investissements!$G:$G,Investissements!$J:$J,J2),0)</f>
        <v>0</v>
      </c>
      <c r="L397" s="1471"/>
      <c r="M397" s="1748">
        <f>IFERROR(_xlfn.MAXIFS(Investissements!$G:$G,Investissements!$J:$J,L2),0)</f>
        <v>0</v>
      </c>
      <c r="N397" s="1471"/>
      <c r="O397" s="1748">
        <f>IFERROR(_xlfn.MAXIFS(Investissements!$G:$G,Investissements!$J:$J,N2),0)</f>
        <v>0</v>
      </c>
      <c r="P397" s="1471"/>
      <c r="Q397" s="1748">
        <f>IFERROR(_xlfn.MAXIFS(Investissements!$G:$G,Investissements!$J:$J,P2),0)</f>
        <v>0</v>
      </c>
      <c r="R397" s="1702"/>
      <c r="S397" s="34"/>
    </row>
    <row r="398" spans="1:19" s="32" customFormat="1" ht="15" thickBot="1">
      <c r="A398" s="414"/>
      <c r="B398" s="429"/>
      <c r="C398" s="746"/>
      <c r="D398" s="1555" t="s">
        <v>369</v>
      </c>
      <c r="E398" s="1556" t="s">
        <v>260</v>
      </c>
      <c r="F398" s="1966"/>
      <c r="G398" s="1994">
        <f>IFERROR(ROUND(PMT(G396 / 12,12*G397,-G394* 12),-1)+E398,0)</f>
        <v>0</v>
      </c>
      <c r="H398" s="993"/>
      <c r="I398" s="1473">
        <f>IFERROR(ROUND(PMT(I396 / 12,12*I397,-I394* 12),-1)+G398,0)</f>
        <v>0</v>
      </c>
      <c r="J398" s="1473"/>
      <c r="K398" s="1473">
        <f>IFERROR(ROUND(PMT(K396 / 12,12*K397,-K394* 12),-1)+I398,0)</f>
        <v>0</v>
      </c>
      <c r="L398" s="1473"/>
      <c r="M398" s="1473">
        <f>IFERROR(ROUND(PMT(M396 / 12,12*M397,-M394* 12),-1)+K398,0)</f>
        <v>0</v>
      </c>
      <c r="N398" s="1473"/>
      <c r="O398" s="1473">
        <f>IFERROR(ROUND(PMT(O396 / 12,12*O397,-O394* 12),-1)+M398,0)</f>
        <v>0</v>
      </c>
      <c r="P398" s="1473"/>
      <c r="Q398" s="1473">
        <f>IFERROR(ROUND(PMT(Q396 / 12,12*Q397,-Q394* 12),-1)+O398,0)</f>
        <v>0</v>
      </c>
      <c r="R398" s="1702"/>
      <c r="S398" s="34"/>
    </row>
    <row r="399" spans="1:19" s="1519" customFormat="1" ht="15" thickTop="1">
      <c r="A399" s="409"/>
      <c r="B399" s="412"/>
      <c r="E399" s="1349"/>
      <c r="F399" s="1983"/>
      <c r="G399" s="1969"/>
      <c r="H399" s="1030"/>
      <c r="I399" s="1627"/>
      <c r="J399" s="1030"/>
      <c r="K399" s="1627"/>
      <c r="L399" s="1030"/>
      <c r="M399" s="1627"/>
      <c r="N399" s="1030"/>
      <c r="O399" s="1627"/>
      <c r="P399" s="1030"/>
      <c r="Q399" s="1627"/>
      <c r="R399" s="1692"/>
      <c r="S399" s="97"/>
    </row>
    <row r="400" spans="1:19" s="1519" customFormat="1">
      <c r="A400" s="409"/>
      <c r="B400" s="412"/>
      <c r="D400" s="1289" t="s">
        <v>1440</v>
      </c>
      <c r="E400" s="1382"/>
      <c r="F400" s="1983"/>
      <c r="G400" s="1969"/>
      <c r="H400" s="1030"/>
      <c r="I400" s="1627"/>
      <c r="J400" s="1030"/>
      <c r="K400" s="1627"/>
      <c r="L400" s="1030"/>
      <c r="M400" s="1627"/>
      <c r="N400" s="1030"/>
      <c r="O400" s="1627"/>
      <c r="P400" s="1030"/>
      <c r="Q400" s="1627"/>
      <c r="R400" s="1692"/>
      <c r="S400" s="97"/>
    </row>
    <row r="401" spans="1:19" s="1519" customFormat="1">
      <c r="A401" s="409"/>
      <c r="B401" s="412"/>
      <c r="D401" s="1116" t="s">
        <v>354</v>
      </c>
      <c r="E401" s="1371" t="s">
        <v>260</v>
      </c>
      <c r="F401" s="1983"/>
      <c r="G401" s="1969">
        <f ca="1">G315-G317-G373-G375-G377</f>
        <v>-34143.608099999998</v>
      </c>
      <c r="H401" s="1030"/>
      <c r="I401" s="1645">
        <f ca="1">I315-I317-I373-I375-I377</f>
        <v>-34143.608099999998</v>
      </c>
      <c r="J401" s="1646"/>
      <c r="K401" s="1645">
        <f ca="1">K315-K317-K373-K375-K377</f>
        <v>-34143.608099999998</v>
      </c>
      <c r="L401" s="1646"/>
      <c r="M401" s="1645">
        <f ca="1">M315-M317-M373-M375-M377</f>
        <v>-34143.608099999998</v>
      </c>
      <c r="N401" s="1646"/>
      <c r="O401" s="1645">
        <f ca="1">O315-O317-O373-O375-O377</f>
        <v>-34143.608099999998</v>
      </c>
      <c r="P401" s="1646"/>
      <c r="Q401" s="1645">
        <f ca="1">Q315-Q317-Q373-Q375-Q377</f>
        <v>-34143.608099999998</v>
      </c>
      <c r="R401" s="1692"/>
      <c r="S401" s="97"/>
    </row>
    <row r="402" spans="1:19" s="1519" customFormat="1">
      <c r="A402" s="409"/>
      <c r="B402" s="412"/>
      <c r="D402" s="1116" t="s">
        <v>353</v>
      </c>
      <c r="E402" s="1371" t="s">
        <v>260</v>
      </c>
      <c r="F402" s="1983"/>
      <c r="G402" s="1969"/>
      <c r="H402" s="1030"/>
      <c r="I402" s="1749"/>
      <c r="J402" s="1646"/>
      <c r="K402" s="1749"/>
      <c r="L402" s="1646"/>
      <c r="M402" s="1749"/>
      <c r="N402" s="1646"/>
      <c r="O402" s="1749"/>
      <c r="P402" s="1646"/>
      <c r="Q402" s="1749"/>
      <c r="R402" s="1692"/>
      <c r="S402" s="97"/>
    </row>
    <row r="403" spans="1:19" s="1519" customFormat="1">
      <c r="A403" s="409"/>
      <c r="B403" s="412"/>
      <c r="D403" s="1116" t="s">
        <v>352</v>
      </c>
      <c r="E403" s="1371" t="s">
        <v>260</v>
      </c>
      <c r="F403" s="1983"/>
      <c r="G403" s="1969">
        <f>IFERROR(G398+E403,0)</f>
        <v>0</v>
      </c>
      <c r="H403" s="1030"/>
      <c r="I403" s="1645">
        <f>IFERROR(I398+G403,0)</f>
        <v>0</v>
      </c>
      <c r="J403" s="1646"/>
      <c r="K403" s="1645">
        <f>IFERROR(K398+I403,0)</f>
        <v>0</v>
      </c>
      <c r="L403" s="1646"/>
      <c r="M403" s="1645">
        <f>IFERROR(M398+K403,0)</f>
        <v>0</v>
      </c>
      <c r="N403" s="1646"/>
      <c r="O403" s="1645">
        <f>IFERROR(O398+M403,0)</f>
        <v>0</v>
      </c>
      <c r="P403" s="1646"/>
      <c r="Q403" s="1645">
        <f>IFERROR(Q398+O403,0)</f>
        <v>0</v>
      </c>
      <c r="R403" s="1692"/>
      <c r="S403" s="97"/>
    </row>
    <row r="404" spans="1:19" s="1519" customFormat="1">
      <c r="A404" s="409"/>
      <c r="B404" s="412"/>
      <c r="D404" s="1116" t="s">
        <v>1446</v>
      </c>
      <c r="E404" s="1371" t="s">
        <v>260</v>
      </c>
      <c r="F404" s="1995"/>
      <c r="G404" s="1996">
        <f ca="1">G401-G402-G403</f>
        <v>-34143.608099999998</v>
      </c>
      <c r="H404" s="1628"/>
      <c r="I404" s="1646">
        <f ca="1">I401-I402-I403</f>
        <v>-34143.608099999998</v>
      </c>
      <c r="J404" s="1646"/>
      <c r="K404" s="1646">
        <f ca="1">K401-K402-K403</f>
        <v>-34143.608099999998</v>
      </c>
      <c r="L404" s="1646"/>
      <c r="M404" s="1646">
        <f ca="1">M401-M402-M403</f>
        <v>-34143.608099999998</v>
      </c>
      <c r="N404" s="1646"/>
      <c r="O404" s="1646">
        <f ca="1">O401-O402-O403</f>
        <v>-34143.608099999998</v>
      </c>
      <c r="P404" s="1646"/>
      <c r="Q404" s="1646">
        <f ca="1">Q401-Q402-Q403</f>
        <v>-34143.608099999998</v>
      </c>
      <c r="R404" s="1692"/>
      <c r="S404" s="97"/>
    </row>
    <row r="405" spans="1:19" customFormat="1">
      <c r="F405" s="644"/>
      <c r="G405" s="644"/>
      <c r="H405" s="97"/>
      <c r="I405" s="97"/>
      <c r="J405" s="97"/>
      <c r="K405" s="97"/>
      <c r="L405" s="97"/>
      <c r="M405" s="97"/>
      <c r="N405" s="97"/>
      <c r="O405" s="97"/>
      <c r="P405" s="97"/>
      <c r="Q405" s="97"/>
      <c r="R405" s="1692"/>
      <c r="S405" s="97"/>
    </row>
    <row r="406" spans="1:19" ht="19.5" thickBot="1">
      <c r="C406" s="806" t="s">
        <v>261</v>
      </c>
      <c r="D406" s="806"/>
      <c r="E406" s="1350"/>
      <c r="F406" s="1956"/>
      <c r="G406" s="1957"/>
      <c r="H406" s="1588"/>
      <c r="I406" s="1588"/>
      <c r="J406" s="1588"/>
      <c r="K406" s="1588"/>
      <c r="L406" s="1588"/>
      <c r="M406" s="1588"/>
      <c r="N406" s="1588"/>
      <c r="O406" s="1588"/>
      <c r="P406" s="1588"/>
      <c r="Q406" s="1588"/>
      <c r="R406" s="16"/>
      <c r="S406" s="18"/>
    </row>
    <row r="407" spans="1:19" ht="15" thickTop="1">
      <c r="D407" s="35"/>
      <c r="E407" s="1381"/>
      <c r="G407" s="1975"/>
      <c r="H407" s="991"/>
      <c r="I407" s="1009"/>
      <c r="J407" s="993"/>
      <c r="K407" s="1009"/>
      <c r="L407" s="991"/>
      <c r="M407" s="1009"/>
      <c r="N407" s="991"/>
      <c r="O407" s="1009"/>
      <c r="P407" s="991"/>
      <c r="Q407" s="1009"/>
      <c r="R407" s="1692"/>
    </row>
    <row r="408" spans="1:19" ht="19.5" thickBot="1">
      <c r="C408" s="806" t="s">
        <v>280</v>
      </c>
      <c r="D408" s="806"/>
      <c r="E408" s="1350"/>
      <c r="F408" s="1997"/>
      <c r="G408" s="1998"/>
      <c r="H408" s="1588"/>
      <c r="I408" s="1588"/>
      <c r="J408" s="1588"/>
      <c r="K408" s="1588"/>
      <c r="L408" s="1588"/>
      <c r="M408" s="1588"/>
      <c r="N408" s="1588"/>
      <c r="O408" s="1588"/>
      <c r="P408" s="1588"/>
      <c r="Q408" s="1588"/>
      <c r="R408" s="16"/>
      <c r="S408" s="18"/>
    </row>
    <row r="409" spans="1:19" s="453" customFormat="1" ht="12.75" thickTop="1">
      <c r="A409" s="451"/>
      <c r="B409" s="452"/>
      <c r="E409" s="1383"/>
      <c r="F409" s="1920"/>
      <c r="G409" s="1921"/>
      <c r="H409" s="1630"/>
      <c r="I409" s="1591"/>
      <c r="J409" s="1590"/>
      <c r="K409" s="1591"/>
      <c r="L409" s="1630"/>
      <c r="M409" s="1591"/>
      <c r="N409" s="1630"/>
      <c r="O409" s="1591"/>
      <c r="P409" s="1630"/>
      <c r="Q409" s="1591"/>
      <c r="R409" s="1706"/>
      <c r="S409" s="1589"/>
    </row>
    <row r="410" spans="1:19" s="46" customFormat="1">
      <c r="A410" s="419"/>
      <c r="B410" s="432"/>
      <c r="D410" s="774" t="s">
        <v>268</v>
      </c>
      <c r="E410" s="1385" t="s">
        <v>260</v>
      </c>
      <c r="F410" s="1999"/>
      <c r="G410" s="2000">
        <f ca="1">G310</f>
        <v>0</v>
      </c>
      <c r="H410" s="1007"/>
      <c r="I410" s="441">
        <f ca="1">I310</f>
        <v>0</v>
      </c>
      <c r="J410" s="1561"/>
      <c r="K410" s="441">
        <f ca="1">K310</f>
        <v>0</v>
      </c>
      <c r="L410" s="1561"/>
      <c r="M410" s="441">
        <f ca="1">M310</f>
        <v>0</v>
      </c>
      <c r="N410" s="1561"/>
      <c r="O410" s="441">
        <f ca="1">O310</f>
        <v>0</v>
      </c>
      <c r="P410" s="1561"/>
      <c r="Q410" s="441">
        <f ca="1">Q310</f>
        <v>0</v>
      </c>
      <c r="R410" s="16"/>
      <c r="S410" s="18"/>
    </row>
    <row r="411" spans="1:19" s="46" customFormat="1">
      <c r="A411" s="419"/>
      <c r="B411" s="432"/>
      <c r="D411" s="773" t="s">
        <v>258</v>
      </c>
      <c r="E411" s="1375" t="s">
        <v>260</v>
      </c>
      <c r="F411" s="1999"/>
      <c r="G411" s="2001">
        <f ca="1">G315</f>
        <v>0</v>
      </c>
      <c r="H411" s="1007"/>
      <c r="I411" s="1562">
        <f ca="1">I315</f>
        <v>0</v>
      </c>
      <c r="J411" s="1561"/>
      <c r="K411" s="1562">
        <f ca="1">K315</f>
        <v>0</v>
      </c>
      <c r="L411" s="1561"/>
      <c r="M411" s="1562">
        <f ca="1">M315</f>
        <v>0</v>
      </c>
      <c r="N411" s="1561"/>
      <c r="O411" s="1562">
        <f ca="1">O315</f>
        <v>0</v>
      </c>
      <c r="P411" s="1561"/>
      <c r="Q411" s="1562">
        <f ca="1">Q315</f>
        <v>0</v>
      </c>
      <c r="R411" s="16"/>
      <c r="S411" s="18"/>
    </row>
    <row r="412" spans="1:19" s="46" customFormat="1">
      <c r="A412" s="419"/>
      <c r="B412" s="432"/>
      <c r="D412" s="773" t="s">
        <v>21</v>
      </c>
      <c r="E412" s="1375" t="s">
        <v>260</v>
      </c>
      <c r="F412" s="1999"/>
      <c r="G412" s="2001">
        <f ca="1">G317</f>
        <v>0</v>
      </c>
      <c r="H412" s="1007"/>
      <c r="I412" s="1562">
        <f ca="1">I317</f>
        <v>0</v>
      </c>
      <c r="J412" s="1561"/>
      <c r="K412" s="1562">
        <f ca="1">K317</f>
        <v>0</v>
      </c>
      <c r="L412" s="1561"/>
      <c r="M412" s="1562">
        <f ca="1">M317</f>
        <v>0</v>
      </c>
      <c r="N412" s="1561"/>
      <c r="O412" s="1562">
        <f ca="1">O317</f>
        <v>0</v>
      </c>
      <c r="P412" s="1561"/>
      <c r="Q412" s="1562">
        <f ca="1">Q317</f>
        <v>0</v>
      </c>
      <c r="R412" s="16"/>
      <c r="S412" s="18"/>
    </row>
    <row r="413" spans="1:19" s="46" customFormat="1">
      <c r="A413" s="419"/>
      <c r="B413" s="432"/>
      <c r="D413" s="773" t="s">
        <v>283</v>
      </c>
      <c r="E413" s="1375" t="s">
        <v>260</v>
      </c>
      <c r="F413" s="1999"/>
      <c r="G413" s="2001">
        <f ca="1">G411-G412</f>
        <v>0</v>
      </c>
      <c r="H413" s="1007"/>
      <c r="I413" s="1562">
        <f ca="1">I411-I412</f>
        <v>0</v>
      </c>
      <c r="J413" s="1561"/>
      <c r="K413" s="1562">
        <f ca="1">K411-K412</f>
        <v>0</v>
      </c>
      <c r="L413" s="1561"/>
      <c r="M413" s="1562">
        <f ca="1">M411-M412</f>
        <v>0</v>
      </c>
      <c r="N413" s="1561"/>
      <c r="O413" s="1562">
        <f ca="1">O411-O412</f>
        <v>0</v>
      </c>
      <c r="P413" s="1561"/>
      <c r="Q413" s="1562">
        <f ca="1">Q411-Q412</f>
        <v>0</v>
      </c>
      <c r="R413" s="16"/>
      <c r="S413" s="18"/>
    </row>
    <row r="414" spans="1:19" s="46" customFormat="1">
      <c r="A414" s="419"/>
      <c r="B414" s="432"/>
      <c r="D414" s="774" t="s">
        <v>269</v>
      </c>
      <c r="E414" s="1385" t="s">
        <v>260</v>
      </c>
      <c r="F414" s="1999"/>
      <c r="G414" s="2000">
        <f>G391</f>
        <v>0</v>
      </c>
      <c r="H414" s="1007"/>
      <c r="I414" s="441">
        <f>I391</f>
        <v>0</v>
      </c>
      <c r="J414" s="1561"/>
      <c r="K414" s="441">
        <f>K391</f>
        <v>0</v>
      </c>
      <c r="L414" s="1561"/>
      <c r="M414" s="441">
        <f>M391</f>
        <v>0</v>
      </c>
      <c r="N414" s="1561"/>
      <c r="O414" s="441">
        <f>O391</f>
        <v>0</v>
      </c>
      <c r="P414" s="1561"/>
      <c r="Q414" s="441">
        <f>Q391</f>
        <v>0</v>
      </c>
      <c r="R414" s="16"/>
      <c r="S414" s="18"/>
    </row>
    <row r="415" spans="1:19">
      <c r="G415" s="2002"/>
      <c r="H415" s="991"/>
      <c r="I415" s="1012"/>
      <c r="J415" s="991"/>
      <c r="K415" s="1012"/>
      <c r="L415" s="991"/>
      <c r="M415" s="1012"/>
      <c r="N415" s="991"/>
      <c r="O415" s="1012"/>
      <c r="P415" s="991"/>
      <c r="Q415" s="1012"/>
      <c r="R415" s="16"/>
      <c r="S415" s="18"/>
    </row>
    <row r="416" spans="1:19" ht="19.5" thickBot="1">
      <c r="C416" s="806" t="s">
        <v>866</v>
      </c>
      <c r="D416" s="806"/>
      <c r="E416" s="1376" t="s">
        <v>1273</v>
      </c>
      <c r="F416" s="2003"/>
      <c r="G416" s="2004"/>
      <c r="H416" s="1588"/>
      <c r="I416" s="1588"/>
      <c r="J416" s="1588"/>
      <c r="K416" s="1588"/>
      <c r="L416" s="1588"/>
      <c r="M416" s="1588"/>
      <c r="N416" s="1588"/>
      <c r="O416" s="1588"/>
      <c r="P416" s="1588"/>
      <c r="Q416" s="1588"/>
      <c r="R416" s="16"/>
      <c r="S416" s="18"/>
    </row>
    <row r="417" spans="1:19" s="404" customFormat="1" ht="12.75" thickTop="1">
      <c r="A417" s="425"/>
      <c r="B417" s="434"/>
      <c r="C417" s="426"/>
      <c r="D417" s="426"/>
      <c r="E417" s="1386"/>
      <c r="F417" s="2005"/>
      <c r="G417" s="2006"/>
      <c r="H417" s="1631"/>
      <c r="I417" s="1632"/>
      <c r="J417" s="1631"/>
      <c r="K417" s="1632"/>
      <c r="L417" s="1631"/>
      <c r="M417" s="1632"/>
      <c r="N417" s="1631"/>
      <c r="O417" s="1632"/>
      <c r="P417" s="1631"/>
      <c r="Q417" s="1632"/>
      <c r="R417" s="1707"/>
      <c r="S417" s="427"/>
    </row>
    <row r="418" spans="1:19">
      <c r="B418" s="412" t="s">
        <v>2</v>
      </c>
      <c r="D418" s="768" t="s">
        <v>2</v>
      </c>
      <c r="E418" s="1371" t="s">
        <v>254</v>
      </c>
      <c r="G418" s="2007">
        <f>IF(G106&gt;0,G109-G107,0)</f>
        <v>0</v>
      </c>
      <c r="H418" s="991"/>
      <c r="I418" s="2020">
        <f>IF(I106&gt;0,I109-I107,0)</f>
        <v>0</v>
      </c>
      <c r="J418" s="991"/>
      <c r="K418" s="2020">
        <f>IF(K106&gt;0,K109-K107,0)</f>
        <v>0</v>
      </c>
      <c r="L418" s="991"/>
      <c r="M418" s="2020">
        <f>IF(M106&gt;0,M109-M107,0)</f>
        <v>0</v>
      </c>
      <c r="N418" s="991"/>
      <c r="O418" s="2020">
        <f>IF(O106&gt;0,O109-O107,0)</f>
        <v>0</v>
      </c>
      <c r="P418" s="991"/>
      <c r="Q418" s="2020">
        <f>IF(Q106&gt;0,Q109-Q107,0)</f>
        <v>0</v>
      </c>
      <c r="R418" s="16"/>
      <c r="S418" s="18"/>
    </row>
    <row r="419" spans="1:19">
      <c r="B419" s="412" t="s">
        <v>142</v>
      </c>
      <c r="D419" s="771" t="s">
        <v>142</v>
      </c>
      <c r="E419" s="1371" t="s">
        <v>254</v>
      </c>
      <c r="G419" s="2007">
        <f>IF(G112&gt;0,G115-G113,0)</f>
        <v>0</v>
      </c>
      <c r="H419" s="991"/>
      <c r="I419" s="2020">
        <f>IF(I112&gt;0,I115-I113,0)</f>
        <v>0</v>
      </c>
      <c r="J419" s="991"/>
      <c r="K419" s="2020">
        <f>IF(K112&gt;0,K115-K113,0)</f>
        <v>0</v>
      </c>
      <c r="L419" s="991"/>
      <c r="M419" s="2020">
        <f>IF(M112&gt;0,M115-M113,0)</f>
        <v>0</v>
      </c>
      <c r="N419" s="991"/>
      <c r="O419" s="2020">
        <f>IF(O112&gt;0,O115-O113,0)</f>
        <v>0</v>
      </c>
      <c r="P419" s="991"/>
      <c r="Q419" s="2020">
        <f>IF(Q112&gt;0,Q115-Q113,0)</f>
        <v>0</v>
      </c>
      <c r="R419" s="16"/>
      <c r="S419" s="18"/>
    </row>
    <row r="420" spans="1:19" hidden="1">
      <c r="B420" s="412" t="s">
        <v>11</v>
      </c>
      <c r="D420" s="771" t="s">
        <v>11</v>
      </c>
      <c r="E420" s="1371" t="s">
        <v>254</v>
      </c>
      <c r="G420" s="2007">
        <f>IF(G133&gt;0,G$138,0)</f>
        <v>0</v>
      </c>
      <c r="H420" s="991"/>
      <c r="I420" s="2020">
        <f>IF(I133&gt;0,I$138,0)</f>
        <v>0</v>
      </c>
      <c r="J420" s="991"/>
      <c r="K420" s="2020">
        <f>IF(K133&gt;0,K$138,0)</f>
        <v>0</v>
      </c>
      <c r="L420" s="991"/>
      <c r="M420" s="2020">
        <f>IF(M133&gt;0,M$138,0)</f>
        <v>0</v>
      </c>
      <c r="N420" s="991"/>
      <c r="O420" s="2020">
        <f>IF(O133&gt;0,O$138,0)</f>
        <v>0</v>
      </c>
      <c r="P420" s="991"/>
      <c r="Q420" s="2020">
        <f>IF(Q133&gt;0,Q$138,0)</f>
        <v>0</v>
      </c>
      <c r="R420" s="16"/>
      <c r="S420" s="18"/>
    </row>
    <row r="421" spans="1:19">
      <c r="B421" s="412" t="s">
        <v>0</v>
      </c>
      <c r="D421" s="771" t="s">
        <v>0</v>
      </c>
      <c r="E421" s="1371" t="s">
        <v>254</v>
      </c>
      <c r="G421" s="2007">
        <f>IF(G126&gt;0,G131,0)</f>
        <v>0</v>
      </c>
      <c r="H421" s="991"/>
      <c r="I421" s="2020">
        <f>IF(I126&gt;0,I131,0)</f>
        <v>0</v>
      </c>
      <c r="J421" s="991"/>
      <c r="K421" s="2020">
        <f>IF(K126&gt;0,K131,0)</f>
        <v>0</v>
      </c>
      <c r="L421" s="991"/>
      <c r="M421" s="2020">
        <f>IF(M126&gt;0,M131,0)</f>
        <v>0</v>
      </c>
      <c r="N421" s="991"/>
      <c r="O421" s="2020">
        <f>IF(O126&gt;0,O131,0)</f>
        <v>0</v>
      </c>
      <c r="P421" s="991"/>
      <c r="Q421" s="2020">
        <f>IF(Q126&gt;0,Q131,0)</f>
        <v>0</v>
      </c>
      <c r="R421" s="16"/>
      <c r="S421" s="18"/>
    </row>
    <row r="422" spans="1:19">
      <c r="B422" s="412" t="s">
        <v>140</v>
      </c>
      <c r="D422" s="771" t="s">
        <v>140</v>
      </c>
      <c r="E422" s="1371" t="s">
        <v>254</v>
      </c>
      <c r="G422" s="2007">
        <f>IF(G118&gt;0,G124,0)</f>
        <v>0</v>
      </c>
      <c r="I422" s="2020">
        <f>IF(I118&gt;0,I124,0)</f>
        <v>0</v>
      </c>
      <c r="K422" s="2020">
        <f>IF(K118&gt;0,K124,0)</f>
        <v>0</v>
      </c>
      <c r="M422" s="2020">
        <f>IF(M118&gt;0,M124,0)</f>
        <v>0</v>
      </c>
      <c r="O422" s="2020">
        <f>IF(O118&gt;0,O124,0)</f>
        <v>0</v>
      </c>
      <c r="Q422" s="2020">
        <f>IF(Q118&gt;0,Q124,0)</f>
        <v>0</v>
      </c>
      <c r="R422" s="16"/>
      <c r="S422" s="18"/>
    </row>
    <row r="423" spans="1:19">
      <c r="B423" s="412" t="s">
        <v>1</v>
      </c>
      <c r="D423" s="771" t="s">
        <v>1</v>
      </c>
      <c r="E423" s="1371" t="s">
        <v>254</v>
      </c>
      <c r="G423" s="2007">
        <f>IF(G140&gt;0,G145,0)</f>
        <v>0</v>
      </c>
      <c r="H423" s="991"/>
      <c r="I423" s="2020">
        <f>IF(I140&gt;0,I145,0)</f>
        <v>0</v>
      </c>
      <c r="J423" s="1008"/>
      <c r="K423" s="2020">
        <f>IF(K140&gt;0,K145,0)</f>
        <v>0</v>
      </c>
      <c r="L423" s="991"/>
      <c r="M423" s="2020">
        <f>IF(M140&gt;0,M145,0)</f>
        <v>0</v>
      </c>
      <c r="N423" s="991"/>
      <c r="O423" s="2020">
        <f>IF(O140&gt;0,O145,0)</f>
        <v>0</v>
      </c>
      <c r="P423" s="991"/>
      <c r="Q423" s="2020">
        <f>IF(Q140&gt;0,Q145,0)</f>
        <v>0</v>
      </c>
      <c r="R423" s="16"/>
      <c r="S423" s="18"/>
    </row>
    <row r="424" spans="1:19">
      <c r="B424" s="412" t="s">
        <v>3</v>
      </c>
      <c r="D424" s="771" t="s">
        <v>3</v>
      </c>
      <c r="E424" s="1371" t="s">
        <v>254</v>
      </c>
      <c r="G424" s="2007">
        <f>IF(G147&gt;0,G152,0)</f>
        <v>0</v>
      </c>
      <c r="H424" s="991"/>
      <c r="I424" s="2020">
        <f>IF(I147&gt;0,I152,0)</f>
        <v>0</v>
      </c>
      <c r="J424" s="991"/>
      <c r="K424" s="2020">
        <f>IF(K147&gt;0,K152,0)</f>
        <v>0</v>
      </c>
      <c r="L424" s="991"/>
      <c r="M424" s="2020">
        <f>IF(M147&gt;0,M152,0)</f>
        <v>0</v>
      </c>
      <c r="N424" s="991"/>
      <c r="O424" s="2020">
        <f>IF(O147&gt;0,O152,0)</f>
        <v>0</v>
      </c>
      <c r="P424" s="991"/>
      <c r="Q424" s="2020">
        <f>IF(Q147&gt;0,Q152,0)</f>
        <v>0</v>
      </c>
    </row>
    <row r="425" spans="1:19" hidden="1">
      <c r="B425" s="412" t="s">
        <v>4</v>
      </c>
      <c r="D425" s="771" t="s">
        <v>4</v>
      </c>
      <c r="E425" s="1371" t="s">
        <v>254</v>
      </c>
      <c r="G425" s="2007">
        <f>IF(G154&gt;0,G159,0)</f>
        <v>0</v>
      </c>
      <c r="H425" s="40"/>
      <c r="I425" s="2020">
        <f>IF(I154&gt;0,I159,0)</f>
        <v>0</v>
      </c>
      <c r="K425" s="2020">
        <f>IF(K154&gt;0,K159,0)</f>
        <v>0</v>
      </c>
      <c r="L425" s="40"/>
      <c r="M425" s="2020">
        <f>IF(M154&gt;0,M159,0)</f>
        <v>0</v>
      </c>
      <c r="N425" s="40"/>
      <c r="O425" s="2020">
        <f>IF(O154&gt;0,O159,0)</f>
        <v>0</v>
      </c>
      <c r="P425" s="40"/>
      <c r="Q425" s="2020">
        <f>IF(Q154&gt;0,Q159,0)</f>
        <v>0</v>
      </c>
    </row>
    <row r="426" spans="1:19" hidden="1">
      <c r="B426" s="412" t="s">
        <v>5</v>
      </c>
      <c r="D426" s="775" t="s">
        <v>5</v>
      </c>
      <c r="E426" s="1371" t="s">
        <v>254</v>
      </c>
      <c r="G426" s="2008">
        <f>IF(G161&gt;0,G166,0)</f>
        <v>0</v>
      </c>
      <c r="H426" s="991"/>
      <c r="I426" s="2021">
        <f>IF(I161&gt;0,I166,0)</f>
        <v>0</v>
      </c>
      <c r="J426" s="991"/>
      <c r="K426" s="2021">
        <f>IF(K161&gt;0,K166,0)</f>
        <v>0</v>
      </c>
      <c r="L426" s="991"/>
      <c r="M426" s="2021">
        <f>IF(M161&gt;0,M166,0)</f>
        <v>0</v>
      </c>
      <c r="N426" s="991"/>
      <c r="O426" s="2021">
        <f>IF(O161&gt;0,O166,0)</f>
        <v>0</v>
      </c>
      <c r="P426" s="991"/>
      <c r="Q426" s="2021">
        <f>IF(Q161&gt;0,Q166,0)</f>
        <v>0</v>
      </c>
    </row>
    <row r="427" spans="1:19">
      <c r="B427" s="412" t="s">
        <v>6</v>
      </c>
      <c r="D427" s="775" t="s">
        <v>6</v>
      </c>
      <c r="E427" s="1371" t="s">
        <v>254</v>
      </c>
      <c r="G427" s="2008">
        <f>IF(G168&gt;0,G173,0)</f>
        <v>0</v>
      </c>
      <c r="H427" s="991"/>
      <c r="I427" s="2021">
        <f>IF(I168&gt;0,I173,0)</f>
        <v>0</v>
      </c>
      <c r="J427" s="991"/>
      <c r="K427" s="2021">
        <f>IF(K168&gt;0,K173,0)</f>
        <v>0</v>
      </c>
      <c r="L427" s="991"/>
      <c r="M427" s="2021">
        <f>IF(M168&gt;0,M173,0)</f>
        <v>0</v>
      </c>
      <c r="N427" s="991"/>
      <c r="O427" s="2021">
        <f>IF(O168&gt;0,O173,0)</f>
        <v>0</v>
      </c>
      <c r="P427" s="991"/>
      <c r="Q427" s="2021">
        <f>IF(Q168&gt;0,Q173,0)</f>
        <v>0</v>
      </c>
    </row>
    <row r="428" spans="1:19" hidden="1">
      <c r="B428" s="412" t="s">
        <v>7</v>
      </c>
      <c r="D428" s="775" t="s">
        <v>7</v>
      </c>
      <c r="E428" s="1371" t="s">
        <v>254</v>
      </c>
      <c r="G428" s="2008">
        <f>IF(G175&gt;0,G180,0)</f>
        <v>0</v>
      </c>
      <c r="H428" s="991"/>
      <c r="I428" s="2021">
        <f>IF(I175&gt;0,I180,0)</f>
        <v>0</v>
      </c>
      <c r="J428" s="991"/>
      <c r="K428" s="2021">
        <f>IF(K175&gt;0,K180,0)</f>
        <v>0</v>
      </c>
      <c r="L428" s="991"/>
      <c r="M428" s="2021">
        <f>IF(M175&gt;0,M180,0)</f>
        <v>0</v>
      </c>
      <c r="N428" s="991"/>
      <c r="O428" s="2021">
        <f>IF(O175&gt;0,O180,0)</f>
        <v>0</v>
      </c>
      <c r="P428" s="991"/>
      <c r="Q428" s="2021">
        <f>IF(Q175&gt;0,Q180,0)</f>
        <v>0</v>
      </c>
    </row>
    <row r="429" spans="1:19" hidden="1">
      <c r="B429" s="412" t="s">
        <v>1291</v>
      </c>
      <c r="D429" s="775" t="s">
        <v>1291</v>
      </c>
      <c r="E429" s="1371" t="s">
        <v>254</v>
      </c>
      <c r="G429" s="2008">
        <f>IF(G182&gt;0,G187,0)</f>
        <v>0</v>
      </c>
      <c r="I429" s="2021">
        <f>IF(I182&gt;0,I187,0)</f>
        <v>0</v>
      </c>
      <c r="K429" s="2021">
        <f>IF(K182&gt;0,K187,0)</f>
        <v>0</v>
      </c>
      <c r="M429" s="2021">
        <f>IF(M182&gt;0,M187,0)</f>
        <v>0</v>
      </c>
      <c r="O429" s="2021">
        <f>IF(O182&gt;0,O187,0)</f>
        <v>0</v>
      </c>
      <c r="Q429" s="2021">
        <f>IF(Q182&gt;0,Q187,0)</f>
        <v>0</v>
      </c>
    </row>
    <row r="430" spans="1:19" s="97" customFormat="1" hidden="1">
      <c r="A430" s="409"/>
      <c r="B430" s="412" t="s">
        <v>1294</v>
      </c>
      <c r="D430" s="775" t="s">
        <v>1294</v>
      </c>
      <c r="E430" s="1371" t="s">
        <v>254</v>
      </c>
      <c r="F430" s="1958"/>
      <c r="G430" s="2008">
        <f>IF(G189&gt;0,G194,0)</f>
        <v>0</v>
      </c>
      <c r="H430" s="39"/>
      <c r="I430" s="2021">
        <f>IF(I189&gt;0,I194,0)</f>
        <v>0</v>
      </c>
      <c r="J430" s="39"/>
      <c r="K430" s="2021">
        <f>IF(K189&gt;0,K194,0)</f>
        <v>0</v>
      </c>
      <c r="L430" s="39"/>
      <c r="M430" s="2021">
        <f>IF(M189&gt;0,M194,0)</f>
        <v>0</v>
      </c>
      <c r="N430" s="39"/>
      <c r="O430" s="2021">
        <f>IF(O189&gt;0,O194,0)</f>
        <v>0</v>
      </c>
      <c r="P430" s="39"/>
      <c r="Q430" s="2021">
        <f>IF(Q189&gt;0,Q194,0)</f>
        <v>0</v>
      </c>
      <c r="R430" s="17"/>
    </row>
    <row r="431" spans="1:19" hidden="1">
      <c r="B431" s="412" t="s">
        <v>218</v>
      </c>
      <c r="D431" s="775" t="s">
        <v>218</v>
      </c>
      <c r="E431" s="1371" t="s">
        <v>254</v>
      </c>
      <c r="G431" s="2008">
        <f>IF(G196&gt;0,G201,0)</f>
        <v>0</v>
      </c>
      <c r="H431" s="991"/>
      <c r="I431" s="2021">
        <f>IF(I196&gt;0,I201,0)</f>
        <v>0</v>
      </c>
      <c r="J431" s="991"/>
      <c r="K431" s="2021">
        <f>IF(K196&gt;0,K201,0)</f>
        <v>0</v>
      </c>
      <c r="L431" s="991"/>
      <c r="M431" s="2021">
        <f>IF(M196&gt;0,M201,0)</f>
        <v>0</v>
      </c>
      <c r="N431" s="991"/>
      <c r="O431" s="2021">
        <f>IF(O196&gt;0,O201,0)</f>
        <v>0</v>
      </c>
      <c r="P431" s="991"/>
      <c r="Q431" s="2021">
        <f>IF(Q196&gt;0,Q201,0)</f>
        <v>0</v>
      </c>
    </row>
    <row r="432" spans="1:19" hidden="1">
      <c r="B432" s="412" t="s">
        <v>1261</v>
      </c>
      <c r="D432" s="775" t="s">
        <v>1261</v>
      </c>
      <c r="E432" s="1371" t="s">
        <v>254</v>
      </c>
      <c r="G432" s="2008">
        <f>IF(G203&gt;0,G208,0)</f>
        <v>0</v>
      </c>
      <c r="H432" s="991"/>
      <c r="I432" s="2021">
        <f>IF(I203&gt;0,I208,0)</f>
        <v>0</v>
      </c>
      <c r="J432" s="991"/>
      <c r="K432" s="2021">
        <f>IF(K203&gt;0,K208,0)</f>
        <v>0</v>
      </c>
      <c r="L432" s="991"/>
      <c r="M432" s="2021">
        <f>IF(M203&gt;0,M208,0)</f>
        <v>0</v>
      </c>
      <c r="N432" s="991"/>
      <c r="O432" s="2021">
        <f>IF(O203&gt;0,O208,0)</f>
        <v>0</v>
      </c>
      <c r="P432" s="991"/>
      <c r="Q432" s="2021">
        <f>IF(Q203&gt;0,Q208,0)</f>
        <v>0</v>
      </c>
    </row>
    <row r="433" spans="1:19" ht="15" hidden="1" thickBot="1">
      <c r="B433" s="412" t="s">
        <v>219</v>
      </c>
      <c r="D433" s="775" t="s">
        <v>219</v>
      </c>
      <c r="E433" s="1371" t="s">
        <v>254</v>
      </c>
      <c r="G433" s="2008">
        <f>IF(G210&gt;0,G215,0)</f>
        <v>0</v>
      </c>
      <c r="H433" s="991"/>
      <c r="I433" s="2021">
        <f>IF(I210&gt;0,I215,0)</f>
        <v>0</v>
      </c>
      <c r="J433" s="991"/>
      <c r="K433" s="2021">
        <f>IF(K210&gt;0,K215,0)</f>
        <v>0</v>
      </c>
      <c r="L433" s="991"/>
      <c r="M433" s="2021">
        <f>IF(M210&gt;0,M215,0)</f>
        <v>0</v>
      </c>
      <c r="N433" s="991"/>
      <c r="O433" s="2021">
        <f>IF(O210&gt;0,O215,0)</f>
        <v>0</v>
      </c>
      <c r="P433" s="991"/>
      <c r="Q433" s="2021">
        <f>IF(Q210&gt;0,Q215,0)</f>
        <v>0</v>
      </c>
    </row>
    <row r="434" spans="1:19" s="97" customFormat="1" hidden="1">
      <c r="A434" s="409"/>
      <c r="B434" s="412" t="s">
        <v>1262</v>
      </c>
      <c r="D434" s="775" t="s">
        <v>1262</v>
      </c>
      <c r="E434" s="1371" t="s">
        <v>254</v>
      </c>
      <c r="F434" s="1958"/>
      <c r="G434" s="2008">
        <f>IF(G217&gt;0,G222,0)</f>
        <v>0</v>
      </c>
      <c r="H434" s="991"/>
      <c r="I434" s="2021">
        <f>IF(I217&gt;0,I222,0)</f>
        <v>0</v>
      </c>
      <c r="J434" s="991"/>
      <c r="K434" s="2021">
        <f>IF(K217&gt;0,K222,0)</f>
        <v>0</v>
      </c>
      <c r="L434" s="991"/>
      <c r="M434" s="2021">
        <f>IF(M217&gt;0,M222,0)</f>
        <v>0</v>
      </c>
      <c r="N434" s="991"/>
      <c r="O434" s="2021">
        <f>IF(O217&gt;0,O222,0)</f>
        <v>0</v>
      </c>
      <c r="P434" s="991"/>
      <c r="Q434" s="2021">
        <f>IF(Q217&gt;0,Q222,0)</f>
        <v>0</v>
      </c>
      <c r="R434" s="17"/>
    </row>
    <row r="435" spans="1:19" hidden="1">
      <c r="B435" s="412" t="str">
        <f>nAutre1</f>
        <v>Autre #1</v>
      </c>
      <c r="D435" s="776" t="str">
        <f>nAutre1</f>
        <v>Autre #1</v>
      </c>
      <c r="E435" s="1371" t="s">
        <v>254</v>
      </c>
      <c r="G435" s="2008">
        <f>IF(G224&gt;0,G229,0)</f>
        <v>0</v>
      </c>
      <c r="H435" s="991"/>
      <c r="I435" s="2021">
        <f>IF(I224&gt;0,I229,0)</f>
        <v>0</v>
      </c>
      <c r="J435" s="991"/>
      <c r="K435" s="2021">
        <f>IF(K224&gt;0,K229,0)</f>
        <v>0</v>
      </c>
      <c r="L435" s="991"/>
      <c r="M435" s="2021">
        <f>IF(M224&gt;0,M229,0)</f>
        <v>0</v>
      </c>
      <c r="N435" s="991"/>
      <c r="O435" s="2021">
        <f>IF(O224&gt;0,O229,0)</f>
        <v>0</v>
      </c>
      <c r="P435" s="991"/>
      <c r="Q435" s="2021">
        <f>IF(Q224&gt;0,Q229,0)</f>
        <v>0</v>
      </c>
    </row>
    <row r="436" spans="1:19" hidden="1">
      <c r="B436" s="412" t="str">
        <f>nAutre2</f>
        <v>Autre #2</v>
      </c>
      <c r="D436" s="775" t="str">
        <f>nAutre2</f>
        <v>Autre #2</v>
      </c>
      <c r="E436" s="1371" t="s">
        <v>254</v>
      </c>
      <c r="G436" s="2008">
        <f>IF(G231&gt;0,G236,0)</f>
        <v>0</v>
      </c>
      <c r="I436" s="2021">
        <f>IF(I231&gt;0,I236,0)</f>
        <v>0</v>
      </c>
      <c r="K436" s="2021">
        <f>IF(K231&gt;0,K236,0)</f>
        <v>0</v>
      </c>
      <c r="M436" s="2021">
        <f>IF(M231&gt;0,M236,0)</f>
        <v>0</v>
      </c>
      <c r="O436" s="2021">
        <f>IF(O231&gt;0,O236,0)</f>
        <v>0</v>
      </c>
      <c r="Q436" s="2021">
        <f>IF(Q231&gt;0,Q236,0)</f>
        <v>0</v>
      </c>
    </row>
    <row r="437" spans="1:19" hidden="1">
      <c r="B437" s="412" t="str">
        <f>nAutre3</f>
        <v>Autre #3</v>
      </c>
      <c r="D437" s="775" t="str">
        <f>nAutre3</f>
        <v>Autre #3</v>
      </c>
      <c r="E437" s="1371" t="s">
        <v>254</v>
      </c>
      <c r="G437" s="2008">
        <f>IF(G238&gt;0,G243,0)</f>
        <v>0</v>
      </c>
      <c r="I437" s="2021">
        <f>IF(I238&gt;0,I243,0)</f>
        <v>0</v>
      </c>
      <c r="K437" s="2021">
        <f>IF(K238&gt;0,K243,0)</f>
        <v>0</v>
      </c>
      <c r="M437" s="2021">
        <f>IF(M238&gt;0,M243,0)</f>
        <v>0</v>
      </c>
      <c r="O437" s="2021">
        <f>IF(O238&gt;0,O243,0)</f>
        <v>0</v>
      </c>
      <c r="Q437" s="2021">
        <f>IF(Q238&gt;0,Q243,0)</f>
        <v>0</v>
      </c>
    </row>
    <row r="438" spans="1:19" ht="15" thickBot="1">
      <c r="B438" s="412" t="s">
        <v>26</v>
      </c>
      <c r="D438" s="777" t="s">
        <v>26</v>
      </c>
      <c r="E438" s="1367" t="s">
        <v>254</v>
      </c>
      <c r="F438" s="644"/>
      <c r="G438" s="2008">
        <f ca="1">Champs!DX10-Champs!G246</f>
        <v>0</v>
      </c>
      <c r="H438" s="28"/>
      <c r="I438" s="2022">
        <f ca="1">Champs!DZ10-Champs!I246</f>
        <v>0</v>
      </c>
      <c r="J438" s="28"/>
      <c r="K438" s="2022">
        <f ca="1">Champs!EB10-Champs!K246</f>
        <v>0</v>
      </c>
      <c r="L438" s="28"/>
      <c r="M438" s="2022">
        <f ca="1">Champs!ED10-Champs!M246</f>
        <v>0</v>
      </c>
      <c r="N438" s="28"/>
      <c r="O438" s="2022">
        <f ca="1">Champs!EF10-Champs!O246</f>
        <v>0</v>
      </c>
      <c r="P438" s="28"/>
      <c r="Q438" s="2022">
        <f ca="1">Champs!EH10-Champs!Q246</f>
        <v>0</v>
      </c>
    </row>
    <row r="439" spans="1:19" s="89" customFormat="1" ht="15" thickTop="1">
      <c r="A439" s="1832"/>
      <c r="B439" s="1833"/>
      <c r="D439" s="1834" t="s">
        <v>870</v>
      </c>
      <c r="E439" s="1835" t="s">
        <v>254</v>
      </c>
      <c r="F439" s="2009"/>
      <c r="G439" s="2010">
        <f ca="1">IFERROR(G463/F463,0)</f>
        <v>0</v>
      </c>
      <c r="H439" s="1836"/>
      <c r="I439" s="1837">
        <f ca="1">IFERROR(I463/H463,0)</f>
        <v>0</v>
      </c>
      <c r="J439" s="1836"/>
      <c r="K439" s="1837">
        <f ca="1">IFERROR(K463/J463,0)</f>
        <v>0</v>
      </c>
      <c r="L439" s="1836"/>
      <c r="M439" s="1837">
        <f ca="1">IFERROR(M463/L463,0)</f>
        <v>0</v>
      </c>
      <c r="N439" s="1836"/>
      <c r="O439" s="1837">
        <f ca="1">IFERROR(O463/N463,0)</f>
        <v>0</v>
      </c>
      <c r="P439" s="1836"/>
      <c r="Q439" s="1837">
        <f ca="1">IFERROR(Q463/P463,0)</f>
        <v>0</v>
      </c>
      <c r="R439" s="1838"/>
    </row>
    <row r="440" spans="1:19" customFormat="1">
      <c r="E440" s="1349"/>
      <c r="F440" s="644"/>
      <c r="G440" s="644"/>
      <c r="H440" s="992"/>
      <c r="I440" s="992"/>
      <c r="J440" s="992"/>
      <c r="K440" s="992"/>
      <c r="L440" s="992"/>
      <c r="M440" s="992"/>
      <c r="N440" s="992"/>
      <c r="O440" s="992"/>
      <c r="P440" s="992"/>
      <c r="Q440" s="992"/>
      <c r="R440" s="1692"/>
      <c r="S440" s="97"/>
    </row>
    <row r="441" spans="1:19" s="97" customFormat="1" ht="19.5" thickBot="1">
      <c r="A441" s="409"/>
      <c r="B441" s="412"/>
      <c r="C441" s="806" t="s">
        <v>867</v>
      </c>
      <c r="D441" s="806"/>
      <c r="E441" s="1376" t="s">
        <v>1273</v>
      </c>
      <c r="F441" s="2003"/>
      <c r="G441" s="2004"/>
      <c r="H441" s="1588"/>
      <c r="I441" s="1588"/>
      <c r="J441" s="1588"/>
      <c r="K441" s="1588"/>
      <c r="L441" s="1588"/>
      <c r="M441" s="1588"/>
      <c r="N441" s="1588"/>
      <c r="O441" s="1588"/>
      <c r="P441" s="1588"/>
      <c r="Q441" s="1588"/>
      <c r="R441" s="16"/>
      <c r="S441" s="18"/>
    </row>
    <row r="442" spans="1:19" s="453" customFormat="1" ht="12.75" thickTop="1">
      <c r="E442" s="1363"/>
      <c r="F442" s="1921"/>
      <c r="G442" s="1921"/>
      <c r="H442" s="1591"/>
      <c r="I442" s="1591"/>
      <c r="J442" s="1591"/>
      <c r="K442" s="1591"/>
      <c r="L442" s="1591"/>
      <c r="M442" s="1591"/>
      <c r="N442" s="1591"/>
      <c r="O442" s="1591"/>
      <c r="P442" s="1591"/>
      <c r="Q442" s="1591"/>
      <c r="R442" s="1697"/>
      <c r="S442" s="1592"/>
    </row>
    <row r="443" spans="1:19" s="97" customFormat="1">
      <c r="A443" s="409"/>
      <c r="B443" s="412" t="s">
        <v>142</v>
      </c>
      <c r="D443" s="771" t="s">
        <v>142</v>
      </c>
      <c r="E443" s="1367" t="s">
        <v>1494</v>
      </c>
      <c r="F443" s="2011">
        <f>G$112</f>
        <v>0</v>
      </c>
      <c r="G443" s="2012">
        <f>G419*F443</f>
        <v>0</v>
      </c>
      <c r="H443" s="1742">
        <f t="shared" ref="H443:H462" si="21">INDEX(I$106:I$247,MATCH($B443,$B$106:$B$247,0))</f>
        <v>0</v>
      </c>
      <c r="I443" s="2020">
        <f t="shared" ref="I443:I462" si="22">I419*H443</f>
        <v>0</v>
      </c>
      <c r="J443" s="1742">
        <f>K$112</f>
        <v>0</v>
      </c>
      <c r="K443" s="2020">
        <f t="shared" ref="K443:K462" si="23">K419*J443</f>
        <v>0</v>
      </c>
      <c r="L443" s="1742">
        <f>M$112</f>
        <v>0</v>
      </c>
      <c r="M443" s="2020">
        <f t="shared" ref="M443:M462" si="24">M419*L443</f>
        <v>0</v>
      </c>
      <c r="N443" s="1742">
        <f>O$112</f>
        <v>0</v>
      </c>
      <c r="O443" s="2020">
        <f t="shared" ref="O443:O462" si="25">O419*N443</f>
        <v>0</v>
      </c>
      <c r="P443" s="1742">
        <f>Q$112</f>
        <v>0</v>
      </c>
      <c r="Q443" s="2020">
        <f t="shared" ref="Q443:Q462" si="26">Q419*P443</f>
        <v>0</v>
      </c>
      <c r="R443" s="17"/>
    </row>
    <row r="444" spans="1:19" s="97" customFormat="1" hidden="1">
      <c r="A444" s="409"/>
      <c r="B444" s="412" t="s">
        <v>11</v>
      </c>
      <c r="D444" s="771" t="s">
        <v>11</v>
      </c>
      <c r="E444" s="1367" t="s">
        <v>1494</v>
      </c>
      <c r="F444" s="2011">
        <f>G$133</f>
        <v>0</v>
      </c>
      <c r="G444" s="2008">
        <f t="shared" ref="G444:G462" si="27">G420*F444</f>
        <v>0</v>
      </c>
      <c r="H444" s="1742">
        <f t="shared" si="21"/>
        <v>0</v>
      </c>
      <c r="I444" s="2020">
        <f t="shared" si="22"/>
        <v>0</v>
      </c>
      <c r="J444" s="1742">
        <f>K$133</f>
        <v>0</v>
      </c>
      <c r="K444" s="2020">
        <f t="shared" si="23"/>
        <v>0</v>
      </c>
      <c r="L444" s="1742">
        <f>M$133</f>
        <v>0</v>
      </c>
      <c r="M444" s="2020">
        <f t="shared" si="24"/>
        <v>0</v>
      </c>
      <c r="N444" s="1742">
        <f>O$133</f>
        <v>0</v>
      </c>
      <c r="O444" s="2020">
        <f t="shared" si="25"/>
        <v>0</v>
      </c>
      <c r="P444" s="1742">
        <f>Q$133</f>
        <v>0</v>
      </c>
      <c r="Q444" s="2020">
        <f t="shared" si="26"/>
        <v>0</v>
      </c>
      <c r="R444" s="17"/>
    </row>
    <row r="445" spans="1:19" s="97" customFormat="1">
      <c r="A445" s="409"/>
      <c r="B445" s="412" t="s">
        <v>0</v>
      </c>
      <c r="D445" s="771" t="s">
        <v>0</v>
      </c>
      <c r="E445" s="1367" t="s">
        <v>1494</v>
      </c>
      <c r="F445" s="2011">
        <f>G$126</f>
        <v>0</v>
      </c>
      <c r="G445" s="2008">
        <f t="shared" si="27"/>
        <v>0</v>
      </c>
      <c r="H445" s="1742">
        <f t="shared" si="21"/>
        <v>0</v>
      </c>
      <c r="I445" s="2020">
        <f t="shared" si="22"/>
        <v>0</v>
      </c>
      <c r="J445" s="1742">
        <f>K$126</f>
        <v>0</v>
      </c>
      <c r="K445" s="2020">
        <f t="shared" si="23"/>
        <v>0</v>
      </c>
      <c r="L445" s="1742">
        <f>M$126</f>
        <v>0</v>
      </c>
      <c r="M445" s="2020">
        <f t="shared" si="24"/>
        <v>0</v>
      </c>
      <c r="N445" s="1742">
        <f>O$126</f>
        <v>0</v>
      </c>
      <c r="O445" s="2020">
        <f t="shared" si="25"/>
        <v>0</v>
      </c>
      <c r="P445" s="1742">
        <f>Q$126</f>
        <v>0</v>
      </c>
      <c r="Q445" s="2020">
        <f t="shared" si="26"/>
        <v>0</v>
      </c>
      <c r="R445" s="17"/>
    </row>
    <row r="446" spans="1:19" s="97" customFormat="1">
      <c r="A446" s="409"/>
      <c r="B446" s="412" t="s">
        <v>140</v>
      </c>
      <c r="D446" s="771" t="s">
        <v>140</v>
      </c>
      <c r="E446" s="1367" t="s">
        <v>1494</v>
      </c>
      <c r="F446" s="2011">
        <f>G$118</f>
        <v>0</v>
      </c>
      <c r="G446" s="2008">
        <f t="shared" si="27"/>
        <v>0</v>
      </c>
      <c r="H446" s="1742">
        <f t="shared" si="21"/>
        <v>0</v>
      </c>
      <c r="I446" s="2020">
        <f t="shared" si="22"/>
        <v>0</v>
      </c>
      <c r="J446" s="1742">
        <f>K$118</f>
        <v>0</v>
      </c>
      <c r="K446" s="2020">
        <f t="shared" si="23"/>
        <v>0</v>
      </c>
      <c r="L446" s="1742">
        <f>M$118</f>
        <v>0</v>
      </c>
      <c r="M446" s="2020">
        <f t="shared" si="24"/>
        <v>0</v>
      </c>
      <c r="N446" s="1742">
        <f>O$118</f>
        <v>0</v>
      </c>
      <c r="O446" s="2020">
        <f t="shared" si="25"/>
        <v>0</v>
      </c>
      <c r="P446" s="1742">
        <f>Q$118</f>
        <v>0</v>
      </c>
      <c r="Q446" s="2020">
        <f t="shared" si="26"/>
        <v>0</v>
      </c>
      <c r="R446" s="17"/>
    </row>
    <row r="447" spans="1:19" s="97" customFormat="1">
      <c r="A447" s="409"/>
      <c r="B447" s="412" t="s">
        <v>1</v>
      </c>
      <c r="D447" s="771" t="s">
        <v>1</v>
      </c>
      <c r="E447" s="1367" t="s">
        <v>1494</v>
      </c>
      <c r="F447" s="2011">
        <f>G$140</f>
        <v>0</v>
      </c>
      <c r="G447" s="2008">
        <f t="shared" si="27"/>
        <v>0</v>
      </c>
      <c r="H447" s="1742">
        <f t="shared" si="21"/>
        <v>0</v>
      </c>
      <c r="I447" s="2020">
        <f t="shared" si="22"/>
        <v>0</v>
      </c>
      <c r="J447" s="1742">
        <f>K$140</f>
        <v>0</v>
      </c>
      <c r="K447" s="2020">
        <f t="shared" si="23"/>
        <v>0</v>
      </c>
      <c r="L447" s="1742">
        <f>M$140</f>
        <v>0</v>
      </c>
      <c r="M447" s="2020">
        <f t="shared" si="24"/>
        <v>0</v>
      </c>
      <c r="N447" s="1742">
        <f>O$140</f>
        <v>0</v>
      </c>
      <c r="O447" s="2020">
        <f t="shared" si="25"/>
        <v>0</v>
      </c>
      <c r="P447" s="1742">
        <f>Q$140</f>
        <v>0</v>
      </c>
      <c r="Q447" s="2020">
        <f t="shared" si="26"/>
        <v>0</v>
      </c>
      <c r="R447" s="17"/>
    </row>
    <row r="448" spans="1:19" s="97" customFormat="1">
      <c r="A448" s="409"/>
      <c r="B448" s="412" t="s">
        <v>3</v>
      </c>
      <c r="D448" s="771" t="s">
        <v>3</v>
      </c>
      <c r="E448" s="1367" t="s">
        <v>1494</v>
      </c>
      <c r="F448" s="2011">
        <f>G$147</f>
        <v>0</v>
      </c>
      <c r="G448" s="2008">
        <f t="shared" si="27"/>
        <v>0</v>
      </c>
      <c r="H448" s="1742">
        <f t="shared" si="21"/>
        <v>0</v>
      </c>
      <c r="I448" s="2020">
        <f t="shared" si="22"/>
        <v>0</v>
      </c>
      <c r="J448" s="1742">
        <f>K$147</f>
        <v>0</v>
      </c>
      <c r="K448" s="2020">
        <f t="shared" si="23"/>
        <v>0</v>
      </c>
      <c r="L448" s="1742">
        <f>M$147</f>
        <v>0</v>
      </c>
      <c r="M448" s="2020">
        <f t="shared" si="24"/>
        <v>0</v>
      </c>
      <c r="N448" s="1742">
        <f>O$147</f>
        <v>0</v>
      </c>
      <c r="O448" s="2020">
        <f t="shared" si="25"/>
        <v>0</v>
      </c>
      <c r="P448" s="1742">
        <f>Q$147</f>
        <v>0</v>
      </c>
      <c r="Q448" s="2020">
        <f t="shared" si="26"/>
        <v>0</v>
      </c>
      <c r="R448" s="17"/>
    </row>
    <row r="449" spans="1:18" s="97" customFormat="1" hidden="1">
      <c r="A449" s="409"/>
      <c r="B449" s="412" t="s">
        <v>4</v>
      </c>
      <c r="D449" s="771" t="s">
        <v>4</v>
      </c>
      <c r="E449" s="1367" t="s">
        <v>1494</v>
      </c>
      <c r="F449" s="2011">
        <f>G$154</f>
        <v>0</v>
      </c>
      <c r="G449" s="2008">
        <f t="shared" si="27"/>
        <v>0</v>
      </c>
      <c r="H449" s="1742">
        <f t="shared" si="21"/>
        <v>0</v>
      </c>
      <c r="I449" s="2020">
        <f t="shared" si="22"/>
        <v>0</v>
      </c>
      <c r="J449" s="1742">
        <f>K$154</f>
        <v>0</v>
      </c>
      <c r="K449" s="2020">
        <f t="shared" si="23"/>
        <v>0</v>
      </c>
      <c r="L449" s="1742">
        <f>M$154</f>
        <v>0</v>
      </c>
      <c r="M449" s="2020">
        <f t="shared" si="24"/>
        <v>0</v>
      </c>
      <c r="N449" s="1742">
        <f>O$154</f>
        <v>0</v>
      </c>
      <c r="O449" s="2020">
        <f t="shared" si="25"/>
        <v>0</v>
      </c>
      <c r="P449" s="1742">
        <f>Q$154</f>
        <v>0</v>
      </c>
      <c r="Q449" s="2020">
        <f t="shared" si="26"/>
        <v>0</v>
      </c>
      <c r="R449" s="17"/>
    </row>
    <row r="450" spans="1:18" s="97" customFormat="1" hidden="1">
      <c r="A450" s="409"/>
      <c r="B450" s="412" t="s">
        <v>5</v>
      </c>
      <c r="D450" s="775" t="s">
        <v>5</v>
      </c>
      <c r="E450" s="1367" t="s">
        <v>1494</v>
      </c>
      <c r="F450" s="2011">
        <f>G$161</f>
        <v>0</v>
      </c>
      <c r="G450" s="2008">
        <f t="shared" si="27"/>
        <v>0</v>
      </c>
      <c r="H450" s="1742">
        <f t="shared" si="21"/>
        <v>0</v>
      </c>
      <c r="I450" s="2021">
        <f t="shared" si="22"/>
        <v>0</v>
      </c>
      <c r="J450" s="1742">
        <f>K$161</f>
        <v>0</v>
      </c>
      <c r="K450" s="2021">
        <f t="shared" si="23"/>
        <v>0</v>
      </c>
      <c r="L450" s="1742">
        <f>M$161</f>
        <v>0</v>
      </c>
      <c r="M450" s="2021">
        <f t="shared" si="24"/>
        <v>0</v>
      </c>
      <c r="N450" s="1742">
        <f>O$161</f>
        <v>0</v>
      </c>
      <c r="O450" s="2021">
        <f t="shared" si="25"/>
        <v>0</v>
      </c>
      <c r="P450" s="1742">
        <f>Q$161</f>
        <v>0</v>
      </c>
      <c r="Q450" s="2021">
        <f t="shared" si="26"/>
        <v>0</v>
      </c>
      <c r="R450" s="17"/>
    </row>
    <row r="451" spans="1:18" s="97" customFormat="1">
      <c r="A451" s="409"/>
      <c r="B451" s="412" t="s">
        <v>6</v>
      </c>
      <c r="D451" s="775" t="s">
        <v>6</v>
      </c>
      <c r="E451" s="1367" t="s">
        <v>1494</v>
      </c>
      <c r="F451" s="2011">
        <f>G$168</f>
        <v>0</v>
      </c>
      <c r="G451" s="2008">
        <f t="shared" si="27"/>
        <v>0</v>
      </c>
      <c r="H451" s="1742">
        <f t="shared" si="21"/>
        <v>0</v>
      </c>
      <c r="I451" s="2021">
        <f t="shared" si="22"/>
        <v>0</v>
      </c>
      <c r="J451" s="1742">
        <f>K$168</f>
        <v>0</v>
      </c>
      <c r="K451" s="2021">
        <f t="shared" si="23"/>
        <v>0</v>
      </c>
      <c r="L451" s="1742">
        <f>M$168</f>
        <v>0</v>
      </c>
      <c r="M451" s="2021">
        <f t="shared" si="24"/>
        <v>0</v>
      </c>
      <c r="N451" s="1742">
        <f>O$168</f>
        <v>0</v>
      </c>
      <c r="O451" s="2021">
        <f t="shared" si="25"/>
        <v>0</v>
      </c>
      <c r="P451" s="1742">
        <f>Q$168</f>
        <v>0</v>
      </c>
      <c r="Q451" s="2021">
        <f t="shared" si="26"/>
        <v>0</v>
      </c>
      <c r="R451" s="17"/>
    </row>
    <row r="452" spans="1:18" s="97" customFormat="1" hidden="1">
      <c r="A452" s="409"/>
      <c r="B452" s="412" t="s">
        <v>7</v>
      </c>
      <c r="D452" s="775" t="s">
        <v>7</v>
      </c>
      <c r="E452" s="1367" t="s">
        <v>1494</v>
      </c>
      <c r="F452" s="2011">
        <f>G$175</f>
        <v>0</v>
      </c>
      <c r="G452" s="2008">
        <f t="shared" si="27"/>
        <v>0</v>
      </c>
      <c r="H452" s="1742">
        <f t="shared" si="21"/>
        <v>0</v>
      </c>
      <c r="I452" s="2021">
        <f t="shared" si="22"/>
        <v>0</v>
      </c>
      <c r="J452" s="1742">
        <f>K$175</f>
        <v>0</v>
      </c>
      <c r="K452" s="2021">
        <f t="shared" si="23"/>
        <v>0</v>
      </c>
      <c r="L452" s="1742">
        <f>M$175</f>
        <v>0</v>
      </c>
      <c r="M452" s="2021">
        <f t="shared" si="24"/>
        <v>0</v>
      </c>
      <c r="N452" s="1742">
        <f>O$175</f>
        <v>0</v>
      </c>
      <c r="O452" s="2021">
        <f t="shared" si="25"/>
        <v>0</v>
      </c>
      <c r="P452" s="1742">
        <f>Q$175</f>
        <v>0</v>
      </c>
      <c r="Q452" s="2021">
        <f t="shared" si="26"/>
        <v>0</v>
      </c>
      <c r="R452" s="17"/>
    </row>
    <row r="453" spans="1:18" s="97" customFormat="1" hidden="1">
      <c r="A453" s="409"/>
      <c r="B453" s="412" t="s">
        <v>1291</v>
      </c>
      <c r="D453" s="775" t="s">
        <v>1291</v>
      </c>
      <c r="E453" s="1367" t="s">
        <v>1494</v>
      </c>
      <c r="F453" s="2011">
        <f>G$182</f>
        <v>0</v>
      </c>
      <c r="G453" s="2008">
        <f t="shared" si="27"/>
        <v>0</v>
      </c>
      <c r="H453" s="1742">
        <f t="shared" si="21"/>
        <v>0</v>
      </c>
      <c r="I453" s="2021">
        <f t="shared" si="22"/>
        <v>0</v>
      </c>
      <c r="J453" s="1742">
        <f>K$182</f>
        <v>0</v>
      </c>
      <c r="K453" s="2021">
        <f t="shared" si="23"/>
        <v>0</v>
      </c>
      <c r="L453" s="1742">
        <f>M$182</f>
        <v>0</v>
      </c>
      <c r="M453" s="2021">
        <f t="shared" si="24"/>
        <v>0</v>
      </c>
      <c r="N453" s="1742">
        <f>O$182</f>
        <v>0</v>
      </c>
      <c r="O453" s="2021">
        <f t="shared" si="25"/>
        <v>0</v>
      </c>
      <c r="P453" s="1742">
        <f>Q$182</f>
        <v>0</v>
      </c>
      <c r="Q453" s="2021">
        <f t="shared" si="26"/>
        <v>0</v>
      </c>
      <c r="R453" s="17"/>
    </row>
    <row r="454" spans="1:18" s="97" customFormat="1" hidden="1">
      <c r="A454" s="409"/>
      <c r="B454" s="412" t="s">
        <v>1294</v>
      </c>
      <c r="D454" s="776" t="s">
        <v>1294</v>
      </c>
      <c r="E454" s="1367" t="s">
        <v>1494</v>
      </c>
      <c r="F454" s="2011">
        <f>G$189</f>
        <v>0</v>
      </c>
      <c r="G454" s="2008">
        <f t="shared" si="27"/>
        <v>0</v>
      </c>
      <c r="H454" s="1742">
        <f t="shared" si="21"/>
        <v>0</v>
      </c>
      <c r="I454" s="2021">
        <f t="shared" si="22"/>
        <v>0</v>
      </c>
      <c r="J454" s="1742">
        <f>K$189</f>
        <v>0</v>
      </c>
      <c r="K454" s="2021">
        <f t="shared" si="23"/>
        <v>0</v>
      </c>
      <c r="L454" s="1742">
        <f>M$189</f>
        <v>0</v>
      </c>
      <c r="M454" s="2021">
        <f t="shared" si="24"/>
        <v>0</v>
      </c>
      <c r="N454" s="1742">
        <f>O$189</f>
        <v>0</v>
      </c>
      <c r="O454" s="2021">
        <f t="shared" si="25"/>
        <v>0</v>
      </c>
      <c r="P454" s="1742">
        <f>Q$189</f>
        <v>0</v>
      </c>
      <c r="Q454" s="2021">
        <f t="shared" si="26"/>
        <v>0</v>
      </c>
      <c r="R454" s="17"/>
    </row>
    <row r="455" spans="1:18" s="97" customFormat="1" hidden="1">
      <c r="A455" s="409"/>
      <c r="B455" s="412" t="s">
        <v>218</v>
      </c>
      <c r="D455" s="775" t="s">
        <v>218</v>
      </c>
      <c r="E455" s="1367" t="s">
        <v>1494</v>
      </c>
      <c r="F455" s="2011">
        <f>G$196</f>
        <v>0</v>
      </c>
      <c r="G455" s="2008">
        <f t="shared" si="27"/>
        <v>0</v>
      </c>
      <c r="H455" s="1742">
        <f t="shared" si="21"/>
        <v>0</v>
      </c>
      <c r="I455" s="2021">
        <f t="shared" si="22"/>
        <v>0</v>
      </c>
      <c r="J455" s="1742">
        <f>K$196</f>
        <v>0</v>
      </c>
      <c r="K455" s="2021">
        <f t="shared" si="23"/>
        <v>0</v>
      </c>
      <c r="L455" s="1742">
        <f>M$196</f>
        <v>0</v>
      </c>
      <c r="M455" s="2021">
        <f t="shared" si="24"/>
        <v>0</v>
      </c>
      <c r="N455" s="1742">
        <f>O$196</f>
        <v>0</v>
      </c>
      <c r="O455" s="2021">
        <f t="shared" si="25"/>
        <v>0</v>
      </c>
      <c r="P455" s="1742">
        <f>Q$196</f>
        <v>0</v>
      </c>
      <c r="Q455" s="2021">
        <f t="shared" si="26"/>
        <v>0</v>
      </c>
      <c r="R455" s="17"/>
    </row>
    <row r="456" spans="1:18" s="97" customFormat="1" hidden="1">
      <c r="A456" s="409"/>
      <c r="B456" s="412" t="s">
        <v>1261</v>
      </c>
      <c r="D456" s="775" t="s">
        <v>1261</v>
      </c>
      <c r="E456" s="1367" t="s">
        <v>1494</v>
      </c>
      <c r="F456" s="2011">
        <f>G$203</f>
        <v>0</v>
      </c>
      <c r="G456" s="2008">
        <f t="shared" si="27"/>
        <v>0</v>
      </c>
      <c r="H456" s="1742">
        <f t="shared" si="21"/>
        <v>0</v>
      </c>
      <c r="I456" s="2021">
        <f t="shared" si="22"/>
        <v>0</v>
      </c>
      <c r="J456" s="1742">
        <f>K$203</f>
        <v>0</v>
      </c>
      <c r="K456" s="2021">
        <f t="shared" si="23"/>
        <v>0</v>
      </c>
      <c r="L456" s="1742">
        <f>M$203</f>
        <v>0</v>
      </c>
      <c r="M456" s="2021">
        <f t="shared" si="24"/>
        <v>0</v>
      </c>
      <c r="N456" s="1742">
        <f>O$203</f>
        <v>0</v>
      </c>
      <c r="O456" s="2021">
        <f t="shared" si="25"/>
        <v>0</v>
      </c>
      <c r="P456" s="1742">
        <f>Q$203</f>
        <v>0</v>
      </c>
      <c r="Q456" s="2021">
        <f t="shared" si="26"/>
        <v>0</v>
      </c>
      <c r="R456" s="17"/>
    </row>
    <row r="457" spans="1:18" s="97" customFormat="1" ht="15" hidden="1" thickBot="1">
      <c r="A457" s="409"/>
      <c r="B457" s="412" t="s">
        <v>219</v>
      </c>
      <c r="D457" s="775" t="s">
        <v>219</v>
      </c>
      <c r="E457" s="1367" t="s">
        <v>1494</v>
      </c>
      <c r="F457" s="2011">
        <f>G$210</f>
        <v>0</v>
      </c>
      <c r="G457" s="2008">
        <f t="shared" si="27"/>
        <v>0</v>
      </c>
      <c r="H457" s="1742">
        <f t="shared" si="21"/>
        <v>0</v>
      </c>
      <c r="I457" s="2021">
        <f t="shared" si="22"/>
        <v>0</v>
      </c>
      <c r="J457" s="1742">
        <f>K$210</f>
        <v>0</v>
      </c>
      <c r="K457" s="2021">
        <f t="shared" si="23"/>
        <v>0</v>
      </c>
      <c r="L457" s="1742">
        <f>M$210</f>
        <v>0</v>
      </c>
      <c r="M457" s="2021">
        <f t="shared" si="24"/>
        <v>0</v>
      </c>
      <c r="N457" s="1742">
        <f>O$210</f>
        <v>0</v>
      </c>
      <c r="O457" s="2021">
        <f t="shared" si="25"/>
        <v>0</v>
      </c>
      <c r="P457" s="1742">
        <f>Q$210</f>
        <v>0</v>
      </c>
      <c r="Q457" s="2021">
        <f t="shared" si="26"/>
        <v>0</v>
      </c>
      <c r="R457" s="17"/>
    </row>
    <row r="458" spans="1:18" s="97" customFormat="1" hidden="1">
      <c r="A458" s="409"/>
      <c r="B458" s="412" t="s">
        <v>1262</v>
      </c>
      <c r="D458" s="775" t="s">
        <v>1262</v>
      </c>
      <c r="E458" s="1367" t="s">
        <v>1494</v>
      </c>
      <c r="F458" s="2011">
        <f>G$217</f>
        <v>0</v>
      </c>
      <c r="G458" s="2008">
        <f t="shared" si="27"/>
        <v>0</v>
      </c>
      <c r="H458" s="1742">
        <f t="shared" si="21"/>
        <v>0</v>
      </c>
      <c r="I458" s="2021">
        <f t="shared" si="22"/>
        <v>0</v>
      </c>
      <c r="J458" s="1742">
        <f>K$217</f>
        <v>0</v>
      </c>
      <c r="K458" s="2021">
        <f t="shared" si="23"/>
        <v>0</v>
      </c>
      <c r="L458" s="1742">
        <f>M$217</f>
        <v>0</v>
      </c>
      <c r="M458" s="2021">
        <f t="shared" si="24"/>
        <v>0</v>
      </c>
      <c r="N458" s="1742">
        <f>O$217</f>
        <v>0</v>
      </c>
      <c r="O458" s="2021">
        <f t="shared" si="25"/>
        <v>0</v>
      </c>
      <c r="P458" s="1742">
        <f>Q$217</f>
        <v>0</v>
      </c>
      <c r="Q458" s="2021">
        <f t="shared" si="26"/>
        <v>0</v>
      </c>
      <c r="R458" s="17"/>
    </row>
    <row r="459" spans="1:18" s="97" customFormat="1" hidden="1">
      <c r="A459" s="409"/>
      <c r="B459" s="412" t="str">
        <f>nAutre1</f>
        <v>Autre #1</v>
      </c>
      <c r="D459" s="776" t="str">
        <f>nAutre1</f>
        <v>Autre #1</v>
      </c>
      <c r="E459" s="1367" t="s">
        <v>1494</v>
      </c>
      <c r="F459" s="2011">
        <f>G$224</f>
        <v>0</v>
      </c>
      <c r="G459" s="2008">
        <f t="shared" si="27"/>
        <v>0</v>
      </c>
      <c r="H459" s="1742">
        <f t="shared" si="21"/>
        <v>0</v>
      </c>
      <c r="I459" s="2021">
        <f t="shared" si="22"/>
        <v>0</v>
      </c>
      <c r="J459" s="1742">
        <f>K$224</f>
        <v>0</v>
      </c>
      <c r="K459" s="2021">
        <f t="shared" si="23"/>
        <v>0</v>
      </c>
      <c r="L459" s="1742">
        <f>M$224</f>
        <v>0</v>
      </c>
      <c r="M459" s="2021">
        <f t="shared" si="24"/>
        <v>0</v>
      </c>
      <c r="N459" s="1742">
        <f>O$224</f>
        <v>0</v>
      </c>
      <c r="O459" s="2021">
        <f t="shared" si="25"/>
        <v>0</v>
      </c>
      <c r="P459" s="1742">
        <f>Q$224</f>
        <v>0</v>
      </c>
      <c r="Q459" s="2021">
        <f t="shared" si="26"/>
        <v>0</v>
      </c>
      <c r="R459" s="17"/>
    </row>
    <row r="460" spans="1:18" s="97" customFormat="1" hidden="1">
      <c r="A460" s="409"/>
      <c r="B460" s="412" t="str">
        <f>nAutre2</f>
        <v>Autre #2</v>
      </c>
      <c r="D460" s="775" t="str">
        <f>nAutre2</f>
        <v>Autre #2</v>
      </c>
      <c r="E460" s="1367" t="s">
        <v>1494</v>
      </c>
      <c r="F460" s="2011">
        <f>G$231</f>
        <v>0</v>
      </c>
      <c r="G460" s="2008">
        <f t="shared" si="27"/>
        <v>0</v>
      </c>
      <c r="H460" s="1742">
        <f t="shared" si="21"/>
        <v>0</v>
      </c>
      <c r="I460" s="2021">
        <f t="shared" si="22"/>
        <v>0</v>
      </c>
      <c r="J460" s="1742">
        <f>K$231</f>
        <v>0</v>
      </c>
      <c r="K460" s="2021">
        <f t="shared" si="23"/>
        <v>0</v>
      </c>
      <c r="L460" s="1742">
        <f>M$231</f>
        <v>0</v>
      </c>
      <c r="M460" s="2021">
        <f t="shared" si="24"/>
        <v>0</v>
      </c>
      <c r="N460" s="1742">
        <f>O$231</f>
        <v>0</v>
      </c>
      <c r="O460" s="2021">
        <f t="shared" si="25"/>
        <v>0</v>
      </c>
      <c r="P460" s="1742">
        <f>Q$231</f>
        <v>0</v>
      </c>
      <c r="Q460" s="2021">
        <f t="shared" si="26"/>
        <v>0</v>
      </c>
      <c r="R460" s="17"/>
    </row>
    <row r="461" spans="1:18" s="97" customFormat="1" hidden="1">
      <c r="A461" s="409"/>
      <c r="B461" s="412" t="str">
        <f>nAutre3</f>
        <v>Autre #3</v>
      </c>
      <c r="D461" s="775" t="str">
        <f>nAutre3</f>
        <v>Autre #3</v>
      </c>
      <c r="E461" s="1367" t="s">
        <v>1494</v>
      </c>
      <c r="F461" s="2011">
        <f>G$238</f>
        <v>0</v>
      </c>
      <c r="G461" s="2008">
        <f t="shared" si="27"/>
        <v>0</v>
      </c>
      <c r="H461" s="1742">
        <f t="shared" si="21"/>
        <v>0</v>
      </c>
      <c r="I461" s="2021">
        <f t="shared" si="22"/>
        <v>0</v>
      </c>
      <c r="J461" s="1742">
        <f>K$238</f>
        <v>0</v>
      </c>
      <c r="K461" s="2021">
        <f t="shared" si="23"/>
        <v>0</v>
      </c>
      <c r="L461" s="1742">
        <f>M$238</f>
        <v>0</v>
      </c>
      <c r="M461" s="2021">
        <f t="shared" si="24"/>
        <v>0</v>
      </c>
      <c r="N461" s="1742">
        <f>O$238</f>
        <v>0</v>
      </c>
      <c r="O461" s="2021">
        <f t="shared" si="25"/>
        <v>0</v>
      </c>
      <c r="P461" s="1742">
        <f>Q$238</f>
        <v>0</v>
      </c>
      <c r="Q461" s="2021">
        <f t="shared" si="26"/>
        <v>0</v>
      </c>
      <c r="R461" s="17"/>
    </row>
    <row r="462" spans="1:18" s="97" customFormat="1" ht="15" thickBot="1">
      <c r="A462" s="409"/>
      <c r="B462" s="412" t="s">
        <v>26</v>
      </c>
      <c r="D462" s="777" t="s">
        <v>26</v>
      </c>
      <c r="E462" s="1367" t="s">
        <v>1494</v>
      </c>
      <c r="F462" s="2011">
        <f>G$245</f>
        <v>0</v>
      </c>
      <c r="G462" s="2008">
        <f t="shared" ca="1" si="27"/>
        <v>0</v>
      </c>
      <c r="H462" s="1743">
        <f t="shared" si="21"/>
        <v>0</v>
      </c>
      <c r="I462" s="2022">
        <f t="shared" ca="1" si="22"/>
        <v>0</v>
      </c>
      <c r="J462" s="1743">
        <f>K$245</f>
        <v>0</v>
      </c>
      <c r="K462" s="2022">
        <f t="shared" ca="1" si="23"/>
        <v>0</v>
      </c>
      <c r="L462" s="1743">
        <f>M$245</f>
        <v>0</v>
      </c>
      <c r="M462" s="2022">
        <f t="shared" ca="1" si="24"/>
        <v>0</v>
      </c>
      <c r="N462" s="1743">
        <f>O$245</f>
        <v>0</v>
      </c>
      <c r="O462" s="2022">
        <f t="shared" ca="1" si="25"/>
        <v>0</v>
      </c>
      <c r="P462" s="1743">
        <f>Q$245</f>
        <v>0</v>
      </c>
      <c r="Q462" s="2022">
        <f t="shared" ca="1" si="26"/>
        <v>0</v>
      </c>
      <c r="R462" s="17"/>
    </row>
    <row r="463" spans="1:18" s="89" customFormat="1" ht="15" thickTop="1">
      <c r="A463" s="1832"/>
      <c r="B463" s="1833"/>
      <c r="D463" s="1834" t="s">
        <v>283</v>
      </c>
      <c r="E463" s="1367" t="s">
        <v>1494</v>
      </c>
      <c r="F463" s="2013">
        <f>SUM(F443:F462)</f>
        <v>0</v>
      </c>
      <c r="G463" s="2014">
        <f ca="1">SUM(G443:G462)</f>
        <v>0</v>
      </c>
      <c r="H463" s="1839">
        <f t="shared" ref="H463" si="28">SUM(H443:H462)</f>
        <v>0</v>
      </c>
      <c r="I463" s="1837">
        <f t="shared" ref="I463:Q463" ca="1" si="29">SUM(I443:I462)</f>
        <v>0</v>
      </c>
      <c r="J463" s="1839">
        <f t="shared" si="29"/>
        <v>0</v>
      </c>
      <c r="K463" s="1837">
        <f t="shared" ca="1" si="29"/>
        <v>0</v>
      </c>
      <c r="L463" s="1839">
        <f t="shared" si="29"/>
        <v>0</v>
      </c>
      <c r="M463" s="1837">
        <f t="shared" ca="1" si="29"/>
        <v>0</v>
      </c>
      <c r="N463" s="1839">
        <f t="shared" si="29"/>
        <v>0</v>
      </c>
      <c r="O463" s="1837">
        <f t="shared" ca="1" si="29"/>
        <v>0</v>
      </c>
      <c r="P463" s="1839">
        <f t="shared" si="29"/>
        <v>0</v>
      </c>
      <c r="Q463" s="1837">
        <f t="shared" ca="1" si="29"/>
        <v>0</v>
      </c>
      <c r="R463" s="1838"/>
    </row>
    <row r="464" spans="1:18" s="54" customFormat="1" ht="12.75" thickBot="1">
      <c r="B464" s="435"/>
      <c r="C464" s="856"/>
      <c r="D464" s="856"/>
      <c r="E464" s="1388"/>
      <c r="F464" s="1941"/>
      <c r="G464" s="1941"/>
      <c r="H464" s="1744"/>
      <c r="I464" s="1744"/>
      <c r="J464" s="1744"/>
      <c r="K464" s="1744"/>
      <c r="L464" s="1744"/>
      <c r="M464" s="1744"/>
      <c r="N464" s="1744"/>
      <c r="O464" s="1744"/>
      <c r="P464" s="1744"/>
      <c r="Q464" s="1744"/>
      <c r="R464" s="403"/>
    </row>
    <row r="465" spans="3:17" ht="15" thickTop="1">
      <c r="C465" s="28"/>
      <c r="D465" s="28"/>
      <c r="E465" s="1389"/>
      <c r="H465" s="1008"/>
      <c r="I465" s="1014"/>
      <c r="J465" s="1008"/>
      <c r="K465" s="1014"/>
      <c r="L465" s="1008"/>
      <c r="M465" s="1014"/>
      <c r="N465" s="1008"/>
      <c r="O465" s="1014"/>
      <c r="P465" s="1008"/>
      <c r="Q465" s="1014"/>
    </row>
    <row r="466" spans="3:17">
      <c r="H466" s="991"/>
    </row>
  </sheetData>
  <sheetProtection sheet="1" objects="1" scenarios="1" selectLockedCells="1"/>
  <mergeCells count="13">
    <mergeCell ref="L2:M2"/>
    <mergeCell ref="N2:O2"/>
    <mergeCell ref="P2:Q2"/>
    <mergeCell ref="F2:G2"/>
    <mergeCell ref="H2:I2"/>
    <mergeCell ref="J2:K2"/>
    <mergeCell ref="D387:E387"/>
    <mergeCell ref="E4:E16"/>
    <mergeCell ref="P3:Q16"/>
    <mergeCell ref="L3:M16"/>
    <mergeCell ref="J3:K16"/>
    <mergeCell ref="H3:I16"/>
    <mergeCell ref="N3:O16"/>
  </mergeCells>
  <conditionalFormatting sqref="G38">
    <cfRule type="expression" dxfId="117" priority="149">
      <formula>G33="Pâturage insuffisant"</formula>
    </cfRule>
  </conditionalFormatting>
  <conditionalFormatting sqref="I38 K38 M38 O38 Q38">
    <cfRule type="expression" dxfId="116" priority="125">
      <formula>I33="Pâturage insuffisant"</formula>
    </cfRule>
  </conditionalFormatting>
  <conditionalFormatting sqref="I27">
    <cfRule type="cellIs" dxfId="115" priority="35" operator="equal">
      <formula>0</formula>
    </cfRule>
  </conditionalFormatting>
  <conditionalFormatting sqref="G52:Q52">
    <cfRule type="expression" dxfId="114" priority="33">
      <formula>G52&lt;G42</formula>
    </cfRule>
  </conditionalFormatting>
  <conditionalFormatting sqref="G47:Q47">
    <cfRule type="expression" dxfId="113" priority="32">
      <formula>G47&lt;G41</formula>
    </cfRule>
  </conditionalFormatting>
  <conditionalFormatting sqref="G46:Q46 G51:Q51">
    <cfRule type="expression" dxfId="112" priority="28">
      <formula>G45&gt;G46</formula>
    </cfRule>
  </conditionalFormatting>
  <conditionalFormatting sqref="G50:Q50 G45:Q45">
    <cfRule type="expression" dxfId="111" priority="30">
      <formula>G45&gt;G46</formula>
    </cfRule>
  </conditionalFormatting>
  <conditionalFormatting sqref="K28:Q28">
    <cfRule type="expression" dxfId="110" priority="27">
      <formula>_xlfn.ISFORMULA(A28)</formula>
    </cfRule>
  </conditionalFormatting>
  <conditionalFormatting sqref="N83:N87 P83:P87 H92:H101 J92:J101 L92:L101 N92:N101 P92:P101 L83:L87 H78:H87">
    <cfRule type="expression" dxfId="109" priority="22">
      <formula>I78=""</formula>
    </cfRule>
  </conditionalFormatting>
  <conditionalFormatting sqref="I31:Q31 I32:J32 L32:Q32">
    <cfRule type="expression" dxfId="108" priority="154">
      <formula>ROUND(I$31+I$32,0)&lt;&gt;ROUND(I$30,0)</formula>
    </cfRule>
  </conditionalFormatting>
  <conditionalFormatting sqref="I30:Q30">
    <cfRule type="expression" dxfId="107" priority="155">
      <formula>ROUND(I$31+I$32,0)&lt;&gt;ROUND(I$30,0)</formula>
    </cfRule>
  </conditionalFormatting>
  <conditionalFormatting sqref="H91 H77 P77 P91 N91 N77 L77 L91 J91 J77">
    <cfRule type="expression" dxfId="106" priority="158">
      <formula>ROUND(H$77+H$91,0)&lt;&gt;ROUND(I$27,0)</formula>
    </cfRule>
  </conditionalFormatting>
  <conditionalFormatting sqref="I49:Q49">
    <cfRule type="expression" dxfId="105" priority="16">
      <formula>I49&gt;I50</formula>
    </cfRule>
  </conditionalFormatting>
  <conditionalFormatting sqref="J78:J87">
    <cfRule type="expression" dxfId="104" priority="14">
      <formula>K78=""</formula>
    </cfRule>
  </conditionalFormatting>
  <conditionalFormatting sqref="K32">
    <cfRule type="expression" dxfId="103" priority="6">
      <formula>ROUND(K$31+K$32,0)&lt;&gt;ROUND(K$30,0)</formula>
    </cfRule>
  </conditionalFormatting>
  <conditionalFormatting sqref="I314 K314 M314 O314 Q314">
    <cfRule type="expression" dxfId="102" priority="202">
      <formula>_xlfn.ISFORMULA(A346)</formula>
    </cfRule>
  </conditionalFormatting>
  <conditionalFormatting sqref="H314:Q314">
    <cfRule type="expression" dxfId="101" priority="207">
      <formula>_xlfn.ISFORMULA(XFD350)</formula>
    </cfRule>
  </conditionalFormatting>
  <conditionalFormatting sqref="L78:L82">
    <cfRule type="expression" dxfId="100" priority="5">
      <formula>M78=""</formula>
    </cfRule>
  </conditionalFormatting>
  <conditionalFormatting sqref="N78:N82">
    <cfRule type="expression" dxfId="99" priority="4">
      <formula>O78=""</formula>
    </cfRule>
  </conditionalFormatting>
  <conditionalFormatting sqref="P78:P82">
    <cfRule type="expression" dxfId="98" priority="3">
      <formula>Q78=""</formula>
    </cfRule>
  </conditionalFormatting>
  <conditionalFormatting sqref="H368:Q383 I393:Q402">
    <cfRule type="expression" dxfId="97" priority="1">
      <formula>_xlfn.ISFORMULA(H368)</formula>
    </cfRule>
  </conditionalFormatting>
  <dataValidations count="5">
    <dataValidation type="list" showErrorMessage="1" errorTitle="INVALIDE" promptTitle="Choisir la culture dans la liste" prompt="Cliquer sur le bouton à droite de la cellule pour ouvrir la liste déroulante" sqref="I78:I87 K78:K87 I92:I101 K92:K101 M92:M101 O92:O101 Q92:Q101 M78:M87 O78:O87 Q78:Q87" xr:uid="{00000000-0002-0000-0700-000000000000}">
      <formula1>listeCulturesChamps</formula1>
    </dataValidation>
    <dataValidation type="list" errorStyle="information" allowBlank="1" sqref="B465:B1048576 B441 B309:B317 B321:B342 B319 B443:B463 B406:B439 B2:B75 B393:B404 B375:B377 B379:B380 B344:B373 B382:B391 B248:B307 B78:B246" xr:uid="{00000000-0002-0000-0700-000001000000}">
      <formula1>listeCulturesChamps</formula1>
    </dataValidation>
    <dataValidation type="whole" sqref="G27:G32 I27:I32 K27:K32 M27:M32 O27:O32 Q27:Q32" xr:uid="{00000000-0002-0000-0700-000002000000}">
      <formula1>0</formula1>
      <formula2>99999999</formula2>
    </dataValidation>
    <dataValidation type="list" showDropDown="1" showErrorMessage="1" errorTitle="Valeur invalide" error="La cellule doit contenir VRAI ou FAUX" sqref="E321" xr:uid="{00000000-0002-0000-0700-000003000000}">
      <formula1>"VRAI,FAUX"</formula1>
    </dataValidation>
    <dataValidation type="decimal" allowBlank="1" showInputMessage="1" showErrorMessage="1" sqref="I396 K396 M396 O396 Q396" xr:uid="{00000000-0002-0000-0700-000004000000}">
      <formula1>0</formula1>
      <formula2>1</formula2>
    </dataValidation>
  </dataValidations>
  <hyperlinks>
    <hyperlink ref="S106" location="Normes!B141" display="12.1 30% de l'alimentation fourragère (base ms) des animaux adultes provient des pâturages en saison" xr:uid="{00000000-0004-0000-0700-000000000000}"/>
    <hyperlink ref="S112" location="Normes!B112" display="10.3 Ration des ruminants constituée de 60 % fourrages ms. " xr:uid="{00000000-0004-0000-0700-000001000000}"/>
    <hyperlink ref="S118" location="Normes!B112" display="10.3 Si les animaux reçoivent de l'ensilage, au moins 15 % de la ms de la ration quotidienne est constituée de fibres de plus de 10 cm" xr:uid="{00000000-0004-0000-0700-000002000000}"/>
    <hyperlink ref="D181" location="RéfChamps!AM3" tooltip="Ouvrir le tableau de référence du seigle d'automne" display="RéfChamps!AM3" xr:uid="{00000000-0004-0000-0700-000003000000}"/>
    <hyperlink ref="D174" location="RéfChamps!U3" tooltip="Ouvrir le tableau de référence" display="RéfChamps!U3" xr:uid="{00000000-0004-0000-0700-000004000000}"/>
    <hyperlink ref="D160" location="RéfChamps!AA3" tooltip="Ouvrir le tableau de référence du maïs ensilage pour peaufiner les données au besoin" display="RéfChamps!AA3" xr:uid="{00000000-0004-0000-0700-000005000000}"/>
    <hyperlink ref="D153" location="RéfChamps!O3" tooltip="Ouvrir le tableau de référence" display="RéfChamps!O3" xr:uid="{00000000-0004-0000-0700-000006000000}"/>
    <hyperlink ref="D146" location="RéfChamps!K3" tooltip="Ouvrir le tableau de référence" display="RéfChamps!K3" xr:uid="{00000000-0004-0000-0700-000007000000}"/>
    <hyperlink ref="C126" location="$C$127:$C$132" tooltip="Afficher / cacher les détails pour le maïs-grain" display=" [+]" xr:uid="{00000000-0004-0000-0700-000008000000}"/>
    <hyperlink ref="C133" location="$C$134:$C$139" tooltip="Afficher / cacher les détails pour les grains mélangés" display=" [+]" xr:uid="{00000000-0004-0000-0700-000009000000}"/>
    <hyperlink ref="C140" location="$C$141:$C$146" tooltip="Afficher / cacher les détails pour le soya" display=" [-]" xr:uid="{00000000-0004-0000-0700-00000A000000}"/>
    <hyperlink ref="C147" location="$C$148:$C$153" tooltip="Afficher / cacher les détails pour le blé de printemps" display=" [+]" xr:uid="{00000000-0004-0000-0700-00000B000000}"/>
    <hyperlink ref="C154" location="$C$155:$C$160" tooltip="Afficher / cacher les détails pour l'orge" display=" [-]" xr:uid="{00000000-0004-0000-0700-00000C000000}"/>
    <hyperlink ref="C161" location="$C$162:$C$167" tooltip="Afficher / cacher les détails pour l'avoine" display=" [+]" xr:uid="{00000000-0004-0000-0700-00000D000000}"/>
    <hyperlink ref="C168" location="$C$169:$C$174" tooltip="Afficher / cacher les détails pour le blé d'automne" display=" [+]" xr:uid="{00000000-0004-0000-0700-00000E000000}"/>
    <hyperlink ref="C175" location="$C$176:$C$181" tooltip="Afficher / cacher les détails pour le seigle d'automne" display=" [+]" xr:uid="{00000000-0004-0000-0700-00000F000000}"/>
    <hyperlink ref="C182" location="$C$183:$C$188" tooltip="Afficher / cacher les détails pour l'épeautre" display=" [+]" xr:uid="{00000000-0004-0000-0700-000010000000}"/>
    <hyperlink ref="C196" location="$C$197:$C$202" tooltip="Afficher / cacher les détails pour le canola" display=" [+]" xr:uid="{00000000-0004-0000-0700-000011000000}"/>
    <hyperlink ref="C203" location="$C$204:$C$209" tooltip="Afficher / cacher les détails pour le sarrazin" display=" [+]" xr:uid="{00000000-0004-0000-0700-000012000000}"/>
    <hyperlink ref="C210" location="$C$211:$C$216" tooltip="Afficher / cacher les détails pour le chanvre" display=" [+]" xr:uid="{00000000-0004-0000-0700-000013000000}"/>
    <hyperlink ref="C224" location="$C$225:$C$230" tooltip="Afficher / cacher les détails pour ce produit" display=" [+]" xr:uid="{00000000-0004-0000-0700-000014000000}"/>
    <hyperlink ref="C231" location="$C$232:$C$237" tooltip="Afficher / cacher les détails pour ce produit" display=" [+]" xr:uid="{00000000-0004-0000-0700-000015000000}"/>
    <hyperlink ref="C238" location="$C$239:$C$244" tooltip="Afficher / cacher les détails pour ce produit" display=" [+]" xr:uid="{00000000-0004-0000-0700-000016000000}"/>
    <hyperlink ref="C106" location="Champs!lignesDétailsPâturages" tooltip="Afficher / cacher les détails pour le pâturage" display=" [-]" xr:uid="{00000000-0004-0000-0700-000017000000}"/>
    <hyperlink ref="C112" location="lignesDétailsPrairies" tooltip="Afficher / cacher les détails pour les prairies" display=" [-]" xr:uid="{00000000-0004-0000-0700-000018000000}"/>
    <hyperlink ref="C118" location="$C$119:$C$125" tooltip="Afficher / cacher les détails pour le maïs ensilage" display=" [-]" xr:uid="{00000000-0004-0000-0700-000019000000}"/>
    <hyperlink ref="D167" location="RéfChamps!AG3" tooltip="Ouvrir le tableau de référence" display="RéfChamps!AG3" xr:uid="{00000000-0004-0000-0700-00001A000000}"/>
    <hyperlink ref="C245" location="$C$246" tooltip="Afficher / cacher les détails pour les engrais verts" display=" [+]" xr:uid="{00000000-0004-0000-0700-00001B000000}"/>
    <hyperlink ref="C344" location="$C$345:$C$363" tooltip="Afficher / cacher les détails des charges variables" display=" [-]" xr:uid="{00000000-0004-0000-0700-00001C000000}"/>
    <hyperlink ref="C3" location="Champs!RéfTableDesMatières" tooltip="Afficher/cacher la table des matières" display=" [-]" xr:uid="{00000000-0004-0000-0700-00001D000000}"/>
    <hyperlink ref="E104" r:id="rId1" tooltip="Vous trouverez des références de rendements sur le site de la Financière agricole" xr:uid="{00000000-0004-0000-0700-00001E000000}"/>
    <hyperlink ref="D105" location="lignesDétailsToutes" tooltip="Cliquez ici pour afficher / cacher les détails par culture" display="[+ Afficher tous les détails]" xr:uid="{00000000-0004-0000-0700-00001F000000}"/>
    <hyperlink ref="C321" location="$C$322:$C$340" tooltip="Développer les détails si vous voulez entrer les quantités par culture" display=" [-]" xr:uid="{00000000-0004-0000-0700-000020000000}"/>
    <hyperlink ref="D132" location="RéfChamps!D3" tooltip="Ouvrir le tableau de référence" display="RéfChamps!D3" xr:uid="{00000000-0004-0000-0700-000021000000}"/>
    <hyperlink ref="D139" location="RéfChamps!AS3" tooltip="Ouvrir le tableau de référence" display="RéfChamps!AS3" xr:uid="{00000000-0004-0000-0700-000022000000}"/>
    <hyperlink ref="D29" location="Champs!PlanRotationPaturageS0" tooltip="Aller au plan de rotation" display="Rotations" xr:uid="{00000000-0004-0000-0700-000023000000}"/>
    <hyperlink ref="S28" location="Normes!B141" display="12.1 30% de l'alimentation fourragère (base ms) des animaux adultes provient des pâturages en saison" xr:uid="{00000000-0004-0000-0700-000024000000}"/>
    <hyperlink ref="E54" location="Lait!B111" display="Voir feuille Lait" xr:uid="{00000000-0004-0000-0700-000025000000}"/>
    <hyperlink ref="D387" location="Investissements!A1" tooltip="Cliquez pour ouvrir la liste des investissements" display="La liste des équipements à acquérir sont dans une feuille à part." xr:uid="{00000000-0004-0000-0700-000026000000}"/>
    <hyperlink ref="E34" location="Lait!B85:E109" tooltip="Les besoins du troupeau sont calculés dans la Feuille Lait" display="Voir feuille Lait" xr:uid="{00000000-0004-0000-0700-000027000000}"/>
    <hyperlink ref="D4" location="$C$19" tooltip="Descendre à la section Régime de production" display="Régime de production" xr:uid="{00000000-0004-0000-0700-000028000000}"/>
    <hyperlink ref="D5" location="$C$25" tooltip="Descendre à la section Assolement" display="Assolement" xr:uid="{00000000-0004-0000-0700-000029000000}"/>
    <hyperlink ref="D6" location="$C$54" tooltip="Descendre à la section Besoins alimentaires" display="Besoins alimentaires" xr:uid="{00000000-0004-0000-0700-00002A000000}"/>
    <hyperlink ref="D7" location="$C$75" tooltip="Descendre à la section Rotation des surfaces en cultures et prairies" display="Rotation des surfaces en cultures et prairies" xr:uid="{00000000-0004-0000-0700-00002B000000}"/>
    <hyperlink ref="D11" location="Champs!C344" tooltip="Descendre à la section Charges" display="Charges" xr:uid="{00000000-0004-0000-0700-00002C000000}"/>
    <hyperlink ref="D12" location="Champs!C387" tooltip="Descendre à la section Investissements" display="Investissements" xr:uid="{00000000-0004-0000-0700-00002D000000}"/>
    <hyperlink ref="D13" location="Champs!C408" tooltip="Descendre à la section SYNTHÈSE DES RÉSULTATS" display="SYNTHÈSE DES RÉSULTATS" xr:uid="{00000000-0004-0000-0700-00002E000000}"/>
    <hyperlink ref="D14" location="Champs!C410" tooltip="Descendre à la section Synthèse globale" display="Synthèse globale" xr:uid="{00000000-0004-0000-0700-00002F000000}"/>
    <hyperlink ref="D15" location="Champs!C418" tooltip="Descendre à la section Marges /culture /ha" display="Marges /culture /ha" xr:uid="{00000000-0004-0000-0700-000030000000}"/>
    <hyperlink ref="D16" location="Champs!C443" tooltip="Descendre à la section Marges totales /culture" display="Marges totales /culture" xr:uid="{00000000-0004-0000-0700-000031000000}"/>
    <hyperlink ref="D188" location="RéfChamps!BT3" tooltip="Ouvrir le tableau de référence du seigle d'automne" display="RéfChamps!BT3" xr:uid="{00000000-0004-0000-0700-000032000000}"/>
    <hyperlink ref="D202" location="RéfChamps!CF3" tooltip="Ouvrir le tableau de référence du seigle d'automne" display="RéfChamps!CF3" xr:uid="{00000000-0004-0000-0700-000033000000}"/>
    <hyperlink ref="D209" location="RéfChamps!CL3" tooltip="Ouvrir le tableau de référence du seigle d'automne" display="RéfChamps!CL3" xr:uid="{00000000-0004-0000-0700-000034000000}"/>
    <hyperlink ref="D230" location="RéfChamps!DD3" tooltip="Ouvrir le tableau de référence du seigle d'automne" display="RéfChamps!DD3" xr:uid="{00000000-0004-0000-0700-000035000000}"/>
    <hyperlink ref="D216" location="RéfChamps!CR3" tooltip="Ouvrir le tableau de référence du seigle d'automne" display="RéfChamps!CR3" xr:uid="{00000000-0004-0000-0700-000036000000}"/>
    <hyperlink ref="D117" location="RéfChamps!BE3" tooltip="Ouvrir le tableau de référence" display="RéfChamps!BE3" xr:uid="{00000000-0004-0000-0700-000037000000}"/>
    <hyperlink ref="D111" location="RéfChamps!AY3" tooltip="Ouvrir le tableau de référence" display="Détails pour le pâturage" xr:uid="{00000000-0004-0000-0700-000038000000}"/>
    <hyperlink ref="D44" location="RéfChamps!zonePrairies" tooltip="Suivez l'hyperlien pour aller changer le rendement attendu" display="Rendement attendu" xr:uid="{00000000-0004-0000-0700-000039000000}"/>
    <hyperlink ref="D49" location="RéfChamps!zoneMaisensilage" tooltip="Suivez l'hyperlien pour aller changer le rendement attendu" display="Rendement attendu" xr:uid="{00000000-0004-0000-0700-00003A000000}"/>
    <hyperlink ref="D125" location="RéfChamps!BK3" tooltip="Ouvrir la référence" display="RéfChamps!BK3" xr:uid="{00000000-0004-0000-0700-00003B000000}"/>
    <hyperlink ref="C189" location="$C$190:$C$195" tooltip="Afficher / cacher les détails pour l'épeautre" display=" [-]" xr:uid="{00000000-0004-0000-0700-00003C000000}"/>
    <hyperlink ref="D195" location="RéfChamps!BT3" tooltip="Ouvrir le tableau de référence du seigle d'automne" display="RéfChamps!BT3" xr:uid="{00000000-0004-0000-0700-00003D000000}"/>
    <hyperlink ref="C217" location="$C$218:$C$223" tooltip="Afficher / cacher les détails pour le chanvre" display=" [+]" xr:uid="{00000000-0004-0000-0700-00003E000000}"/>
    <hyperlink ref="D223" location="RéfChamps!CR3" tooltip="Ouvrir le tableau de référence du seigle d'automne" display="RéfChamps!CR3" xr:uid="{00000000-0004-0000-0700-00003F000000}"/>
    <hyperlink ref="D37" location="RéfChamps!zonePaturage" tooltip="Cliquez pour aller modifier les données du rendement" display="Rendement attendu" xr:uid="{00000000-0004-0000-0700-000040000000}"/>
    <hyperlink ref="D8" location="$C$89" tooltip="Descendre à la section Rotation des surfaces en pâturage" display="Rotation des surfaces en pâturage" xr:uid="{00000000-0004-0000-0700-000041000000}"/>
    <hyperlink ref="D9" location="$C$103" tooltip="Descendre à la section Détails par culture (/ha)" display="Détails par culture (/ha)" xr:uid="{00000000-0004-0000-0700-000042000000}"/>
    <hyperlink ref="D10" location="Champs!C252" tooltip="Descendre à la section Produits" display="Produits" xr:uid="{00000000-0004-0000-0700-000043000000}"/>
    <hyperlink ref="D237" location="RéfChamps!DD3" tooltip="Ouvrir le tableau de référence du seigle d'automne" display="RéfChamps!DD3" xr:uid="{00000000-0004-0000-0700-000044000000}"/>
    <hyperlink ref="D244" location="RéfChamps!DD3" tooltip="Ouvrir le tableau de référence du seigle d'automne" display="RéfChamps!DD3" xr:uid="{00000000-0004-0000-0700-000045000000}"/>
  </hyperlinks>
  <pageMargins left="0.7" right="0.7" top="0.75" bottom="0.75" header="0.3" footer="0.3"/>
  <pageSetup orientation="portrait" horizontalDpi="300" verticalDpi="300" r:id="rId2"/>
  <ignoredErrors>
    <ignoredError sqref="H445 H462 H446 H443 H444 H447 H448 H449 H450 H451 H452 H453 H454 H455 H456 H457 H458 H459 H460 H461" formula="1"/>
    <ignoredError sqref="H373 H378 H368 H369 H370 H371 H372 H395 H393 H397 H396 H387 H382 H383 H376 H377 H381 H379 H392 H388 H374 H384 H385 H386 H389 H390 H391 H394" unlockedFormula="1"/>
  </ignoredErrors>
  <drawing r:id="rId3"/>
  <legacyDrawing r:id="rId4"/>
  <mc:AlternateContent xmlns:mc="http://schemas.openxmlformats.org/markup-compatibility/2006">
    <mc:Choice Requires="x14">
      <controls>
        <mc:AlternateContent xmlns:mc="http://schemas.openxmlformats.org/markup-compatibility/2006">
          <mc:Choice Requires="x14">
            <control shapeId="10414" r:id="rId5" name="dropdownTdmChamps">
              <controlPr defaultSize="0" print="0" autoLine="0" autoPict="0" macro="[0]!Champs.gotoTDM">
                <anchor>
                  <from>
                    <xdr:col>4</xdr:col>
                    <xdr:colOff>0</xdr:colOff>
                    <xdr:row>0</xdr:row>
                    <xdr:rowOff>47625</xdr:rowOff>
                  </from>
                  <to>
                    <xdr:col>7</xdr:col>
                    <xdr:colOff>209550</xdr:colOff>
                    <xdr:row>0</xdr:row>
                    <xdr:rowOff>257175</xdr:rowOff>
                  </to>
                </anchor>
              </controlPr>
            </control>
          </mc:Choice>
        </mc:AlternateContent>
        <mc:AlternateContent xmlns:mc="http://schemas.openxmlformats.org/markup-compatibility/2006">
          <mc:Choice Requires="x14">
            <control shapeId="10430" r:id="rId6" name="recolterPailleCulturesBio">
              <controlPr defaultSize="0" print="0" autoFill="0" autoLine="0" autoPict="0" altText="Récolter la paille des cultures bio_x000a_">
                <anchor moveWithCells="1">
                  <from>
                    <xdr:col>3</xdr:col>
                    <xdr:colOff>1543050</xdr:colOff>
                    <xdr:row>320</xdr:row>
                    <xdr:rowOff>0</xdr:rowOff>
                  </from>
                  <to>
                    <xdr:col>5</xdr:col>
                    <xdr:colOff>0</xdr:colOff>
                    <xdr:row>322</xdr:row>
                    <xdr:rowOff>19050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errorStyle="warning" allowBlank="1" showErrorMessage="1" errorTitle="Choisir parmi la liste" error="Conventionnel_x000a_En transition_x000a_En précertification_x000a_Biologique" xr:uid="{00000000-0002-0000-0700-000005000000}">
          <x14:formula1>
            <xm:f>termes!$B$2:$B$5</xm:f>
          </x14:formula1>
          <xm:sqref>G21 I21 K21 M21 O21 Q21</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RefChamp">
    <tabColor theme="5"/>
  </sheetPr>
  <dimension ref="A1:DZ113"/>
  <sheetViews>
    <sheetView showGridLines="0" workbookViewId="0">
      <pane xSplit="2" ySplit="4" topLeftCell="C5" activePane="bottomRight" state="frozen"/>
      <selection pane="topRight" activeCell="C1" sqref="C1"/>
      <selection pane="bottomLeft" activeCell="A5" sqref="A5"/>
      <selection pane="bottomRight" activeCell="C5" sqref="C5"/>
    </sheetView>
  </sheetViews>
  <sheetFormatPr baseColWidth="10" defaultColWidth="9.5703125" defaultRowHeight="14.25"/>
  <cols>
    <col min="1" max="1" width="2.140625" style="1128" customWidth="1"/>
    <col min="2" max="2" width="41.85546875" style="1128" customWidth="1"/>
    <col min="3" max="3" width="9.5703125" style="1148" customWidth="1"/>
    <col min="4" max="4" width="9.5703125" style="1214" customWidth="1"/>
    <col min="5" max="5" width="12" style="1213" customWidth="1"/>
    <col min="6" max="6" width="9.5703125" style="1128" customWidth="1"/>
    <col min="7" max="8" width="9.5703125" style="1213" customWidth="1"/>
    <col min="9" max="9" width="9.5703125" style="1128" customWidth="1"/>
    <col min="10" max="11" width="9.5703125" style="1213" customWidth="1"/>
    <col min="12" max="12" width="9.5703125" style="1128" customWidth="1"/>
    <col min="13" max="14" width="9.5703125" style="1213" customWidth="1"/>
    <col min="15" max="15" width="9.5703125" style="1128" customWidth="1"/>
    <col min="16" max="17" width="9.5703125" style="1213" customWidth="1"/>
    <col min="18" max="18" width="9.5703125" style="1128" customWidth="1"/>
    <col min="19" max="20" width="9.5703125" style="1213" customWidth="1"/>
    <col min="21" max="21" width="9.5703125" style="1128" customWidth="1"/>
    <col min="22" max="22" width="10.5703125" style="1238" customWidth="1"/>
    <col min="23" max="23" width="9.5703125" style="1213" customWidth="1"/>
    <col min="24" max="24" width="9.5703125" style="1128" customWidth="1"/>
    <col min="25" max="26" width="9.5703125" style="1213" customWidth="1"/>
    <col min="27" max="27" width="9.5703125" style="1128" hidden="1" customWidth="1"/>
    <col min="28" max="28" width="9.5703125" style="1238" hidden="1" customWidth="1"/>
    <col min="29" max="29" width="9.5703125" style="1213" hidden="1" customWidth="1"/>
    <col min="30" max="30" width="9.5703125" style="1128" hidden="1" customWidth="1"/>
    <col min="31" max="31" width="9.5703125" style="1238" hidden="1" customWidth="1"/>
    <col min="32" max="32" width="9.5703125" style="1213" hidden="1" customWidth="1"/>
    <col min="33" max="33" width="9.5703125" style="1128" hidden="1" customWidth="1"/>
    <col min="34" max="34" width="9.5703125" style="1238" hidden="1" customWidth="1"/>
    <col min="35" max="35" width="9.5703125" style="1213" hidden="1" customWidth="1"/>
    <col min="36" max="36" width="9.5703125" style="1128" hidden="1" customWidth="1"/>
    <col min="37" max="37" width="9.5703125" style="1238" hidden="1" customWidth="1"/>
    <col min="38" max="38" width="9.5703125" style="1213" hidden="1" customWidth="1"/>
    <col min="39" max="39" width="9.5703125" style="1128" customWidth="1"/>
    <col min="40" max="40" width="9.5703125" style="1238" customWidth="1"/>
    <col min="41" max="41" width="9.5703125" style="1213" customWidth="1"/>
    <col min="42" max="42" width="9.5703125" style="1128" customWidth="1"/>
    <col min="43" max="43" width="9.5703125" style="1238" customWidth="1"/>
    <col min="44" max="44" width="9.5703125" style="1213" customWidth="1"/>
    <col min="45" max="45" width="9.5703125" style="1128" hidden="1" customWidth="1"/>
    <col min="46" max="46" width="9.5703125" style="1238" hidden="1" customWidth="1"/>
    <col min="47" max="47" width="9.5703125" style="1213" hidden="1" customWidth="1"/>
    <col min="48" max="48" width="9.5703125" style="1128" hidden="1" customWidth="1"/>
    <col min="49" max="50" width="9.5703125" style="1213" hidden="1" customWidth="1"/>
    <col min="51" max="51" width="9.5703125" style="1128" customWidth="1"/>
    <col min="52" max="52" width="9.5703125" style="1238" customWidth="1"/>
    <col min="53" max="53" width="9.5703125" style="1213" customWidth="1"/>
    <col min="54" max="54" width="9.5703125" style="1128" customWidth="1"/>
    <col min="55" max="55" width="9.5703125" style="1238" customWidth="1"/>
    <col min="56" max="56" width="9.5703125" style="1213" customWidth="1"/>
    <col min="57" max="57" width="9.5703125" style="1128" customWidth="1"/>
    <col min="58" max="58" width="9.5703125" style="1213" customWidth="1"/>
    <col min="59" max="59" width="9.5703125" style="1259" customWidth="1"/>
    <col min="60" max="60" width="9.5703125" style="1128" customWidth="1"/>
    <col min="61" max="61" width="9.5703125" style="1238" customWidth="1"/>
    <col min="62" max="62" width="9.5703125" style="1259" customWidth="1"/>
    <col min="63" max="63" width="9.5703125" style="1128" customWidth="1"/>
    <col min="64" max="64" width="9.5703125" style="1238" customWidth="1"/>
    <col min="65" max="65" width="9.5703125" style="1259" customWidth="1"/>
    <col min="66" max="66" width="9.5703125" style="1128" customWidth="1"/>
    <col min="67" max="67" width="9.5703125" style="1238" customWidth="1"/>
    <col min="68" max="68" width="9.5703125" style="1259" customWidth="1"/>
    <col min="69" max="69" width="9.5703125" style="1128" customWidth="1"/>
    <col min="70" max="70" width="9.5703125" style="1213" customWidth="1"/>
    <col min="71" max="71" width="9.5703125" style="1259" customWidth="1"/>
    <col min="72" max="72" width="9.5703125" style="1128" hidden="1" customWidth="1"/>
    <col min="73" max="73" width="9.5703125" style="1238" hidden="1" customWidth="1"/>
    <col min="74" max="74" width="9.5703125" style="1213" hidden="1" customWidth="1"/>
    <col min="75" max="75" width="9.5703125" style="1128" hidden="1" customWidth="1"/>
    <col min="76" max="76" width="9.5703125" style="1238" hidden="1" customWidth="1"/>
    <col min="77" max="77" width="9.5703125" style="1213" hidden="1" customWidth="1"/>
    <col min="78" max="78" width="9.5703125" style="1128" hidden="1" customWidth="1"/>
    <col min="79" max="79" width="9.5703125" style="1238" hidden="1" customWidth="1"/>
    <col min="80" max="80" width="9.5703125" style="1213" hidden="1" customWidth="1"/>
    <col min="81" max="81" width="9.5703125" style="1128" hidden="1" customWidth="1"/>
    <col min="82" max="82" width="13.85546875" style="1238" hidden="1" customWidth="1"/>
    <col min="83" max="83" width="9.5703125" style="1213" hidden="1" customWidth="1"/>
    <col min="84" max="84" width="9.5703125" style="1128" hidden="1" customWidth="1"/>
    <col min="85" max="85" width="9.5703125" style="1238" hidden="1" customWidth="1"/>
    <col min="86" max="86" width="9.5703125" style="1213" hidden="1" customWidth="1"/>
    <col min="87" max="87" width="9.5703125" style="1128" hidden="1" customWidth="1"/>
    <col min="88" max="88" width="9.5703125" style="1238" hidden="1" customWidth="1"/>
    <col min="89" max="89" width="9.5703125" style="1213" hidden="1" customWidth="1"/>
    <col min="90" max="90" width="9.5703125" style="1128" hidden="1" customWidth="1"/>
    <col min="91" max="91" width="9.5703125" style="1238" hidden="1" customWidth="1"/>
    <col min="92" max="92" width="9.5703125" style="1213" hidden="1" customWidth="1"/>
    <col min="93" max="93" width="9.5703125" style="1128" hidden="1" customWidth="1"/>
    <col min="94" max="94" width="9.5703125" style="1238" hidden="1" customWidth="1"/>
    <col min="95" max="95" width="9.5703125" style="1213" hidden="1" customWidth="1"/>
    <col min="96" max="96" width="9.5703125" style="1128" hidden="1" customWidth="1"/>
    <col min="97" max="97" width="9.5703125" style="1238" hidden="1" customWidth="1"/>
    <col min="98" max="98" width="9.5703125" style="1213" hidden="1" customWidth="1"/>
    <col min="99" max="99" width="9.5703125" style="1128" hidden="1" customWidth="1"/>
    <col min="100" max="100" width="9.5703125" style="1238" hidden="1" customWidth="1"/>
    <col min="101" max="101" width="9.5703125" style="1213" hidden="1" customWidth="1"/>
    <col min="102" max="102" width="9.5703125" style="1128" hidden="1" customWidth="1"/>
    <col min="103" max="103" width="9.5703125" style="1238" hidden="1" customWidth="1"/>
    <col min="104" max="104" width="9.5703125" style="1213" hidden="1" customWidth="1"/>
    <col min="105" max="105" width="9.5703125" style="1128" hidden="1" customWidth="1"/>
    <col min="106" max="106" width="9.5703125" style="1238" hidden="1" customWidth="1"/>
    <col min="107" max="107" width="9.5703125" style="1213" hidden="1" customWidth="1"/>
    <col min="108" max="108" width="9.5703125" style="1128" hidden="1" customWidth="1"/>
    <col min="109" max="110" width="9.5703125" style="1213" hidden="1" customWidth="1"/>
    <col min="111" max="111" width="9.5703125" style="1128" hidden="1" customWidth="1"/>
    <col min="112" max="113" width="9.5703125" style="1213" hidden="1" customWidth="1"/>
    <col min="114" max="114" width="9.5703125" style="1128" hidden="1" customWidth="1"/>
    <col min="115" max="116" width="9.5703125" style="1213" hidden="1" customWidth="1"/>
    <col min="117" max="117" width="9.5703125" style="1128" hidden="1" customWidth="1"/>
    <col min="118" max="119" width="9.5703125" style="1213" hidden="1" customWidth="1"/>
    <col min="120" max="120" width="9.5703125" style="1128" hidden="1" customWidth="1"/>
    <col min="121" max="122" width="9.5703125" style="1213" hidden="1" customWidth="1"/>
    <col min="123" max="123" width="9.5703125" style="1128" hidden="1" customWidth="1"/>
    <col min="124" max="125" width="9.5703125" style="1213" hidden="1" customWidth="1"/>
    <col min="126" max="126" width="9.5703125" style="1128" customWidth="1"/>
    <col min="127" max="128" width="9.5703125" style="1213" customWidth="1"/>
    <col min="129" max="16384" width="9.5703125" style="1128"/>
  </cols>
  <sheetData>
    <row r="1" spans="1:130" ht="48.75" thickBot="1">
      <c r="A1" s="1267"/>
      <c r="B1" s="1671" t="s">
        <v>1365</v>
      </c>
      <c r="C1" s="1268" t="s">
        <v>0</v>
      </c>
      <c r="D1" s="1268" t="s">
        <v>0</v>
      </c>
      <c r="E1" s="1268" t="s">
        <v>0</v>
      </c>
      <c r="F1" s="1268" t="s">
        <v>0</v>
      </c>
      <c r="G1" s="1268" t="s">
        <v>0</v>
      </c>
      <c r="H1" s="1268" t="s">
        <v>0</v>
      </c>
      <c r="I1" s="1268" t="s">
        <v>1</v>
      </c>
      <c r="J1" s="1268" t="s">
        <v>1</v>
      </c>
      <c r="K1" s="1268" t="s">
        <v>1</v>
      </c>
      <c r="L1" s="1268" t="s">
        <v>1</v>
      </c>
      <c r="M1" s="1268" t="s">
        <v>1</v>
      </c>
      <c r="N1" s="1268" t="s">
        <v>1</v>
      </c>
      <c r="O1" s="1268" t="s">
        <v>3</v>
      </c>
      <c r="P1" s="1268" t="s">
        <v>3</v>
      </c>
      <c r="Q1" s="1268" t="s">
        <v>3</v>
      </c>
      <c r="R1" s="1268" t="s">
        <v>3</v>
      </c>
      <c r="S1" s="1268" t="s">
        <v>3</v>
      </c>
      <c r="T1" s="1268" t="s">
        <v>3</v>
      </c>
      <c r="U1" s="1268" t="s">
        <v>6</v>
      </c>
      <c r="V1" s="1268" t="s">
        <v>6</v>
      </c>
      <c r="W1" s="1268" t="s">
        <v>6</v>
      </c>
      <c r="X1" s="1268" t="s">
        <v>6</v>
      </c>
      <c r="Y1" s="1268" t="s">
        <v>6</v>
      </c>
      <c r="Z1" s="1268" t="s">
        <v>6</v>
      </c>
      <c r="AA1" s="1268" t="s">
        <v>4</v>
      </c>
      <c r="AB1" s="1268" t="s">
        <v>4</v>
      </c>
      <c r="AC1" s="1268" t="s">
        <v>4</v>
      </c>
      <c r="AD1" s="1268" t="s">
        <v>4</v>
      </c>
      <c r="AE1" s="1268" t="s">
        <v>4</v>
      </c>
      <c r="AF1" s="1268" t="s">
        <v>4</v>
      </c>
      <c r="AG1" s="1268" t="s">
        <v>5</v>
      </c>
      <c r="AH1" s="1268" t="s">
        <v>5</v>
      </c>
      <c r="AI1" s="1268" t="s">
        <v>5</v>
      </c>
      <c r="AJ1" s="1268" t="s">
        <v>5</v>
      </c>
      <c r="AK1" s="1268" t="s">
        <v>5</v>
      </c>
      <c r="AL1" s="1268" t="s">
        <v>5</v>
      </c>
      <c r="AM1" s="1268" t="s">
        <v>1260</v>
      </c>
      <c r="AN1" s="1268" t="s">
        <v>1260</v>
      </c>
      <c r="AO1" s="1268" t="s">
        <v>1260</v>
      </c>
      <c r="AP1" s="1268" t="s">
        <v>1260</v>
      </c>
      <c r="AQ1" s="1268" t="s">
        <v>1260</v>
      </c>
      <c r="AR1" s="1268" t="s">
        <v>1260</v>
      </c>
      <c r="AS1" s="1268" t="s">
        <v>11</v>
      </c>
      <c r="AT1" s="1268" t="s">
        <v>11</v>
      </c>
      <c r="AU1" s="1268" t="s">
        <v>11</v>
      </c>
      <c r="AV1" s="1268" t="s">
        <v>11</v>
      </c>
      <c r="AW1" s="1268" t="s">
        <v>11</v>
      </c>
      <c r="AX1" s="1268" t="s">
        <v>11</v>
      </c>
      <c r="AY1" s="1268" t="s">
        <v>2</v>
      </c>
      <c r="AZ1" s="1268" t="s">
        <v>2</v>
      </c>
      <c r="BA1" s="1268" t="s">
        <v>2</v>
      </c>
      <c r="BB1" s="1268" t="s">
        <v>2</v>
      </c>
      <c r="BC1" s="1268" t="s">
        <v>2</v>
      </c>
      <c r="BD1" s="1268" t="s">
        <v>2</v>
      </c>
      <c r="BE1" s="1268" t="s">
        <v>142</v>
      </c>
      <c r="BF1" s="1268" t="s">
        <v>142</v>
      </c>
      <c r="BG1" s="1268" t="s">
        <v>142</v>
      </c>
      <c r="BH1" s="1268" t="s">
        <v>142</v>
      </c>
      <c r="BI1" s="1268" t="s">
        <v>142</v>
      </c>
      <c r="BJ1" s="1268" t="s">
        <v>142</v>
      </c>
      <c r="BK1" s="1268" t="s">
        <v>140</v>
      </c>
      <c r="BL1" s="1268" t="s">
        <v>140</v>
      </c>
      <c r="BM1" s="1268" t="s">
        <v>140</v>
      </c>
      <c r="BN1" s="1268" t="s">
        <v>140</v>
      </c>
      <c r="BO1" s="1268" t="s">
        <v>140</v>
      </c>
      <c r="BP1" s="1268" t="s">
        <v>140</v>
      </c>
      <c r="BQ1" s="1268" t="s">
        <v>1148</v>
      </c>
      <c r="BR1" s="1268" t="s">
        <v>1148</v>
      </c>
      <c r="BS1" s="1268" t="s">
        <v>1148</v>
      </c>
      <c r="BT1" s="1268" t="s">
        <v>1291</v>
      </c>
      <c r="BU1" s="1268" t="s">
        <v>1291</v>
      </c>
      <c r="BV1" s="1268" t="s">
        <v>1291</v>
      </c>
      <c r="BW1" s="1268" t="s">
        <v>1291</v>
      </c>
      <c r="BX1" s="1268" t="s">
        <v>1291</v>
      </c>
      <c r="BY1" s="1268" t="s">
        <v>1291</v>
      </c>
      <c r="BZ1" s="1268" t="s">
        <v>1294</v>
      </c>
      <c r="CA1" s="1268" t="s">
        <v>1294</v>
      </c>
      <c r="CB1" s="1268" t="s">
        <v>1294</v>
      </c>
      <c r="CC1" s="1268" t="s">
        <v>1294</v>
      </c>
      <c r="CD1" s="1268" t="s">
        <v>1294</v>
      </c>
      <c r="CE1" s="1268" t="s">
        <v>1294</v>
      </c>
      <c r="CF1" s="1268" t="s">
        <v>218</v>
      </c>
      <c r="CG1" s="1268" t="s">
        <v>218</v>
      </c>
      <c r="CH1" s="1268" t="s">
        <v>218</v>
      </c>
      <c r="CI1" s="1268" t="s">
        <v>218</v>
      </c>
      <c r="CJ1" s="1268" t="s">
        <v>218</v>
      </c>
      <c r="CK1" s="1268" t="s">
        <v>218</v>
      </c>
      <c r="CL1" s="1268" t="s">
        <v>1261</v>
      </c>
      <c r="CM1" s="1268" t="s">
        <v>1261</v>
      </c>
      <c r="CN1" s="1268" t="s">
        <v>1261</v>
      </c>
      <c r="CO1" s="1268" t="s">
        <v>1261</v>
      </c>
      <c r="CP1" s="1268" t="s">
        <v>1261</v>
      </c>
      <c r="CQ1" s="1268" t="s">
        <v>1261</v>
      </c>
      <c r="CR1" s="1268" t="s">
        <v>219</v>
      </c>
      <c r="CS1" s="1268" t="s">
        <v>219</v>
      </c>
      <c r="CT1" s="1268" t="s">
        <v>219</v>
      </c>
      <c r="CU1" s="1268" t="s">
        <v>219</v>
      </c>
      <c r="CV1" s="1268" t="s">
        <v>219</v>
      </c>
      <c r="CW1" s="1268" t="s">
        <v>219</v>
      </c>
      <c r="CX1" s="1268" t="s">
        <v>1262</v>
      </c>
      <c r="CY1" s="1268" t="s">
        <v>1262</v>
      </c>
      <c r="CZ1" s="1268" t="s">
        <v>1262</v>
      </c>
      <c r="DA1" s="1268" t="s">
        <v>1262</v>
      </c>
      <c r="DB1" s="1268" t="s">
        <v>1262</v>
      </c>
      <c r="DC1" s="1268" t="s">
        <v>1262</v>
      </c>
      <c r="DD1" s="1268" t="str">
        <f t="shared" ref="DD1:DI1" si="0">nAutre1</f>
        <v>Autre #1</v>
      </c>
      <c r="DE1" s="1268" t="str">
        <f t="shared" si="0"/>
        <v>Autre #1</v>
      </c>
      <c r="DF1" s="1268" t="str">
        <f t="shared" si="0"/>
        <v>Autre #1</v>
      </c>
      <c r="DG1" s="1268" t="str">
        <f t="shared" si="0"/>
        <v>Autre #1</v>
      </c>
      <c r="DH1" s="1268" t="str">
        <f t="shared" si="0"/>
        <v>Autre #1</v>
      </c>
      <c r="DI1" s="1268" t="str">
        <f t="shared" si="0"/>
        <v>Autre #1</v>
      </c>
      <c r="DJ1" s="1268" t="str">
        <f t="shared" ref="DJ1:DO1" si="1">nAutre2</f>
        <v>Autre #2</v>
      </c>
      <c r="DK1" s="1268" t="str">
        <f t="shared" si="1"/>
        <v>Autre #2</v>
      </c>
      <c r="DL1" s="1268" t="str">
        <f t="shared" si="1"/>
        <v>Autre #2</v>
      </c>
      <c r="DM1" s="1268" t="str">
        <f t="shared" si="1"/>
        <v>Autre #2</v>
      </c>
      <c r="DN1" s="1268" t="str">
        <f t="shared" si="1"/>
        <v>Autre #2</v>
      </c>
      <c r="DO1" s="1268" t="str">
        <f t="shared" si="1"/>
        <v>Autre #2</v>
      </c>
      <c r="DP1" s="1268" t="str">
        <f t="shared" ref="DP1:DU1" si="2">nAutre3</f>
        <v>Autre #3</v>
      </c>
      <c r="DQ1" s="1268" t="str">
        <f t="shared" si="2"/>
        <v>Autre #3</v>
      </c>
      <c r="DR1" s="1268" t="str">
        <f t="shared" si="2"/>
        <v>Autre #3</v>
      </c>
      <c r="DS1" s="1268" t="str">
        <f t="shared" si="2"/>
        <v>Autre #3</v>
      </c>
      <c r="DT1" s="1268" t="str">
        <f t="shared" si="2"/>
        <v>Autre #3</v>
      </c>
      <c r="DU1" s="1268" t="str">
        <f t="shared" si="2"/>
        <v>Autre #3</v>
      </c>
      <c r="DV1" s="1268" t="s">
        <v>26</v>
      </c>
      <c r="DW1" s="1268" t="s">
        <v>26</v>
      </c>
      <c r="DX1" s="1268" t="s">
        <v>26</v>
      </c>
    </row>
    <row r="2" spans="1:130" s="1278" customFormat="1" ht="29.25" thickTop="1">
      <c r="A2" s="1283" t="s">
        <v>294</v>
      </c>
      <c r="B2" s="1269" t="s">
        <v>1263</v>
      </c>
      <c r="C2" s="1270" t="s">
        <v>1216</v>
      </c>
      <c r="D2" s="1271"/>
      <c r="E2" s="1271"/>
      <c r="F2" s="1270" t="s">
        <v>1217</v>
      </c>
      <c r="G2" s="1272"/>
      <c r="H2" s="1272"/>
      <c r="I2" s="1270" t="s">
        <v>1219</v>
      </c>
      <c r="J2" s="1272"/>
      <c r="K2" s="1272"/>
      <c r="L2" s="1270" t="s">
        <v>1218</v>
      </c>
      <c r="M2" s="1272"/>
      <c r="N2" s="1272"/>
      <c r="O2" s="1270" t="s">
        <v>1220</v>
      </c>
      <c r="P2" s="1272"/>
      <c r="Q2" s="1272"/>
      <c r="R2" s="1270" t="s">
        <v>1221</v>
      </c>
      <c r="S2" s="1272"/>
      <c r="T2" s="1272"/>
      <c r="U2" s="1270" t="s">
        <v>1222</v>
      </c>
      <c r="V2" s="1273"/>
      <c r="W2" s="1272"/>
      <c r="X2" s="1270" t="s">
        <v>1223</v>
      </c>
      <c r="Y2" s="1272"/>
      <c r="Z2" s="1272"/>
      <c r="AA2" s="1270" t="s">
        <v>1224</v>
      </c>
      <c r="AB2" s="1273"/>
      <c r="AC2" s="1272"/>
      <c r="AD2" s="1270" t="s">
        <v>1225</v>
      </c>
      <c r="AE2" s="1273"/>
      <c r="AF2" s="1272"/>
      <c r="AG2" s="1270" t="s">
        <v>1226</v>
      </c>
      <c r="AH2" s="1273"/>
      <c r="AI2" s="1272"/>
      <c r="AJ2" s="1270" t="s">
        <v>1227</v>
      </c>
      <c r="AK2" s="1273"/>
      <c r="AL2" s="1273"/>
      <c r="AM2" s="1270" t="s">
        <v>1228</v>
      </c>
      <c r="AN2" s="1273"/>
      <c r="AO2" s="1273"/>
      <c r="AP2" s="1270" t="s">
        <v>1229</v>
      </c>
      <c r="AQ2" s="1272"/>
      <c r="AR2" s="1272"/>
      <c r="AS2" s="1270" t="s">
        <v>1230</v>
      </c>
      <c r="AT2" s="1272"/>
      <c r="AU2" s="1272"/>
      <c r="AV2" s="1274" t="s">
        <v>1231</v>
      </c>
      <c r="AW2" s="1272"/>
      <c r="AX2" s="1275"/>
      <c r="AY2" s="1276" t="s">
        <v>1232</v>
      </c>
      <c r="AZ2" s="1277" t="s">
        <v>970</v>
      </c>
      <c r="BA2" s="1277" t="s">
        <v>1233</v>
      </c>
      <c r="BB2" s="1276" t="s">
        <v>1234</v>
      </c>
      <c r="BC2" s="1275"/>
      <c r="BD2" s="1275"/>
      <c r="BE2" s="1278" t="s">
        <v>1235</v>
      </c>
      <c r="BF2" s="1275"/>
      <c r="BG2" s="1279"/>
      <c r="BH2" s="1278" t="s">
        <v>1236</v>
      </c>
      <c r="BI2" s="1277"/>
      <c r="BJ2" s="1279"/>
      <c r="BK2" s="1278" t="s">
        <v>1237</v>
      </c>
      <c r="BL2" s="1277"/>
      <c r="BM2" s="1279"/>
      <c r="BN2" s="1278" t="s">
        <v>1238</v>
      </c>
      <c r="BO2" s="1277"/>
      <c r="BP2" s="1279"/>
      <c r="BR2" s="1275"/>
      <c r="BS2" s="1279"/>
      <c r="BT2" s="1270" t="s">
        <v>1239</v>
      </c>
      <c r="BU2" s="1277"/>
      <c r="BV2" s="1272"/>
      <c r="BW2" s="1270" t="s">
        <v>1240</v>
      </c>
      <c r="BX2" s="1277"/>
      <c r="BY2" s="1272"/>
      <c r="BZ2" s="1270" t="s">
        <v>1241</v>
      </c>
      <c r="CA2" s="1277"/>
      <c r="CB2" s="1272"/>
      <c r="CC2" s="1270" t="s">
        <v>1242</v>
      </c>
      <c r="CD2" s="1272"/>
      <c r="CE2" s="1272"/>
      <c r="CF2" s="1270" t="s">
        <v>1243</v>
      </c>
      <c r="CG2" s="1273"/>
      <c r="CH2" s="1272"/>
      <c r="CI2" s="1270" t="s">
        <v>1244</v>
      </c>
      <c r="CJ2" s="1273"/>
      <c r="CK2" s="1272"/>
      <c r="CL2" s="1270" t="s">
        <v>1245</v>
      </c>
      <c r="CM2" s="1273"/>
      <c r="CN2" s="1272"/>
      <c r="CO2" s="1270" t="s">
        <v>1245</v>
      </c>
      <c r="CP2" s="1273"/>
      <c r="CQ2" s="1272"/>
      <c r="CR2" s="1270" t="s">
        <v>1246</v>
      </c>
      <c r="CS2" s="1273"/>
      <c r="CT2" s="1272"/>
      <c r="CU2" s="1270" t="s">
        <v>1247</v>
      </c>
      <c r="CV2" s="1273"/>
      <c r="CW2" s="1272"/>
      <c r="CX2" s="1270" t="s">
        <v>1275</v>
      </c>
      <c r="CY2" s="1273"/>
      <c r="CZ2" s="1272"/>
      <c r="DA2" s="1270" t="s">
        <v>1248</v>
      </c>
      <c r="DB2" s="1273"/>
      <c r="DC2" s="1272"/>
      <c r="DD2" s="1270"/>
      <c r="DE2" s="1272"/>
      <c r="DF2" s="1272"/>
      <c r="DG2" s="1270"/>
      <c r="DH2" s="1272"/>
      <c r="DI2" s="1272"/>
      <c r="DJ2" s="1270"/>
      <c r="DK2" s="1272"/>
      <c r="DL2" s="1272"/>
      <c r="DM2" s="1270"/>
      <c r="DN2" s="1272"/>
      <c r="DO2" s="1272"/>
      <c r="DP2" s="1270"/>
      <c r="DQ2" s="1272"/>
      <c r="DR2" s="1272"/>
      <c r="DS2" s="1270"/>
      <c r="DT2" s="1272"/>
      <c r="DU2" s="1272"/>
      <c r="DV2" s="1270"/>
      <c r="DW2" s="1272"/>
      <c r="DX2" s="1272"/>
      <c r="DY2" s="1270"/>
      <c r="DZ2" s="1270"/>
    </row>
    <row r="3" spans="1:130" s="1282" customFormat="1" ht="19.5" thickBot="1">
      <c r="A3" s="2072"/>
      <c r="B3" s="2072" t="s">
        <v>1264</v>
      </c>
      <c r="C3" s="2197" t="s">
        <v>607</v>
      </c>
      <c r="D3" s="2197"/>
      <c r="E3" s="2197"/>
      <c r="F3" s="2197" t="s">
        <v>608</v>
      </c>
      <c r="G3" s="2197"/>
      <c r="H3" s="2197"/>
      <c r="I3" s="2072" t="s">
        <v>325</v>
      </c>
      <c r="J3" s="1280"/>
      <c r="K3" s="1280"/>
      <c r="L3" s="2072" t="s">
        <v>340</v>
      </c>
      <c r="M3" s="1280"/>
      <c r="N3" s="1280"/>
      <c r="O3" s="2072" t="s">
        <v>345</v>
      </c>
      <c r="P3" s="1280"/>
      <c r="Q3" s="1280"/>
      <c r="R3" s="2072" t="s">
        <v>346</v>
      </c>
      <c r="S3" s="1280"/>
      <c r="T3" s="1280"/>
      <c r="U3" s="2072" t="s">
        <v>343</v>
      </c>
      <c r="V3" s="1281"/>
      <c r="W3" s="1280"/>
      <c r="X3" s="2072" t="s">
        <v>344</v>
      </c>
      <c r="Y3" s="1280"/>
      <c r="Z3" s="1280"/>
      <c r="AA3" s="2072" t="s">
        <v>347</v>
      </c>
      <c r="AB3" s="1281"/>
      <c r="AC3" s="1280"/>
      <c r="AD3" s="2072" t="s">
        <v>348</v>
      </c>
      <c r="AE3" s="1281"/>
      <c r="AF3" s="1280"/>
      <c r="AG3" s="2072" t="s">
        <v>349</v>
      </c>
      <c r="AH3" s="1281"/>
      <c r="AI3" s="1280"/>
      <c r="AJ3" s="2072" t="s">
        <v>350</v>
      </c>
      <c r="AK3" s="1281"/>
      <c r="AL3" s="1280"/>
      <c r="AM3" s="2072" t="s">
        <v>614</v>
      </c>
      <c r="AN3" s="1281"/>
      <c r="AO3" s="1280"/>
      <c r="AP3" s="2072" t="s">
        <v>615</v>
      </c>
      <c r="AQ3" s="1281"/>
      <c r="AR3" s="1280"/>
      <c r="AS3" s="2072" t="s">
        <v>341</v>
      </c>
      <c r="AT3" s="1281"/>
      <c r="AU3" s="1280"/>
      <c r="AV3" s="2072" t="s">
        <v>342</v>
      </c>
      <c r="AW3" s="1280"/>
      <c r="AX3" s="1280"/>
      <c r="AY3" s="2072" t="s">
        <v>1204</v>
      </c>
      <c r="AZ3" s="1281"/>
      <c r="BA3" s="1280"/>
      <c r="BB3" s="2072" t="s">
        <v>1205</v>
      </c>
      <c r="BC3" s="1281"/>
      <c r="BD3" s="1280"/>
      <c r="BE3" s="2072" t="s">
        <v>954</v>
      </c>
      <c r="BF3" s="1280"/>
      <c r="BG3" s="1280"/>
      <c r="BH3" s="2072" t="s">
        <v>958</v>
      </c>
      <c r="BI3" s="1281"/>
      <c r="BJ3" s="1280"/>
      <c r="BK3" s="2072" t="s">
        <v>955</v>
      </c>
      <c r="BL3" s="1281"/>
      <c r="BM3" s="1280"/>
      <c r="BN3" s="2072" t="s">
        <v>956</v>
      </c>
      <c r="BO3" s="1281"/>
      <c r="BP3" s="1280"/>
      <c r="BQ3" s="2072" t="s">
        <v>1148</v>
      </c>
      <c r="BR3" s="1280"/>
      <c r="BS3" s="1280"/>
      <c r="BT3" s="2072" t="s">
        <v>1206</v>
      </c>
      <c r="BU3" s="1281"/>
      <c r="BV3" s="1280"/>
      <c r="BW3" s="2072" t="s">
        <v>1207</v>
      </c>
      <c r="BX3" s="1281"/>
      <c r="BY3" s="1280"/>
      <c r="BZ3" s="2072" t="s">
        <v>1208</v>
      </c>
      <c r="CA3" s="1281"/>
      <c r="CB3" s="1280"/>
      <c r="CC3" s="2072" t="s">
        <v>1209</v>
      </c>
      <c r="CD3" s="1281"/>
      <c r="CE3" s="1280"/>
      <c r="CF3" s="2072" t="s">
        <v>1210</v>
      </c>
      <c r="CG3" s="1281"/>
      <c r="CH3" s="1280"/>
      <c r="CI3" s="2072" t="s">
        <v>1211</v>
      </c>
      <c r="CJ3" s="1281"/>
      <c r="CK3" s="1280"/>
      <c r="CL3" s="2072" t="s">
        <v>1212</v>
      </c>
      <c r="CM3" s="1281"/>
      <c r="CN3" s="1280"/>
      <c r="CO3" s="2072" t="s">
        <v>1213</v>
      </c>
      <c r="CP3" s="1281"/>
      <c r="CQ3" s="1280"/>
      <c r="CR3" s="2072" t="s">
        <v>1149</v>
      </c>
      <c r="CS3" s="1281"/>
      <c r="CT3" s="1280"/>
      <c r="CU3" s="2072" t="s">
        <v>1150</v>
      </c>
      <c r="CV3" s="1281"/>
      <c r="CW3" s="1280"/>
      <c r="CX3" s="2072" t="s">
        <v>1214</v>
      </c>
      <c r="CY3" s="1281"/>
      <c r="CZ3" s="1280"/>
      <c r="DA3" s="2072" t="s">
        <v>1215</v>
      </c>
      <c r="DB3" s="1281"/>
      <c r="DC3" s="1280"/>
      <c r="DD3" s="2072" t="str">
        <f>nAutre1&amp;" bio"</f>
        <v>Autre #1 bio</v>
      </c>
      <c r="DE3" s="1280"/>
      <c r="DF3" s="1280"/>
      <c r="DG3" s="2072" t="str">
        <f>nAutre1&amp;" conv"</f>
        <v>Autre #1 conv</v>
      </c>
      <c r="DH3" s="1280"/>
      <c r="DI3" s="1280"/>
      <c r="DJ3" s="2072" t="str">
        <f>nAutre2&amp;" bio"</f>
        <v>Autre #2 bio</v>
      </c>
      <c r="DK3" s="1280"/>
      <c r="DL3" s="1280"/>
      <c r="DM3" s="2072" t="str">
        <f>nAutre2&amp;" conv"</f>
        <v>Autre #2 conv</v>
      </c>
      <c r="DN3" s="1280"/>
      <c r="DO3" s="1280"/>
      <c r="DP3" s="2072" t="str">
        <f>nAutre3&amp;" bio"</f>
        <v>Autre #3 bio</v>
      </c>
      <c r="DQ3" s="1280"/>
      <c r="DR3" s="1280"/>
      <c r="DS3" s="2072" t="str">
        <f>nAutre3&amp;" conv"</f>
        <v>Autre #3 conv</v>
      </c>
      <c r="DT3" s="1280"/>
      <c r="DU3" s="1280"/>
      <c r="DV3" s="2072" t="s">
        <v>26</v>
      </c>
      <c r="DW3" s="1280"/>
      <c r="DX3" s="1280"/>
    </row>
    <row r="4" spans="1:130" s="1129" customFormat="1" ht="15" thickTop="1">
      <c r="A4" s="1071"/>
      <c r="B4" s="1301" t="s">
        <v>282</v>
      </c>
      <c r="C4" s="1151" t="s">
        <v>143</v>
      </c>
      <c r="D4" s="1191" t="s">
        <v>144</v>
      </c>
      <c r="E4" s="1192" t="s">
        <v>145</v>
      </c>
      <c r="F4" s="1152" t="s">
        <v>143</v>
      </c>
      <c r="G4" s="1215" t="s">
        <v>144</v>
      </c>
      <c r="H4" s="1192" t="s">
        <v>145</v>
      </c>
      <c r="I4" s="1152" t="s">
        <v>143</v>
      </c>
      <c r="J4" s="1215" t="s">
        <v>144</v>
      </c>
      <c r="K4" s="1192" t="s">
        <v>145</v>
      </c>
      <c r="L4" s="1152" t="s">
        <v>143</v>
      </c>
      <c r="M4" s="1215" t="s">
        <v>144</v>
      </c>
      <c r="N4" s="1192" t="s">
        <v>145</v>
      </c>
      <c r="O4" s="1152" t="s">
        <v>143</v>
      </c>
      <c r="P4" s="1215" t="s">
        <v>144</v>
      </c>
      <c r="Q4" s="1192" t="s">
        <v>145</v>
      </c>
      <c r="R4" s="1152" t="s">
        <v>143</v>
      </c>
      <c r="S4" s="1215" t="s">
        <v>144</v>
      </c>
      <c r="T4" s="1192" t="s">
        <v>145</v>
      </c>
      <c r="U4" s="1152" t="s">
        <v>143</v>
      </c>
      <c r="V4" s="1229" t="s">
        <v>144</v>
      </c>
      <c r="W4" s="1192" t="s">
        <v>145</v>
      </c>
      <c r="X4" s="1152" t="s">
        <v>143</v>
      </c>
      <c r="Y4" s="1215" t="s">
        <v>144</v>
      </c>
      <c r="Z4" s="1192" t="s">
        <v>145</v>
      </c>
      <c r="AA4" s="1152" t="s">
        <v>143</v>
      </c>
      <c r="AB4" s="1229" t="s">
        <v>144</v>
      </c>
      <c r="AC4" s="1192" t="s">
        <v>145</v>
      </c>
      <c r="AD4" s="1152" t="s">
        <v>143</v>
      </c>
      <c r="AE4" s="1229" t="s">
        <v>144</v>
      </c>
      <c r="AF4" s="1192" t="s">
        <v>145</v>
      </c>
      <c r="AG4" s="1152" t="s">
        <v>143</v>
      </c>
      <c r="AH4" s="1229" t="s">
        <v>144</v>
      </c>
      <c r="AI4" s="1192" t="s">
        <v>145</v>
      </c>
      <c r="AJ4" s="1152" t="s">
        <v>143</v>
      </c>
      <c r="AK4" s="1229" t="s">
        <v>144</v>
      </c>
      <c r="AL4" s="1192" t="s">
        <v>145</v>
      </c>
      <c r="AM4" s="1152" t="s">
        <v>143</v>
      </c>
      <c r="AN4" s="1229" t="s">
        <v>144</v>
      </c>
      <c r="AO4" s="1192" t="s">
        <v>145</v>
      </c>
      <c r="AP4" s="1152" t="s">
        <v>143</v>
      </c>
      <c r="AQ4" s="1229" t="s">
        <v>144</v>
      </c>
      <c r="AR4" s="1192" t="s">
        <v>145</v>
      </c>
      <c r="AS4" s="1152" t="s">
        <v>143</v>
      </c>
      <c r="AT4" s="1229" t="s">
        <v>144</v>
      </c>
      <c r="AU4" s="1192" t="s">
        <v>145</v>
      </c>
      <c r="AV4" s="1152" t="s">
        <v>143</v>
      </c>
      <c r="AW4" s="1215" t="s">
        <v>144</v>
      </c>
      <c r="AX4" s="1192" t="s">
        <v>145</v>
      </c>
      <c r="AY4" s="1152" t="s">
        <v>143</v>
      </c>
      <c r="AZ4" s="1229" t="s">
        <v>144</v>
      </c>
      <c r="BA4" s="1192" t="s">
        <v>145</v>
      </c>
      <c r="BB4" s="1152" t="s">
        <v>143</v>
      </c>
      <c r="BC4" s="1229" t="s">
        <v>144</v>
      </c>
      <c r="BD4" s="1192" t="s">
        <v>145</v>
      </c>
      <c r="BE4" s="1152" t="s">
        <v>143</v>
      </c>
      <c r="BF4" s="1215" t="s">
        <v>144</v>
      </c>
      <c r="BG4" s="1192" t="s">
        <v>145</v>
      </c>
      <c r="BH4" s="1152" t="s">
        <v>143</v>
      </c>
      <c r="BI4" s="1229" t="s">
        <v>144</v>
      </c>
      <c r="BJ4" s="1192" t="s">
        <v>145</v>
      </c>
      <c r="BK4" s="1152" t="s">
        <v>143</v>
      </c>
      <c r="BL4" s="1229" t="s">
        <v>144</v>
      </c>
      <c r="BM4" s="1192" t="s">
        <v>145</v>
      </c>
      <c r="BN4" s="1152" t="s">
        <v>143</v>
      </c>
      <c r="BO4" s="1229" t="s">
        <v>144</v>
      </c>
      <c r="BP4" s="1192" t="s">
        <v>145</v>
      </c>
      <c r="BQ4" s="1152" t="s">
        <v>143</v>
      </c>
      <c r="BR4" s="1215" t="s">
        <v>144</v>
      </c>
      <c r="BS4" s="1252" t="s">
        <v>145</v>
      </c>
      <c r="BT4" s="1152" t="s">
        <v>143</v>
      </c>
      <c r="BU4" s="1229" t="s">
        <v>144</v>
      </c>
      <c r="BV4" s="1192" t="s">
        <v>145</v>
      </c>
      <c r="BW4" s="1152" t="s">
        <v>143</v>
      </c>
      <c r="BX4" s="1229" t="s">
        <v>144</v>
      </c>
      <c r="BY4" s="1192" t="s">
        <v>145</v>
      </c>
      <c r="BZ4" s="1152" t="s">
        <v>143</v>
      </c>
      <c r="CA4" s="1229" t="s">
        <v>144</v>
      </c>
      <c r="CB4" s="1192" t="s">
        <v>145</v>
      </c>
      <c r="CC4" s="1152" t="s">
        <v>143</v>
      </c>
      <c r="CD4" s="1229" t="s">
        <v>144</v>
      </c>
      <c r="CE4" s="1192" t="s">
        <v>145</v>
      </c>
      <c r="CF4" s="1152" t="s">
        <v>143</v>
      </c>
      <c r="CG4" s="1229" t="s">
        <v>144</v>
      </c>
      <c r="CH4" s="1192" t="s">
        <v>145</v>
      </c>
      <c r="CI4" s="1152" t="s">
        <v>143</v>
      </c>
      <c r="CJ4" s="1229" t="s">
        <v>144</v>
      </c>
      <c r="CK4" s="1192" t="s">
        <v>145</v>
      </c>
      <c r="CL4" s="1152" t="s">
        <v>143</v>
      </c>
      <c r="CM4" s="1229" t="s">
        <v>144</v>
      </c>
      <c r="CN4" s="1192" t="s">
        <v>145</v>
      </c>
      <c r="CO4" s="1152" t="s">
        <v>143</v>
      </c>
      <c r="CP4" s="1229" t="s">
        <v>144</v>
      </c>
      <c r="CQ4" s="1192" t="s">
        <v>145</v>
      </c>
      <c r="CR4" s="1152" t="s">
        <v>143</v>
      </c>
      <c r="CS4" s="1229" t="s">
        <v>144</v>
      </c>
      <c r="CT4" s="1192" t="s">
        <v>145</v>
      </c>
      <c r="CU4" s="1152" t="s">
        <v>143</v>
      </c>
      <c r="CV4" s="1229" t="s">
        <v>144</v>
      </c>
      <c r="CW4" s="1192" t="s">
        <v>145</v>
      </c>
      <c r="CX4" s="1152" t="s">
        <v>143</v>
      </c>
      <c r="CY4" s="1229" t="s">
        <v>144</v>
      </c>
      <c r="CZ4" s="1192" t="s">
        <v>145</v>
      </c>
      <c r="DA4" s="1152" t="s">
        <v>143</v>
      </c>
      <c r="DB4" s="1229" t="s">
        <v>144</v>
      </c>
      <c r="DC4" s="1192" t="s">
        <v>145</v>
      </c>
      <c r="DD4" s="1152" t="s">
        <v>143</v>
      </c>
      <c r="DE4" s="1215" t="s">
        <v>144</v>
      </c>
      <c r="DF4" s="1192" t="s">
        <v>145</v>
      </c>
      <c r="DG4" s="1152" t="s">
        <v>143</v>
      </c>
      <c r="DH4" s="1215" t="s">
        <v>144</v>
      </c>
      <c r="DI4" s="1192" t="s">
        <v>145</v>
      </c>
      <c r="DJ4" s="1152" t="s">
        <v>143</v>
      </c>
      <c r="DK4" s="1215" t="s">
        <v>144</v>
      </c>
      <c r="DL4" s="1192" t="s">
        <v>145</v>
      </c>
      <c r="DM4" s="1152" t="s">
        <v>143</v>
      </c>
      <c r="DN4" s="1215" t="s">
        <v>144</v>
      </c>
      <c r="DO4" s="1192" t="s">
        <v>145</v>
      </c>
      <c r="DP4" s="1152" t="s">
        <v>143</v>
      </c>
      <c r="DQ4" s="1215" t="s">
        <v>144</v>
      </c>
      <c r="DR4" s="1192" t="s">
        <v>145</v>
      </c>
      <c r="DS4" s="1152" t="s">
        <v>143</v>
      </c>
      <c r="DT4" s="1215" t="s">
        <v>144</v>
      </c>
      <c r="DU4" s="1192" t="s">
        <v>145</v>
      </c>
      <c r="DV4" s="1152" t="s">
        <v>143</v>
      </c>
      <c r="DW4" s="1215" t="s">
        <v>144</v>
      </c>
      <c r="DX4" s="1239" t="s">
        <v>145</v>
      </c>
    </row>
    <row r="5" spans="1:130">
      <c r="A5" s="1149"/>
      <c r="B5" s="1302" t="s">
        <v>284</v>
      </c>
      <c r="C5" s="1153">
        <v>8</v>
      </c>
      <c r="D5" s="1193">
        <v>485</v>
      </c>
      <c r="E5" s="1194">
        <f>IFERROR(D5*C5,0)</f>
        <v>3880</v>
      </c>
      <c r="F5" s="1154">
        <v>9.34</v>
      </c>
      <c r="G5" s="1193">
        <v>193</v>
      </c>
      <c r="H5" s="1194">
        <f>G5*F5</f>
        <v>1802.62</v>
      </c>
      <c r="I5" s="1154">
        <v>2.8</v>
      </c>
      <c r="J5" s="1219">
        <v>1048</v>
      </c>
      <c r="K5" s="1220">
        <f>I5*J5</f>
        <v>2934.3999999999996</v>
      </c>
      <c r="L5" s="1154">
        <v>2.6</v>
      </c>
      <c r="M5" s="1219">
        <v>460</v>
      </c>
      <c r="N5" s="1220">
        <f>M5*L5</f>
        <v>1196</v>
      </c>
      <c r="O5" s="1154">
        <v>3.2</v>
      </c>
      <c r="P5" s="1219">
        <v>575</v>
      </c>
      <c r="Q5" s="1220">
        <f>P5*O5</f>
        <v>1840</v>
      </c>
      <c r="R5" s="1154">
        <v>3.1</v>
      </c>
      <c r="S5" s="1219">
        <v>265</v>
      </c>
      <c r="T5" s="1228">
        <f>S5*R5</f>
        <v>821.5</v>
      </c>
      <c r="U5" s="1154">
        <v>3.2</v>
      </c>
      <c r="V5" s="1219">
        <v>575</v>
      </c>
      <c r="W5" s="1220">
        <f>V5*U5</f>
        <v>1840</v>
      </c>
      <c r="X5" s="1154">
        <v>4.2</v>
      </c>
      <c r="Y5" s="1219">
        <v>265</v>
      </c>
      <c r="Z5" s="1220">
        <f>Y5*X5</f>
        <v>1113</v>
      </c>
      <c r="AA5" s="1154">
        <v>2.7</v>
      </c>
      <c r="AB5" s="1193">
        <v>425</v>
      </c>
      <c r="AC5" s="1220">
        <f>AB5*AA5</f>
        <v>1147.5</v>
      </c>
      <c r="AD5" s="1154">
        <v>2.89</v>
      </c>
      <c r="AE5" s="1193">
        <v>190</v>
      </c>
      <c r="AF5" s="1220">
        <f>AE5*AD5</f>
        <v>549.1</v>
      </c>
      <c r="AG5" s="1154">
        <v>2.23</v>
      </c>
      <c r="AH5" s="1193">
        <v>400</v>
      </c>
      <c r="AI5" s="1220">
        <f>AH5*AG5</f>
        <v>892</v>
      </c>
      <c r="AJ5" s="1154">
        <v>2.13</v>
      </c>
      <c r="AK5" s="1193">
        <v>190</v>
      </c>
      <c r="AL5" s="1220">
        <f>AK5*AJ5</f>
        <v>404.7</v>
      </c>
      <c r="AM5" s="1154">
        <v>4</v>
      </c>
      <c r="AN5" s="1193">
        <v>550</v>
      </c>
      <c r="AO5" s="1220">
        <f>AN5*AM5</f>
        <v>2200</v>
      </c>
      <c r="AP5" s="1154">
        <v>4</v>
      </c>
      <c r="AQ5" s="1193">
        <v>190</v>
      </c>
      <c r="AR5" s="1220">
        <f>AQ5*AP5</f>
        <v>760</v>
      </c>
      <c r="AS5" s="1154">
        <v>3</v>
      </c>
      <c r="AT5" s="1193">
        <v>462.5</v>
      </c>
      <c r="AU5" s="1220">
        <f>AT5*AS5</f>
        <v>1387.5</v>
      </c>
      <c r="AV5" s="1154">
        <v>3</v>
      </c>
      <c r="AW5" s="1193">
        <v>190</v>
      </c>
      <c r="AX5" s="1220">
        <f>AW5*AV5</f>
        <v>570</v>
      </c>
      <c r="AY5" s="1154"/>
      <c r="AZ5" s="1193"/>
      <c r="BA5" s="1220">
        <f>AZ5*AY5</f>
        <v>0</v>
      </c>
      <c r="BB5" s="1154"/>
      <c r="BC5" s="1193"/>
      <c r="BD5" s="1220">
        <f>BC5*BB5</f>
        <v>0</v>
      </c>
      <c r="BE5" s="1670">
        <f>2.1/5</f>
        <v>0.42000000000000004</v>
      </c>
      <c r="BF5" s="1193">
        <v>425</v>
      </c>
      <c r="BG5" s="1220">
        <f>BF5*BE5</f>
        <v>178.50000000000003</v>
      </c>
      <c r="BH5" s="1670">
        <f>2.1/5</f>
        <v>0.42000000000000004</v>
      </c>
      <c r="BI5" s="1193">
        <v>190</v>
      </c>
      <c r="BJ5" s="1220">
        <f>BI5*BH5</f>
        <v>79.800000000000011</v>
      </c>
      <c r="BK5" s="1154"/>
      <c r="BL5" s="1193"/>
      <c r="BM5" s="1220">
        <f>BL5*BK5</f>
        <v>0</v>
      </c>
      <c r="BN5" s="1154"/>
      <c r="BO5" s="1193"/>
      <c r="BP5" s="1220">
        <f>BO5*BN5</f>
        <v>0</v>
      </c>
      <c r="BQ5" s="1154"/>
      <c r="BR5" s="1193"/>
      <c r="BS5" s="1220">
        <f>BR5*BQ5</f>
        <v>0</v>
      </c>
      <c r="BT5" s="1154">
        <v>2.5</v>
      </c>
      <c r="BU5" s="1193">
        <v>600</v>
      </c>
      <c r="BV5" s="1220">
        <f>BU5*BT5</f>
        <v>1500</v>
      </c>
      <c r="BW5" s="1154">
        <v>2.5</v>
      </c>
      <c r="BX5" s="1193">
        <v>190</v>
      </c>
      <c r="BY5" s="1220">
        <f>BX5*BW5</f>
        <v>475</v>
      </c>
      <c r="BZ5" s="1154">
        <v>2.5</v>
      </c>
      <c r="CA5" s="1193">
        <v>600</v>
      </c>
      <c r="CB5" s="1220">
        <f>CA5*BZ5</f>
        <v>1500</v>
      </c>
      <c r="CC5" s="1154">
        <v>2.5</v>
      </c>
      <c r="CD5" s="1193">
        <v>190</v>
      </c>
      <c r="CE5" s="1220">
        <f>CD5*CC5</f>
        <v>475</v>
      </c>
      <c r="CF5" s="1154">
        <v>1.5</v>
      </c>
      <c r="CG5" s="1251">
        <v>1192</v>
      </c>
      <c r="CH5" s="1220">
        <f>CG5*CF5</f>
        <v>1788</v>
      </c>
      <c r="CI5" s="1154">
        <v>1.57</v>
      </c>
      <c r="CJ5" s="1251">
        <v>485</v>
      </c>
      <c r="CK5" s="1220">
        <f>CJ5*CI5</f>
        <v>761.45</v>
      </c>
      <c r="CL5" s="1154">
        <f>0.7*0.9</f>
        <v>0.63</v>
      </c>
      <c r="CM5" s="1251">
        <v>950</v>
      </c>
      <c r="CN5" s="1220">
        <f>CM5*CL5</f>
        <v>598.5</v>
      </c>
      <c r="CO5" s="1154">
        <f>0.7*0.9</f>
        <v>0.63</v>
      </c>
      <c r="CP5" s="1251">
        <v>600</v>
      </c>
      <c r="CQ5" s="1220">
        <f>CP5*CO5</f>
        <v>378</v>
      </c>
      <c r="CR5" s="1154">
        <v>1</v>
      </c>
      <c r="CS5" s="1251">
        <v>3950</v>
      </c>
      <c r="CT5" s="1220">
        <f>CS5*CR5</f>
        <v>3950</v>
      </c>
      <c r="CU5" s="1154">
        <v>1</v>
      </c>
      <c r="CV5" s="1251">
        <v>1100</v>
      </c>
      <c r="CW5" s="1220">
        <f>CV5*CU5</f>
        <v>1100</v>
      </c>
      <c r="CX5" s="1154">
        <v>2</v>
      </c>
      <c r="CY5" s="1251">
        <v>2000</v>
      </c>
      <c r="CZ5" s="1220">
        <f>CY5*CX5</f>
        <v>4000</v>
      </c>
      <c r="DA5" s="1154">
        <v>2</v>
      </c>
      <c r="DB5" s="1251">
        <v>875</v>
      </c>
      <c r="DC5" s="1220">
        <f>DB5*DA5</f>
        <v>1750</v>
      </c>
      <c r="DD5" s="1154"/>
      <c r="DE5" s="1240"/>
      <c r="DF5" s="1220">
        <f>DE5*DD5</f>
        <v>0</v>
      </c>
      <c r="DG5" s="1154"/>
      <c r="DH5" s="1240"/>
      <c r="DI5" s="1220">
        <f>DH5*DG5</f>
        <v>0</v>
      </c>
      <c r="DJ5" s="1154"/>
      <c r="DK5" s="1240"/>
      <c r="DL5" s="1220">
        <f>DK5*DJ5</f>
        <v>0</v>
      </c>
      <c r="DM5" s="1154"/>
      <c r="DN5" s="1240"/>
      <c r="DO5" s="1220">
        <f>DN5*DM5</f>
        <v>0</v>
      </c>
      <c r="DP5" s="1154"/>
      <c r="DQ5" s="1240"/>
      <c r="DR5" s="1220">
        <f>DQ5*DP5</f>
        <v>0</v>
      </c>
      <c r="DS5" s="1154"/>
      <c r="DT5" s="1240"/>
      <c r="DU5" s="1220">
        <f>DT5*DS5</f>
        <v>0</v>
      </c>
      <c r="DV5" s="1154"/>
      <c r="DW5" s="1240"/>
      <c r="DX5" s="1241">
        <f>DW5*DV5</f>
        <v>0</v>
      </c>
    </row>
    <row r="6" spans="1:130">
      <c r="A6" s="1149"/>
      <c r="B6" s="1302" t="s">
        <v>957</v>
      </c>
      <c r="C6" s="1155"/>
      <c r="D6" s="1195"/>
      <c r="E6" s="1194">
        <f>D6*C6</f>
        <v>0</v>
      </c>
      <c r="F6" s="1156"/>
      <c r="G6" s="1195"/>
      <c r="H6" s="1194">
        <f>G6*F6</f>
        <v>0</v>
      </c>
      <c r="I6" s="1156"/>
      <c r="J6" s="1217"/>
      <c r="K6" s="1194">
        <f>J6*I6</f>
        <v>0</v>
      </c>
      <c r="L6" s="1156"/>
      <c r="M6" s="1217"/>
      <c r="N6" s="1194">
        <f>M6*L6</f>
        <v>0</v>
      </c>
      <c r="O6" s="1156"/>
      <c r="P6" s="1217"/>
      <c r="Q6" s="1194">
        <f>P6*O6</f>
        <v>0</v>
      </c>
      <c r="R6" s="1156"/>
      <c r="S6" s="1217"/>
      <c r="T6" s="1194">
        <f>S6*R6</f>
        <v>0</v>
      </c>
      <c r="U6" s="1156"/>
      <c r="V6" s="1217"/>
      <c r="W6" s="1194">
        <f>V6*U6</f>
        <v>0</v>
      </c>
      <c r="X6" s="1156"/>
      <c r="Y6" s="1217"/>
      <c r="Z6" s="1194">
        <f>Y6*X6</f>
        <v>0</v>
      </c>
      <c r="AA6" s="1156"/>
      <c r="AB6" s="1195"/>
      <c r="AC6" s="1194">
        <f>AB6*AA6</f>
        <v>0</v>
      </c>
      <c r="AD6" s="1156"/>
      <c r="AE6" s="1195"/>
      <c r="AF6" s="1194">
        <f>AE6*AD6</f>
        <v>0</v>
      </c>
      <c r="AG6" s="1156"/>
      <c r="AH6" s="1195"/>
      <c r="AI6" s="1194">
        <f>AH6*AG6</f>
        <v>0</v>
      </c>
      <c r="AJ6" s="1156"/>
      <c r="AK6" s="1195"/>
      <c r="AL6" s="1194">
        <f>AK6*AJ6</f>
        <v>0</v>
      </c>
      <c r="AM6" s="1156"/>
      <c r="AN6" s="1195"/>
      <c r="AO6" s="1194">
        <f>AN6*AM6</f>
        <v>0</v>
      </c>
      <c r="AP6" s="1156"/>
      <c r="AQ6" s="1195"/>
      <c r="AR6" s="1194">
        <f>AQ6*AP6</f>
        <v>0</v>
      </c>
      <c r="AS6" s="1156"/>
      <c r="AT6" s="1195"/>
      <c r="AU6" s="1194">
        <f>AT6*AS6</f>
        <v>0</v>
      </c>
      <c r="AV6" s="1156"/>
      <c r="AW6" s="1195"/>
      <c r="AX6" s="1194">
        <f>AW6*AV6</f>
        <v>0</v>
      </c>
      <c r="AY6" s="1669">
        <f>4.3*89%</f>
        <v>3.827</v>
      </c>
      <c r="AZ6" s="1195">
        <v>112</v>
      </c>
      <c r="BA6" s="1220">
        <f>AZ6*AY6</f>
        <v>428.62400000000002</v>
      </c>
      <c r="BB6" s="1669">
        <f>4.3*89%</f>
        <v>3.827</v>
      </c>
      <c r="BC6" s="1195">
        <v>112</v>
      </c>
      <c r="BD6" s="1220">
        <f>BC6*BB6</f>
        <v>428.62400000000002</v>
      </c>
      <c r="BE6" s="1654">
        <v>5.21</v>
      </c>
      <c r="BF6" s="1195">
        <v>112</v>
      </c>
      <c r="BG6" s="1220">
        <f>BF6*BE6</f>
        <v>583.52</v>
      </c>
      <c r="BH6" s="1654">
        <v>5.21</v>
      </c>
      <c r="BI6" s="1195">
        <v>112</v>
      </c>
      <c r="BJ6" s="1220">
        <f>BI6*BH6</f>
        <v>583.52</v>
      </c>
      <c r="BK6" s="1670">
        <f>35*35%</f>
        <v>12.25</v>
      </c>
      <c r="BL6" s="1193">
        <f>55/35%</f>
        <v>157.14285714285714</v>
      </c>
      <c r="BM6" s="1194">
        <f>BL6*BK6</f>
        <v>1925</v>
      </c>
      <c r="BN6" s="1670">
        <f>35*35%</f>
        <v>12.25</v>
      </c>
      <c r="BO6" s="1193">
        <f>55/35%</f>
        <v>157.14285714285714</v>
      </c>
      <c r="BP6" s="1194">
        <f>BO6*BN6</f>
        <v>1925</v>
      </c>
      <c r="BQ6" s="1154"/>
      <c r="BR6" s="1193"/>
      <c r="BS6" s="1194">
        <f>BR6*BQ6</f>
        <v>0</v>
      </c>
      <c r="BT6" s="1156"/>
      <c r="BU6" s="1195"/>
      <c r="BV6" s="1194">
        <f>BU6*BT6</f>
        <v>0</v>
      </c>
      <c r="BW6" s="1156"/>
      <c r="BX6" s="1195"/>
      <c r="BY6" s="1194">
        <f>BX6*BW6</f>
        <v>0</v>
      </c>
      <c r="BZ6" s="1156"/>
      <c r="CA6" s="1195"/>
      <c r="CB6" s="1194">
        <f>CA6*BZ6</f>
        <v>0</v>
      </c>
      <c r="CC6" s="1156"/>
      <c r="CD6" s="1195"/>
      <c r="CE6" s="1194">
        <f>CD6*CC6</f>
        <v>0</v>
      </c>
      <c r="CF6" s="1154"/>
      <c r="CG6" s="1251"/>
      <c r="CH6" s="1194">
        <f>CG6*CF6</f>
        <v>0</v>
      </c>
      <c r="CI6" s="1154"/>
      <c r="CJ6" s="1251"/>
      <c r="CK6" s="1194">
        <f>CJ6*CI6</f>
        <v>0</v>
      </c>
      <c r="CL6" s="1154"/>
      <c r="CM6" s="1251"/>
      <c r="CN6" s="1194">
        <f>CM6*CL6</f>
        <v>0</v>
      </c>
      <c r="CO6" s="1154"/>
      <c r="CP6" s="1251"/>
      <c r="CQ6" s="1194">
        <f>CP6*CO6</f>
        <v>0</v>
      </c>
      <c r="CR6" s="1154"/>
      <c r="CS6" s="1251"/>
      <c r="CT6" s="1194">
        <f>CS6*CR6</f>
        <v>0</v>
      </c>
      <c r="CU6" s="1154"/>
      <c r="CV6" s="1251"/>
      <c r="CW6" s="1194">
        <f>CV6*CU6</f>
        <v>0</v>
      </c>
      <c r="CX6" s="1154"/>
      <c r="CY6" s="1251"/>
      <c r="CZ6" s="1194">
        <f>CY6*CX6</f>
        <v>0</v>
      </c>
      <c r="DA6" s="1154"/>
      <c r="DB6" s="1251"/>
      <c r="DC6" s="1194">
        <f>DB6*DA6</f>
        <v>0</v>
      </c>
      <c r="DD6" s="1154"/>
      <c r="DE6" s="1240"/>
      <c r="DF6" s="1220">
        <f>DE6*DD6</f>
        <v>0</v>
      </c>
      <c r="DG6" s="1154"/>
      <c r="DH6" s="1240"/>
      <c r="DI6" s="1220">
        <f>DH6*DG6</f>
        <v>0</v>
      </c>
      <c r="DJ6" s="1154"/>
      <c r="DK6" s="1240"/>
      <c r="DL6" s="1220">
        <f>DK6*DJ6</f>
        <v>0</v>
      </c>
      <c r="DM6" s="1154"/>
      <c r="DN6" s="1240"/>
      <c r="DO6" s="1220">
        <f>DN6*DM6</f>
        <v>0</v>
      </c>
      <c r="DP6" s="1154"/>
      <c r="DQ6" s="1240"/>
      <c r="DR6" s="1220">
        <f>DQ6*DP6</f>
        <v>0</v>
      </c>
      <c r="DS6" s="1154"/>
      <c r="DT6" s="1240"/>
      <c r="DU6" s="1220">
        <f>DT6*DS6</f>
        <v>0</v>
      </c>
      <c r="DV6" s="1154"/>
      <c r="DW6" s="1240"/>
      <c r="DX6" s="1241">
        <f>DW6*DV6</f>
        <v>0</v>
      </c>
    </row>
    <row r="7" spans="1:130">
      <c r="A7" s="1149"/>
      <c r="B7" s="1302" t="s">
        <v>619</v>
      </c>
      <c r="C7" s="1155"/>
      <c r="D7" s="1195"/>
      <c r="E7" s="1194">
        <f>D7*C7</f>
        <v>0</v>
      </c>
      <c r="F7" s="1156"/>
      <c r="G7" s="1195"/>
      <c r="H7" s="1194">
        <f>G7*F7</f>
        <v>0</v>
      </c>
      <c r="I7" s="1156"/>
      <c r="J7" s="1217"/>
      <c r="K7" s="1220">
        <f>I7*J7</f>
        <v>0</v>
      </c>
      <c r="L7" s="1156">
        <v>1.17</v>
      </c>
      <c r="M7" s="1217">
        <v>0</v>
      </c>
      <c r="N7" s="1220">
        <f>M7*L7</f>
        <v>0</v>
      </c>
      <c r="O7" s="1156"/>
      <c r="P7" s="1217"/>
      <c r="Q7" s="1220">
        <f>P7*O7</f>
        <v>0</v>
      </c>
      <c r="R7" s="1669">
        <f>30/2.20462262*150/1000</f>
        <v>2.0411656667117026</v>
      </c>
      <c r="S7" s="1655">
        <f>1.5/30*2.20462262*1000</f>
        <v>110.23113099999999</v>
      </c>
      <c r="T7" s="1228">
        <f>S7*R7</f>
        <v>225</v>
      </c>
      <c r="U7" s="1156"/>
      <c r="V7" s="1217"/>
      <c r="W7" s="1220">
        <f>V7*U7</f>
        <v>0</v>
      </c>
      <c r="X7" s="1669">
        <f>30/2.20462262*125/1000</f>
        <v>1.7009713889264186</v>
      </c>
      <c r="Y7" s="1655">
        <f>1.5/30*2.20462262*1000</f>
        <v>110.23113099999999</v>
      </c>
      <c r="Z7" s="1220">
        <f>Y7*X7</f>
        <v>187.5</v>
      </c>
      <c r="AA7" s="1156"/>
      <c r="AB7" s="1195"/>
      <c r="AC7" s="1220">
        <f>AB7*AA7</f>
        <v>0</v>
      </c>
      <c r="AD7" s="1669">
        <f>30/2.20462262*125/1000</f>
        <v>1.7009713889264186</v>
      </c>
      <c r="AE7" s="1655">
        <f>1.5/30*2.20462262*1000</f>
        <v>110.23113099999999</v>
      </c>
      <c r="AF7" s="1220">
        <f>AE7*AD7</f>
        <v>187.5</v>
      </c>
      <c r="AG7" s="1156"/>
      <c r="AH7" s="1195"/>
      <c r="AI7" s="1220">
        <f>AH7*AG7</f>
        <v>0</v>
      </c>
      <c r="AJ7" s="1669">
        <f>30/2.20462262*125/1000</f>
        <v>1.7009713889264186</v>
      </c>
      <c r="AK7" s="1655">
        <f>1.5/30*2.20462262*1000</f>
        <v>110.23113099999999</v>
      </c>
      <c r="AL7" s="1220">
        <f>AK7*AJ7</f>
        <v>187.5</v>
      </c>
      <c r="AM7" s="1156"/>
      <c r="AN7" s="1195"/>
      <c r="AO7" s="1220">
        <f>AN7*AM7</f>
        <v>0</v>
      </c>
      <c r="AP7" s="1156">
        <v>125</v>
      </c>
      <c r="AQ7" s="1195">
        <v>1.5</v>
      </c>
      <c r="AR7" s="1220">
        <f>AQ7*AP7</f>
        <v>187.5</v>
      </c>
      <c r="AS7" s="1156"/>
      <c r="AT7" s="1195"/>
      <c r="AU7" s="1220">
        <f>AT7*AS7</f>
        <v>0</v>
      </c>
      <c r="AV7" s="1669">
        <f>30/2.20462262*125/1000</f>
        <v>1.7009713889264186</v>
      </c>
      <c r="AW7" s="1655">
        <f>1.5/30*2.20462262*1000</f>
        <v>110.23113099999999</v>
      </c>
      <c r="AX7" s="1220">
        <f>AW7*AV7</f>
        <v>187.5</v>
      </c>
      <c r="AY7" s="1156"/>
      <c r="AZ7" s="1195"/>
      <c r="BA7" s="1220">
        <f>AZ7*AY7</f>
        <v>0</v>
      </c>
      <c r="BB7" s="1156"/>
      <c r="BC7" s="1195"/>
      <c r="BD7" s="1220">
        <f>BC7*BB7</f>
        <v>0</v>
      </c>
      <c r="BE7" s="1156"/>
      <c r="BF7" s="1195"/>
      <c r="BG7" s="1220">
        <f>BF7*BE7</f>
        <v>0</v>
      </c>
      <c r="BH7" s="1156"/>
      <c r="BI7" s="1195"/>
      <c r="BJ7" s="1220">
        <f>BI7*BH7</f>
        <v>0</v>
      </c>
      <c r="BK7" s="1156"/>
      <c r="BL7" s="1195"/>
      <c r="BM7" s="1220">
        <f>BL7*BK7</f>
        <v>0</v>
      </c>
      <c r="BN7" s="1156"/>
      <c r="BO7" s="1195"/>
      <c r="BP7" s="1220">
        <f>BO7*BN7</f>
        <v>0</v>
      </c>
      <c r="BQ7" s="1156">
        <v>1.7</v>
      </c>
      <c r="BR7" s="1195">
        <v>167</v>
      </c>
      <c r="BS7" s="1220">
        <f>BR7*BQ7</f>
        <v>283.89999999999998</v>
      </c>
      <c r="BT7" s="1156"/>
      <c r="BU7" s="1195"/>
      <c r="BV7" s="1220">
        <f>BU7*BT7</f>
        <v>0</v>
      </c>
      <c r="BW7" s="1156"/>
      <c r="BX7" s="1195"/>
      <c r="BY7" s="1220">
        <f>BX7*BW7</f>
        <v>0</v>
      </c>
      <c r="BZ7" s="1156">
        <v>3</v>
      </c>
      <c r="CA7" s="1195"/>
      <c r="CB7" s="1220">
        <f>CA7*BZ7</f>
        <v>0</v>
      </c>
      <c r="CC7" s="1156">
        <v>3</v>
      </c>
      <c r="CD7" s="1195"/>
      <c r="CE7" s="1220">
        <f>CD7*CC7</f>
        <v>0</v>
      </c>
      <c r="CF7" s="1154"/>
      <c r="CG7" s="1251"/>
      <c r="CH7" s="1220">
        <f>CG7*CF7</f>
        <v>0</v>
      </c>
      <c r="CI7" s="1154"/>
      <c r="CJ7" s="1251"/>
      <c r="CK7" s="1220">
        <f>CJ7*CI7</f>
        <v>0</v>
      </c>
      <c r="CL7" s="1154"/>
      <c r="CM7" s="1251"/>
      <c r="CN7" s="1220">
        <f>CM7*CL7</f>
        <v>0</v>
      </c>
      <c r="CO7" s="1154"/>
      <c r="CP7" s="1251"/>
      <c r="CQ7" s="1220">
        <f>CP7*CO7</f>
        <v>0</v>
      </c>
      <c r="CR7" s="1154"/>
      <c r="CS7" s="1251"/>
      <c r="CT7" s="1220">
        <f>CS7*CR7</f>
        <v>0</v>
      </c>
      <c r="CU7" s="1154"/>
      <c r="CV7" s="1251"/>
      <c r="CW7" s="1220">
        <f>CV7*CU7</f>
        <v>0</v>
      </c>
      <c r="CX7" s="1154"/>
      <c r="CY7" s="1251"/>
      <c r="CZ7" s="1220">
        <f>CY7*CX7</f>
        <v>0</v>
      </c>
      <c r="DA7" s="1154"/>
      <c r="DB7" s="1251"/>
      <c r="DC7" s="1220">
        <f>DB7*DA7</f>
        <v>0</v>
      </c>
      <c r="DD7" s="1154"/>
      <c r="DE7" s="1240"/>
      <c r="DF7" s="1220">
        <f>DE7*DD7</f>
        <v>0</v>
      </c>
      <c r="DG7" s="1154"/>
      <c r="DH7" s="1240"/>
      <c r="DI7" s="1220">
        <f>DH7*DG7</f>
        <v>0</v>
      </c>
      <c r="DJ7" s="1154"/>
      <c r="DK7" s="1240"/>
      <c r="DL7" s="1220">
        <f>DK7*DJ7</f>
        <v>0</v>
      </c>
      <c r="DM7" s="1154"/>
      <c r="DN7" s="1240"/>
      <c r="DO7" s="1220">
        <f>DN7*DM7</f>
        <v>0</v>
      </c>
      <c r="DP7" s="1154"/>
      <c r="DQ7" s="1240"/>
      <c r="DR7" s="1220">
        <f>DQ7*DP7</f>
        <v>0</v>
      </c>
      <c r="DS7" s="1154"/>
      <c r="DT7" s="1240"/>
      <c r="DU7" s="1220">
        <f>DT7*DS7</f>
        <v>0</v>
      </c>
      <c r="DV7" s="1154"/>
      <c r="DW7" s="1240"/>
      <c r="DX7" s="1241">
        <f>DW7*DV7</f>
        <v>0</v>
      </c>
    </row>
    <row r="8" spans="1:130">
      <c r="A8" s="1149"/>
      <c r="B8" s="1302" t="s">
        <v>966</v>
      </c>
      <c r="C8" s="1155"/>
      <c r="D8" s="1195"/>
      <c r="E8" s="1194">
        <f>D8*C8</f>
        <v>0</v>
      </c>
      <c r="F8" s="1156"/>
      <c r="G8" s="1195"/>
      <c r="H8" s="1194">
        <f>G8*F8</f>
        <v>0</v>
      </c>
      <c r="I8" s="1156"/>
      <c r="J8" s="1217"/>
      <c r="K8" s="1220">
        <f>I8*J8</f>
        <v>0</v>
      </c>
      <c r="L8" s="1156"/>
      <c r="M8" s="1217"/>
      <c r="N8" s="1220">
        <f>M8*L8</f>
        <v>0</v>
      </c>
      <c r="O8" s="1156">
        <v>1</v>
      </c>
      <c r="P8" s="1217">
        <v>334.84</v>
      </c>
      <c r="Q8" s="1220">
        <f>P8*O8</f>
        <v>334.84</v>
      </c>
      <c r="R8" s="1156">
        <v>1</v>
      </c>
      <c r="S8" s="1217">
        <v>147.52000000000001</v>
      </c>
      <c r="T8" s="1228">
        <f>S8*R8</f>
        <v>147.52000000000001</v>
      </c>
      <c r="U8" s="1156">
        <v>1</v>
      </c>
      <c r="V8" s="1217">
        <v>334.84</v>
      </c>
      <c r="W8" s="1220">
        <f>V8*U8</f>
        <v>334.84</v>
      </c>
      <c r="X8" s="1156">
        <v>1</v>
      </c>
      <c r="Y8" s="1217">
        <v>147.52000000000001</v>
      </c>
      <c r="Z8" s="1220">
        <f>Y8*X8</f>
        <v>147.52000000000001</v>
      </c>
      <c r="AA8" s="1156">
        <v>1</v>
      </c>
      <c r="AB8" s="1195">
        <v>204.12</v>
      </c>
      <c r="AC8" s="1220">
        <f>AB8*AA8</f>
        <v>204.12</v>
      </c>
      <c r="AD8" s="1156">
        <v>1</v>
      </c>
      <c r="AE8" s="1195">
        <v>204.12</v>
      </c>
      <c r="AF8" s="1220">
        <f>AE8*AD8</f>
        <v>204.12</v>
      </c>
      <c r="AG8" s="1156">
        <v>1</v>
      </c>
      <c r="AH8" s="1195">
        <v>309.23</v>
      </c>
      <c r="AI8" s="1220">
        <f>AH8*AG8</f>
        <v>309.23</v>
      </c>
      <c r="AJ8" s="1156">
        <v>1</v>
      </c>
      <c r="AK8" s="1195">
        <v>309.23</v>
      </c>
      <c r="AL8" s="1220">
        <f>AK8*AJ8</f>
        <v>309.23</v>
      </c>
      <c r="AM8" s="1156"/>
      <c r="AN8" s="1195"/>
      <c r="AO8" s="1220">
        <f>AN8*AM8</f>
        <v>0</v>
      </c>
      <c r="AP8" s="1156"/>
      <c r="AQ8" s="1195"/>
      <c r="AR8" s="1220">
        <f>AQ8*AP8</f>
        <v>0</v>
      </c>
      <c r="AS8" s="1156">
        <v>1</v>
      </c>
      <c r="AT8" s="1195">
        <v>147.52000000000001</v>
      </c>
      <c r="AU8" s="1220">
        <f>AT8*AS8</f>
        <v>147.52000000000001</v>
      </c>
      <c r="AV8" s="1156">
        <v>1</v>
      </c>
      <c r="AW8" s="1195">
        <v>147.52000000000001</v>
      </c>
      <c r="AX8" s="1220">
        <f>AW8*AV8</f>
        <v>147.52000000000001</v>
      </c>
      <c r="AY8" s="1156"/>
      <c r="AZ8" s="1195"/>
      <c r="BA8" s="1220">
        <f>AZ8*AY8</f>
        <v>0</v>
      </c>
      <c r="BB8" s="1156"/>
      <c r="BC8" s="1195"/>
      <c r="BD8" s="1220">
        <f>BC8*BB8</f>
        <v>0</v>
      </c>
      <c r="BE8" s="1154">
        <f>1/5</f>
        <v>0.2</v>
      </c>
      <c r="BF8" s="1195">
        <v>204.12</v>
      </c>
      <c r="BG8" s="1220">
        <f>BF8*BE8</f>
        <v>40.824000000000005</v>
      </c>
      <c r="BH8" s="1154">
        <f>1/5</f>
        <v>0.2</v>
      </c>
      <c r="BI8" s="1195">
        <v>204.12</v>
      </c>
      <c r="BJ8" s="1220">
        <f>BI8*BH8</f>
        <v>40.824000000000005</v>
      </c>
      <c r="BK8" s="1156"/>
      <c r="BL8" s="1195"/>
      <c r="BM8" s="1220">
        <f>BL8*BK8</f>
        <v>0</v>
      </c>
      <c r="BN8" s="1156"/>
      <c r="BO8" s="1195"/>
      <c r="BP8" s="1220">
        <f>BO8*BN8</f>
        <v>0</v>
      </c>
      <c r="BQ8" s="1156"/>
      <c r="BR8" s="1195"/>
      <c r="BS8" s="1220">
        <f>BR8*BQ8</f>
        <v>0</v>
      </c>
      <c r="BT8" s="1156">
        <v>1</v>
      </c>
      <c r="BU8" s="1195">
        <v>147.52000000000001</v>
      </c>
      <c r="BV8" s="1220">
        <f>BU8*BT8</f>
        <v>147.52000000000001</v>
      </c>
      <c r="BW8" s="1156">
        <v>1</v>
      </c>
      <c r="BX8" s="1195">
        <v>147.52000000000001</v>
      </c>
      <c r="BY8" s="1220">
        <f>BX8*BW8</f>
        <v>147.52000000000001</v>
      </c>
      <c r="BZ8" s="1156">
        <v>1</v>
      </c>
      <c r="CA8" s="1195">
        <v>147.52000000000001</v>
      </c>
      <c r="CB8" s="1220">
        <f>CA8*BZ8</f>
        <v>147.52000000000001</v>
      </c>
      <c r="CC8" s="1156">
        <v>1</v>
      </c>
      <c r="CD8" s="1195">
        <v>147.52000000000001</v>
      </c>
      <c r="CE8" s="1220">
        <f>CD8*CC8</f>
        <v>147.52000000000001</v>
      </c>
      <c r="CF8" s="1154">
        <v>1</v>
      </c>
      <c r="CG8" s="1251"/>
      <c r="CH8" s="1220">
        <f>CG8*CF8</f>
        <v>0</v>
      </c>
      <c r="CI8" s="1154">
        <v>1</v>
      </c>
      <c r="CJ8" s="1251">
        <v>127.44</v>
      </c>
      <c r="CK8" s="1220">
        <f>CJ8*CI8</f>
        <v>127.44</v>
      </c>
      <c r="CL8" s="1154"/>
      <c r="CM8" s="1251"/>
      <c r="CN8" s="1220">
        <f>CM8*CL8</f>
        <v>0</v>
      </c>
      <c r="CO8" s="1154"/>
      <c r="CP8" s="1251"/>
      <c r="CQ8" s="1220">
        <f>CP8*CO8</f>
        <v>0</v>
      </c>
      <c r="CR8" s="1154"/>
      <c r="CS8" s="1251"/>
      <c r="CT8" s="1220">
        <f>CS8*CR8</f>
        <v>0</v>
      </c>
      <c r="CU8" s="1154"/>
      <c r="CV8" s="1251"/>
      <c r="CW8" s="1220">
        <f>CV8*CU8</f>
        <v>0</v>
      </c>
      <c r="CX8" s="1154"/>
      <c r="CY8" s="1251"/>
      <c r="CZ8" s="1220">
        <f>CY8*CX8</f>
        <v>0</v>
      </c>
      <c r="DA8" s="1154"/>
      <c r="DB8" s="1251"/>
      <c r="DC8" s="1220">
        <f>DB8*DA8</f>
        <v>0</v>
      </c>
      <c r="DD8" s="1154"/>
      <c r="DE8" s="1240"/>
      <c r="DF8" s="1220">
        <f>DE8*DD8</f>
        <v>0</v>
      </c>
      <c r="DG8" s="1154"/>
      <c r="DH8" s="1240"/>
      <c r="DI8" s="1220">
        <f>DH8*DG8</f>
        <v>0</v>
      </c>
      <c r="DJ8" s="1154"/>
      <c r="DK8" s="1240"/>
      <c r="DL8" s="1220">
        <f>DK8*DJ8</f>
        <v>0</v>
      </c>
      <c r="DM8" s="1154"/>
      <c r="DN8" s="1240"/>
      <c r="DO8" s="1220">
        <f>DN8*DM8</f>
        <v>0</v>
      </c>
      <c r="DP8" s="1154"/>
      <c r="DQ8" s="1240"/>
      <c r="DR8" s="1220">
        <f>DQ8*DP8</f>
        <v>0</v>
      </c>
      <c r="DS8" s="1154"/>
      <c r="DT8" s="1240"/>
      <c r="DU8" s="1220">
        <f>DT8*DS8</f>
        <v>0</v>
      </c>
      <c r="DV8" s="1154"/>
      <c r="DW8" s="1240"/>
      <c r="DX8" s="1241">
        <f>DW8*DV8</f>
        <v>0</v>
      </c>
    </row>
    <row r="9" spans="1:130">
      <c r="A9" s="1149"/>
      <c r="B9" s="1302" t="s">
        <v>326</v>
      </c>
      <c r="C9" s="1157">
        <v>4.2000000000000003E-2</v>
      </c>
      <c r="D9" s="1196">
        <f>(E5+E7)-E12</f>
        <v>3616.99</v>
      </c>
      <c r="E9" s="1194">
        <f>C9*D9</f>
        <v>151.91358</v>
      </c>
      <c r="F9" s="1157">
        <v>4.2000000000000003E-2</v>
      </c>
      <c r="G9" s="1196">
        <f>(H5+H7)-H12</f>
        <v>1506.85</v>
      </c>
      <c r="H9" s="1194">
        <f>G9*F9</f>
        <v>63.287700000000001</v>
      </c>
      <c r="I9" s="1157">
        <v>4.2000000000000003E-2</v>
      </c>
      <c r="J9" s="1196">
        <f>(K5+K7)-K12</f>
        <v>2646.8999999999996</v>
      </c>
      <c r="K9" s="1220">
        <f>I9*J9</f>
        <v>111.1698</v>
      </c>
      <c r="L9" s="1157">
        <v>4.2000000000000003E-2</v>
      </c>
      <c r="M9" s="1196">
        <f>(N5+N7)-N12</f>
        <v>964.39</v>
      </c>
      <c r="N9" s="1220">
        <f>M9*L9</f>
        <v>40.504380000000005</v>
      </c>
      <c r="O9" s="1157">
        <v>0.01</v>
      </c>
      <c r="P9" s="1196">
        <f>(Q5+Q7)-Q12</f>
        <v>1532</v>
      </c>
      <c r="Q9" s="1220">
        <f>P9*O9</f>
        <v>15.32</v>
      </c>
      <c r="R9" s="1157">
        <v>0.01</v>
      </c>
      <c r="S9" s="1196">
        <f>(T5+T7)-T12</f>
        <v>846.5</v>
      </c>
      <c r="T9" s="1228">
        <f>S9*R9</f>
        <v>8.4649999999999999</v>
      </c>
      <c r="U9" s="1157">
        <v>0.01</v>
      </c>
      <c r="V9" s="1196">
        <f>(W5+W7)-W12</f>
        <v>1560</v>
      </c>
      <c r="W9" s="1220">
        <f>V9*U9</f>
        <v>15.6</v>
      </c>
      <c r="X9" s="1157">
        <v>0.01</v>
      </c>
      <c r="Y9" s="1196">
        <f>(Z5+Z7)-Z12</f>
        <v>1130.5</v>
      </c>
      <c r="Z9" s="1220">
        <f>Y9*X9</f>
        <v>11.305</v>
      </c>
      <c r="AA9" s="1157">
        <v>0.01</v>
      </c>
      <c r="AB9" s="1196">
        <f>(AC5+AC7)-AC12</f>
        <v>985.5</v>
      </c>
      <c r="AC9" s="1220">
        <f>AB9*AA9</f>
        <v>9.8550000000000004</v>
      </c>
      <c r="AD9" s="1157">
        <v>0.01</v>
      </c>
      <c r="AE9" s="1196">
        <f>(AF5+AF7)-AF12</f>
        <v>601.75</v>
      </c>
      <c r="AF9" s="1220">
        <f>AE9*AD9</f>
        <v>6.0175000000000001</v>
      </c>
      <c r="AG9" s="1157">
        <v>0.01</v>
      </c>
      <c r="AH9" s="1196">
        <f>(AI5+AI7)-AI12</f>
        <v>547.75</v>
      </c>
      <c r="AI9" s="1220">
        <f>AH9*AG9</f>
        <v>5.4775</v>
      </c>
      <c r="AJ9" s="1157">
        <v>0.01</v>
      </c>
      <c r="AK9" s="1196">
        <f>(AL5+AL7)-AL12</f>
        <v>493.30000000000007</v>
      </c>
      <c r="AL9" s="1220">
        <f>AK9*AJ9</f>
        <v>4.9330000000000007</v>
      </c>
      <c r="AM9" s="1157">
        <v>4.2000000000000003E-2</v>
      </c>
      <c r="AN9" s="1196">
        <f>(AO5+AO7)-AO12</f>
        <v>2007.5</v>
      </c>
      <c r="AO9" s="1220">
        <f>AN9*AM9</f>
        <v>84.315000000000012</v>
      </c>
      <c r="AP9" s="1157">
        <v>4.2000000000000003E-2</v>
      </c>
      <c r="AQ9" s="1196">
        <f>(AR5+AR7)-AR12</f>
        <v>755</v>
      </c>
      <c r="AR9" s="1220">
        <f>AQ9*AP9</f>
        <v>31.71</v>
      </c>
      <c r="AS9" s="1157">
        <v>0.01</v>
      </c>
      <c r="AT9" s="1196">
        <f>(AU5+AU7)-AU12</f>
        <v>1195.5</v>
      </c>
      <c r="AU9" s="1220">
        <f>AT9*AS9</f>
        <v>11.955</v>
      </c>
      <c r="AV9" s="1157">
        <v>0.01</v>
      </c>
      <c r="AW9" s="1196">
        <f>(AX5+AX7)-AX12</f>
        <v>565.5</v>
      </c>
      <c r="AX9" s="1220">
        <f>AW9*AV9</f>
        <v>5.6550000000000002</v>
      </c>
      <c r="AY9" s="1158"/>
      <c r="AZ9" s="1196"/>
      <c r="BA9" s="1220">
        <f>AZ9*AY9</f>
        <v>0</v>
      </c>
      <c r="BB9" s="1158"/>
      <c r="BC9" s="1196"/>
      <c r="BD9" s="1220">
        <f>BC9*BB9</f>
        <v>0</v>
      </c>
      <c r="BE9" s="1157">
        <v>0.01</v>
      </c>
      <c r="BF9" s="1196">
        <f>(BG5+BG7)-BG12</f>
        <v>125.98800000000003</v>
      </c>
      <c r="BG9" s="1220">
        <f>BF9*BE9</f>
        <v>1.2598800000000003</v>
      </c>
      <c r="BH9" s="1157">
        <v>0.01</v>
      </c>
      <c r="BI9" s="1196">
        <f>(BJ5+BJ7)-BJ12</f>
        <v>27.288000000000011</v>
      </c>
      <c r="BJ9" s="1220">
        <f>BI9*BH9</f>
        <v>0.27288000000000012</v>
      </c>
      <c r="BK9" s="1157"/>
      <c r="BL9" s="1196"/>
      <c r="BM9" s="1220">
        <f>BL9*BK9</f>
        <v>0</v>
      </c>
      <c r="BN9" s="1157"/>
      <c r="BO9" s="1196"/>
      <c r="BP9" s="1220">
        <f>BO9*BN9</f>
        <v>0</v>
      </c>
      <c r="BQ9" s="1157"/>
      <c r="BR9" s="1196"/>
      <c r="BS9" s="1220">
        <f>BR9*BQ9</f>
        <v>0</v>
      </c>
      <c r="BT9" s="1157">
        <v>0.01</v>
      </c>
      <c r="BU9" s="1196">
        <f>(BV5+BV7)-BV12</f>
        <v>1150</v>
      </c>
      <c r="BV9" s="1220">
        <f>BU9*BT9</f>
        <v>11.5</v>
      </c>
      <c r="BW9" s="1157">
        <v>0.01</v>
      </c>
      <c r="BX9" s="1196">
        <f>(BY5+BY7)-BY12</f>
        <v>125</v>
      </c>
      <c r="BY9" s="1220">
        <f>BX9*BW9</f>
        <v>1.25</v>
      </c>
      <c r="BZ9" s="1157">
        <v>0.01</v>
      </c>
      <c r="CA9" s="1196">
        <f>(CB5+CB7)-CB12</f>
        <v>1115</v>
      </c>
      <c r="CB9" s="1220">
        <f>CA9*BZ9</f>
        <v>11.15</v>
      </c>
      <c r="CC9" s="1157">
        <v>0.01</v>
      </c>
      <c r="CD9" s="1196">
        <f>(CE5+CE7)-CE12</f>
        <v>90</v>
      </c>
      <c r="CE9" s="1220">
        <f>CD9*CC9</f>
        <v>0.9</v>
      </c>
      <c r="CF9" s="1157">
        <v>0.01</v>
      </c>
      <c r="CG9" s="1196">
        <f>(CH5+CH7)-CH12</f>
        <v>1724.8</v>
      </c>
      <c r="CH9" s="1220">
        <f>CG9*CF9</f>
        <v>17.248000000000001</v>
      </c>
      <c r="CI9" s="1157">
        <v>0.01</v>
      </c>
      <c r="CJ9" s="1196">
        <f>(CK5+CK7)-CK12</f>
        <v>582.44000000000005</v>
      </c>
      <c r="CK9" s="1220">
        <f>CJ9*CI9</f>
        <v>5.8244000000000007</v>
      </c>
      <c r="CL9" s="1157">
        <v>0.01</v>
      </c>
      <c r="CM9" s="1196">
        <f>(CN5+CN7)-CN12</f>
        <v>467.6</v>
      </c>
      <c r="CN9" s="1220">
        <f>CM9*CL9</f>
        <v>4.6760000000000002</v>
      </c>
      <c r="CO9" s="1157">
        <v>0.01</v>
      </c>
      <c r="CP9" s="1196">
        <f>(CQ5+CQ7)-CQ12</f>
        <v>274.82</v>
      </c>
      <c r="CQ9" s="1220">
        <f>CP9*CO9</f>
        <v>2.7482000000000002</v>
      </c>
      <c r="CR9" s="1157">
        <v>4.2000000000000003E-2</v>
      </c>
      <c r="CS9" s="1196">
        <f>(CT5+CT7)-CT12</f>
        <v>3710</v>
      </c>
      <c r="CT9" s="1220">
        <f>CS9*CR9</f>
        <v>155.82000000000002</v>
      </c>
      <c r="CU9" s="1157">
        <v>4.2000000000000003E-2</v>
      </c>
      <c r="CV9" s="1196">
        <f>(CW5+CW7)-CW12</f>
        <v>860</v>
      </c>
      <c r="CW9" s="1220">
        <f>CV9*CU9</f>
        <v>36.120000000000005</v>
      </c>
      <c r="CX9" s="1157">
        <v>4.2000000000000003E-2</v>
      </c>
      <c r="CY9" s="1196">
        <f>(CZ5+CZ7)-CZ12</f>
        <v>3772</v>
      </c>
      <c r="CZ9" s="1220">
        <f>CY9*CX9</f>
        <v>158.42400000000001</v>
      </c>
      <c r="DA9" s="1157">
        <v>4.2000000000000003E-2</v>
      </c>
      <c r="DB9" s="1196">
        <f>(DC5+DC7)-DC12</f>
        <v>1522</v>
      </c>
      <c r="DC9" s="1220">
        <f>DB9*DA9</f>
        <v>63.924000000000007</v>
      </c>
      <c r="DD9" s="1154"/>
      <c r="DE9" s="1242"/>
      <c r="DF9" s="1220">
        <f>DE9*DD9</f>
        <v>0</v>
      </c>
      <c r="DG9" s="1154"/>
      <c r="DH9" s="1242"/>
      <c r="DI9" s="1220">
        <f>DH9*DG9</f>
        <v>0</v>
      </c>
      <c r="DJ9" s="1154"/>
      <c r="DK9" s="1242"/>
      <c r="DL9" s="1220">
        <f>DK9*DJ9</f>
        <v>0</v>
      </c>
      <c r="DM9" s="1154"/>
      <c r="DN9" s="1242"/>
      <c r="DO9" s="1220">
        <f>DN9*DM9</f>
        <v>0</v>
      </c>
      <c r="DP9" s="1154"/>
      <c r="DQ9" s="1242"/>
      <c r="DR9" s="1220">
        <f>DQ9*DP9</f>
        <v>0</v>
      </c>
      <c r="DS9" s="1154"/>
      <c r="DT9" s="1242"/>
      <c r="DU9" s="1220">
        <f>DT9*DS9</f>
        <v>0</v>
      </c>
      <c r="DV9" s="1154"/>
      <c r="DW9" s="1242"/>
      <c r="DX9" s="1241">
        <f>DW9*DV9</f>
        <v>0</v>
      </c>
    </row>
    <row r="10" spans="1:130" ht="15" thickBot="1">
      <c r="A10" s="1150"/>
      <c r="B10" s="1303" t="s">
        <v>609</v>
      </c>
      <c r="C10" s="1159"/>
      <c r="D10" s="1197"/>
      <c r="E10" s="1198">
        <f>SUM(E5:E9)</f>
        <v>4031.9135799999999</v>
      </c>
      <c r="F10" s="1160"/>
      <c r="G10" s="1198"/>
      <c r="H10" s="1198">
        <f>SUM(H5:H9)</f>
        <v>1865.9077</v>
      </c>
      <c r="I10" s="1161"/>
      <c r="J10" s="1204"/>
      <c r="K10" s="1221">
        <f>SUM(K5:K9)</f>
        <v>3045.5697999999998</v>
      </c>
      <c r="L10" s="1161"/>
      <c r="M10" s="1204"/>
      <c r="N10" s="1221">
        <f>SUM(N5:N9)</f>
        <v>1236.5043800000001</v>
      </c>
      <c r="O10" s="1161"/>
      <c r="P10" s="1204"/>
      <c r="Q10" s="1221">
        <f>SUM(Q5:Q9)</f>
        <v>2190.1600000000003</v>
      </c>
      <c r="R10" s="1162"/>
      <c r="S10" s="1204"/>
      <c r="T10" s="1204">
        <f>SUM(T5:T9)</f>
        <v>1202.4849999999999</v>
      </c>
      <c r="U10" s="1161"/>
      <c r="V10" s="1230"/>
      <c r="W10" s="1204">
        <f>SUM(W5:W9)</f>
        <v>2190.44</v>
      </c>
      <c r="X10" s="1161"/>
      <c r="Y10" s="1204"/>
      <c r="Z10" s="1221">
        <f>SUM(Z5:Z9)</f>
        <v>1459.325</v>
      </c>
      <c r="AA10" s="1161"/>
      <c r="AB10" s="1230"/>
      <c r="AC10" s="1221">
        <f>SUM(AC5:AC9)</f>
        <v>1361.4749999999999</v>
      </c>
      <c r="AD10" s="1162"/>
      <c r="AE10" s="1230"/>
      <c r="AF10" s="1204">
        <f>SUM(AF5:AF9)</f>
        <v>946.73750000000007</v>
      </c>
      <c r="AG10" s="1162"/>
      <c r="AH10" s="1230"/>
      <c r="AI10" s="1204">
        <f>SUM(AI5:AI9)</f>
        <v>1206.7075</v>
      </c>
      <c r="AJ10" s="1162"/>
      <c r="AK10" s="1230"/>
      <c r="AL10" s="1204">
        <f>SUM(AL5:AL9)</f>
        <v>906.36300000000006</v>
      </c>
      <c r="AM10" s="1161"/>
      <c r="AN10" s="1230"/>
      <c r="AO10" s="1204">
        <f>SUM(AO5:AO9)</f>
        <v>2284.3150000000001</v>
      </c>
      <c r="AP10" s="1161"/>
      <c r="AQ10" s="1230"/>
      <c r="AR10" s="1204">
        <f>SUM(AR5:AR9)</f>
        <v>979.21</v>
      </c>
      <c r="AS10" s="1161"/>
      <c r="AT10" s="1230"/>
      <c r="AU10" s="1204">
        <f>SUM(AU5:AU9)</f>
        <v>1546.9749999999999</v>
      </c>
      <c r="AV10" s="1161"/>
      <c r="AW10" s="1204"/>
      <c r="AX10" s="1204">
        <f>SUM(AX5:AX9)</f>
        <v>910.67499999999995</v>
      </c>
      <c r="AY10" s="1161"/>
      <c r="AZ10" s="1230"/>
      <c r="BA10" s="1204">
        <f>SUM(BA5:BA9)</f>
        <v>428.62400000000002</v>
      </c>
      <c r="BB10" s="1161"/>
      <c r="BC10" s="1230"/>
      <c r="BD10" s="1204">
        <f>SUM(BD5:BD9)</f>
        <v>428.62400000000002</v>
      </c>
      <c r="BE10" s="1162"/>
      <c r="BF10" s="1204"/>
      <c r="BG10" s="1260">
        <f>SUM(BG5:BG9)</f>
        <v>804.10387999999989</v>
      </c>
      <c r="BH10" s="1162"/>
      <c r="BI10" s="1230"/>
      <c r="BJ10" s="1260">
        <f>SUM(BJ5:BJ9)</f>
        <v>704.41687999999988</v>
      </c>
      <c r="BK10" s="1162"/>
      <c r="BL10" s="1230"/>
      <c r="BM10" s="1265">
        <f>SUM(BM5:BM9)</f>
        <v>1925</v>
      </c>
      <c r="BN10" s="1162"/>
      <c r="BO10" s="1230"/>
      <c r="BP10" s="1260">
        <f>SUM(BP5:BP9)</f>
        <v>1925</v>
      </c>
      <c r="BQ10" s="1162"/>
      <c r="BR10" s="1204"/>
      <c r="BS10" s="1253">
        <f>SUM(BS5:BS9)</f>
        <v>283.89999999999998</v>
      </c>
      <c r="BT10" s="1162"/>
      <c r="BU10" s="1230"/>
      <c r="BV10" s="1204">
        <f>SUM(BV5:BV9)</f>
        <v>1659.02</v>
      </c>
      <c r="BW10" s="1162"/>
      <c r="BX10" s="1230"/>
      <c r="BY10" s="1204">
        <f>SUM(BY5:BY9)</f>
        <v>623.77</v>
      </c>
      <c r="BZ10" s="1162"/>
      <c r="CA10" s="1230"/>
      <c r="CB10" s="1204">
        <f>SUM(CB5:CB9)</f>
        <v>1658.67</v>
      </c>
      <c r="CC10" s="1162"/>
      <c r="CD10" s="1230"/>
      <c r="CE10" s="1204">
        <f>SUM(CE5:CE9)</f>
        <v>623.41999999999996</v>
      </c>
      <c r="CF10" s="1162"/>
      <c r="CG10" s="1230"/>
      <c r="CH10" s="1204">
        <f>SUM(CH5:CH9)</f>
        <v>1805.248</v>
      </c>
      <c r="CI10" s="1162"/>
      <c r="CJ10" s="1230"/>
      <c r="CK10" s="1204">
        <f>SUM(CK5:CK9)</f>
        <v>894.71440000000007</v>
      </c>
      <c r="CL10" s="1162"/>
      <c r="CM10" s="1230"/>
      <c r="CN10" s="1204">
        <f>SUM(CN5:CN9)</f>
        <v>603.17600000000004</v>
      </c>
      <c r="CO10" s="1162"/>
      <c r="CP10" s="1230"/>
      <c r="CQ10" s="1204">
        <f>SUM(CQ5:CQ9)</f>
        <v>380.7482</v>
      </c>
      <c r="CR10" s="1162"/>
      <c r="CS10" s="1230"/>
      <c r="CT10" s="1204">
        <f>SUM(CT5:CT9)</f>
        <v>4105.82</v>
      </c>
      <c r="CU10" s="1162"/>
      <c r="CV10" s="1230"/>
      <c r="CW10" s="1204">
        <f>SUM(CW5:CW9)</f>
        <v>1136.1199999999999</v>
      </c>
      <c r="CX10" s="1162"/>
      <c r="CY10" s="1230"/>
      <c r="CZ10" s="1204">
        <f>SUM(CZ5:CZ9)</f>
        <v>4158.424</v>
      </c>
      <c r="DA10" s="1162"/>
      <c r="DB10" s="1230"/>
      <c r="DC10" s="1204">
        <f>SUM(DC5:DC9)</f>
        <v>1813.924</v>
      </c>
      <c r="DD10" s="1162"/>
      <c r="DE10" s="1204"/>
      <c r="DF10" s="1204">
        <f>SUM(DF5:DF9)</f>
        <v>0</v>
      </c>
      <c r="DG10" s="1162"/>
      <c r="DH10" s="1204"/>
      <c r="DI10" s="1204">
        <f>SUM(DI5:DI9)</f>
        <v>0</v>
      </c>
      <c r="DJ10" s="1162"/>
      <c r="DK10" s="1204"/>
      <c r="DL10" s="1204">
        <f>SUM(DL5:DL9)</f>
        <v>0</v>
      </c>
      <c r="DM10" s="1162"/>
      <c r="DN10" s="1204"/>
      <c r="DO10" s="1204">
        <f>SUM(DO5:DO9)</f>
        <v>0</v>
      </c>
      <c r="DP10" s="1162"/>
      <c r="DQ10" s="1204"/>
      <c r="DR10" s="1204">
        <f>SUM(DR5:DR9)</f>
        <v>0</v>
      </c>
      <c r="DS10" s="1162"/>
      <c r="DT10" s="1204"/>
      <c r="DU10" s="1204">
        <f>SUM(DU5:DU9)</f>
        <v>0</v>
      </c>
      <c r="DV10" s="1162"/>
      <c r="DW10" s="1204"/>
      <c r="DX10" s="1243">
        <f>SUM(DX5:DX9)</f>
        <v>0</v>
      </c>
    </row>
    <row r="11" spans="1:130" s="1300" customFormat="1" ht="15" thickTop="1">
      <c r="A11" s="1299"/>
      <c r="B11" s="1304" t="s">
        <v>146</v>
      </c>
      <c r="C11" s="1173" t="s">
        <v>143</v>
      </c>
      <c r="D11" s="1202" t="s">
        <v>144</v>
      </c>
      <c r="E11" s="1203" t="s">
        <v>145</v>
      </c>
      <c r="F11" s="1174" t="s">
        <v>143</v>
      </c>
      <c r="G11" s="1216" t="s">
        <v>144</v>
      </c>
      <c r="H11" s="1203" t="s">
        <v>145</v>
      </c>
      <c r="I11" s="1174" t="s">
        <v>143</v>
      </c>
      <c r="J11" s="1216" t="s">
        <v>144</v>
      </c>
      <c r="K11" s="1203" t="s">
        <v>145</v>
      </c>
      <c r="L11" s="1174" t="s">
        <v>143</v>
      </c>
      <c r="M11" s="1216" t="s">
        <v>144</v>
      </c>
      <c r="N11" s="1203" t="s">
        <v>145</v>
      </c>
      <c r="O11" s="1174"/>
      <c r="P11" s="1216"/>
      <c r="Q11" s="1227"/>
      <c r="R11" s="1174"/>
      <c r="S11" s="1216"/>
      <c r="T11" s="1216"/>
      <c r="U11" s="1174" t="s">
        <v>143</v>
      </c>
      <c r="V11" s="1232" t="s">
        <v>144</v>
      </c>
      <c r="W11" s="1233" t="s">
        <v>145</v>
      </c>
      <c r="X11" s="1174"/>
      <c r="Y11" s="1216"/>
      <c r="Z11" s="1227"/>
      <c r="AA11" s="1174"/>
      <c r="AB11" s="1232"/>
      <c r="AC11" s="1227"/>
      <c r="AD11" s="1174"/>
      <c r="AE11" s="1232"/>
      <c r="AF11" s="1216"/>
      <c r="AG11" s="1174"/>
      <c r="AH11" s="1232"/>
      <c r="AI11" s="1216"/>
      <c r="AJ11" s="1174"/>
      <c r="AK11" s="1232"/>
      <c r="AL11" s="1216"/>
      <c r="AM11" s="1174"/>
      <c r="AN11" s="1232"/>
      <c r="AO11" s="1216"/>
      <c r="AP11" s="1174"/>
      <c r="AQ11" s="1232"/>
      <c r="AR11" s="1216"/>
      <c r="AS11" s="1174" t="s">
        <v>143</v>
      </c>
      <c r="AT11" s="1232" t="s">
        <v>144</v>
      </c>
      <c r="AU11" s="1216"/>
      <c r="AV11" s="1174" t="s">
        <v>143</v>
      </c>
      <c r="AW11" s="1216" t="s">
        <v>144</v>
      </c>
      <c r="AX11" s="1216"/>
      <c r="AY11" s="1174"/>
      <c r="AZ11" s="1232"/>
      <c r="BA11" s="1216"/>
      <c r="BB11" s="1174"/>
      <c r="BC11" s="1232"/>
      <c r="BD11" s="1216"/>
      <c r="BE11" s="1174"/>
      <c r="BF11" s="1216"/>
      <c r="BG11" s="1203"/>
      <c r="BH11" s="1174"/>
      <c r="BI11" s="1232"/>
      <c r="BJ11" s="1203"/>
      <c r="BK11" s="1174"/>
      <c r="BL11" s="1232"/>
      <c r="BM11" s="1203"/>
      <c r="BN11" s="1174"/>
      <c r="BO11" s="1232"/>
      <c r="BP11" s="1203"/>
      <c r="BQ11" s="1174"/>
      <c r="BR11" s="1216"/>
      <c r="BS11" s="1255"/>
      <c r="BT11" s="1174"/>
      <c r="BU11" s="1232"/>
      <c r="BV11" s="1216"/>
      <c r="BW11" s="1174"/>
      <c r="BX11" s="1232"/>
      <c r="BY11" s="1216"/>
      <c r="BZ11" s="1174"/>
      <c r="CA11" s="1232"/>
      <c r="CB11" s="1216"/>
      <c r="CC11" s="1174"/>
      <c r="CD11" s="1232"/>
      <c r="CE11" s="1216"/>
      <c r="CF11" s="1174"/>
      <c r="CG11" s="1232"/>
      <c r="CH11" s="1216"/>
      <c r="CI11" s="1174"/>
      <c r="CJ11" s="1232"/>
      <c r="CK11" s="1216"/>
      <c r="CL11" s="1174"/>
      <c r="CM11" s="1232"/>
      <c r="CN11" s="1216"/>
      <c r="CO11" s="1174"/>
      <c r="CP11" s="1232"/>
      <c r="CQ11" s="1216"/>
      <c r="CR11" s="1174"/>
      <c r="CS11" s="1232"/>
      <c r="CT11" s="1216"/>
      <c r="CU11" s="1174"/>
      <c r="CV11" s="1232"/>
      <c r="CW11" s="1216"/>
      <c r="CX11" s="1174"/>
      <c r="CY11" s="1232"/>
      <c r="CZ11" s="1216"/>
      <c r="DA11" s="1174"/>
      <c r="DB11" s="1232"/>
      <c r="DC11" s="1216"/>
      <c r="DD11" s="1174"/>
      <c r="DE11" s="1216"/>
      <c r="DF11" s="1216"/>
      <c r="DG11" s="1174"/>
      <c r="DH11" s="1216"/>
      <c r="DI11" s="1216"/>
      <c r="DJ11" s="1174"/>
      <c r="DK11" s="1216"/>
      <c r="DL11" s="1216"/>
      <c r="DM11" s="1174"/>
      <c r="DN11" s="1216"/>
      <c r="DO11" s="1216"/>
      <c r="DP11" s="1174"/>
      <c r="DQ11" s="1216"/>
      <c r="DR11" s="1216"/>
      <c r="DS11" s="1174"/>
      <c r="DT11" s="1216"/>
      <c r="DU11" s="1216"/>
      <c r="DV11" s="1174"/>
      <c r="DW11" s="1216"/>
      <c r="DX11" s="1246"/>
    </row>
    <row r="12" spans="1:130">
      <c r="B12" s="1305" t="s">
        <v>147</v>
      </c>
      <c r="C12" s="1153">
        <v>1.1000000000000001</v>
      </c>
      <c r="D12" s="1193">
        <v>239.1</v>
      </c>
      <c r="E12" s="1199">
        <f t="shared" ref="E12:E17" si="3">D12*C12</f>
        <v>263.01</v>
      </c>
      <c r="F12" s="1154">
        <v>1</v>
      </c>
      <c r="G12" s="1193">
        <v>295.77</v>
      </c>
      <c r="H12" s="1199">
        <f t="shared" ref="H12:H18" si="4">G12*F12</f>
        <v>295.77</v>
      </c>
      <c r="I12" s="1154">
        <v>125</v>
      </c>
      <c r="J12" s="1193">
        <v>2.2999999999999998</v>
      </c>
      <c r="K12" s="1222">
        <f t="shared" ref="K12:K18" si="5">J12*I12</f>
        <v>287.5</v>
      </c>
      <c r="L12" s="1154">
        <v>437</v>
      </c>
      <c r="M12" s="1219">
        <v>0.53</v>
      </c>
      <c r="N12" s="1222">
        <f t="shared" ref="N12:N18" si="6">M12*L12</f>
        <v>231.61</v>
      </c>
      <c r="O12" s="1154">
        <v>220</v>
      </c>
      <c r="P12" s="1219">
        <v>1.4</v>
      </c>
      <c r="Q12" s="1222">
        <f t="shared" ref="Q12:Q18" si="7">P12*O12</f>
        <v>308</v>
      </c>
      <c r="R12" s="1154">
        <v>200</v>
      </c>
      <c r="S12" s="1219">
        <v>1</v>
      </c>
      <c r="T12" s="1222">
        <f t="shared" ref="T12:T18" si="8">S12*R12</f>
        <v>200</v>
      </c>
      <c r="U12" s="1154">
        <v>200</v>
      </c>
      <c r="V12" s="1219">
        <v>1.4</v>
      </c>
      <c r="W12" s="1222">
        <f t="shared" ref="W12:W18" si="9">V12*U12</f>
        <v>280</v>
      </c>
      <c r="X12" s="1154">
        <v>170</v>
      </c>
      <c r="Y12" s="1219">
        <v>1</v>
      </c>
      <c r="Z12" s="1222">
        <f t="shared" ref="Z12:Z18" si="10">Y12*X12</f>
        <v>170</v>
      </c>
      <c r="AA12" s="1154">
        <v>150</v>
      </c>
      <c r="AB12" s="1193">
        <v>1.08</v>
      </c>
      <c r="AC12" s="1222">
        <f t="shared" ref="AC12:AC18" si="11">AB12*AA12</f>
        <v>162</v>
      </c>
      <c r="AD12" s="1154">
        <v>155</v>
      </c>
      <c r="AE12" s="1193">
        <v>0.87</v>
      </c>
      <c r="AF12" s="1222">
        <f t="shared" ref="AF12:AF18" si="12">AE12*AD12</f>
        <v>134.85</v>
      </c>
      <c r="AG12" s="1154">
        <v>225</v>
      </c>
      <c r="AH12" s="1193">
        <v>1.53</v>
      </c>
      <c r="AI12" s="1222">
        <f t="shared" ref="AI12:AI18" si="13">AH12*AG12</f>
        <v>344.25</v>
      </c>
      <c r="AJ12" s="1154">
        <v>115</v>
      </c>
      <c r="AK12" s="1193">
        <v>0.86</v>
      </c>
      <c r="AL12" s="1222">
        <f t="shared" ref="AL12:AL18" si="14">AK12*AJ12</f>
        <v>98.899999999999991</v>
      </c>
      <c r="AM12" s="1154">
        <v>175</v>
      </c>
      <c r="AN12" s="1193">
        <v>1.1000000000000001</v>
      </c>
      <c r="AO12" s="1222">
        <f t="shared" ref="AO12:AO18" si="15">AN12*AM12</f>
        <v>192.50000000000003</v>
      </c>
      <c r="AP12" s="1154">
        <v>175</v>
      </c>
      <c r="AQ12" s="1193">
        <v>1.1000000000000001</v>
      </c>
      <c r="AR12" s="1222">
        <f t="shared" ref="AR12:AR18" si="16">AQ12*AP12</f>
        <v>192.50000000000003</v>
      </c>
      <c r="AS12" s="1154">
        <v>150</v>
      </c>
      <c r="AT12" s="1193">
        <v>1.28</v>
      </c>
      <c r="AU12" s="1222">
        <f t="shared" ref="AU12:AU18" si="17">AT12*AS12</f>
        <v>192</v>
      </c>
      <c r="AV12" s="1154">
        <v>150</v>
      </c>
      <c r="AW12" s="1193">
        <v>1.28</v>
      </c>
      <c r="AX12" s="1222">
        <f t="shared" ref="AX12:AX18" si="18">AW12*AV12</f>
        <v>192</v>
      </c>
      <c r="AY12" s="1154">
        <f>1/5</f>
        <v>0.2</v>
      </c>
      <c r="AZ12" s="1193">
        <f>(80*21.4/25)+(7*159/25)+(2*296/25)</f>
        <v>136.68</v>
      </c>
      <c r="BA12" s="1222">
        <f t="shared" ref="BA12:BA18" si="19">AZ12*AY12</f>
        <v>27.336000000000002</v>
      </c>
      <c r="BB12" s="1154">
        <f>1/5</f>
        <v>0.2</v>
      </c>
      <c r="BC12" s="1193">
        <f>(80*21.4/25)+(7*159/25)+(2*296/25)</f>
        <v>136.68</v>
      </c>
      <c r="BD12" s="1222">
        <f t="shared" ref="BD12:BD18" si="20">BC12*BB12</f>
        <v>27.336000000000002</v>
      </c>
      <c r="BE12" s="1154">
        <f>1/5</f>
        <v>0.2</v>
      </c>
      <c r="BF12" s="1193">
        <f>((100*0.87)+(364/25*9)+(159/25*7))</f>
        <v>262.56</v>
      </c>
      <c r="BG12" s="1222">
        <f t="shared" ref="BG12:BG18" si="21">BF12*BE12</f>
        <v>52.512</v>
      </c>
      <c r="BH12" s="1154">
        <f>1/5</f>
        <v>0.2</v>
      </c>
      <c r="BI12" s="1193">
        <f>((100*0.87)+(364/25*9)+(159/25*7))</f>
        <v>262.56</v>
      </c>
      <c r="BJ12" s="1222">
        <f t="shared" ref="BJ12:BJ18" si="22">BI12*BH12</f>
        <v>52.512</v>
      </c>
      <c r="BK12" s="1154">
        <v>1</v>
      </c>
      <c r="BL12" s="1193">
        <v>279</v>
      </c>
      <c r="BM12" s="1222">
        <f t="shared" ref="BM12:BM18" si="23">BL12*BK12</f>
        <v>279</v>
      </c>
      <c r="BN12" s="1154">
        <v>1</v>
      </c>
      <c r="BO12" s="1193">
        <v>279</v>
      </c>
      <c r="BP12" s="1222">
        <f t="shared" ref="BP12:BP18" si="24">BO12*BN12</f>
        <v>279</v>
      </c>
      <c r="BQ12" s="1154"/>
      <c r="BR12" s="1219"/>
      <c r="BS12" s="1222">
        <f t="shared" ref="BS12:BS18" si="25">BR12*BQ12</f>
        <v>0</v>
      </c>
      <c r="BT12" s="1154">
        <v>200</v>
      </c>
      <c r="BU12" s="1193">
        <v>1.75</v>
      </c>
      <c r="BV12" s="1222">
        <f t="shared" ref="BV12:BV18" si="26">BU12*BT12</f>
        <v>350</v>
      </c>
      <c r="BW12" s="1154">
        <v>200</v>
      </c>
      <c r="BX12" s="1193">
        <v>1.75</v>
      </c>
      <c r="BY12" s="1222">
        <f t="shared" ref="BY12:BY18" si="27">BX12*BW12</f>
        <v>350</v>
      </c>
      <c r="BZ12" s="1154">
        <v>220</v>
      </c>
      <c r="CA12" s="1193">
        <v>1.75</v>
      </c>
      <c r="CB12" s="1222">
        <f t="shared" ref="CB12:CB18" si="28">CA12*BZ12</f>
        <v>385</v>
      </c>
      <c r="CC12" s="1154">
        <v>220</v>
      </c>
      <c r="CD12" s="1193">
        <v>1.75</v>
      </c>
      <c r="CE12" s="1222">
        <f t="shared" ref="CE12:CE18" si="29">CD12*CC12</f>
        <v>385</v>
      </c>
      <c r="CF12" s="1154">
        <v>8</v>
      </c>
      <c r="CG12" s="1193">
        <v>7.9</v>
      </c>
      <c r="CH12" s="1222">
        <f t="shared" ref="CH12:CH18" si="30">CG12*CF12</f>
        <v>63.2</v>
      </c>
      <c r="CI12" s="1154">
        <v>6.5</v>
      </c>
      <c r="CJ12" s="1193">
        <v>27.54</v>
      </c>
      <c r="CK12" s="1222">
        <f t="shared" ref="CK12:CK18" si="31">CJ12*CI12</f>
        <v>179.01</v>
      </c>
      <c r="CL12" s="1154">
        <v>55</v>
      </c>
      <c r="CM12" s="1193">
        <v>2.38</v>
      </c>
      <c r="CN12" s="1222">
        <f t="shared" ref="CN12:CN18" si="32">CM12*CL12</f>
        <v>130.9</v>
      </c>
      <c r="CO12" s="1154">
        <v>55</v>
      </c>
      <c r="CP12" s="1193">
        <f>46.9/25</f>
        <v>1.8759999999999999</v>
      </c>
      <c r="CQ12" s="1222">
        <f t="shared" ref="CQ12:CQ18" si="33">CP12*CO12</f>
        <v>103.17999999999999</v>
      </c>
      <c r="CR12" s="1154">
        <v>40</v>
      </c>
      <c r="CS12" s="1193">
        <v>6</v>
      </c>
      <c r="CT12" s="1222">
        <f t="shared" ref="CT12:CT18" si="34">CS12*CR12</f>
        <v>240</v>
      </c>
      <c r="CU12" s="1154">
        <v>40</v>
      </c>
      <c r="CV12" s="1193">
        <v>6</v>
      </c>
      <c r="CW12" s="1222">
        <f t="shared" ref="CW12:CW18" si="35">CV12*CU12</f>
        <v>240</v>
      </c>
      <c r="CX12" s="1154">
        <v>150</v>
      </c>
      <c r="CY12" s="1193">
        <v>1.52</v>
      </c>
      <c r="CZ12" s="1222">
        <f t="shared" ref="CZ12:CZ18" si="36">CY12*CX12</f>
        <v>228</v>
      </c>
      <c r="DA12" s="1154">
        <v>150</v>
      </c>
      <c r="DB12" s="1193">
        <v>1.52</v>
      </c>
      <c r="DC12" s="1222">
        <f t="shared" ref="DC12:DC18" si="37">DB12*DA12</f>
        <v>228</v>
      </c>
      <c r="DD12" s="1154"/>
      <c r="DE12" s="1219"/>
      <c r="DF12" s="1222">
        <f t="shared" ref="DF12:DF18" si="38">DE12*DD12</f>
        <v>0</v>
      </c>
      <c r="DG12" s="1154"/>
      <c r="DH12" s="1219"/>
      <c r="DI12" s="1222">
        <f t="shared" ref="DI12:DI18" si="39">DH12*DG12</f>
        <v>0</v>
      </c>
      <c r="DJ12" s="1154"/>
      <c r="DK12" s="1219"/>
      <c r="DL12" s="1222">
        <f t="shared" ref="DL12:DL18" si="40">DK12*DJ12</f>
        <v>0</v>
      </c>
      <c r="DM12" s="1154"/>
      <c r="DN12" s="1219"/>
      <c r="DO12" s="1222">
        <f>DN12*DM12</f>
        <v>0</v>
      </c>
      <c r="DP12" s="1154"/>
      <c r="DQ12" s="1219"/>
      <c r="DR12" s="1222">
        <f t="shared" ref="DR12:DR18" si="41">DQ12*DP12</f>
        <v>0</v>
      </c>
      <c r="DS12" s="1154"/>
      <c r="DT12" s="1219"/>
      <c r="DU12" s="1222">
        <f t="shared" ref="DU12:DU18" si="42">DT12*DS12</f>
        <v>0</v>
      </c>
      <c r="DV12" s="1154"/>
      <c r="DW12" s="1219"/>
      <c r="DX12" s="1244">
        <f t="shared" ref="DX12:DX18" si="43">DW12*DV12</f>
        <v>0</v>
      </c>
    </row>
    <row r="13" spans="1:130">
      <c r="B13" s="1305" t="s">
        <v>1249</v>
      </c>
      <c r="C13" s="1155"/>
      <c r="D13" s="1195"/>
      <c r="E13" s="1199">
        <f t="shared" si="3"/>
        <v>0</v>
      </c>
      <c r="F13" s="1156">
        <v>1</v>
      </c>
      <c r="G13" s="1195">
        <v>423.45</v>
      </c>
      <c r="H13" s="1199">
        <f t="shared" si="4"/>
        <v>423.45</v>
      </c>
      <c r="I13" s="1156"/>
      <c r="J13" s="1195"/>
      <c r="K13" s="1222">
        <f t="shared" si="5"/>
        <v>0</v>
      </c>
      <c r="L13" s="1156">
        <v>130</v>
      </c>
      <c r="M13" s="1217">
        <v>0.7</v>
      </c>
      <c r="N13" s="1222">
        <f t="shared" si="6"/>
        <v>91</v>
      </c>
      <c r="O13" s="1156"/>
      <c r="P13" s="1217"/>
      <c r="Q13" s="1222">
        <f t="shared" si="7"/>
        <v>0</v>
      </c>
      <c r="R13" s="1156">
        <v>464</v>
      </c>
      <c r="S13" s="1217">
        <v>0.72</v>
      </c>
      <c r="T13" s="1222">
        <f t="shared" si="8"/>
        <v>334.08</v>
      </c>
      <c r="U13" s="1156"/>
      <c r="V13" s="1217"/>
      <c r="W13" s="1222">
        <f t="shared" si="9"/>
        <v>0</v>
      </c>
      <c r="X13" s="1156">
        <v>464</v>
      </c>
      <c r="Y13" s="1217">
        <v>0.72</v>
      </c>
      <c r="Z13" s="1222">
        <f t="shared" si="10"/>
        <v>334.08</v>
      </c>
      <c r="AA13" s="1156"/>
      <c r="AB13" s="1195"/>
      <c r="AC13" s="1222">
        <f t="shared" si="11"/>
        <v>0</v>
      </c>
      <c r="AD13" s="1156">
        <v>320</v>
      </c>
      <c r="AE13" s="1195">
        <v>0.74</v>
      </c>
      <c r="AF13" s="1222">
        <f t="shared" si="12"/>
        <v>236.8</v>
      </c>
      <c r="AG13" s="1156"/>
      <c r="AH13" s="1195"/>
      <c r="AI13" s="1222">
        <f t="shared" si="13"/>
        <v>0</v>
      </c>
      <c r="AJ13" s="1156">
        <v>194</v>
      </c>
      <c r="AK13" s="1195">
        <v>0.76</v>
      </c>
      <c r="AL13" s="1222">
        <f t="shared" si="14"/>
        <v>147.44</v>
      </c>
      <c r="AM13" s="1156"/>
      <c r="AN13" s="1195"/>
      <c r="AO13" s="1222">
        <f t="shared" si="15"/>
        <v>0</v>
      </c>
      <c r="AP13" s="1156"/>
      <c r="AQ13" s="1195"/>
      <c r="AR13" s="1222">
        <f t="shared" si="16"/>
        <v>0</v>
      </c>
      <c r="AS13" s="1156"/>
      <c r="AT13" s="1195"/>
      <c r="AU13" s="1222">
        <f t="shared" si="17"/>
        <v>0</v>
      </c>
      <c r="AV13" s="1156">
        <v>320</v>
      </c>
      <c r="AW13" s="1195">
        <v>0.74</v>
      </c>
      <c r="AX13" s="1222">
        <f t="shared" si="18"/>
        <v>236.8</v>
      </c>
      <c r="AY13" s="1156"/>
      <c r="AZ13" s="1195"/>
      <c r="BA13" s="1222">
        <f t="shared" si="19"/>
        <v>0</v>
      </c>
      <c r="BB13" s="1156">
        <f>(0.35+0.25+0.25+0.2+0.21)/5</f>
        <v>0.252</v>
      </c>
      <c r="BC13" s="1195">
        <f>(725+644.2+658.6+748+748)/5</f>
        <v>704.76</v>
      </c>
      <c r="BD13" s="1222">
        <f t="shared" si="20"/>
        <v>177.59952000000001</v>
      </c>
      <c r="BE13" s="1156"/>
      <c r="BF13" s="1195"/>
      <c r="BG13" s="1222">
        <f t="shared" si="21"/>
        <v>0</v>
      </c>
      <c r="BH13" s="1156">
        <f>(0.31+0.36+0.36+0.37+0.35)/5</f>
        <v>0.35</v>
      </c>
      <c r="BI13" s="1195">
        <f>(764+735+713.17+699.97+715)/5</f>
        <v>725.42800000000011</v>
      </c>
      <c r="BJ13" s="1222">
        <f t="shared" si="22"/>
        <v>253.89980000000003</v>
      </c>
      <c r="BK13" s="1156"/>
      <c r="BL13" s="1195"/>
      <c r="BM13" s="1222">
        <f t="shared" si="23"/>
        <v>0</v>
      </c>
      <c r="BN13" s="1156">
        <v>176</v>
      </c>
      <c r="BO13" s="1195">
        <v>0.72199999999999998</v>
      </c>
      <c r="BP13" s="1222">
        <f t="shared" si="24"/>
        <v>127.072</v>
      </c>
      <c r="BQ13" s="1154"/>
      <c r="BR13" s="1219"/>
      <c r="BS13" s="1222">
        <f t="shared" si="25"/>
        <v>0</v>
      </c>
      <c r="BT13" s="1156"/>
      <c r="BU13" s="1195"/>
      <c r="BV13" s="1222">
        <f t="shared" si="26"/>
        <v>0</v>
      </c>
      <c r="BW13" s="1156"/>
      <c r="BX13" s="1195"/>
      <c r="BY13" s="1222">
        <f t="shared" si="27"/>
        <v>0</v>
      </c>
      <c r="BZ13" s="1156"/>
      <c r="CA13" s="1195"/>
      <c r="CB13" s="1222">
        <f t="shared" si="28"/>
        <v>0</v>
      </c>
      <c r="CC13" s="1156"/>
      <c r="CD13" s="1195"/>
      <c r="CE13" s="1222">
        <f t="shared" si="29"/>
        <v>0</v>
      </c>
      <c r="CF13" s="1154"/>
      <c r="CG13" s="1195"/>
      <c r="CH13" s="1222">
        <f t="shared" si="30"/>
        <v>0</v>
      </c>
      <c r="CI13" s="1154">
        <v>2</v>
      </c>
      <c r="CJ13" s="1195">
        <v>151</v>
      </c>
      <c r="CK13" s="1222">
        <f t="shared" si="31"/>
        <v>302</v>
      </c>
      <c r="CL13" s="1156"/>
      <c r="CM13" s="1195"/>
      <c r="CN13" s="1222">
        <f t="shared" si="32"/>
        <v>0</v>
      </c>
      <c r="CO13" s="1156">
        <v>150</v>
      </c>
      <c r="CP13" s="1195">
        <v>0.78</v>
      </c>
      <c r="CQ13" s="1222">
        <f t="shared" si="33"/>
        <v>117</v>
      </c>
      <c r="CR13" s="1156"/>
      <c r="CS13" s="1195"/>
      <c r="CT13" s="1222">
        <f t="shared" si="34"/>
        <v>0</v>
      </c>
      <c r="CU13" s="1156">
        <v>464</v>
      </c>
      <c r="CV13" s="1195">
        <v>0.72</v>
      </c>
      <c r="CW13" s="1222">
        <f t="shared" si="35"/>
        <v>334.08</v>
      </c>
      <c r="CX13" s="1156"/>
      <c r="CY13" s="1195"/>
      <c r="CZ13" s="1222">
        <f t="shared" si="36"/>
        <v>0</v>
      </c>
      <c r="DA13" s="1156">
        <v>0.33</v>
      </c>
      <c r="DB13" s="1195">
        <v>737.06</v>
      </c>
      <c r="DC13" s="1222">
        <f t="shared" si="37"/>
        <v>243.22979999999998</v>
      </c>
      <c r="DD13" s="1156"/>
      <c r="DE13" s="1217"/>
      <c r="DF13" s="1222">
        <f t="shared" si="38"/>
        <v>0</v>
      </c>
      <c r="DG13" s="1156"/>
      <c r="DH13" s="1217"/>
      <c r="DI13" s="1222">
        <f t="shared" si="39"/>
        <v>0</v>
      </c>
      <c r="DJ13" s="1156"/>
      <c r="DK13" s="1217"/>
      <c r="DL13" s="1222">
        <f t="shared" si="40"/>
        <v>0</v>
      </c>
      <c r="DM13" s="1156"/>
      <c r="DN13" s="1217"/>
      <c r="DO13" s="1222">
        <f t="shared" ref="DO13:DO18" si="44">DN13*DM13</f>
        <v>0</v>
      </c>
      <c r="DP13" s="1156"/>
      <c r="DQ13" s="1217"/>
      <c r="DR13" s="1222">
        <f t="shared" si="41"/>
        <v>0</v>
      </c>
      <c r="DS13" s="1156"/>
      <c r="DT13" s="1217"/>
      <c r="DU13" s="1222">
        <f t="shared" si="42"/>
        <v>0</v>
      </c>
      <c r="DV13" s="1156"/>
      <c r="DW13" s="1217"/>
      <c r="DX13" s="1244">
        <f t="shared" si="43"/>
        <v>0</v>
      </c>
    </row>
    <row r="14" spans="1:130">
      <c r="B14" s="1305" t="s">
        <v>1250</v>
      </c>
      <c r="C14" s="1155"/>
      <c r="D14" s="1195"/>
      <c r="E14" s="1199"/>
      <c r="F14" s="1156">
        <v>1</v>
      </c>
      <c r="G14" s="1195">
        <v>75</v>
      </c>
      <c r="H14" s="1199">
        <f t="shared" si="4"/>
        <v>75</v>
      </c>
      <c r="I14" s="1156"/>
      <c r="J14" s="1195"/>
      <c r="K14" s="1222">
        <f t="shared" si="5"/>
        <v>0</v>
      </c>
      <c r="L14" s="1156">
        <v>1</v>
      </c>
      <c r="M14" s="1217">
        <v>87.48</v>
      </c>
      <c r="N14" s="1222">
        <f t="shared" si="6"/>
        <v>87.48</v>
      </c>
      <c r="O14" s="1156"/>
      <c r="P14" s="1217"/>
      <c r="Q14" s="1222">
        <f t="shared" si="7"/>
        <v>0</v>
      </c>
      <c r="R14" s="1156">
        <v>1</v>
      </c>
      <c r="S14" s="1217">
        <f>27.31+32.73</f>
        <v>60.039999999999992</v>
      </c>
      <c r="T14" s="1222">
        <f t="shared" si="8"/>
        <v>60.039999999999992</v>
      </c>
      <c r="U14" s="1156"/>
      <c r="V14" s="1217"/>
      <c r="W14" s="1222">
        <f t="shared" si="9"/>
        <v>0</v>
      </c>
      <c r="X14" s="1156">
        <v>1</v>
      </c>
      <c r="Y14" s="1217">
        <f>23.03+32.73</f>
        <v>55.76</v>
      </c>
      <c r="Z14" s="1222">
        <f t="shared" si="10"/>
        <v>55.76</v>
      </c>
      <c r="AA14" s="1156"/>
      <c r="AB14" s="1195"/>
      <c r="AC14" s="1222">
        <f t="shared" si="11"/>
        <v>0</v>
      </c>
      <c r="AD14" s="1156">
        <v>1</v>
      </c>
      <c r="AE14" s="1195">
        <v>18.850000000000001</v>
      </c>
      <c r="AF14" s="1222">
        <f t="shared" si="12"/>
        <v>18.850000000000001</v>
      </c>
      <c r="AG14" s="1156"/>
      <c r="AH14" s="1195"/>
      <c r="AI14" s="1222">
        <f t="shared" si="13"/>
        <v>0</v>
      </c>
      <c r="AJ14" s="1156">
        <v>1</v>
      </c>
      <c r="AK14" s="1195">
        <v>23.03</v>
      </c>
      <c r="AL14" s="1222">
        <f t="shared" si="14"/>
        <v>23.03</v>
      </c>
      <c r="AM14" s="1156"/>
      <c r="AN14" s="1195"/>
      <c r="AO14" s="1222">
        <f t="shared" si="15"/>
        <v>0</v>
      </c>
      <c r="AP14" s="1156"/>
      <c r="AQ14" s="1195"/>
      <c r="AR14" s="1222">
        <f t="shared" si="16"/>
        <v>0</v>
      </c>
      <c r="AS14" s="1156"/>
      <c r="AT14" s="1195"/>
      <c r="AU14" s="1222">
        <f t="shared" si="17"/>
        <v>0</v>
      </c>
      <c r="AV14" s="1156">
        <v>1</v>
      </c>
      <c r="AW14" s="1195">
        <v>18.850000000000001</v>
      </c>
      <c r="AX14" s="1222">
        <f t="shared" si="18"/>
        <v>18.850000000000001</v>
      </c>
      <c r="AY14" s="1156"/>
      <c r="AZ14" s="1195"/>
      <c r="BA14" s="1222">
        <f t="shared" si="19"/>
        <v>0</v>
      </c>
      <c r="BB14" s="1154">
        <f>1/5</f>
        <v>0.2</v>
      </c>
      <c r="BC14" s="1195">
        <v>62.55</v>
      </c>
      <c r="BD14" s="1222">
        <f t="shared" si="20"/>
        <v>12.51</v>
      </c>
      <c r="BE14" s="1154"/>
      <c r="BF14" s="1195"/>
      <c r="BG14" s="1222">
        <f t="shared" si="21"/>
        <v>0</v>
      </c>
      <c r="BH14" s="1154">
        <f>1/5</f>
        <v>0.2</v>
      </c>
      <c r="BI14" s="1195">
        <v>66.680000000000007</v>
      </c>
      <c r="BJ14" s="1222">
        <f t="shared" si="22"/>
        <v>13.336000000000002</v>
      </c>
      <c r="BK14" s="1156"/>
      <c r="BL14" s="1195"/>
      <c r="BM14" s="1222">
        <f t="shared" si="23"/>
        <v>0</v>
      </c>
      <c r="BN14" s="1156">
        <v>2</v>
      </c>
      <c r="BO14" s="1195">
        <v>30</v>
      </c>
      <c r="BP14" s="1222">
        <f t="shared" si="24"/>
        <v>60</v>
      </c>
      <c r="BQ14" s="1154"/>
      <c r="BR14" s="1219"/>
      <c r="BS14" s="1222">
        <f t="shared" si="25"/>
        <v>0</v>
      </c>
      <c r="BT14" s="1155"/>
      <c r="BU14" s="1195"/>
      <c r="BV14" s="1222">
        <f t="shared" si="26"/>
        <v>0</v>
      </c>
      <c r="BW14" s="1155"/>
      <c r="BX14" s="1195"/>
      <c r="BY14" s="1222">
        <f t="shared" si="27"/>
        <v>0</v>
      </c>
      <c r="BZ14" s="1155"/>
      <c r="CA14" s="1195"/>
      <c r="CB14" s="1222">
        <f t="shared" si="28"/>
        <v>0</v>
      </c>
      <c r="CC14" s="1155"/>
      <c r="CD14" s="1195"/>
      <c r="CE14" s="1222">
        <f t="shared" si="29"/>
        <v>0</v>
      </c>
      <c r="CF14" s="1154"/>
      <c r="CG14" s="1195"/>
      <c r="CH14" s="1222">
        <f t="shared" si="30"/>
        <v>0</v>
      </c>
      <c r="CI14" s="1154">
        <v>1</v>
      </c>
      <c r="CJ14" s="1195">
        <v>19.52</v>
      </c>
      <c r="CK14" s="1222">
        <f t="shared" si="31"/>
        <v>19.52</v>
      </c>
      <c r="CL14" s="1156"/>
      <c r="CM14" s="1195"/>
      <c r="CN14" s="1222">
        <f t="shared" si="32"/>
        <v>0</v>
      </c>
      <c r="CO14" s="1154"/>
      <c r="CP14" s="1195"/>
      <c r="CQ14" s="1222">
        <f t="shared" si="33"/>
        <v>0</v>
      </c>
      <c r="CR14" s="1154"/>
      <c r="CS14" s="1195"/>
      <c r="CT14" s="1222">
        <f t="shared" si="34"/>
        <v>0</v>
      </c>
      <c r="CU14" s="1154"/>
      <c r="CV14" s="1195"/>
      <c r="CW14" s="1222">
        <f t="shared" si="35"/>
        <v>0</v>
      </c>
      <c r="CX14" s="1154">
        <v>1</v>
      </c>
      <c r="CY14" s="1195">
        <v>122.32</v>
      </c>
      <c r="CZ14" s="1222">
        <f t="shared" si="36"/>
        <v>122.32</v>
      </c>
      <c r="DA14" s="1154">
        <v>1</v>
      </c>
      <c r="DB14" s="1195">
        <f>59.59+48.02+122.32</f>
        <v>229.93</v>
      </c>
      <c r="DC14" s="1222">
        <f t="shared" si="37"/>
        <v>229.93</v>
      </c>
      <c r="DD14" s="1154"/>
      <c r="DE14" s="1217"/>
      <c r="DF14" s="1222">
        <f t="shared" si="38"/>
        <v>0</v>
      </c>
      <c r="DG14" s="1154"/>
      <c r="DH14" s="1217"/>
      <c r="DI14" s="1222">
        <f t="shared" si="39"/>
        <v>0</v>
      </c>
      <c r="DJ14" s="1154"/>
      <c r="DK14" s="1217"/>
      <c r="DL14" s="1222">
        <f t="shared" si="40"/>
        <v>0</v>
      </c>
      <c r="DM14" s="1156"/>
      <c r="DN14" s="1217"/>
      <c r="DO14" s="1222">
        <f t="shared" si="44"/>
        <v>0</v>
      </c>
      <c r="DP14" s="1156"/>
      <c r="DQ14" s="1217"/>
      <c r="DR14" s="1222">
        <f t="shared" si="41"/>
        <v>0</v>
      </c>
      <c r="DS14" s="1156"/>
      <c r="DT14" s="1217"/>
      <c r="DU14" s="1222">
        <f t="shared" si="42"/>
        <v>0</v>
      </c>
      <c r="DV14" s="1156"/>
      <c r="DW14" s="1217"/>
      <c r="DX14" s="1244">
        <f t="shared" si="43"/>
        <v>0</v>
      </c>
    </row>
    <row r="15" spans="1:130">
      <c r="B15" s="1305" t="s">
        <v>148</v>
      </c>
      <c r="C15" s="1155">
        <v>15</v>
      </c>
      <c r="D15" s="1195">
        <v>12</v>
      </c>
      <c r="E15" s="1199">
        <f t="shared" si="3"/>
        <v>180</v>
      </c>
      <c r="F15" s="1156"/>
      <c r="G15" s="1195"/>
      <c r="H15" s="1199">
        <f t="shared" si="4"/>
        <v>0</v>
      </c>
      <c r="I15" s="1156"/>
      <c r="J15" s="1195"/>
      <c r="K15" s="1222">
        <f t="shared" si="5"/>
        <v>0</v>
      </c>
      <c r="L15" s="1156"/>
      <c r="M15" s="1217"/>
      <c r="N15" s="1222">
        <f t="shared" si="6"/>
        <v>0</v>
      </c>
      <c r="O15" s="1156">
        <v>13</v>
      </c>
      <c r="P15" s="1217">
        <v>12</v>
      </c>
      <c r="Q15" s="1222">
        <f t="shared" si="7"/>
        <v>156</v>
      </c>
      <c r="R15" s="1156"/>
      <c r="S15" s="1217"/>
      <c r="T15" s="1222">
        <f t="shared" si="8"/>
        <v>0</v>
      </c>
      <c r="U15" s="1156">
        <v>13</v>
      </c>
      <c r="V15" s="1217">
        <v>12</v>
      </c>
      <c r="W15" s="1222">
        <f t="shared" si="9"/>
        <v>156</v>
      </c>
      <c r="X15" s="1156"/>
      <c r="Y15" s="1217"/>
      <c r="Z15" s="1222">
        <f t="shared" si="10"/>
        <v>0</v>
      </c>
      <c r="AA15" s="1156">
        <v>6</v>
      </c>
      <c r="AB15" s="1195">
        <v>13.2</v>
      </c>
      <c r="AC15" s="1222">
        <f t="shared" si="11"/>
        <v>79.199999999999989</v>
      </c>
      <c r="AD15" s="1156"/>
      <c r="AE15" s="1195"/>
      <c r="AF15" s="1222">
        <f t="shared" si="12"/>
        <v>0</v>
      </c>
      <c r="AG15" s="1156">
        <v>6</v>
      </c>
      <c r="AH15" s="1195">
        <v>13.2</v>
      </c>
      <c r="AI15" s="1222">
        <f t="shared" si="13"/>
        <v>79.199999999999989</v>
      </c>
      <c r="AJ15" s="1156"/>
      <c r="AK15" s="1195"/>
      <c r="AL15" s="1222">
        <f t="shared" si="14"/>
        <v>0</v>
      </c>
      <c r="AM15" s="1156">
        <v>9</v>
      </c>
      <c r="AN15" s="1195">
        <v>13.2</v>
      </c>
      <c r="AO15" s="1222">
        <f t="shared" si="15"/>
        <v>118.8</v>
      </c>
      <c r="AP15" s="1156">
        <v>9</v>
      </c>
      <c r="AQ15" s="1195">
        <v>13.2</v>
      </c>
      <c r="AR15" s="1222">
        <f t="shared" si="16"/>
        <v>118.8</v>
      </c>
      <c r="AS15" s="1156">
        <v>12</v>
      </c>
      <c r="AT15" s="1195">
        <v>13.2</v>
      </c>
      <c r="AU15" s="1222">
        <f t="shared" si="17"/>
        <v>158.39999999999998</v>
      </c>
      <c r="AV15" s="1156"/>
      <c r="AW15" s="1195"/>
      <c r="AX15" s="1222">
        <f t="shared" si="18"/>
        <v>0</v>
      </c>
      <c r="AY15" s="1156">
        <v>25</v>
      </c>
      <c r="AZ15" s="1195"/>
      <c r="BA15" s="1222">
        <f t="shared" si="19"/>
        <v>0</v>
      </c>
      <c r="BB15" s="1156"/>
      <c r="BC15" s="1195"/>
      <c r="BD15" s="1222">
        <f t="shared" si="20"/>
        <v>0</v>
      </c>
      <c r="BE15" s="1156">
        <v>35</v>
      </c>
      <c r="BF15" s="1195"/>
      <c r="BG15" s="1222">
        <f t="shared" si="21"/>
        <v>0</v>
      </c>
      <c r="BH15" s="1156"/>
      <c r="BI15" s="1195"/>
      <c r="BJ15" s="1222">
        <f t="shared" si="22"/>
        <v>0</v>
      </c>
      <c r="BK15" s="1156">
        <v>35</v>
      </c>
      <c r="BL15" s="1195"/>
      <c r="BM15" s="1222">
        <f t="shared" si="23"/>
        <v>0</v>
      </c>
      <c r="BN15" s="1156">
        <v>35</v>
      </c>
      <c r="BO15" s="1195"/>
      <c r="BP15" s="1222">
        <f t="shared" si="24"/>
        <v>0</v>
      </c>
      <c r="BQ15" s="1154"/>
      <c r="BR15" s="1219"/>
      <c r="BS15" s="1222">
        <f t="shared" si="25"/>
        <v>0</v>
      </c>
      <c r="BT15" s="1156">
        <v>4</v>
      </c>
      <c r="BU15" s="1195">
        <v>13.2</v>
      </c>
      <c r="BV15" s="1222">
        <f t="shared" si="26"/>
        <v>52.8</v>
      </c>
      <c r="BW15" s="1156">
        <v>4</v>
      </c>
      <c r="BX15" s="1195">
        <v>13.2</v>
      </c>
      <c r="BY15" s="1222">
        <f t="shared" si="27"/>
        <v>52.8</v>
      </c>
      <c r="BZ15" s="1156">
        <v>4</v>
      </c>
      <c r="CA15" s="1195">
        <v>13.2</v>
      </c>
      <c r="CB15" s="1222">
        <f t="shared" si="28"/>
        <v>52.8</v>
      </c>
      <c r="CC15" s="1156">
        <v>4</v>
      </c>
      <c r="CD15" s="1195">
        <v>13.2</v>
      </c>
      <c r="CE15" s="1222">
        <f t="shared" si="29"/>
        <v>52.8</v>
      </c>
      <c r="CF15" s="1154">
        <v>8</v>
      </c>
      <c r="CG15" s="1195">
        <v>13.2</v>
      </c>
      <c r="CH15" s="1222">
        <f t="shared" si="30"/>
        <v>105.6</v>
      </c>
      <c r="CI15" s="1154"/>
      <c r="CJ15" s="1195"/>
      <c r="CK15" s="1222">
        <f t="shared" si="31"/>
        <v>0</v>
      </c>
      <c r="CL15" s="1156">
        <v>4</v>
      </c>
      <c r="CM15" s="1195">
        <v>13.2</v>
      </c>
      <c r="CN15" s="1222">
        <f t="shared" si="32"/>
        <v>52.8</v>
      </c>
      <c r="CO15" s="1154"/>
      <c r="CP15" s="1195"/>
      <c r="CQ15" s="1222">
        <f t="shared" si="33"/>
        <v>0</v>
      </c>
      <c r="CR15" s="1154">
        <v>12</v>
      </c>
      <c r="CS15" s="1195">
        <v>13.2</v>
      </c>
      <c r="CT15" s="1222">
        <f t="shared" si="34"/>
        <v>158.39999999999998</v>
      </c>
      <c r="CU15" s="1154"/>
      <c r="CV15" s="1195"/>
      <c r="CW15" s="1222">
        <f t="shared" si="35"/>
        <v>0</v>
      </c>
      <c r="CX15" s="1156">
        <v>6</v>
      </c>
      <c r="CY15" s="1195">
        <v>13.2</v>
      </c>
      <c r="CZ15" s="1222">
        <f t="shared" si="36"/>
        <v>79.199999999999989</v>
      </c>
      <c r="DA15" s="1154"/>
      <c r="DB15" s="1195"/>
      <c r="DC15" s="1222">
        <f t="shared" si="37"/>
        <v>0</v>
      </c>
      <c r="DD15" s="1154"/>
      <c r="DE15" s="1217"/>
      <c r="DF15" s="1222">
        <f t="shared" si="38"/>
        <v>0</v>
      </c>
      <c r="DG15" s="1154"/>
      <c r="DH15" s="1217"/>
      <c r="DI15" s="1222">
        <f t="shared" si="39"/>
        <v>0</v>
      </c>
      <c r="DJ15" s="1154"/>
      <c r="DK15" s="1217"/>
      <c r="DL15" s="1222">
        <f t="shared" si="40"/>
        <v>0</v>
      </c>
      <c r="DM15" s="1156"/>
      <c r="DN15" s="1217"/>
      <c r="DO15" s="1222">
        <f t="shared" si="44"/>
        <v>0</v>
      </c>
      <c r="DP15" s="1156"/>
      <c r="DQ15" s="1217"/>
      <c r="DR15" s="1222">
        <f t="shared" si="41"/>
        <v>0</v>
      </c>
      <c r="DS15" s="1156"/>
      <c r="DT15" s="1217"/>
      <c r="DU15" s="1222">
        <f t="shared" si="42"/>
        <v>0</v>
      </c>
      <c r="DV15" s="1156"/>
      <c r="DW15" s="1217"/>
      <c r="DX15" s="1244">
        <f t="shared" si="43"/>
        <v>0</v>
      </c>
    </row>
    <row r="16" spans="1:130">
      <c r="B16" s="1306" t="s">
        <v>969</v>
      </c>
      <c r="C16" s="1155"/>
      <c r="D16" s="1195"/>
      <c r="E16" s="1199">
        <f t="shared" si="3"/>
        <v>0</v>
      </c>
      <c r="F16" s="1156"/>
      <c r="G16" s="1195"/>
      <c r="H16" s="1199">
        <f t="shared" si="4"/>
        <v>0</v>
      </c>
      <c r="I16" s="1156"/>
      <c r="J16" s="1195"/>
      <c r="K16" s="1222">
        <f t="shared" si="5"/>
        <v>0</v>
      </c>
      <c r="L16" s="1156"/>
      <c r="M16" s="1217"/>
      <c r="N16" s="1222">
        <f t="shared" si="6"/>
        <v>0</v>
      </c>
      <c r="O16" s="1156"/>
      <c r="P16" s="1217"/>
      <c r="Q16" s="1222">
        <f t="shared" si="7"/>
        <v>0</v>
      </c>
      <c r="R16" s="1156"/>
      <c r="S16" s="1217"/>
      <c r="T16" s="1222">
        <f t="shared" si="8"/>
        <v>0</v>
      </c>
      <c r="U16" s="1156"/>
      <c r="V16" s="1217"/>
      <c r="W16" s="1222">
        <f t="shared" si="9"/>
        <v>0</v>
      </c>
      <c r="X16" s="1156"/>
      <c r="Y16" s="1217"/>
      <c r="Z16" s="1222">
        <f t="shared" si="10"/>
        <v>0</v>
      </c>
      <c r="AA16" s="1156"/>
      <c r="AB16" s="1195"/>
      <c r="AC16" s="1222">
        <f t="shared" si="11"/>
        <v>0</v>
      </c>
      <c r="AD16" s="1156"/>
      <c r="AE16" s="1195"/>
      <c r="AF16" s="1222">
        <f t="shared" si="12"/>
        <v>0</v>
      </c>
      <c r="AG16" s="1156"/>
      <c r="AH16" s="1195"/>
      <c r="AI16" s="1222">
        <f t="shared" si="13"/>
        <v>0</v>
      </c>
      <c r="AJ16" s="1156"/>
      <c r="AK16" s="1195"/>
      <c r="AL16" s="1222">
        <f t="shared" si="14"/>
        <v>0</v>
      </c>
      <c r="AM16" s="1156"/>
      <c r="AN16" s="1195"/>
      <c r="AO16" s="1222">
        <f t="shared" si="15"/>
        <v>0</v>
      </c>
      <c r="AP16" s="1156"/>
      <c r="AQ16" s="1195"/>
      <c r="AR16" s="1222">
        <f t="shared" si="16"/>
        <v>0</v>
      </c>
      <c r="AS16" s="1156"/>
      <c r="AT16" s="1195"/>
      <c r="AU16" s="1222">
        <f t="shared" si="17"/>
        <v>0</v>
      </c>
      <c r="AV16" s="1156"/>
      <c r="AW16" s="1195"/>
      <c r="AX16" s="1222">
        <f t="shared" si="18"/>
        <v>0</v>
      </c>
      <c r="AY16" s="1156"/>
      <c r="AZ16" s="1195"/>
      <c r="BA16" s="1222">
        <f t="shared" si="19"/>
        <v>0</v>
      </c>
      <c r="BB16" s="1156"/>
      <c r="BC16" s="1195"/>
      <c r="BD16" s="1222">
        <f t="shared" si="20"/>
        <v>0</v>
      </c>
      <c r="BE16" s="1156">
        <f>(206+472+472+354+236)/5</f>
        <v>348</v>
      </c>
      <c r="BF16" s="1195">
        <v>5.2999999999999999E-2</v>
      </c>
      <c r="BG16" s="1222">
        <f t="shared" si="21"/>
        <v>18.443999999999999</v>
      </c>
      <c r="BH16" s="1156">
        <f>(206+472+472+354+236)/5</f>
        <v>348</v>
      </c>
      <c r="BI16" s="1195">
        <v>5.2999999999999999E-2</v>
      </c>
      <c r="BJ16" s="1222">
        <f t="shared" si="22"/>
        <v>18.443999999999999</v>
      </c>
      <c r="BK16" s="1156"/>
      <c r="BL16" s="1195"/>
      <c r="BM16" s="1222">
        <f t="shared" si="23"/>
        <v>0</v>
      </c>
      <c r="BN16" s="1156"/>
      <c r="BO16" s="1195"/>
      <c r="BP16" s="1222">
        <f t="shared" si="24"/>
        <v>0</v>
      </c>
      <c r="BQ16" s="1154"/>
      <c r="BR16" s="1219"/>
      <c r="BS16" s="1222">
        <f t="shared" si="25"/>
        <v>0</v>
      </c>
      <c r="BT16" s="1163"/>
      <c r="BU16" s="1195"/>
      <c r="BV16" s="1222">
        <f t="shared" si="26"/>
        <v>0</v>
      </c>
      <c r="BW16" s="1163"/>
      <c r="BX16" s="1195"/>
      <c r="BY16" s="1222">
        <f t="shared" si="27"/>
        <v>0</v>
      </c>
      <c r="BZ16" s="1163"/>
      <c r="CA16" s="1195"/>
      <c r="CB16" s="1222">
        <f t="shared" si="28"/>
        <v>0</v>
      </c>
      <c r="CC16" s="1163"/>
      <c r="CD16" s="1195"/>
      <c r="CE16" s="1222">
        <f t="shared" si="29"/>
        <v>0</v>
      </c>
      <c r="CF16" s="1154"/>
      <c r="CG16" s="1195"/>
      <c r="CH16" s="1222">
        <f t="shared" si="30"/>
        <v>0</v>
      </c>
      <c r="CI16" s="1154"/>
      <c r="CJ16" s="1195"/>
      <c r="CK16" s="1222">
        <f t="shared" si="31"/>
        <v>0</v>
      </c>
      <c r="CL16" s="1156"/>
      <c r="CM16" s="1195"/>
      <c r="CN16" s="1222">
        <f t="shared" si="32"/>
        <v>0</v>
      </c>
      <c r="CO16" s="1154"/>
      <c r="CP16" s="1195"/>
      <c r="CQ16" s="1222">
        <f t="shared" si="33"/>
        <v>0</v>
      </c>
      <c r="CR16" s="1154"/>
      <c r="CS16" s="1195"/>
      <c r="CT16" s="1222">
        <f t="shared" si="34"/>
        <v>0</v>
      </c>
      <c r="CU16" s="1154"/>
      <c r="CV16" s="1195"/>
      <c r="CW16" s="1222">
        <f t="shared" si="35"/>
        <v>0</v>
      </c>
      <c r="CX16" s="1154"/>
      <c r="CY16" s="1195"/>
      <c r="CZ16" s="1222">
        <f t="shared" si="36"/>
        <v>0</v>
      </c>
      <c r="DA16" s="1154"/>
      <c r="DB16" s="1195"/>
      <c r="DC16" s="1222">
        <f t="shared" si="37"/>
        <v>0</v>
      </c>
      <c r="DD16" s="1154"/>
      <c r="DE16" s="1217"/>
      <c r="DF16" s="1222">
        <f t="shared" si="38"/>
        <v>0</v>
      </c>
      <c r="DG16" s="1154"/>
      <c r="DH16" s="1217"/>
      <c r="DI16" s="1222">
        <f t="shared" si="39"/>
        <v>0</v>
      </c>
      <c r="DJ16" s="1154"/>
      <c r="DK16" s="1217"/>
      <c r="DL16" s="1222">
        <f t="shared" si="40"/>
        <v>0</v>
      </c>
      <c r="DM16" s="1156"/>
      <c r="DN16" s="1217"/>
      <c r="DO16" s="1222">
        <f t="shared" si="44"/>
        <v>0</v>
      </c>
      <c r="DP16" s="1156"/>
      <c r="DQ16" s="1217"/>
      <c r="DR16" s="1222">
        <f t="shared" si="41"/>
        <v>0</v>
      </c>
      <c r="DS16" s="1156"/>
      <c r="DT16" s="1217"/>
      <c r="DU16" s="1222">
        <f t="shared" si="42"/>
        <v>0</v>
      </c>
      <c r="DV16" s="1156"/>
      <c r="DW16" s="1217"/>
      <c r="DX16" s="1244">
        <f t="shared" si="43"/>
        <v>0</v>
      </c>
    </row>
    <row r="17" spans="1:128">
      <c r="B17" s="1305" t="s">
        <v>149</v>
      </c>
      <c r="C17" s="1155">
        <f>12*1/2</f>
        <v>6</v>
      </c>
      <c r="D17" s="1195">
        <v>8.4600000000000009</v>
      </c>
      <c r="E17" s="1199">
        <f t="shared" si="3"/>
        <v>50.760000000000005</v>
      </c>
      <c r="F17" s="1156"/>
      <c r="G17" s="1195"/>
      <c r="H17" s="1199">
        <f t="shared" si="4"/>
        <v>0</v>
      </c>
      <c r="I17" s="1156">
        <f>12*1/6</f>
        <v>2</v>
      </c>
      <c r="J17" s="1195">
        <v>8.4499999999999993</v>
      </c>
      <c r="K17" s="1222">
        <f t="shared" si="5"/>
        <v>16.899999999999999</v>
      </c>
      <c r="L17" s="1156"/>
      <c r="M17" s="1217"/>
      <c r="N17" s="1222">
        <f t="shared" si="6"/>
        <v>0</v>
      </c>
      <c r="O17" s="1164">
        <f>12*1/3</f>
        <v>4</v>
      </c>
      <c r="P17" s="1217">
        <v>8.4600000000000009</v>
      </c>
      <c r="Q17" s="1222">
        <f t="shared" si="7"/>
        <v>33.840000000000003</v>
      </c>
      <c r="R17" s="1156"/>
      <c r="S17" s="1217">
        <f>27.31+32.73</f>
        <v>60.039999999999992</v>
      </c>
      <c r="T17" s="1222">
        <f t="shared" si="8"/>
        <v>0</v>
      </c>
      <c r="U17" s="1164">
        <f>12*1/3</f>
        <v>4</v>
      </c>
      <c r="V17" s="1217">
        <v>8.4600000000000009</v>
      </c>
      <c r="W17" s="1222">
        <f t="shared" si="9"/>
        <v>33.840000000000003</v>
      </c>
      <c r="X17" s="1156"/>
      <c r="Y17" s="1217"/>
      <c r="Z17" s="1222">
        <f t="shared" si="10"/>
        <v>0</v>
      </c>
      <c r="AA17" s="1156">
        <f>12*1/3</f>
        <v>4</v>
      </c>
      <c r="AB17" s="1195">
        <v>11.11</v>
      </c>
      <c r="AC17" s="1222">
        <f t="shared" si="11"/>
        <v>44.44</v>
      </c>
      <c r="AD17" s="1156"/>
      <c r="AE17" s="1195"/>
      <c r="AF17" s="1222">
        <f t="shared" si="12"/>
        <v>0</v>
      </c>
      <c r="AG17" s="1156">
        <f>12*1/3</f>
        <v>4</v>
      </c>
      <c r="AH17" s="1195"/>
      <c r="AI17" s="1222">
        <f t="shared" si="13"/>
        <v>0</v>
      </c>
      <c r="AJ17" s="1156"/>
      <c r="AK17" s="1195"/>
      <c r="AL17" s="1222">
        <f t="shared" si="14"/>
        <v>0</v>
      </c>
      <c r="AM17" s="1156"/>
      <c r="AN17" s="1195"/>
      <c r="AO17" s="1222">
        <f t="shared" si="15"/>
        <v>0</v>
      </c>
      <c r="AP17" s="1156"/>
      <c r="AQ17" s="1195"/>
      <c r="AR17" s="1222">
        <f t="shared" si="16"/>
        <v>0</v>
      </c>
      <c r="AS17" s="1156"/>
      <c r="AT17" s="1195"/>
      <c r="AU17" s="1222">
        <f t="shared" si="17"/>
        <v>0</v>
      </c>
      <c r="AV17" s="1156"/>
      <c r="AW17" s="1195"/>
      <c r="AX17" s="1222">
        <f t="shared" si="18"/>
        <v>0</v>
      </c>
      <c r="AY17" s="1156"/>
      <c r="AZ17" s="1195"/>
      <c r="BA17" s="1222">
        <f t="shared" si="19"/>
        <v>0</v>
      </c>
      <c r="BB17" s="1156"/>
      <c r="BC17" s="1195"/>
      <c r="BD17" s="1222">
        <f t="shared" si="20"/>
        <v>0</v>
      </c>
      <c r="BE17" s="1156"/>
      <c r="BF17" s="1195"/>
      <c r="BG17" s="1222">
        <f t="shared" si="21"/>
        <v>0</v>
      </c>
      <c r="BH17" s="1156"/>
      <c r="BI17" s="1195"/>
      <c r="BJ17" s="1222">
        <f t="shared" si="22"/>
        <v>0</v>
      </c>
      <c r="BK17" s="1156"/>
      <c r="BL17" s="1195"/>
      <c r="BM17" s="1222">
        <f t="shared" si="23"/>
        <v>0</v>
      </c>
      <c r="BN17" s="1156"/>
      <c r="BO17" s="1195"/>
      <c r="BP17" s="1222">
        <f t="shared" si="24"/>
        <v>0</v>
      </c>
      <c r="BQ17" s="1154"/>
      <c r="BR17" s="1219"/>
      <c r="BS17" s="1222">
        <f t="shared" si="25"/>
        <v>0</v>
      </c>
      <c r="BT17" s="1165">
        <f>12*1/3</f>
        <v>4</v>
      </c>
      <c r="BU17" s="1195">
        <v>10.16</v>
      </c>
      <c r="BV17" s="1222">
        <f t="shared" si="26"/>
        <v>40.64</v>
      </c>
      <c r="BW17" s="1166"/>
      <c r="BX17" s="1195"/>
      <c r="BY17" s="1222">
        <f t="shared" si="27"/>
        <v>0</v>
      </c>
      <c r="BZ17" s="1165">
        <f>12*1/4</f>
        <v>3</v>
      </c>
      <c r="CA17" s="1195">
        <v>10.16</v>
      </c>
      <c r="CB17" s="1222">
        <f t="shared" si="28"/>
        <v>30.48</v>
      </c>
      <c r="CC17" s="1165">
        <f>12*1/4</f>
        <v>3</v>
      </c>
      <c r="CD17" s="1195">
        <v>10.16</v>
      </c>
      <c r="CE17" s="1222">
        <f t="shared" si="29"/>
        <v>30.48</v>
      </c>
      <c r="CF17" s="1154"/>
      <c r="CG17" s="1195"/>
      <c r="CH17" s="1222">
        <f t="shared" si="30"/>
        <v>0</v>
      </c>
      <c r="CI17" s="1154"/>
      <c r="CJ17" s="1195"/>
      <c r="CK17" s="1222">
        <f t="shared" si="31"/>
        <v>0</v>
      </c>
      <c r="CL17" s="1156"/>
      <c r="CM17" s="1195"/>
      <c r="CN17" s="1222">
        <f t="shared" si="32"/>
        <v>0</v>
      </c>
      <c r="CO17" s="1154"/>
      <c r="CP17" s="1195"/>
      <c r="CQ17" s="1222">
        <f t="shared" si="33"/>
        <v>0</v>
      </c>
      <c r="CR17" s="1154"/>
      <c r="CS17" s="1195"/>
      <c r="CT17" s="1222">
        <f t="shared" si="34"/>
        <v>0</v>
      </c>
      <c r="CU17" s="1154"/>
      <c r="CV17" s="1195"/>
      <c r="CW17" s="1222">
        <f t="shared" si="35"/>
        <v>0</v>
      </c>
      <c r="CX17" s="1154"/>
      <c r="CY17" s="1195"/>
      <c r="CZ17" s="1222">
        <f t="shared" si="36"/>
        <v>0</v>
      </c>
      <c r="DA17" s="1154"/>
      <c r="DB17" s="1195"/>
      <c r="DC17" s="1222">
        <f t="shared" si="37"/>
        <v>0</v>
      </c>
      <c r="DD17" s="1154"/>
      <c r="DE17" s="1217"/>
      <c r="DF17" s="1222">
        <f t="shared" si="38"/>
        <v>0</v>
      </c>
      <c r="DG17" s="1154"/>
      <c r="DH17" s="1217"/>
      <c r="DI17" s="1222">
        <f t="shared" si="39"/>
        <v>0</v>
      </c>
      <c r="DJ17" s="1154"/>
      <c r="DK17" s="1217"/>
      <c r="DL17" s="1222">
        <f t="shared" si="40"/>
        <v>0</v>
      </c>
      <c r="DM17" s="1156"/>
      <c r="DN17" s="1217"/>
      <c r="DO17" s="1222">
        <f t="shared" si="44"/>
        <v>0</v>
      </c>
      <c r="DP17" s="1156"/>
      <c r="DQ17" s="1217"/>
      <c r="DR17" s="1222">
        <f t="shared" si="41"/>
        <v>0</v>
      </c>
      <c r="DS17" s="1156"/>
      <c r="DT17" s="1217"/>
      <c r="DU17" s="1222">
        <f t="shared" si="42"/>
        <v>0</v>
      </c>
      <c r="DV17" s="1156"/>
      <c r="DW17" s="1217"/>
      <c r="DX17" s="1244">
        <f t="shared" si="43"/>
        <v>0</v>
      </c>
    </row>
    <row r="18" spans="1:128">
      <c r="B18" s="1305" t="s">
        <v>150</v>
      </c>
      <c r="C18" s="1167">
        <v>0.33</v>
      </c>
      <c r="D18" s="1196">
        <v>41</v>
      </c>
      <c r="E18" s="1199">
        <f>D18*C18</f>
        <v>13.530000000000001</v>
      </c>
      <c r="F18" s="1158">
        <v>0.5</v>
      </c>
      <c r="G18" s="1196">
        <v>46</v>
      </c>
      <c r="H18" s="1199">
        <f t="shared" si="4"/>
        <v>23</v>
      </c>
      <c r="I18" s="1168">
        <f>1/3</f>
        <v>0.33333333333333331</v>
      </c>
      <c r="J18" s="1196">
        <v>41</v>
      </c>
      <c r="K18" s="1222">
        <f t="shared" si="5"/>
        <v>13.666666666666666</v>
      </c>
      <c r="L18" s="1158">
        <v>0.2</v>
      </c>
      <c r="M18" s="1218">
        <v>46</v>
      </c>
      <c r="N18" s="1222">
        <f t="shared" si="6"/>
        <v>9.2000000000000011</v>
      </c>
      <c r="O18" s="1168">
        <f>1/3</f>
        <v>0.33333333333333331</v>
      </c>
      <c r="P18" s="1218">
        <v>41</v>
      </c>
      <c r="Q18" s="1222">
        <f t="shared" si="7"/>
        <v>13.666666666666666</v>
      </c>
      <c r="R18" s="1158">
        <v>0.3</v>
      </c>
      <c r="S18" s="1218">
        <v>46</v>
      </c>
      <c r="T18" s="1222">
        <f t="shared" si="8"/>
        <v>13.799999999999999</v>
      </c>
      <c r="U18" s="1168">
        <f>1/3</f>
        <v>0.33333333333333331</v>
      </c>
      <c r="V18" s="1218">
        <v>41</v>
      </c>
      <c r="W18" s="1222">
        <f t="shared" si="9"/>
        <v>13.666666666666666</v>
      </c>
      <c r="X18" s="1158">
        <v>0.3</v>
      </c>
      <c r="Y18" s="1218">
        <v>46</v>
      </c>
      <c r="Z18" s="1222">
        <f t="shared" si="10"/>
        <v>13.799999999999999</v>
      </c>
      <c r="AA18" s="1168">
        <f>1/3</f>
        <v>0.33333333333333331</v>
      </c>
      <c r="AB18" s="1196">
        <v>46</v>
      </c>
      <c r="AC18" s="1222">
        <f t="shared" si="11"/>
        <v>15.333333333333332</v>
      </c>
      <c r="AD18" s="1158">
        <v>0.3</v>
      </c>
      <c r="AE18" s="1196">
        <v>46</v>
      </c>
      <c r="AF18" s="1222">
        <f t="shared" si="12"/>
        <v>13.799999999999999</v>
      </c>
      <c r="AG18" s="1168">
        <f>1*1/3</f>
        <v>0.33333333333333331</v>
      </c>
      <c r="AH18" s="1196">
        <v>46</v>
      </c>
      <c r="AI18" s="1222">
        <f t="shared" si="13"/>
        <v>15.333333333333332</v>
      </c>
      <c r="AJ18" s="1158">
        <v>0.3</v>
      </c>
      <c r="AK18" s="1196">
        <v>46</v>
      </c>
      <c r="AL18" s="1222">
        <f t="shared" si="14"/>
        <v>13.799999999999999</v>
      </c>
      <c r="AM18" s="1168">
        <f>1/3</f>
        <v>0.33333333333333331</v>
      </c>
      <c r="AN18" s="1196">
        <v>46</v>
      </c>
      <c r="AO18" s="1222">
        <f t="shared" si="15"/>
        <v>15.333333333333332</v>
      </c>
      <c r="AP18" s="1168">
        <f>1/3</f>
        <v>0.33333333333333331</v>
      </c>
      <c r="AQ18" s="1196">
        <v>46</v>
      </c>
      <c r="AR18" s="1222">
        <f t="shared" si="16"/>
        <v>15.333333333333332</v>
      </c>
      <c r="AS18" s="1168">
        <f>1/3</f>
        <v>0.33333333333333331</v>
      </c>
      <c r="AT18" s="1196">
        <v>46</v>
      </c>
      <c r="AU18" s="1222">
        <f t="shared" si="17"/>
        <v>15.333333333333332</v>
      </c>
      <c r="AV18" s="1158">
        <v>0.3</v>
      </c>
      <c r="AW18" s="1196">
        <v>46</v>
      </c>
      <c r="AX18" s="1222">
        <f t="shared" si="18"/>
        <v>13.799999999999999</v>
      </c>
      <c r="AY18" s="1158">
        <f>2.5/5</f>
        <v>0.5</v>
      </c>
      <c r="AZ18" s="1196">
        <v>46</v>
      </c>
      <c r="BA18" s="1222">
        <f t="shared" si="19"/>
        <v>23</v>
      </c>
      <c r="BB18" s="1158">
        <f>2.5/5</f>
        <v>0.5</v>
      </c>
      <c r="BC18" s="1196">
        <v>46</v>
      </c>
      <c r="BD18" s="1222">
        <f t="shared" si="20"/>
        <v>23</v>
      </c>
      <c r="BE18" s="1158">
        <f>2.5/5</f>
        <v>0.5</v>
      </c>
      <c r="BF18" s="1196">
        <v>46</v>
      </c>
      <c r="BG18" s="1222">
        <f t="shared" si="21"/>
        <v>23</v>
      </c>
      <c r="BH18" s="1158">
        <f>2.5/5</f>
        <v>0.5</v>
      </c>
      <c r="BI18" s="1196">
        <v>46</v>
      </c>
      <c r="BJ18" s="1222">
        <f t="shared" si="22"/>
        <v>23</v>
      </c>
      <c r="BK18" s="1168">
        <f>1/3</f>
        <v>0.33333333333333331</v>
      </c>
      <c r="BL18" s="1196">
        <v>46</v>
      </c>
      <c r="BM18" s="1222">
        <f t="shared" si="23"/>
        <v>15.333333333333332</v>
      </c>
      <c r="BN18" s="1158">
        <v>0.5</v>
      </c>
      <c r="BO18" s="1196">
        <v>44</v>
      </c>
      <c r="BP18" s="1222">
        <f t="shared" si="24"/>
        <v>22</v>
      </c>
      <c r="BQ18" s="1154"/>
      <c r="BR18" s="1219"/>
      <c r="BS18" s="1222">
        <f t="shared" si="25"/>
        <v>0</v>
      </c>
      <c r="BT18" s="1168">
        <f>1/3</f>
        <v>0.33333333333333331</v>
      </c>
      <c r="BU18" s="1196">
        <v>46</v>
      </c>
      <c r="BV18" s="1222">
        <f t="shared" si="26"/>
        <v>15.333333333333332</v>
      </c>
      <c r="BW18" s="1168">
        <f>1/3</f>
        <v>0.33333333333333331</v>
      </c>
      <c r="BX18" s="1196">
        <v>46</v>
      </c>
      <c r="BY18" s="1222">
        <f t="shared" si="27"/>
        <v>15.333333333333332</v>
      </c>
      <c r="BZ18" s="1168">
        <f>1/3</f>
        <v>0.33333333333333331</v>
      </c>
      <c r="CA18" s="1196">
        <v>46</v>
      </c>
      <c r="CB18" s="1222">
        <f t="shared" si="28"/>
        <v>15.333333333333332</v>
      </c>
      <c r="CC18" s="1168">
        <f>1/3</f>
        <v>0.33333333333333331</v>
      </c>
      <c r="CD18" s="1196">
        <v>46</v>
      </c>
      <c r="CE18" s="1222">
        <f t="shared" si="29"/>
        <v>15.333333333333332</v>
      </c>
      <c r="CF18" s="1168">
        <f>1/3</f>
        <v>0.33333333333333331</v>
      </c>
      <c r="CG18" s="1196">
        <v>44</v>
      </c>
      <c r="CH18" s="1222">
        <f t="shared" si="30"/>
        <v>14.666666666666666</v>
      </c>
      <c r="CI18" s="1168">
        <f>1/3</f>
        <v>0.33333333333333331</v>
      </c>
      <c r="CJ18" s="1196">
        <v>46</v>
      </c>
      <c r="CK18" s="1222">
        <f t="shared" si="31"/>
        <v>15.333333333333332</v>
      </c>
      <c r="CL18" s="1156"/>
      <c r="CM18" s="1196"/>
      <c r="CN18" s="1222">
        <f t="shared" si="32"/>
        <v>0</v>
      </c>
      <c r="CO18" s="1154"/>
      <c r="CP18" s="1196"/>
      <c r="CQ18" s="1222">
        <f t="shared" si="33"/>
        <v>0</v>
      </c>
      <c r="CR18" s="1169">
        <f>1/3</f>
        <v>0.33333333333333331</v>
      </c>
      <c r="CS18" s="1196">
        <v>46</v>
      </c>
      <c r="CT18" s="1222">
        <f t="shared" si="34"/>
        <v>15.333333333333332</v>
      </c>
      <c r="CU18" s="1169">
        <f>1/3</f>
        <v>0.33333333333333331</v>
      </c>
      <c r="CV18" s="1196">
        <v>46</v>
      </c>
      <c r="CW18" s="1222">
        <f t="shared" si="35"/>
        <v>15.333333333333332</v>
      </c>
      <c r="CX18" s="1169">
        <f>1/3</f>
        <v>0.33333333333333331</v>
      </c>
      <c r="CY18" s="1196">
        <v>46</v>
      </c>
      <c r="CZ18" s="1222">
        <f t="shared" si="36"/>
        <v>15.333333333333332</v>
      </c>
      <c r="DA18" s="1169">
        <v>0.2</v>
      </c>
      <c r="DB18" s="1196">
        <v>37</v>
      </c>
      <c r="DC18" s="1222">
        <f t="shared" si="37"/>
        <v>7.4</v>
      </c>
      <c r="DD18" s="1154"/>
      <c r="DE18" s="1218"/>
      <c r="DF18" s="1222">
        <f t="shared" si="38"/>
        <v>0</v>
      </c>
      <c r="DG18" s="1154"/>
      <c r="DH18" s="1218"/>
      <c r="DI18" s="1222">
        <f t="shared" si="39"/>
        <v>0</v>
      </c>
      <c r="DJ18" s="1154"/>
      <c r="DK18" s="1218"/>
      <c r="DL18" s="1222">
        <f t="shared" si="40"/>
        <v>0</v>
      </c>
      <c r="DM18" s="1158"/>
      <c r="DN18" s="1218"/>
      <c r="DO18" s="1222">
        <f t="shared" si="44"/>
        <v>0</v>
      </c>
      <c r="DP18" s="1158"/>
      <c r="DQ18" s="1218"/>
      <c r="DR18" s="1222">
        <f t="shared" si="41"/>
        <v>0</v>
      </c>
      <c r="DS18" s="1158"/>
      <c r="DT18" s="1218"/>
      <c r="DU18" s="1222">
        <f t="shared" si="42"/>
        <v>0</v>
      </c>
      <c r="DV18" s="1158"/>
      <c r="DW18" s="1218"/>
      <c r="DX18" s="1244">
        <f t="shared" si="43"/>
        <v>0</v>
      </c>
    </row>
    <row r="19" spans="1:128" ht="15" thickBot="1">
      <c r="A19" s="1134"/>
      <c r="B19" s="1307" t="s">
        <v>327</v>
      </c>
      <c r="C19" s="1170"/>
      <c r="D19" s="1200"/>
      <c r="E19" s="1201">
        <f>SUM(E12:E18)</f>
        <v>507.29999999999995</v>
      </c>
      <c r="F19" s="1171"/>
      <c r="G19" s="1201"/>
      <c r="H19" s="1201">
        <f>SUM(H12:H18)</f>
        <v>817.22</v>
      </c>
      <c r="I19" s="1171"/>
      <c r="J19" s="1201"/>
      <c r="K19" s="1223">
        <f>SUM(K12:K18)</f>
        <v>318.06666666666666</v>
      </c>
      <c r="L19" s="1171"/>
      <c r="M19" s="1201"/>
      <c r="N19" s="1223">
        <f>SUM(N12:N18)</f>
        <v>419.29</v>
      </c>
      <c r="O19" s="1171"/>
      <c r="P19" s="1201"/>
      <c r="Q19" s="1223">
        <f>SUM(Q12:Q18)</f>
        <v>511.50666666666672</v>
      </c>
      <c r="R19" s="1171"/>
      <c r="S19" s="1201"/>
      <c r="T19" s="1201">
        <f>SUM(T12:T18)</f>
        <v>607.91999999999985</v>
      </c>
      <c r="U19" s="1171"/>
      <c r="V19" s="1231"/>
      <c r="W19" s="1223">
        <f>SUM(W12:W18)</f>
        <v>483.50666666666672</v>
      </c>
      <c r="X19" s="1171"/>
      <c r="Y19" s="1201"/>
      <c r="Z19" s="1223">
        <f>SUM(Z12:Z18)</f>
        <v>573.64</v>
      </c>
      <c r="AA19" s="1171"/>
      <c r="AB19" s="1231"/>
      <c r="AC19" s="1223">
        <f>SUM(AC12:AC18)</f>
        <v>300.9733333333333</v>
      </c>
      <c r="AD19" s="1171"/>
      <c r="AE19" s="1231"/>
      <c r="AF19" s="1201">
        <f>SUM(AF12:AF18)</f>
        <v>404.3</v>
      </c>
      <c r="AG19" s="1171"/>
      <c r="AH19" s="1231"/>
      <c r="AI19" s="1223">
        <f>SUM(AI12:AI18)</f>
        <v>438.7833333333333</v>
      </c>
      <c r="AJ19" s="1171"/>
      <c r="AK19" s="1231"/>
      <c r="AL19" s="1201">
        <f>SUM(AL12:AL18)</f>
        <v>283.17</v>
      </c>
      <c r="AM19" s="1171"/>
      <c r="AN19" s="1231"/>
      <c r="AO19" s="1201">
        <f>SUM(AO12:AO18)</f>
        <v>326.63333333333333</v>
      </c>
      <c r="AP19" s="1171"/>
      <c r="AQ19" s="1231"/>
      <c r="AR19" s="1201">
        <f>SUM(AR12:AR18)</f>
        <v>326.63333333333333</v>
      </c>
      <c r="AS19" s="1171"/>
      <c r="AT19" s="1231"/>
      <c r="AU19" s="1201">
        <f>SUM(AU12:AU18)</f>
        <v>365.73333333333329</v>
      </c>
      <c r="AV19" s="1171"/>
      <c r="AW19" s="1201"/>
      <c r="AX19" s="1201">
        <f>SUM(AX12:AX18)</f>
        <v>461.45000000000005</v>
      </c>
      <c r="AY19" s="1171"/>
      <c r="AZ19" s="1231"/>
      <c r="BA19" s="1201">
        <f>SUM(BA12:BA18)</f>
        <v>50.335999999999999</v>
      </c>
      <c r="BB19" s="1171"/>
      <c r="BC19" s="1231"/>
      <c r="BD19" s="1201">
        <f>SUM(BD12:BD18)</f>
        <v>240.44552000000002</v>
      </c>
      <c r="BE19" s="1171"/>
      <c r="BF19" s="1201"/>
      <c r="BG19" s="1261">
        <f>SUM(BG12:BG18)</f>
        <v>93.956000000000003</v>
      </c>
      <c r="BH19" s="1171"/>
      <c r="BI19" s="1231"/>
      <c r="BJ19" s="1261">
        <f>SUM(BJ12:BJ18)</f>
        <v>361.19180000000006</v>
      </c>
      <c r="BK19" s="1172"/>
      <c r="BL19" s="1231"/>
      <c r="BM19" s="1261">
        <f>SUM(BM12:BM18)</f>
        <v>294.33333333333331</v>
      </c>
      <c r="BN19" s="1172"/>
      <c r="BO19" s="1231"/>
      <c r="BP19" s="1261">
        <f>SUM(BP12:BP18)</f>
        <v>488.072</v>
      </c>
      <c r="BQ19" s="1172"/>
      <c r="BR19" s="1201"/>
      <c r="BS19" s="1254">
        <f>SUM(BS12:BS18)</f>
        <v>0</v>
      </c>
      <c r="BT19" s="1172"/>
      <c r="BU19" s="1231"/>
      <c r="BV19" s="1201">
        <f>SUM(BV12:BV18)</f>
        <v>458.77333333333331</v>
      </c>
      <c r="BW19" s="1172"/>
      <c r="BX19" s="1231"/>
      <c r="BY19" s="1201">
        <f>SUM(BY12:BY18)</f>
        <v>418.13333333333333</v>
      </c>
      <c r="BZ19" s="1172"/>
      <c r="CA19" s="1231"/>
      <c r="CB19" s="1201">
        <f>SUM(CB12:CB18)</f>
        <v>483.61333333333334</v>
      </c>
      <c r="CC19" s="1172"/>
      <c r="CD19" s="1231"/>
      <c r="CE19" s="1201">
        <f>SUM(CE12:CE18)</f>
        <v>483.61333333333334</v>
      </c>
      <c r="CF19" s="1172"/>
      <c r="CG19" s="1231"/>
      <c r="CH19" s="1201">
        <f>SUM(CH12:CH18)</f>
        <v>183.46666666666667</v>
      </c>
      <c r="CI19" s="1172"/>
      <c r="CJ19" s="1231"/>
      <c r="CK19" s="1201">
        <f>SUM(CK12:CK18)</f>
        <v>515.86333333333334</v>
      </c>
      <c r="CL19" s="1172"/>
      <c r="CM19" s="1231"/>
      <c r="CN19" s="1201">
        <f>SUM(CN12:CN18)</f>
        <v>183.7</v>
      </c>
      <c r="CO19" s="1172"/>
      <c r="CP19" s="1231"/>
      <c r="CQ19" s="1201">
        <f>SUM(CQ12:CQ18)</f>
        <v>220.18</v>
      </c>
      <c r="CR19" s="1172"/>
      <c r="CS19" s="1231"/>
      <c r="CT19" s="1201">
        <f>SUM(CT12:CT18)</f>
        <v>413.73333333333329</v>
      </c>
      <c r="CU19" s="1172"/>
      <c r="CV19" s="1231"/>
      <c r="CW19" s="1201">
        <f>SUM(CW12:CW18)</f>
        <v>589.4133333333333</v>
      </c>
      <c r="CX19" s="1172"/>
      <c r="CY19" s="1231"/>
      <c r="CZ19" s="1201">
        <f>SUM(CZ12:CZ18)</f>
        <v>444.8533333333333</v>
      </c>
      <c r="DA19" s="1172"/>
      <c r="DB19" s="1231"/>
      <c r="DC19" s="1201">
        <f>SUM(DC12:DC18)</f>
        <v>708.55979999999988</v>
      </c>
      <c r="DD19" s="1172"/>
      <c r="DE19" s="1201"/>
      <c r="DF19" s="1201">
        <f>SUM(DF12:DF18)</f>
        <v>0</v>
      </c>
      <c r="DG19" s="1172"/>
      <c r="DH19" s="1201"/>
      <c r="DI19" s="1201">
        <f>SUM(DI12:DI18)</f>
        <v>0</v>
      </c>
      <c r="DJ19" s="1172"/>
      <c r="DK19" s="1201"/>
      <c r="DL19" s="1201">
        <f>SUM(DL12:DL18)</f>
        <v>0</v>
      </c>
      <c r="DM19" s="1172"/>
      <c r="DN19" s="1201"/>
      <c r="DO19" s="1201">
        <f>SUM(DO12:DO18)</f>
        <v>0</v>
      </c>
      <c r="DP19" s="1172"/>
      <c r="DQ19" s="1201"/>
      <c r="DR19" s="1201">
        <f>SUM(DR12:DR18)</f>
        <v>0</v>
      </c>
      <c r="DS19" s="1172"/>
      <c r="DT19" s="1201"/>
      <c r="DU19" s="1201">
        <f>SUM(DU12:DU18)</f>
        <v>0</v>
      </c>
      <c r="DV19" s="1172"/>
      <c r="DW19" s="1201"/>
      <c r="DX19" s="1245">
        <f>SUM(DX12:DX18)</f>
        <v>0</v>
      </c>
    </row>
    <row r="20" spans="1:128" ht="15" thickTop="1">
      <c r="A20" s="1070"/>
      <c r="B20" s="1304" t="s">
        <v>151</v>
      </c>
      <c r="C20" s="1173" t="s">
        <v>143</v>
      </c>
      <c r="D20" s="1202" t="s">
        <v>144</v>
      </c>
      <c r="E20" s="1203" t="s">
        <v>145</v>
      </c>
      <c r="F20" s="1174" t="s">
        <v>143</v>
      </c>
      <c r="G20" s="1216" t="s">
        <v>144</v>
      </c>
      <c r="H20" s="1203" t="s">
        <v>145</v>
      </c>
      <c r="I20" s="1174" t="s">
        <v>143</v>
      </c>
      <c r="J20" s="1216" t="s">
        <v>144</v>
      </c>
      <c r="K20" s="1203" t="s">
        <v>145</v>
      </c>
      <c r="L20" s="1174" t="s">
        <v>143</v>
      </c>
      <c r="M20" s="1216" t="s">
        <v>144</v>
      </c>
      <c r="N20" s="1203" t="s">
        <v>145</v>
      </c>
      <c r="O20" s="1174" t="s">
        <v>143</v>
      </c>
      <c r="P20" s="1216" t="s">
        <v>144</v>
      </c>
      <c r="Q20" s="1227" t="s">
        <v>145</v>
      </c>
      <c r="R20" s="1174" t="s">
        <v>143</v>
      </c>
      <c r="S20" s="1216" t="s">
        <v>144</v>
      </c>
      <c r="T20" s="1216" t="s">
        <v>145</v>
      </c>
      <c r="U20" s="1174" t="s">
        <v>143</v>
      </c>
      <c r="V20" s="1232" t="s">
        <v>144</v>
      </c>
      <c r="W20" s="1233" t="s">
        <v>145</v>
      </c>
      <c r="X20" s="1174" t="s">
        <v>143</v>
      </c>
      <c r="Y20" s="1216" t="s">
        <v>144</v>
      </c>
      <c r="Z20" s="1227" t="s">
        <v>145</v>
      </c>
      <c r="AA20" s="1174" t="s">
        <v>143</v>
      </c>
      <c r="AB20" s="1232" t="s">
        <v>144</v>
      </c>
      <c r="AC20" s="1227" t="s">
        <v>145</v>
      </c>
      <c r="AD20" s="1174" t="s">
        <v>143</v>
      </c>
      <c r="AE20" s="1232" t="s">
        <v>144</v>
      </c>
      <c r="AF20" s="1216" t="s">
        <v>145</v>
      </c>
      <c r="AG20" s="1174" t="s">
        <v>143</v>
      </c>
      <c r="AH20" s="1232" t="s">
        <v>144</v>
      </c>
      <c r="AI20" s="1216" t="s">
        <v>145</v>
      </c>
      <c r="AJ20" s="1174" t="s">
        <v>143</v>
      </c>
      <c r="AK20" s="1232" t="s">
        <v>144</v>
      </c>
      <c r="AL20" s="1216" t="s">
        <v>145</v>
      </c>
      <c r="AM20" s="1174" t="s">
        <v>143</v>
      </c>
      <c r="AN20" s="1232" t="s">
        <v>144</v>
      </c>
      <c r="AO20" s="1216" t="s">
        <v>145</v>
      </c>
      <c r="AP20" s="1174" t="s">
        <v>143</v>
      </c>
      <c r="AQ20" s="1232" t="s">
        <v>144</v>
      </c>
      <c r="AR20" s="1216" t="s">
        <v>145</v>
      </c>
      <c r="AS20" s="1174" t="s">
        <v>143</v>
      </c>
      <c r="AT20" s="1232" t="s">
        <v>144</v>
      </c>
      <c r="AU20" s="1216" t="s">
        <v>145</v>
      </c>
      <c r="AV20" s="1174" t="s">
        <v>143</v>
      </c>
      <c r="AW20" s="1216" t="s">
        <v>144</v>
      </c>
      <c r="AX20" s="1216" t="s">
        <v>145</v>
      </c>
      <c r="AY20" s="1174" t="s">
        <v>143</v>
      </c>
      <c r="AZ20" s="1232" t="s">
        <v>144</v>
      </c>
      <c r="BA20" s="1216" t="s">
        <v>145</v>
      </c>
      <c r="BB20" s="1174" t="s">
        <v>143</v>
      </c>
      <c r="BC20" s="1232" t="s">
        <v>144</v>
      </c>
      <c r="BD20" s="1216" t="s">
        <v>145</v>
      </c>
      <c r="BE20" s="1174" t="s">
        <v>143</v>
      </c>
      <c r="BF20" s="1216" t="s">
        <v>144</v>
      </c>
      <c r="BG20" s="1203" t="s">
        <v>145</v>
      </c>
      <c r="BH20" s="1174" t="s">
        <v>143</v>
      </c>
      <c r="BI20" s="1232" t="s">
        <v>144</v>
      </c>
      <c r="BJ20" s="1203" t="s">
        <v>145</v>
      </c>
      <c r="BK20" s="1174" t="s">
        <v>143</v>
      </c>
      <c r="BL20" s="1232" t="s">
        <v>144</v>
      </c>
      <c r="BM20" s="1203" t="s">
        <v>145</v>
      </c>
      <c r="BN20" s="1174" t="s">
        <v>143</v>
      </c>
      <c r="BO20" s="1232" t="s">
        <v>144</v>
      </c>
      <c r="BP20" s="1203" t="s">
        <v>145</v>
      </c>
      <c r="BQ20" s="1174" t="s">
        <v>143</v>
      </c>
      <c r="BR20" s="1216" t="s">
        <v>144</v>
      </c>
      <c r="BS20" s="1255" t="s">
        <v>145</v>
      </c>
      <c r="BT20" s="1174" t="s">
        <v>143</v>
      </c>
      <c r="BU20" s="1232" t="s">
        <v>144</v>
      </c>
      <c r="BV20" s="1216" t="s">
        <v>145</v>
      </c>
      <c r="BW20" s="1174" t="s">
        <v>143</v>
      </c>
      <c r="BX20" s="1232" t="s">
        <v>144</v>
      </c>
      <c r="BY20" s="1216" t="s">
        <v>145</v>
      </c>
      <c r="BZ20" s="1174" t="s">
        <v>143</v>
      </c>
      <c r="CA20" s="1232" t="s">
        <v>144</v>
      </c>
      <c r="CB20" s="1216" t="s">
        <v>145</v>
      </c>
      <c r="CC20" s="1174" t="s">
        <v>143</v>
      </c>
      <c r="CD20" s="1232" t="s">
        <v>144</v>
      </c>
      <c r="CE20" s="1216" t="s">
        <v>145</v>
      </c>
      <c r="CF20" s="1174" t="s">
        <v>143</v>
      </c>
      <c r="CG20" s="1232" t="s">
        <v>144</v>
      </c>
      <c r="CH20" s="1216" t="s">
        <v>145</v>
      </c>
      <c r="CI20" s="1174" t="s">
        <v>143</v>
      </c>
      <c r="CJ20" s="1232" t="s">
        <v>144</v>
      </c>
      <c r="CK20" s="1216" t="s">
        <v>145</v>
      </c>
      <c r="CL20" s="1174" t="s">
        <v>143</v>
      </c>
      <c r="CM20" s="1232" t="s">
        <v>144</v>
      </c>
      <c r="CN20" s="1216" t="s">
        <v>145</v>
      </c>
      <c r="CO20" s="1174" t="s">
        <v>143</v>
      </c>
      <c r="CP20" s="1232" t="s">
        <v>144</v>
      </c>
      <c r="CQ20" s="1216" t="s">
        <v>145</v>
      </c>
      <c r="CR20" s="1174" t="s">
        <v>143</v>
      </c>
      <c r="CS20" s="1232" t="s">
        <v>144</v>
      </c>
      <c r="CT20" s="1216" t="s">
        <v>145</v>
      </c>
      <c r="CU20" s="1174" t="s">
        <v>143</v>
      </c>
      <c r="CV20" s="1232" t="s">
        <v>144</v>
      </c>
      <c r="CW20" s="1216" t="s">
        <v>145</v>
      </c>
      <c r="CX20" s="1174" t="s">
        <v>143</v>
      </c>
      <c r="CY20" s="1232" t="s">
        <v>144</v>
      </c>
      <c r="CZ20" s="1216" t="s">
        <v>145</v>
      </c>
      <c r="DA20" s="1174" t="s">
        <v>143</v>
      </c>
      <c r="DB20" s="1232" t="s">
        <v>144</v>
      </c>
      <c r="DC20" s="1216" t="s">
        <v>145</v>
      </c>
      <c r="DD20" s="1174" t="s">
        <v>143</v>
      </c>
      <c r="DE20" s="1216" t="s">
        <v>144</v>
      </c>
      <c r="DF20" s="1216" t="s">
        <v>145</v>
      </c>
      <c r="DG20" s="1174" t="s">
        <v>143</v>
      </c>
      <c r="DH20" s="1216" t="s">
        <v>144</v>
      </c>
      <c r="DI20" s="1216" t="s">
        <v>145</v>
      </c>
      <c r="DJ20" s="1174" t="s">
        <v>143</v>
      </c>
      <c r="DK20" s="1216" t="s">
        <v>144</v>
      </c>
      <c r="DL20" s="1216" t="s">
        <v>145</v>
      </c>
      <c r="DM20" s="1174" t="s">
        <v>143</v>
      </c>
      <c r="DN20" s="1216" t="s">
        <v>144</v>
      </c>
      <c r="DO20" s="1216" t="s">
        <v>145</v>
      </c>
      <c r="DP20" s="1174" t="s">
        <v>143</v>
      </c>
      <c r="DQ20" s="1216" t="s">
        <v>144</v>
      </c>
      <c r="DR20" s="1216" t="s">
        <v>145</v>
      </c>
      <c r="DS20" s="1174" t="s">
        <v>143</v>
      </c>
      <c r="DT20" s="1216" t="s">
        <v>144</v>
      </c>
      <c r="DU20" s="1216" t="s">
        <v>145</v>
      </c>
      <c r="DV20" s="1174" t="s">
        <v>143</v>
      </c>
      <c r="DW20" s="1216" t="s">
        <v>144</v>
      </c>
      <c r="DX20" s="1246" t="s">
        <v>145</v>
      </c>
    </row>
    <row r="21" spans="1:128">
      <c r="B21" s="1305" t="s">
        <v>152</v>
      </c>
      <c r="C21" s="1175">
        <v>1</v>
      </c>
      <c r="D21" s="1195">
        <v>62.41</v>
      </c>
      <c r="E21" s="1199">
        <f t="shared" ref="E21:E37" si="45">D21*C21</f>
        <v>62.41</v>
      </c>
      <c r="F21" s="1176">
        <v>1</v>
      </c>
      <c r="G21" s="1217">
        <v>61.45</v>
      </c>
      <c r="H21" s="1199">
        <f t="shared" ref="H21:H37" si="46">G21*F21</f>
        <v>61.45</v>
      </c>
      <c r="I21" s="1176">
        <v>1</v>
      </c>
      <c r="J21" s="1217">
        <v>62.41</v>
      </c>
      <c r="K21" s="1222">
        <f t="shared" ref="K21:K37" si="47">J21*I21</f>
        <v>62.41</v>
      </c>
      <c r="L21" s="1176">
        <v>1</v>
      </c>
      <c r="M21" s="1217">
        <v>61.45</v>
      </c>
      <c r="N21" s="1222">
        <f t="shared" ref="N21:N37" si="48">M21*L21</f>
        <v>61.45</v>
      </c>
      <c r="O21" s="1176">
        <v>1</v>
      </c>
      <c r="P21" s="1217">
        <v>62.41</v>
      </c>
      <c r="Q21" s="1222">
        <f t="shared" ref="Q21:Q37" si="49">P21*O21</f>
        <v>62.41</v>
      </c>
      <c r="R21" s="1176">
        <v>1</v>
      </c>
      <c r="S21" s="1217">
        <v>61.45</v>
      </c>
      <c r="T21" s="1222">
        <f t="shared" ref="T21:T37" si="50">S21*R21</f>
        <v>61.45</v>
      </c>
      <c r="U21" s="1176">
        <v>1</v>
      </c>
      <c r="V21" s="1217">
        <v>61.45</v>
      </c>
      <c r="W21" s="1222">
        <f t="shared" ref="W21:W37" si="51">V21*U21</f>
        <v>61.45</v>
      </c>
      <c r="X21" s="1176">
        <v>1</v>
      </c>
      <c r="Y21" s="1217">
        <v>61.45</v>
      </c>
      <c r="Z21" s="1222">
        <f t="shared" ref="Z21:Z37" si="52">Y21*X21</f>
        <v>61.45</v>
      </c>
      <c r="AA21" s="1176">
        <v>1</v>
      </c>
      <c r="AB21" s="1195">
        <v>59.05</v>
      </c>
      <c r="AC21" s="1222">
        <f t="shared" ref="AC21:AC37" si="53">AB21*AA21</f>
        <v>59.05</v>
      </c>
      <c r="AD21" s="1176">
        <v>1</v>
      </c>
      <c r="AE21" s="1195">
        <v>61.45</v>
      </c>
      <c r="AF21" s="1222">
        <f t="shared" ref="AF21:AF37" si="54">AE21*AD21</f>
        <v>61.45</v>
      </c>
      <c r="AG21" s="1176">
        <v>1</v>
      </c>
      <c r="AH21" s="1195">
        <v>59.05</v>
      </c>
      <c r="AI21" s="1222">
        <f t="shared" ref="AI21:AI37" si="55">AH21*AG21</f>
        <v>59.05</v>
      </c>
      <c r="AJ21" s="1176">
        <v>1</v>
      </c>
      <c r="AK21" s="1195">
        <v>61.45</v>
      </c>
      <c r="AL21" s="1222">
        <f t="shared" ref="AL21:AL37" si="56">AK21*AJ21</f>
        <v>61.45</v>
      </c>
      <c r="AM21" s="1176">
        <v>1</v>
      </c>
      <c r="AN21" s="1195">
        <v>59.05</v>
      </c>
      <c r="AO21" s="1222">
        <f t="shared" ref="AO21:AO37" si="57">AN21*AM21</f>
        <v>59.05</v>
      </c>
      <c r="AP21" s="1176">
        <v>1</v>
      </c>
      <c r="AQ21" s="1195">
        <v>59.05</v>
      </c>
      <c r="AR21" s="1222">
        <f t="shared" ref="AR21:AR37" si="58">AQ21*AP21</f>
        <v>59.05</v>
      </c>
      <c r="AS21" s="1176">
        <v>1</v>
      </c>
      <c r="AT21" s="1195">
        <v>59.05</v>
      </c>
      <c r="AU21" s="1222">
        <f t="shared" ref="AU21:AU37" si="59">AT21*AS21</f>
        <v>59.05</v>
      </c>
      <c r="AV21" s="1176">
        <v>1</v>
      </c>
      <c r="AW21" s="1195">
        <v>61.45</v>
      </c>
      <c r="AX21" s="1222">
        <f t="shared" ref="AX21:AX37" si="60">AW21*AV21</f>
        <v>61.45</v>
      </c>
      <c r="AY21" s="1177">
        <f>1/5</f>
        <v>0.2</v>
      </c>
      <c r="AZ21" s="1195">
        <v>49.52</v>
      </c>
      <c r="BA21" s="1222">
        <f>AZ21*AY21</f>
        <v>9.9040000000000017</v>
      </c>
      <c r="BB21" s="1177">
        <f>1/5</f>
        <v>0.2</v>
      </c>
      <c r="BC21" s="1195">
        <v>49.52</v>
      </c>
      <c r="BD21" s="1222">
        <f t="shared" ref="BD21:BD37" si="61">BC21*BB21</f>
        <v>9.9040000000000017</v>
      </c>
      <c r="BE21" s="1177">
        <f>1/5</f>
        <v>0.2</v>
      </c>
      <c r="BF21" s="1195">
        <v>49.52</v>
      </c>
      <c r="BG21" s="1266">
        <f t="shared" ref="BG21:BG37" si="62">BF21*BE21</f>
        <v>9.9040000000000017</v>
      </c>
      <c r="BH21" s="1177">
        <f>1/5</f>
        <v>0.2</v>
      </c>
      <c r="BI21" s="1195">
        <v>49.52</v>
      </c>
      <c r="BJ21" s="1222">
        <f t="shared" ref="BJ21:BJ37" si="63">BI21*BH21</f>
        <v>9.9040000000000017</v>
      </c>
      <c r="BK21" s="1156">
        <v>1</v>
      </c>
      <c r="BL21" s="1195">
        <v>62.41</v>
      </c>
      <c r="BM21" s="1222">
        <f t="shared" ref="BM21:BM37" si="64">BL21*BK21</f>
        <v>62.41</v>
      </c>
      <c r="BN21" s="1156">
        <v>1</v>
      </c>
      <c r="BO21" s="1195">
        <v>49.52</v>
      </c>
      <c r="BP21" s="1222">
        <f t="shared" ref="BP21:BP37" si="65">BO21*BN21</f>
        <v>49.52</v>
      </c>
      <c r="BQ21" s="1156"/>
      <c r="BR21" s="1217"/>
      <c r="BS21" s="1222">
        <f t="shared" ref="BS21:BS37" si="66">BR21*BQ21</f>
        <v>0</v>
      </c>
      <c r="BT21" s="1164">
        <f>1/3</f>
        <v>0.33333333333333331</v>
      </c>
      <c r="BU21" s="1195">
        <v>59.05</v>
      </c>
      <c r="BV21" s="1222">
        <f t="shared" ref="BV21:BV37" si="67">BU21*BT21</f>
        <v>19.68333333333333</v>
      </c>
      <c r="BW21" s="1164">
        <f>1/3</f>
        <v>0.33333333333333331</v>
      </c>
      <c r="BX21" s="1195">
        <v>59.05</v>
      </c>
      <c r="BY21" s="1222">
        <f t="shared" ref="BY21:BY37" si="68">BX21*BW21</f>
        <v>19.68333333333333</v>
      </c>
      <c r="BZ21" s="1156">
        <v>1</v>
      </c>
      <c r="CA21" s="1195">
        <v>59.05</v>
      </c>
      <c r="CB21" s="1222">
        <f t="shared" ref="CB21:CB37" si="69">CA21*BZ21</f>
        <v>59.05</v>
      </c>
      <c r="CC21" s="1156">
        <v>1</v>
      </c>
      <c r="CD21" s="1195">
        <v>59.05</v>
      </c>
      <c r="CE21" s="1222">
        <f t="shared" ref="CE21:CE37" si="70">CD21*CC21</f>
        <v>59.05</v>
      </c>
      <c r="CF21" s="1156">
        <v>1</v>
      </c>
      <c r="CG21" s="1195">
        <v>61.45</v>
      </c>
      <c r="CH21" s="1222">
        <f t="shared" ref="CH21:CH37" si="71">CG21*CF21</f>
        <v>61.45</v>
      </c>
      <c r="CI21" s="1176">
        <v>1</v>
      </c>
      <c r="CJ21" s="1195">
        <v>61.45</v>
      </c>
      <c r="CK21" s="1222">
        <f t="shared" ref="CK21:CK37" si="72">CJ21*CI21</f>
        <v>61.45</v>
      </c>
      <c r="CL21" s="1156">
        <v>1</v>
      </c>
      <c r="CM21" s="1195">
        <v>59.05</v>
      </c>
      <c r="CN21" s="1222">
        <f t="shared" ref="CN21:CN37" si="73">CM21*CL21</f>
        <v>59.05</v>
      </c>
      <c r="CO21" s="1156">
        <v>1</v>
      </c>
      <c r="CP21" s="1195">
        <v>61.45</v>
      </c>
      <c r="CQ21" s="1222">
        <f t="shared" ref="CQ21:CQ37" si="74">CP21*CO21</f>
        <v>61.45</v>
      </c>
      <c r="CR21" s="1156"/>
      <c r="CS21" s="1195"/>
      <c r="CT21" s="1222">
        <f t="shared" ref="CT21:CT37" si="75">CS21*CR21</f>
        <v>0</v>
      </c>
      <c r="CU21" s="1156"/>
      <c r="CV21" s="1195"/>
      <c r="CW21" s="1222">
        <f t="shared" ref="CW21:CW37" si="76">CV21*CU21</f>
        <v>0</v>
      </c>
      <c r="CX21" s="1156">
        <v>1</v>
      </c>
      <c r="CY21" s="1195">
        <v>63.23</v>
      </c>
      <c r="CZ21" s="1222">
        <f t="shared" ref="CZ21:CZ37" si="77">CY21*CX21</f>
        <v>63.23</v>
      </c>
      <c r="DA21" s="1156">
        <v>1</v>
      </c>
      <c r="DB21" s="1195">
        <v>63.23</v>
      </c>
      <c r="DC21" s="1222">
        <f t="shared" ref="DC21:DC37" si="78">DB21*DA21</f>
        <v>63.23</v>
      </c>
      <c r="DD21" s="1156"/>
      <c r="DE21" s="1217"/>
      <c r="DF21" s="1222">
        <f t="shared" ref="DF21:DF37" si="79">DE21*DD21</f>
        <v>0</v>
      </c>
      <c r="DG21" s="1156"/>
      <c r="DH21" s="1217"/>
      <c r="DI21" s="1222">
        <f t="shared" ref="DI21:DI37" si="80">DH21*DG21</f>
        <v>0</v>
      </c>
      <c r="DJ21" s="1156"/>
      <c r="DK21" s="1217"/>
      <c r="DL21" s="1222">
        <f t="shared" ref="DL21:DL37" si="81">DK21*DJ21</f>
        <v>0</v>
      </c>
      <c r="DM21" s="1156"/>
      <c r="DN21" s="1217"/>
      <c r="DO21" s="1222">
        <f t="shared" ref="DO21:DO37" si="82">DN21*DM21</f>
        <v>0</v>
      </c>
      <c r="DP21" s="1156"/>
      <c r="DQ21" s="1217"/>
      <c r="DR21" s="1222">
        <f t="shared" ref="DR21:DR37" si="83">DQ21*DP21</f>
        <v>0</v>
      </c>
      <c r="DS21" s="1156"/>
      <c r="DT21" s="1217"/>
      <c r="DU21" s="1222">
        <f t="shared" ref="DU21:DU37" si="84">DT21*DS21</f>
        <v>0</v>
      </c>
      <c r="DV21" s="1156"/>
      <c r="DW21" s="1217"/>
      <c r="DX21" s="1244">
        <f t="shared" ref="DX21:DX37" si="85">DW21*DV21</f>
        <v>0</v>
      </c>
    </row>
    <row r="22" spans="1:128">
      <c r="B22" s="1305" t="s">
        <v>1251</v>
      </c>
      <c r="C22" s="1175">
        <v>15</v>
      </c>
      <c r="D22" s="1195">
        <v>3.64</v>
      </c>
      <c r="E22" s="1199">
        <f t="shared" si="45"/>
        <v>54.6</v>
      </c>
      <c r="F22" s="1176">
        <v>1</v>
      </c>
      <c r="G22" s="1217">
        <v>14.15</v>
      </c>
      <c r="H22" s="1199">
        <f t="shared" si="46"/>
        <v>14.15</v>
      </c>
      <c r="I22" s="1176"/>
      <c r="J22" s="1217"/>
      <c r="K22" s="1222">
        <f t="shared" si="47"/>
        <v>0</v>
      </c>
      <c r="L22" s="1176">
        <v>1</v>
      </c>
      <c r="M22" s="1217">
        <v>2.56</v>
      </c>
      <c r="N22" s="1222">
        <f t="shared" si="48"/>
        <v>2.56</v>
      </c>
      <c r="O22" s="1176">
        <v>13</v>
      </c>
      <c r="P22" s="1217">
        <v>3.84</v>
      </c>
      <c r="Q22" s="1222">
        <f t="shared" si="49"/>
        <v>49.92</v>
      </c>
      <c r="R22" s="1176">
        <v>2</v>
      </c>
      <c r="S22" s="1217">
        <v>2.56</v>
      </c>
      <c r="T22" s="1222">
        <f t="shared" si="50"/>
        <v>5.12</v>
      </c>
      <c r="U22" s="1176">
        <v>13</v>
      </c>
      <c r="V22" s="1217">
        <v>3.84</v>
      </c>
      <c r="W22" s="1222">
        <f t="shared" si="51"/>
        <v>49.92</v>
      </c>
      <c r="X22" s="1176">
        <v>2</v>
      </c>
      <c r="Y22" s="1217">
        <v>2.56</v>
      </c>
      <c r="Z22" s="1222">
        <f t="shared" si="52"/>
        <v>5.12</v>
      </c>
      <c r="AA22" s="1176">
        <v>6</v>
      </c>
      <c r="AB22" s="1195">
        <v>3.84</v>
      </c>
      <c r="AC22" s="1222">
        <f t="shared" si="53"/>
        <v>23.04</v>
      </c>
      <c r="AD22" s="1176">
        <v>1</v>
      </c>
      <c r="AE22" s="1195">
        <v>2.56</v>
      </c>
      <c r="AF22" s="1222">
        <f t="shared" si="54"/>
        <v>2.56</v>
      </c>
      <c r="AG22" s="1176">
        <v>6</v>
      </c>
      <c r="AH22" s="1195">
        <v>3.84</v>
      </c>
      <c r="AI22" s="1222">
        <f t="shared" si="55"/>
        <v>23.04</v>
      </c>
      <c r="AJ22" s="1176">
        <v>1</v>
      </c>
      <c r="AK22" s="1195">
        <v>2.56</v>
      </c>
      <c r="AL22" s="1222">
        <f t="shared" si="56"/>
        <v>2.56</v>
      </c>
      <c r="AM22" s="1176">
        <v>9</v>
      </c>
      <c r="AN22" s="1195">
        <v>3.84</v>
      </c>
      <c r="AO22" s="1222">
        <f t="shared" si="57"/>
        <v>34.56</v>
      </c>
      <c r="AP22" s="1176">
        <v>2</v>
      </c>
      <c r="AQ22" s="1195">
        <v>2.56</v>
      </c>
      <c r="AR22" s="1222">
        <f t="shared" si="58"/>
        <v>5.12</v>
      </c>
      <c r="AS22" s="1176">
        <v>12</v>
      </c>
      <c r="AT22" s="1195">
        <v>3.84</v>
      </c>
      <c r="AU22" s="1222">
        <f t="shared" si="59"/>
        <v>46.08</v>
      </c>
      <c r="AV22" s="1176">
        <v>1</v>
      </c>
      <c r="AW22" s="1195">
        <v>2.56</v>
      </c>
      <c r="AX22" s="1222">
        <f t="shared" si="60"/>
        <v>2.56</v>
      </c>
      <c r="AY22" s="1156">
        <v>1</v>
      </c>
      <c r="AZ22" s="1195">
        <f>16.24+51.45</f>
        <v>67.69</v>
      </c>
      <c r="BA22" s="1222">
        <f>AZ22*AY22</f>
        <v>67.69</v>
      </c>
      <c r="BB22" s="1176">
        <v>1</v>
      </c>
      <c r="BC22" s="1195">
        <v>2.56</v>
      </c>
      <c r="BD22" s="1222">
        <f t="shared" si="61"/>
        <v>2.56</v>
      </c>
      <c r="BE22" s="1156">
        <v>1</v>
      </c>
      <c r="BF22" s="1195">
        <f>16.24+51.45</f>
        <v>67.69</v>
      </c>
      <c r="BG22" s="1266">
        <f t="shared" si="62"/>
        <v>67.69</v>
      </c>
      <c r="BH22" s="1177">
        <v>1</v>
      </c>
      <c r="BI22" s="1195">
        <v>2.56</v>
      </c>
      <c r="BJ22" s="1222">
        <f t="shared" si="63"/>
        <v>2.56</v>
      </c>
      <c r="BK22" s="1156">
        <v>1</v>
      </c>
      <c r="BL22" s="1195">
        <f>16.24+51.45</f>
        <v>67.69</v>
      </c>
      <c r="BM22" s="1222">
        <f t="shared" si="64"/>
        <v>67.69</v>
      </c>
      <c r="BN22" s="1156">
        <v>1</v>
      </c>
      <c r="BO22" s="1195">
        <f>16.24+51.45+2.56</f>
        <v>70.25</v>
      </c>
      <c r="BP22" s="1222">
        <f t="shared" si="65"/>
        <v>70.25</v>
      </c>
      <c r="BQ22" s="1156"/>
      <c r="BR22" s="1217"/>
      <c r="BS22" s="1222">
        <f t="shared" si="66"/>
        <v>0</v>
      </c>
      <c r="BT22" s="1156">
        <v>3</v>
      </c>
      <c r="BU22" s="1195">
        <v>3.84</v>
      </c>
      <c r="BV22" s="1222">
        <f t="shared" si="67"/>
        <v>11.52</v>
      </c>
      <c r="BW22" s="1156">
        <v>3</v>
      </c>
      <c r="BX22" s="1195">
        <v>3.84</v>
      </c>
      <c r="BY22" s="1222">
        <f t="shared" si="68"/>
        <v>11.52</v>
      </c>
      <c r="BZ22" s="1156">
        <v>1</v>
      </c>
      <c r="CA22" s="1195">
        <v>3.84</v>
      </c>
      <c r="CB22" s="1222">
        <f t="shared" si="69"/>
        <v>3.84</v>
      </c>
      <c r="CC22" s="1156">
        <v>1</v>
      </c>
      <c r="CD22" s="1195">
        <v>3.84</v>
      </c>
      <c r="CE22" s="1222">
        <f t="shared" si="70"/>
        <v>3.84</v>
      </c>
      <c r="CF22" s="1156">
        <v>8</v>
      </c>
      <c r="CG22" s="1195">
        <v>2.4700000000000002</v>
      </c>
      <c r="CH22" s="1222">
        <f t="shared" si="71"/>
        <v>19.760000000000002</v>
      </c>
      <c r="CI22" s="1176">
        <v>2</v>
      </c>
      <c r="CJ22" s="1195">
        <v>2.56</v>
      </c>
      <c r="CK22" s="1222">
        <f t="shared" si="72"/>
        <v>5.12</v>
      </c>
      <c r="CL22" s="1156">
        <v>4</v>
      </c>
      <c r="CM22" s="1195">
        <v>3.84</v>
      </c>
      <c r="CN22" s="1222">
        <f t="shared" si="73"/>
        <v>15.36</v>
      </c>
      <c r="CO22" s="1156">
        <v>1</v>
      </c>
      <c r="CP22" s="1195">
        <v>2.56</v>
      </c>
      <c r="CQ22" s="1222">
        <f t="shared" si="74"/>
        <v>2.56</v>
      </c>
      <c r="CR22" s="1156">
        <v>12</v>
      </c>
      <c r="CS22" s="1195">
        <v>3.84</v>
      </c>
      <c r="CT22" s="1222">
        <f t="shared" si="75"/>
        <v>46.08</v>
      </c>
      <c r="CU22" s="1176">
        <v>1</v>
      </c>
      <c r="CV22" s="1195">
        <v>2.56</v>
      </c>
      <c r="CW22" s="1222">
        <f t="shared" si="76"/>
        <v>2.56</v>
      </c>
      <c r="CX22" s="1176">
        <v>1</v>
      </c>
      <c r="CY22" s="1195">
        <v>3.84</v>
      </c>
      <c r="CZ22" s="1222">
        <f t="shared" si="77"/>
        <v>3.84</v>
      </c>
      <c r="DA22" s="1176">
        <v>1</v>
      </c>
      <c r="DB22" s="1195">
        <v>2.59</v>
      </c>
      <c r="DC22" s="1222">
        <f t="shared" si="78"/>
        <v>2.59</v>
      </c>
      <c r="DD22" s="1156"/>
      <c r="DE22" s="1217"/>
      <c r="DF22" s="1222">
        <f t="shared" si="79"/>
        <v>0</v>
      </c>
      <c r="DG22" s="1156"/>
      <c r="DH22" s="1217"/>
      <c r="DI22" s="1222">
        <f t="shared" si="80"/>
        <v>0</v>
      </c>
      <c r="DJ22" s="1156"/>
      <c r="DK22" s="1217"/>
      <c r="DL22" s="1222">
        <f t="shared" si="81"/>
        <v>0</v>
      </c>
      <c r="DM22" s="1156"/>
      <c r="DN22" s="1217"/>
      <c r="DO22" s="1222">
        <f t="shared" si="82"/>
        <v>0</v>
      </c>
      <c r="DP22" s="1156"/>
      <c r="DQ22" s="1217"/>
      <c r="DR22" s="1222">
        <f t="shared" si="83"/>
        <v>0</v>
      </c>
      <c r="DS22" s="1156"/>
      <c r="DT22" s="1217"/>
      <c r="DU22" s="1222">
        <f t="shared" si="84"/>
        <v>0</v>
      </c>
      <c r="DV22" s="1156"/>
      <c r="DW22" s="1217"/>
      <c r="DX22" s="1244">
        <f t="shared" si="85"/>
        <v>0</v>
      </c>
    </row>
    <row r="23" spans="1:128">
      <c r="B23" s="1305" t="s">
        <v>1252</v>
      </c>
      <c r="C23" s="1175"/>
      <c r="D23" s="1195"/>
      <c r="E23" s="1199">
        <f t="shared" si="45"/>
        <v>0</v>
      </c>
      <c r="F23" s="1176">
        <v>1</v>
      </c>
      <c r="G23" s="1217">
        <v>5.36</v>
      </c>
      <c r="H23" s="1199">
        <f t="shared" si="46"/>
        <v>5.36</v>
      </c>
      <c r="I23" s="1176"/>
      <c r="J23" s="1217"/>
      <c r="K23" s="1222">
        <f t="shared" si="47"/>
        <v>0</v>
      </c>
      <c r="L23" s="1176">
        <v>1</v>
      </c>
      <c r="M23" s="1217">
        <v>5.36</v>
      </c>
      <c r="N23" s="1222">
        <f>M23*L23</f>
        <v>5.36</v>
      </c>
      <c r="O23" s="1176"/>
      <c r="P23" s="1217"/>
      <c r="Q23" s="1222">
        <f t="shared" si="49"/>
        <v>0</v>
      </c>
      <c r="R23" s="1176">
        <v>2</v>
      </c>
      <c r="S23" s="1217">
        <v>5.36</v>
      </c>
      <c r="T23" s="1222">
        <f t="shared" si="50"/>
        <v>10.72</v>
      </c>
      <c r="U23" s="1176"/>
      <c r="V23" s="1217"/>
      <c r="W23" s="1222">
        <f t="shared" si="51"/>
        <v>0</v>
      </c>
      <c r="X23" s="1176">
        <v>2</v>
      </c>
      <c r="Y23" s="1217">
        <v>5.36</v>
      </c>
      <c r="Z23" s="1222">
        <f t="shared" si="52"/>
        <v>10.72</v>
      </c>
      <c r="AA23" s="1176"/>
      <c r="AB23" s="1195"/>
      <c r="AC23" s="1222">
        <f t="shared" si="53"/>
        <v>0</v>
      </c>
      <c r="AD23" s="1176">
        <v>1</v>
      </c>
      <c r="AE23" s="1195">
        <v>5.36</v>
      </c>
      <c r="AF23" s="1222">
        <f t="shared" si="54"/>
        <v>5.36</v>
      </c>
      <c r="AG23" s="1176"/>
      <c r="AH23" s="1195"/>
      <c r="AI23" s="1222">
        <f t="shared" si="55"/>
        <v>0</v>
      </c>
      <c r="AJ23" s="1176">
        <v>1</v>
      </c>
      <c r="AK23" s="1195">
        <v>5.36</v>
      </c>
      <c r="AL23" s="1222">
        <f t="shared" si="56"/>
        <v>5.36</v>
      </c>
      <c r="AM23" s="1176"/>
      <c r="AN23" s="1195"/>
      <c r="AO23" s="1222">
        <f t="shared" si="57"/>
        <v>0</v>
      </c>
      <c r="AP23" s="1176">
        <v>2</v>
      </c>
      <c r="AQ23" s="1195">
        <v>5.36</v>
      </c>
      <c r="AR23" s="1222">
        <f t="shared" si="58"/>
        <v>10.72</v>
      </c>
      <c r="AS23" s="1176"/>
      <c r="AT23" s="1195"/>
      <c r="AU23" s="1222">
        <f t="shared" si="59"/>
        <v>0</v>
      </c>
      <c r="AV23" s="1176">
        <v>1</v>
      </c>
      <c r="AW23" s="1195">
        <v>5.36</v>
      </c>
      <c r="AX23" s="1222">
        <f t="shared" si="60"/>
        <v>5.36</v>
      </c>
      <c r="AY23" s="1176"/>
      <c r="AZ23" s="1195"/>
      <c r="BA23" s="1222">
        <f>AZ23*AY23</f>
        <v>0</v>
      </c>
      <c r="BB23" s="1177">
        <f>1/5</f>
        <v>0.2</v>
      </c>
      <c r="BC23" s="1195">
        <v>5.36</v>
      </c>
      <c r="BD23" s="1222">
        <f t="shared" si="61"/>
        <v>1.0720000000000001</v>
      </c>
      <c r="BE23" s="1177"/>
      <c r="BF23" s="1195"/>
      <c r="BG23" s="1266"/>
      <c r="BH23" s="1177">
        <f>1/5</f>
        <v>0.2</v>
      </c>
      <c r="BI23" s="1195">
        <v>5.36</v>
      </c>
      <c r="BJ23" s="1222">
        <f t="shared" si="63"/>
        <v>1.0720000000000001</v>
      </c>
      <c r="BK23" s="1176"/>
      <c r="BL23" s="1195"/>
      <c r="BM23" s="1222">
        <f t="shared" si="64"/>
        <v>0</v>
      </c>
      <c r="BN23" s="1156">
        <v>1</v>
      </c>
      <c r="BO23" s="1195">
        <v>5.36</v>
      </c>
      <c r="BP23" s="1222">
        <f t="shared" si="65"/>
        <v>5.36</v>
      </c>
      <c r="BQ23" s="1156"/>
      <c r="BR23" s="1217"/>
      <c r="BS23" s="1222">
        <f t="shared" si="66"/>
        <v>0</v>
      </c>
      <c r="BT23" s="1156"/>
      <c r="BU23" s="1195"/>
      <c r="BV23" s="1222">
        <f t="shared" si="67"/>
        <v>0</v>
      </c>
      <c r="BW23" s="1176"/>
      <c r="BX23" s="1217"/>
      <c r="BY23" s="1222">
        <f t="shared" si="68"/>
        <v>0</v>
      </c>
      <c r="BZ23" s="1156"/>
      <c r="CA23" s="1195"/>
      <c r="CB23" s="1222">
        <f t="shared" si="69"/>
        <v>0</v>
      </c>
      <c r="CC23" s="1156"/>
      <c r="CD23" s="1195"/>
      <c r="CE23" s="1222">
        <f t="shared" si="70"/>
        <v>0</v>
      </c>
      <c r="CF23" s="1156"/>
      <c r="CG23" s="1195"/>
      <c r="CH23" s="1222">
        <f t="shared" si="71"/>
        <v>0</v>
      </c>
      <c r="CI23" s="1176">
        <v>1</v>
      </c>
      <c r="CJ23" s="1195">
        <v>5.36</v>
      </c>
      <c r="CK23" s="1222">
        <f t="shared" si="72"/>
        <v>5.36</v>
      </c>
      <c r="CL23" s="1156"/>
      <c r="CM23" s="1195"/>
      <c r="CN23" s="1222">
        <f t="shared" si="73"/>
        <v>0</v>
      </c>
      <c r="CO23" s="1156"/>
      <c r="CP23" s="1195"/>
      <c r="CQ23" s="1222">
        <f t="shared" si="74"/>
        <v>0</v>
      </c>
      <c r="CR23" s="1156"/>
      <c r="CS23" s="1195"/>
      <c r="CT23" s="1222">
        <f t="shared" si="75"/>
        <v>0</v>
      </c>
      <c r="CU23" s="1156"/>
      <c r="CV23" s="1195"/>
      <c r="CW23" s="1222">
        <f t="shared" si="76"/>
        <v>0</v>
      </c>
      <c r="CX23" s="1156">
        <v>1</v>
      </c>
      <c r="CY23" s="1195">
        <v>5.33</v>
      </c>
      <c r="CZ23" s="1222">
        <f t="shared" si="77"/>
        <v>5.33</v>
      </c>
      <c r="DA23" s="1156">
        <v>3</v>
      </c>
      <c r="DB23" s="1195">
        <v>5.33</v>
      </c>
      <c r="DC23" s="1222">
        <f t="shared" si="78"/>
        <v>15.99</v>
      </c>
      <c r="DD23" s="1156"/>
      <c r="DE23" s="1217"/>
      <c r="DF23" s="1222">
        <f t="shared" si="79"/>
        <v>0</v>
      </c>
      <c r="DG23" s="1156"/>
      <c r="DH23" s="1217"/>
      <c r="DI23" s="1222">
        <f t="shared" si="80"/>
        <v>0</v>
      </c>
      <c r="DJ23" s="1156"/>
      <c r="DK23" s="1217"/>
      <c r="DL23" s="1222">
        <f t="shared" si="81"/>
        <v>0</v>
      </c>
      <c r="DM23" s="1156"/>
      <c r="DN23" s="1217"/>
      <c r="DO23" s="1222">
        <f t="shared" si="82"/>
        <v>0</v>
      </c>
      <c r="DP23" s="1156"/>
      <c r="DQ23" s="1217"/>
      <c r="DR23" s="1222">
        <f t="shared" si="83"/>
        <v>0</v>
      </c>
      <c r="DS23" s="1156"/>
      <c r="DT23" s="1217"/>
      <c r="DU23" s="1222">
        <f t="shared" si="84"/>
        <v>0</v>
      </c>
      <c r="DV23" s="1156"/>
      <c r="DW23" s="1217"/>
      <c r="DX23" s="1244">
        <f t="shared" si="85"/>
        <v>0</v>
      </c>
    </row>
    <row r="24" spans="1:128">
      <c r="B24" s="1305" t="s">
        <v>1253</v>
      </c>
      <c r="C24" s="1175"/>
      <c r="D24" s="1195"/>
      <c r="E24" s="1199">
        <f t="shared" si="45"/>
        <v>0</v>
      </c>
      <c r="F24" s="1176"/>
      <c r="G24" s="1217"/>
      <c r="H24" s="1199">
        <f t="shared" si="46"/>
        <v>0</v>
      </c>
      <c r="I24" s="1176"/>
      <c r="J24" s="1217"/>
      <c r="K24" s="1199">
        <f t="shared" si="47"/>
        <v>0</v>
      </c>
      <c r="L24" s="1176"/>
      <c r="M24" s="1217"/>
      <c r="N24" s="1199">
        <f>M24*L24</f>
        <v>0</v>
      </c>
      <c r="O24" s="1176"/>
      <c r="P24" s="1217"/>
      <c r="Q24" s="1222"/>
      <c r="R24" s="1176"/>
      <c r="S24" s="1217"/>
      <c r="T24" s="1199">
        <f t="shared" si="50"/>
        <v>0</v>
      </c>
      <c r="U24" s="1176"/>
      <c r="V24" s="1217"/>
      <c r="W24" s="1199">
        <f t="shared" si="51"/>
        <v>0</v>
      </c>
      <c r="X24" s="1176"/>
      <c r="Y24" s="1217"/>
      <c r="Z24" s="1199">
        <f t="shared" si="52"/>
        <v>0</v>
      </c>
      <c r="AA24" s="1176"/>
      <c r="AB24" s="1195"/>
      <c r="AC24" s="1199">
        <f t="shared" si="53"/>
        <v>0</v>
      </c>
      <c r="AD24" s="1176"/>
      <c r="AE24" s="1195"/>
      <c r="AF24" s="1199">
        <f t="shared" si="54"/>
        <v>0</v>
      </c>
      <c r="AG24" s="1176"/>
      <c r="AH24" s="1195"/>
      <c r="AI24" s="1199">
        <f t="shared" si="55"/>
        <v>0</v>
      </c>
      <c r="AJ24" s="1176"/>
      <c r="AK24" s="1195"/>
      <c r="AL24" s="1199">
        <f t="shared" si="56"/>
        <v>0</v>
      </c>
      <c r="AM24" s="1176"/>
      <c r="AN24" s="1195"/>
      <c r="AO24" s="1199">
        <f t="shared" si="57"/>
        <v>0</v>
      </c>
      <c r="AP24" s="1176">
        <v>2</v>
      </c>
      <c r="AQ24" s="1195">
        <v>23.29</v>
      </c>
      <c r="AR24" s="1199">
        <f t="shared" si="58"/>
        <v>46.58</v>
      </c>
      <c r="AS24" s="1176"/>
      <c r="AT24" s="1195"/>
      <c r="AU24" s="1222"/>
      <c r="AV24" s="1176"/>
      <c r="AW24" s="1195"/>
      <c r="AX24" s="1199">
        <f t="shared" si="60"/>
        <v>0</v>
      </c>
      <c r="AY24" s="1177">
        <f>1/5</f>
        <v>0.2</v>
      </c>
      <c r="AZ24" s="1195">
        <v>11.25</v>
      </c>
      <c r="BA24" s="1199">
        <f>AZ24*AY24</f>
        <v>2.25</v>
      </c>
      <c r="BB24" s="1177">
        <f>1/5</f>
        <v>0.2</v>
      </c>
      <c r="BC24" s="1195">
        <v>11.25</v>
      </c>
      <c r="BD24" s="1199">
        <f t="shared" si="61"/>
        <v>2.25</v>
      </c>
      <c r="BE24" s="1177">
        <f>1/5</f>
        <v>0.2</v>
      </c>
      <c r="BF24" s="1195">
        <v>11.25</v>
      </c>
      <c r="BG24" s="1199">
        <f>BF24*BE24</f>
        <v>2.25</v>
      </c>
      <c r="BH24" s="1177">
        <f>1/5</f>
        <v>0.2</v>
      </c>
      <c r="BI24" s="1195">
        <v>11.25</v>
      </c>
      <c r="BJ24" s="1222">
        <f t="shared" si="63"/>
        <v>2.25</v>
      </c>
      <c r="BK24" s="1176"/>
      <c r="BL24" s="1195"/>
      <c r="BM24" s="1222">
        <f t="shared" si="64"/>
        <v>0</v>
      </c>
      <c r="BN24" s="1156"/>
      <c r="BO24" s="1195"/>
      <c r="BP24" s="1222">
        <f t="shared" si="65"/>
        <v>0</v>
      </c>
      <c r="BQ24" s="1156"/>
      <c r="BR24" s="1217"/>
      <c r="BS24" s="1222">
        <f t="shared" si="66"/>
        <v>0</v>
      </c>
      <c r="BT24" s="1156">
        <v>1</v>
      </c>
      <c r="BU24" s="1195">
        <v>23.29</v>
      </c>
      <c r="BV24" s="1199">
        <f t="shared" si="67"/>
        <v>23.29</v>
      </c>
      <c r="BW24" s="1156">
        <v>1</v>
      </c>
      <c r="BX24" s="1195">
        <v>23.29</v>
      </c>
      <c r="BY24" s="1199">
        <f t="shared" si="68"/>
        <v>23.29</v>
      </c>
      <c r="BZ24" s="1156"/>
      <c r="CA24" s="1195"/>
      <c r="CB24" s="1199">
        <f t="shared" si="69"/>
        <v>0</v>
      </c>
      <c r="CC24" s="1156"/>
      <c r="CD24" s="1195"/>
      <c r="CE24" s="1199">
        <f t="shared" si="70"/>
        <v>0</v>
      </c>
      <c r="CF24" s="1156"/>
      <c r="CG24" s="1195"/>
      <c r="CH24" s="1199">
        <f t="shared" si="71"/>
        <v>0</v>
      </c>
      <c r="CI24" s="1176"/>
      <c r="CJ24" s="1195"/>
      <c r="CK24" s="1222">
        <f t="shared" si="72"/>
        <v>0</v>
      </c>
      <c r="CL24" s="1156"/>
      <c r="CM24" s="1195"/>
      <c r="CN24" s="1222">
        <f t="shared" si="73"/>
        <v>0</v>
      </c>
      <c r="CO24" s="1156"/>
      <c r="CP24" s="1195"/>
      <c r="CQ24" s="1222">
        <f t="shared" si="74"/>
        <v>0</v>
      </c>
      <c r="CR24" s="1156">
        <v>1</v>
      </c>
      <c r="CS24" s="1195">
        <v>24.78</v>
      </c>
      <c r="CT24" s="1222">
        <f t="shared" si="75"/>
        <v>24.78</v>
      </c>
      <c r="CU24" s="1156">
        <v>1</v>
      </c>
      <c r="CV24" s="1195">
        <v>24.78</v>
      </c>
      <c r="CW24" s="1222">
        <f t="shared" si="76"/>
        <v>24.78</v>
      </c>
      <c r="CX24" s="1156">
        <v>2</v>
      </c>
      <c r="CY24" s="1195">
        <v>9.49</v>
      </c>
      <c r="CZ24" s="1222">
        <f t="shared" si="77"/>
        <v>18.98</v>
      </c>
      <c r="DA24" s="1156">
        <v>2</v>
      </c>
      <c r="DB24" s="1195">
        <v>9.49</v>
      </c>
      <c r="DC24" s="1222">
        <f t="shared" si="78"/>
        <v>18.98</v>
      </c>
      <c r="DD24" s="1156"/>
      <c r="DE24" s="1217"/>
      <c r="DF24" s="1222"/>
      <c r="DG24" s="1156"/>
      <c r="DH24" s="1217"/>
      <c r="DI24" s="1222"/>
      <c r="DJ24" s="1156"/>
      <c r="DK24" s="1217"/>
      <c r="DL24" s="1222"/>
      <c r="DM24" s="1156"/>
      <c r="DN24" s="1217"/>
      <c r="DO24" s="1222"/>
      <c r="DP24" s="1156"/>
      <c r="DQ24" s="1217"/>
      <c r="DR24" s="1222"/>
      <c r="DS24" s="1156"/>
      <c r="DT24" s="1217"/>
      <c r="DU24" s="1222"/>
      <c r="DV24" s="1156"/>
      <c r="DW24" s="1217"/>
      <c r="DX24" s="1244"/>
    </row>
    <row r="25" spans="1:128">
      <c r="B25" s="1305" t="s">
        <v>153</v>
      </c>
      <c r="C25" s="1175">
        <v>2</v>
      </c>
      <c r="D25" s="1195">
        <v>11.27</v>
      </c>
      <c r="E25" s="1199">
        <f>D25*C25</f>
        <v>22.54</v>
      </c>
      <c r="F25" s="1176">
        <v>1</v>
      </c>
      <c r="G25" s="1217">
        <v>10.4</v>
      </c>
      <c r="H25" s="1199">
        <f>G25*F25</f>
        <v>10.4</v>
      </c>
      <c r="I25" s="1176">
        <v>2</v>
      </c>
      <c r="J25" s="1217">
        <v>11.27</v>
      </c>
      <c r="K25" s="1222">
        <f>J25*I25</f>
        <v>22.54</v>
      </c>
      <c r="L25" s="1176">
        <v>1</v>
      </c>
      <c r="M25" s="1217">
        <v>10.4</v>
      </c>
      <c r="N25" s="1222">
        <f>M25*L25</f>
        <v>10.4</v>
      </c>
      <c r="O25" s="1176">
        <v>1</v>
      </c>
      <c r="P25" s="1217">
        <v>11.27</v>
      </c>
      <c r="Q25" s="1222">
        <f>P25*O25</f>
        <v>11.27</v>
      </c>
      <c r="R25" s="1176">
        <v>1</v>
      </c>
      <c r="S25" s="1217">
        <v>10.4</v>
      </c>
      <c r="T25" s="1222">
        <f>S25*R25</f>
        <v>10.4</v>
      </c>
      <c r="U25" s="1176">
        <v>1</v>
      </c>
      <c r="V25" s="1217">
        <v>10.4</v>
      </c>
      <c r="W25" s="1222">
        <f>V25*U25</f>
        <v>10.4</v>
      </c>
      <c r="X25" s="1176">
        <v>1</v>
      </c>
      <c r="Y25" s="1217">
        <v>10.4</v>
      </c>
      <c r="Z25" s="1222">
        <f>Y25*X25</f>
        <v>10.4</v>
      </c>
      <c r="AA25" s="1176">
        <v>1</v>
      </c>
      <c r="AB25" s="1195">
        <v>9.98</v>
      </c>
      <c r="AC25" s="1222">
        <f>AB25*AA25</f>
        <v>9.98</v>
      </c>
      <c r="AD25" s="1176">
        <v>1</v>
      </c>
      <c r="AE25" s="1195">
        <v>10.4</v>
      </c>
      <c r="AF25" s="1222">
        <f>AE25*AD25</f>
        <v>10.4</v>
      </c>
      <c r="AG25" s="1176">
        <v>1</v>
      </c>
      <c r="AH25" s="1195">
        <v>8.76</v>
      </c>
      <c r="AI25" s="1222">
        <f>AH25*AG25</f>
        <v>8.76</v>
      </c>
      <c r="AJ25" s="1176">
        <v>1</v>
      </c>
      <c r="AK25" s="1195">
        <v>10.4</v>
      </c>
      <c r="AL25" s="1222">
        <f>AK25*AJ25</f>
        <v>10.4</v>
      </c>
      <c r="AM25" s="1176">
        <v>1</v>
      </c>
      <c r="AN25" s="1195">
        <v>8.76</v>
      </c>
      <c r="AO25" s="1222">
        <f>AN25*AM25</f>
        <v>8.76</v>
      </c>
      <c r="AP25" s="1176">
        <v>1</v>
      </c>
      <c r="AQ25" s="1195">
        <v>8.76</v>
      </c>
      <c r="AR25" s="1222">
        <f>AQ25*AP25</f>
        <v>8.76</v>
      </c>
      <c r="AS25" s="1176">
        <v>2</v>
      </c>
      <c r="AT25" s="1195">
        <v>8.76</v>
      </c>
      <c r="AU25" s="1222">
        <f>AT25*AS25</f>
        <v>17.52</v>
      </c>
      <c r="AV25" s="1176">
        <v>1</v>
      </c>
      <c r="AW25" s="1195">
        <v>10.4</v>
      </c>
      <c r="AX25" s="1222">
        <f>AW25*AV25</f>
        <v>10.4</v>
      </c>
      <c r="AY25" s="1177">
        <f>1/5</f>
        <v>0.2</v>
      </c>
      <c r="AZ25" s="1195">
        <v>8.2200000000000006</v>
      </c>
      <c r="BA25" s="1222">
        <f>AZ25*AY25</f>
        <v>1.6440000000000001</v>
      </c>
      <c r="BB25" s="1177">
        <f>1/5</f>
        <v>0.2</v>
      </c>
      <c r="BC25" s="1195">
        <v>8.2200000000000006</v>
      </c>
      <c r="BD25" s="1222">
        <f>BC25*BB25</f>
        <v>1.6440000000000001</v>
      </c>
      <c r="BE25" s="1177">
        <f>1/5</f>
        <v>0.2</v>
      </c>
      <c r="BF25" s="1195">
        <v>8.76</v>
      </c>
      <c r="BG25" s="1266">
        <f>BF25*BE25</f>
        <v>1.752</v>
      </c>
      <c r="BH25" s="1177">
        <f>1/5</f>
        <v>0.2</v>
      </c>
      <c r="BI25" s="1195">
        <v>8.76</v>
      </c>
      <c r="BJ25" s="1222">
        <f t="shared" si="63"/>
        <v>1.752</v>
      </c>
      <c r="BK25" s="1176">
        <v>2</v>
      </c>
      <c r="BL25" s="1195">
        <v>11.27</v>
      </c>
      <c r="BM25" s="1222">
        <f t="shared" si="64"/>
        <v>22.54</v>
      </c>
      <c r="BN25" s="1156">
        <v>2</v>
      </c>
      <c r="BO25" s="1195">
        <v>10.4</v>
      </c>
      <c r="BP25" s="1222">
        <f t="shared" si="65"/>
        <v>20.8</v>
      </c>
      <c r="BQ25" s="1156"/>
      <c r="BR25" s="1217"/>
      <c r="BS25" s="1222">
        <f t="shared" si="66"/>
        <v>0</v>
      </c>
      <c r="BT25" s="1156">
        <v>1</v>
      </c>
      <c r="BU25" s="1195">
        <v>8.76</v>
      </c>
      <c r="BV25" s="1222">
        <f>BU25*BT25</f>
        <v>8.76</v>
      </c>
      <c r="BW25" s="1156">
        <v>1</v>
      </c>
      <c r="BX25" s="1195">
        <v>8.76</v>
      </c>
      <c r="BY25" s="1222">
        <f>BX25*BW25</f>
        <v>8.76</v>
      </c>
      <c r="BZ25" s="1156">
        <v>1</v>
      </c>
      <c r="CA25" s="1195">
        <v>8.76</v>
      </c>
      <c r="CB25" s="1222">
        <f>CA25*BZ25</f>
        <v>8.76</v>
      </c>
      <c r="CC25" s="1156">
        <v>1</v>
      </c>
      <c r="CD25" s="1195">
        <v>8.76</v>
      </c>
      <c r="CE25" s="1222">
        <f>CD25*CC25</f>
        <v>8.76</v>
      </c>
      <c r="CF25" s="1156">
        <v>2</v>
      </c>
      <c r="CG25" s="1195">
        <v>10.4</v>
      </c>
      <c r="CH25" s="1222">
        <f>CG25*CF25</f>
        <v>20.8</v>
      </c>
      <c r="CI25" s="1176">
        <v>1</v>
      </c>
      <c r="CJ25" s="1195">
        <v>10.4</v>
      </c>
      <c r="CK25" s="1222">
        <f>CJ25*CI25</f>
        <v>10.4</v>
      </c>
      <c r="CL25" s="1156">
        <v>2</v>
      </c>
      <c r="CM25" s="1195">
        <v>9.98</v>
      </c>
      <c r="CN25" s="1222">
        <f>CM25*CL25</f>
        <v>19.96</v>
      </c>
      <c r="CO25" s="1156">
        <v>2</v>
      </c>
      <c r="CP25" s="1195">
        <v>10.4</v>
      </c>
      <c r="CQ25" s="1222">
        <f>CP25*CO25</f>
        <v>20.8</v>
      </c>
      <c r="CR25" s="1156">
        <v>1</v>
      </c>
      <c r="CS25" s="1195">
        <v>9.98</v>
      </c>
      <c r="CT25" s="1222">
        <f t="shared" si="75"/>
        <v>9.98</v>
      </c>
      <c r="CU25" s="1156">
        <v>1</v>
      </c>
      <c r="CV25" s="1195">
        <v>9.98</v>
      </c>
      <c r="CW25" s="1222">
        <f t="shared" si="76"/>
        <v>9.98</v>
      </c>
      <c r="CX25" s="1156"/>
      <c r="CY25" s="1195"/>
      <c r="CZ25" s="1222">
        <f t="shared" si="77"/>
        <v>0</v>
      </c>
      <c r="DA25" s="1156"/>
      <c r="DB25" s="1195"/>
      <c r="DC25" s="1222">
        <f t="shared" si="78"/>
        <v>0</v>
      </c>
      <c r="DD25" s="1156"/>
      <c r="DE25" s="1217"/>
      <c r="DF25" s="1222">
        <f>DE25*DD25</f>
        <v>0</v>
      </c>
      <c r="DG25" s="1156"/>
      <c r="DH25" s="1217"/>
      <c r="DI25" s="1222">
        <f>DH25*DG25</f>
        <v>0</v>
      </c>
      <c r="DJ25" s="1156"/>
      <c r="DK25" s="1217"/>
      <c r="DL25" s="1222">
        <f>DK25*DJ25</f>
        <v>0</v>
      </c>
      <c r="DM25" s="1156"/>
      <c r="DN25" s="1217"/>
      <c r="DO25" s="1222">
        <f>DN25*DM25</f>
        <v>0</v>
      </c>
      <c r="DP25" s="1156"/>
      <c r="DQ25" s="1217"/>
      <c r="DR25" s="1222">
        <f>DQ25*DP25</f>
        <v>0</v>
      </c>
      <c r="DS25" s="1156"/>
      <c r="DT25" s="1217"/>
      <c r="DU25" s="1222">
        <f>DT25*DS25</f>
        <v>0</v>
      </c>
      <c r="DV25" s="1156"/>
      <c r="DW25" s="1217"/>
      <c r="DX25" s="1244">
        <f>DW25*DV25</f>
        <v>0</v>
      </c>
    </row>
    <row r="26" spans="1:128">
      <c r="B26" s="1305" t="s">
        <v>1254</v>
      </c>
      <c r="C26" s="1175">
        <v>2</v>
      </c>
      <c r="D26" s="1195">
        <v>9.8699999999999992</v>
      </c>
      <c r="E26" s="1199">
        <f t="shared" si="45"/>
        <v>19.739999999999998</v>
      </c>
      <c r="F26" s="1176">
        <v>1</v>
      </c>
      <c r="G26" s="1217">
        <v>8.2200000000000006</v>
      </c>
      <c r="H26" s="1199">
        <f t="shared" si="46"/>
        <v>8.2200000000000006</v>
      </c>
      <c r="I26" s="1176"/>
      <c r="J26" s="1217"/>
      <c r="K26" s="1222">
        <f t="shared" si="47"/>
        <v>0</v>
      </c>
      <c r="L26" s="1176">
        <v>1</v>
      </c>
      <c r="M26" s="1217">
        <v>8.2200000000000006</v>
      </c>
      <c r="N26" s="1222">
        <f t="shared" si="48"/>
        <v>8.2200000000000006</v>
      </c>
      <c r="O26" s="1176"/>
      <c r="P26" s="1217"/>
      <c r="Q26" s="1222">
        <f t="shared" si="49"/>
        <v>0</v>
      </c>
      <c r="R26" s="1176">
        <v>1</v>
      </c>
      <c r="S26" s="1217">
        <v>8.2200000000000006</v>
      </c>
      <c r="T26" s="1222">
        <f t="shared" si="50"/>
        <v>8.2200000000000006</v>
      </c>
      <c r="U26" s="1176">
        <v>1</v>
      </c>
      <c r="V26" s="1217">
        <v>8.2200000000000006</v>
      </c>
      <c r="W26" s="1222">
        <f t="shared" si="51"/>
        <v>8.2200000000000006</v>
      </c>
      <c r="X26" s="1176">
        <v>1</v>
      </c>
      <c r="Y26" s="1217">
        <v>8.2200000000000006</v>
      </c>
      <c r="Z26" s="1222">
        <f t="shared" si="52"/>
        <v>8.2200000000000006</v>
      </c>
      <c r="AA26" s="1176"/>
      <c r="AB26" s="1195"/>
      <c r="AC26" s="1222">
        <f t="shared" si="53"/>
        <v>0</v>
      </c>
      <c r="AD26" s="1176">
        <v>1</v>
      </c>
      <c r="AE26" s="1195">
        <v>8.2200000000000006</v>
      </c>
      <c r="AF26" s="1222">
        <f t="shared" si="54"/>
        <v>8.2200000000000006</v>
      </c>
      <c r="AG26" s="1176"/>
      <c r="AH26" s="1195"/>
      <c r="AI26" s="1222">
        <f t="shared" si="55"/>
        <v>0</v>
      </c>
      <c r="AJ26" s="1176">
        <v>1</v>
      </c>
      <c r="AK26" s="1195">
        <v>8.2200000000000006</v>
      </c>
      <c r="AL26" s="1222">
        <f t="shared" si="56"/>
        <v>8.2200000000000006</v>
      </c>
      <c r="AM26" s="1176">
        <v>2</v>
      </c>
      <c r="AN26" s="1195">
        <v>23.29</v>
      </c>
      <c r="AO26" s="1222">
        <f t="shared" si="57"/>
        <v>46.58</v>
      </c>
      <c r="AP26" s="1176"/>
      <c r="AQ26" s="1195"/>
      <c r="AR26" s="1222">
        <f t="shared" si="58"/>
        <v>0</v>
      </c>
      <c r="AS26" s="1176"/>
      <c r="AT26" s="1195"/>
      <c r="AU26" s="1222">
        <f t="shared" si="59"/>
        <v>0</v>
      </c>
      <c r="AV26" s="1176">
        <v>1</v>
      </c>
      <c r="AW26" s="1195">
        <v>8.2200000000000006</v>
      </c>
      <c r="AX26" s="1222">
        <f t="shared" si="60"/>
        <v>8.2200000000000006</v>
      </c>
      <c r="AY26" s="1176"/>
      <c r="AZ26" s="1195"/>
      <c r="BA26" s="1222">
        <f t="shared" ref="BA26:BA37" si="86">AZ26*AY26</f>
        <v>0</v>
      </c>
      <c r="BB26" s="1176"/>
      <c r="BC26" s="1195"/>
      <c r="BD26" s="1222">
        <f t="shared" si="61"/>
        <v>0</v>
      </c>
      <c r="BE26" s="1177"/>
      <c r="BF26" s="1195"/>
      <c r="BG26" s="1266">
        <f t="shared" si="62"/>
        <v>0</v>
      </c>
      <c r="BH26" s="1177"/>
      <c r="BI26" s="1195"/>
      <c r="BJ26" s="1222">
        <f t="shared" si="63"/>
        <v>0</v>
      </c>
      <c r="BK26" s="1176">
        <v>2</v>
      </c>
      <c r="BL26" s="1195">
        <v>9.8699999999999992</v>
      </c>
      <c r="BM26" s="1222">
        <f t="shared" si="64"/>
        <v>19.739999999999998</v>
      </c>
      <c r="BN26" s="1156"/>
      <c r="BO26" s="1195"/>
      <c r="BP26" s="1222">
        <f t="shared" si="65"/>
        <v>0</v>
      </c>
      <c r="BQ26" s="1156"/>
      <c r="BR26" s="1217"/>
      <c r="BS26" s="1222">
        <f t="shared" si="66"/>
        <v>0</v>
      </c>
      <c r="BT26" s="1156"/>
      <c r="BU26" s="1195"/>
      <c r="BV26" s="1222">
        <f t="shared" si="67"/>
        <v>0</v>
      </c>
      <c r="BW26" s="1156"/>
      <c r="BX26" s="1195"/>
      <c r="BY26" s="1222">
        <f t="shared" si="68"/>
        <v>0</v>
      </c>
      <c r="BZ26" s="1156"/>
      <c r="CA26" s="1195"/>
      <c r="CB26" s="1222">
        <f t="shared" si="69"/>
        <v>0</v>
      </c>
      <c r="CC26" s="1156"/>
      <c r="CD26" s="1195"/>
      <c r="CE26" s="1222">
        <f t="shared" si="70"/>
        <v>0</v>
      </c>
      <c r="CF26" s="1156"/>
      <c r="CG26" s="1195"/>
      <c r="CH26" s="1222">
        <f t="shared" si="71"/>
        <v>0</v>
      </c>
      <c r="CI26" s="1176">
        <v>1</v>
      </c>
      <c r="CJ26" s="1195">
        <v>8.2200000000000006</v>
      </c>
      <c r="CK26" s="1222">
        <f t="shared" si="72"/>
        <v>8.2200000000000006</v>
      </c>
      <c r="CL26" s="1156"/>
      <c r="CM26" s="1195"/>
      <c r="CN26" s="1222">
        <f t="shared" si="73"/>
        <v>0</v>
      </c>
      <c r="CO26" s="1156"/>
      <c r="CP26" s="1195"/>
      <c r="CQ26" s="1222">
        <f t="shared" si="74"/>
        <v>0</v>
      </c>
      <c r="CR26" s="1156">
        <v>3</v>
      </c>
      <c r="CS26" s="1195">
        <v>10.98</v>
      </c>
      <c r="CT26" s="1222">
        <f t="shared" si="75"/>
        <v>32.94</v>
      </c>
      <c r="CU26" s="1156">
        <v>3</v>
      </c>
      <c r="CV26" s="1195">
        <v>10.98</v>
      </c>
      <c r="CW26" s="1222">
        <f t="shared" si="76"/>
        <v>32.94</v>
      </c>
      <c r="CX26" s="1156"/>
      <c r="CY26" s="1195"/>
      <c r="CZ26" s="1222">
        <f t="shared" si="77"/>
        <v>0</v>
      </c>
      <c r="DA26" s="1156"/>
      <c r="DB26" s="1195"/>
      <c r="DC26" s="1222">
        <f t="shared" si="78"/>
        <v>0</v>
      </c>
      <c r="DD26" s="1156"/>
      <c r="DE26" s="1217"/>
      <c r="DF26" s="1222">
        <f t="shared" si="79"/>
        <v>0</v>
      </c>
      <c r="DG26" s="1156"/>
      <c r="DH26" s="1217"/>
      <c r="DI26" s="1222">
        <f t="shared" si="80"/>
        <v>0</v>
      </c>
      <c r="DJ26" s="1156"/>
      <c r="DK26" s="1217"/>
      <c r="DL26" s="1222">
        <f t="shared" si="81"/>
        <v>0</v>
      </c>
      <c r="DM26" s="1156"/>
      <c r="DN26" s="1217"/>
      <c r="DO26" s="1222">
        <f t="shared" si="82"/>
        <v>0</v>
      </c>
      <c r="DP26" s="1156"/>
      <c r="DQ26" s="1217"/>
      <c r="DR26" s="1222">
        <f t="shared" si="83"/>
        <v>0</v>
      </c>
      <c r="DS26" s="1156"/>
      <c r="DT26" s="1217"/>
      <c r="DU26" s="1222">
        <f t="shared" si="84"/>
        <v>0</v>
      </c>
      <c r="DV26" s="1156"/>
      <c r="DW26" s="1217"/>
      <c r="DX26" s="1244">
        <f t="shared" si="85"/>
        <v>0</v>
      </c>
    </row>
    <row r="27" spans="1:128">
      <c r="B27" s="1305" t="s">
        <v>154</v>
      </c>
      <c r="C27" s="1175"/>
      <c r="D27" s="1195"/>
      <c r="E27" s="1199">
        <f t="shared" si="45"/>
        <v>0</v>
      </c>
      <c r="F27" s="1176"/>
      <c r="G27" s="1217"/>
      <c r="H27" s="1199">
        <f t="shared" si="46"/>
        <v>0</v>
      </c>
      <c r="I27" s="1176">
        <v>2</v>
      </c>
      <c r="J27" s="1217">
        <v>5.05</v>
      </c>
      <c r="K27" s="1222">
        <f t="shared" si="47"/>
        <v>10.1</v>
      </c>
      <c r="L27" s="1176"/>
      <c r="M27" s="1217"/>
      <c r="N27" s="1222">
        <f t="shared" si="48"/>
        <v>0</v>
      </c>
      <c r="O27" s="1176"/>
      <c r="P27" s="1217"/>
      <c r="Q27" s="1222">
        <f t="shared" si="49"/>
        <v>0</v>
      </c>
      <c r="R27" s="1176"/>
      <c r="S27" s="1217"/>
      <c r="T27" s="1222">
        <f t="shared" si="50"/>
        <v>0</v>
      </c>
      <c r="U27" s="1176"/>
      <c r="V27" s="1217"/>
      <c r="W27" s="1222">
        <f t="shared" si="51"/>
        <v>0</v>
      </c>
      <c r="X27" s="1176"/>
      <c r="Y27" s="1217"/>
      <c r="Z27" s="1222">
        <f t="shared" si="52"/>
        <v>0</v>
      </c>
      <c r="AA27" s="1176"/>
      <c r="AB27" s="1195"/>
      <c r="AC27" s="1222">
        <f t="shared" si="53"/>
        <v>0</v>
      </c>
      <c r="AD27" s="1176"/>
      <c r="AE27" s="1195"/>
      <c r="AF27" s="1222">
        <f t="shared" si="54"/>
        <v>0</v>
      </c>
      <c r="AG27" s="1176"/>
      <c r="AH27" s="1195"/>
      <c r="AI27" s="1222">
        <f t="shared" si="55"/>
        <v>0</v>
      </c>
      <c r="AJ27" s="1176"/>
      <c r="AK27" s="1195"/>
      <c r="AL27" s="1222">
        <f t="shared" si="56"/>
        <v>0</v>
      </c>
      <c r="AM27" s="1176"/>
      <c r="AN27" s="1195"/>
      <c r="AO27" s="1222">
        <f t="shared" si="57"/>
        <v>0</v>
      </c>
      <c r="AP27" s="1176"/>
      <c r="AQ27" s="1195"/>
      <c r="AR27" s="1222">
        <f t="shared" si="58"/>
        <v>0</v>
      </c>
      <c r="AS27" s="1176"/>
      <c r="AT27" s="1195"/>
      <c r="AU27" s="1222">
        <f t="shared" si="59"/>
        <v>0</v>
      </c>
      <c r="AV27" s="1176"/>
      <c r="AW27" s="1195"/>
      <c r="AX27" s="1222">
        <f t="shared" si="60"/>
        <v>0</v>
      </c>
      <c r="AY27" s="1176"/>
      <c r="AZ27" s="1195"/>
      <c r="BA27" s="1222">
        <f t="shared" si="86"/>
        <v>0</v>
      </c>
      <c r="BB27" s="1176"/>
      <c r="BC27" s="1195"/>
      <c r="BD27" s="1222">
        <f t="shared" si="61"/>
        <v>0</v>
      </c>
      <c r="BE27" s="1177"/>
      <c r="BF27" s="1195"/>
      <c r="BG27" s="1266">
        <f t="shared" si="62"/>
        <v>0</v>
      </c>
      <c r="BH27" s="1177"/>
      <c r="BI27" s="1195"/>
      <c r="BJ27" s="1222">
        <f t="shared" si="63"/>
        <v>0</v>
      </c>
      <c r="BK27" s="1176"/>
      <c r="BL27" s="1195"/>
      <c r="BM27" s="1222">
        <f t="shared" si="64"/>
        <v>0</v>
      </c>
      <c r="BN27" s="1156"/>
      <c r="BO27" s="1195"/>
      <c r="BP27" s="1222">
        <f t="shared" si="65"/>
        <v>0</v>
      </c>
      <c r="BQ27" s="1156"/>
      <c r="BR27" s="1217"/>
      <c r="BS27" s="1222">
        <f t="shared" si="66"/>
        <v>0</v>
      </c>
      <c r="BT27" s="1156"/>
      <c r="BU27" s="1195"/>
      <c r="BV27" s="1222">
        <f t="shared" si="67"/>
        <v>0</v>
      </c>
      <c r="BW27" s="1156"/>
      <c r="BX27" s="1195"/>
      <c r="BY27" s="1222">
        <f t="shared" si="68"/>
        <v>0</v>
      </c>
      <c r="BZ27" s="1156"/>
      <c r="CA27" s="1195"/>
      <c r="CB27" s="1222">
        <f t="shared" si="69"/>
        <v>0</v>
      </c>
      <c r="CC27" s="1156"/>
      <c r="CD27" s="1195"/>
      <c r="CE27" s="1222">
        <f t="shared" si="70"/>
        <v>0</v>
      </c>
      <c r="CF27" s="1156"/>
      <c r="CG27" s="1195"/>
      <c r="CH27" s="1222">
        <f t="shared" si="71"/>
        <v>0</v>
      </c>
      <c r="CI27" s="1176"/>
      <c r="CJ27" s="1195"/>
      <c r="CK27" s="1222">
        <f t="shared" si="72"/>
        <v>0</v>
      </c>
      <c r="CL27" s="1156"/>
      <c r="CM27" s="1195"/>
      <c r="CN27" s="1222">
        <f t="shared" si="73"/>
        <v>0</v>
      </c>
      <c r="CO27" s="1156"/>
      <c r="CP27" s="1195"/>
      <c r="CQ27" s="1222">
        <f t="shared" si="74"/>
        <v>0</v>
      </c>
      <c r="CR27" s="1156">
        <v>1</v>
      </c>
      <c r="CS27" s="1195">
        <v>5.05</v>
      </c>
      <c r="CT27" s="1222">
        <f t="shared" si="75"/>
        <v>5.05</v>
      </c>
      <c r="CU27" s="1156"/>
      <c r="CV27" s="1195"/>
      <c r="CW27" s="1222">
        <f t="shared" si="76"/>
        <v>0</v>
      </c>
      <c r="CX27" s="1176">
        <v>2</v>
      </c>
      <c r="CY27" s="1217">
        <v>5.05</v>
      </c>
      <c r="CZ27" s="1222">
        <f t="shared" si="77"/>
        <v>10.1</v>
      </c>
      <c r="DA27" s="1156"/>
      <c r="DB27" s="1195"/>
      <c r="DC27" s="1222">
        <f t="shared" si="78"/>
        <v>0</v>
      </c>
      <c r="DD27" s="1154"/>
      <c r="DE27" s="1217"/>
      <c r="DF27" s="1222">
        <f t="shared" si="79"/>
        <v>0</v>
      </c>
      <c r="DG27" s="1156"/>
      <c r="DH27" s="1217"/>
      <c r="DI27" s="1222">
        <f t="shared" si="80"/>
        <v>0</v>
      </c>
      <c r="DJ27" s="1156"/>
      <c r="DK27" s="1217"/>
      <c r="DL27" s="1222">
        <f t="shared" si="81"/>
        <v>0</v>
      </c>
      <c r="DM27" s="1156"/>
      <c r="DN27" s="1217"/>
      <c r="DO27" s="1222">
        <f t="shared" si="82"/>
        <v>0</v>
      </c>
      <c r="DP27" s="1156"/>
      <c r="DQ27" s="1217"/>
      <c r="DR27" s="1222">
        <f t="shared" si="83"/>
        <v>0</v>
      </c>
      <c r="DS27" s="1156"/>
      <c r="DT27" s="1217"/>
      <c r="DU27" s="1222">
        <f t="shared" si="84"/>
        <v>0</v>
      </c>
      <c r="DV27" s="1156"/>
      <c r="DW27" s="1217"/>
      <c r="DX27" s="1244">
        <f t="shared" si="85"/>
        <v>0</v>
      </c>
    </row>
    <row r="28" spans="1:128">
      <c r="B28" s="1305" t="s">
        <v>155</v>
      </c>
      <c r="C28" s="1175"/>
      <c r="D28" s="1195"/>
      <c r="E28" s="1199">
        <f t="shared" si="45"/>
        <v>0</v>
      </c>
      <c r="F28" s="1176"/>
      <c r="G28" s="1217"/>
      <c r="H28" s="1199">
        <f t="shared" si="46"/>
        <v>0</v>
      </c>
      <c r="I28" s="1176">
        <v>2</v>
      </c>
      <c r="J28" s="1217">
        <v>4.9400000000000004</v>
      </c>
      <c r="K28" s="1222">
        <f t="shared" si="47"/>
        <v>9.8800000000000008</v>
      </c>
      <c r="L28" s="1176"/>
      <c r="M28" s="1217"/>
      <c r="N28" s="1222">
        <f t="shared" si="48"/>
        <v>0</v>
      </c>
      <c r="O28" s="1176"/>
      <c r="P28" s="1217"/>
      <c r="Q28" s="1222">
        <f t="shared" si="49"/>
        <v>0</v>
      </c>
      <c r="R28" s="1176"/>
      <c r="S28" s="1217"/>
      <c r="T28" s="1222">
        <f t="shared" si="50"/>
        <v>0</v>
      </c>
      <c r="U28" s="1176"/>
      <c r="V28" s="1217"/>
      <c r="W28" s="1222">
        <f t="shared" si="51"/>
        <v>0</v>
      </c>
      <c r="X28" s="1176"/>
      <c r="Y28" s="1217"/>
      <c r="Z28" s="1222">
        <f t="shared" si="52"/>
        <v>0</v>
      </c>
      <c r="AA28" s="1176"/>
      <c r="AB28" s="1195"/>
      <c r="AC28" s="1222">
        <f t="shared" si="53"/>
        <v>0</v>
      </c>
      <c r="AD28" s="1176"/>
      <c r="AE28" s="1195"/>
      <c r="AF28" s="1222">
        <f t="shared" si="54"/>
        <v>0</v>
      </c>
      <c r="AG28" s="1176"/>
      <c r="AH28" s="1195"/>
      <c r="AI28" s="1222">
        <f t="shared" si="55"/>
        <v>0</v>
      </c>
      <c r="AJ28" s="1176"/>
      <c r="AK28" s="1195"/>
      <c r="AL28" s="1222">
        <f t="shared" si="56"/>
        <v>0</v>
      </c>
      <c r="AM28" s="1176"/>
      <c r="AN28" s="1195"/>
      <c r="AO28" s="1222">
        <f t="shared" si="57"/>
        <v>0</v>
      </c>
      <c r="AP28" s="1176"/>
      <c r="AQ28" s="1195"/>
      <c r="AR28" s="1222">
        <f t="shared" si="58"/>
        <v>0</v>
      </c>
      <c r="AS28" s="1176"/>
      <c r="AT28" s="1195"/>
      <c r="AU28" s="1222">
        <f t="shared" si="59"/>
        <v>0</v>
      </c>
      <c r="AV28" s="1176"/>
      <c r="AW28" s="1195"/>
      <c r="AX28" s="1222">
        <f t="shared" si="60"/>
        <v>0</v>
      </c>
      <c r="AY28" s="1176"/>
      <c r="AZ28" s="1195"/>
      <c r="BA28" s="1222">
        <f t="shared" si="86"/>
        <v>0</v>
      </c>
      <c r="BB28" s="1176"/>
      <c r="BC28" s="1195"/>
      <c r="BD28" s="1222">
        <f t="shared" si="61"/>
        <v>0</v>
      </c>
      <c r="BE28" s="1177"/>
      <c r="BF28" s="1195"/>
      <c r="BG28" s="1266">
        <f t="shared" si="62"/>
        <v>0</v>
      </c>
      <c r="BH28" s="1177"/>
      <c r="BI28" s="1195"/>
      <c r="BJ28" s="1222">
        <f t="shared" si="63"/>
        <v>0</v>
      </c>
      <c r="BK28" s="1176"/>
      <c r="BL28" s="1195"/>
      <c r="BM28" s="1222">
        <f t="shared" si="64"/>
        <v>0</v>
      </c>
      <c r="BN28" s="1156"/>
      <c r="BO28" s="1195"/>
      <c r="BP28" s="1222">
        <f t="shared" si="65"/>
        <v>0</v>
      </c>
      <c r="BQ28" s="1156"/>
      <c r="BR28" s="1217"/>
      <c r="BS28" s="1222">
        <f t="shared" si="66"/>
        <v>0</v>
      </c>
      <c r="BT28" s="1156"/>
      <c r="BU28" s="1195"/>
      <c r="BV28" s="1222">
        <f t="shared" si="67"/>
        <v>0</v>
      </c>
      <c r="BW28" s="1156"/>
      <c r="BX28" s="1195"/>
      <c r="BY28" s="1222">
        <f t="shared" si="68"/>
        <v>0</v>
      </c>
      <c r="BZ28" s="1156"/>
      <c r="CA28" s="1195"/>
      <c r="CB28" s="1222">
        <f t="shared" si="69"/>
        <v>0</v>
      </c>
      <c r="CC28" s="1156"/>
      <c r="CD28" s="1195"/>
      <c r="CE28" s="1222">
        <f t="shared" si="70"/>
        <v>0</v>
      </c>
      <c r="CF28" s="1156"/>
      <c r="CG28" s="1195"/>
      <c r="CH28" s="1222">
        <f t="shared" si="71"/>
        <v>0</v>
      </c>
      <c r="CI28" s="1176"/>
      <c r="CJ28" s="1195"/>
      <c r="CK28" s="1222">
        <f t="shared" si="72"/>
        <v>0</v>
      </c>
      <c r="CL28" s="1156"/>
      <c r="CM28" s="1195"/>
      <c r="CN28" s="1222">
        <f t="shared" si="73"/>
        <v>0</v>
      </c>
      <c r="CO28" s="1156"/>
      <c r="CP28" s="1195"/>
      <c r="CQ28" s="1222">
        <f t="shared" si="74"/>
        <v>0</v>
      </c>
      <c r="CR28" s="1156"/>
      <c r="CS28" s="1195"/>
      <c r="CT28" s="1222">
        <f t="shared" si="75"/>
        <v>0</v>
      </c>
      <c r="CU28" s="1156"/>
      <c r="CV28" s="1195"/>
      <c r="CW28" s="1222">
        <f t="shared" si="76"/>
        <v>0</v>
      </c>
      <c r="CX28" s="1176">
        <v>2</v>
      </c>
      <c r="CY28" s="1217">
        <v>4.9400000000000004</v>
      </c>
      <c r="CZ28" s="1222">
        <f t="shared" si="77"/>
        <v>9.8800000000000008</v>
      </c>
      <c r="DA28" s="1156"/>
      <c r="DB28" s="1195"/>
      <c r="DC28" s="1222">
        <f t="shared" si="78"/>
        <v>0</v>
      </c>
      <c r="DD28" s="1154"/>
      <c r="DE28" s="1217"/>
      <c r="DF28" s="1222">
        <f t="shared" si="79"/>
        <v>0</v>
      </c>
      <c r="DG28" s="1156"/>
      <c r="DH28" s="1217"/>
      <c r="DI28" s="1222">
        <f t="shared" si="80"/>
        <v>0</v>
      </c>
      <c r="DJ28" s="1156"/>
      <c r="DK28" s="1217"/>
      <c r="DL28" s="1222">
        <f t="shared" si="81"/>
        <v>0</v>
      </c>
      <c r="DM28" s="1156"/>
      <c r="DN28" s="1217"/>
      <c r="DO28" s="1222">
        <f t="shared" si="82"/>
        <v>0</v>
      </c>
      <c r="DP28" s="1156"/>
      <c r="DQ28" s="1217"/>
      <c r="DR28" s="1222">
        <f t="shared" si="83"/>
        <v>0</v>
      </c>
      <c r="DS28" s="1156"/>
      <c r="DT28" s="1217"/>
      <c r="DU28" s="1222">
        <f t="shared" si="84"/>
        <v>0</v>
      </c>
      <c r="DV28" s="1156"/>
      <c r="DW28" s="1217"/>
      <c r="DX28" s="1244">
        <f t="shared" si="85"/>
        <v>0</v>
      </c>
    </row>
    <row r="29" spans="1:128">
      <c r="B29" s="1305" t="s">
        <v>156</v>
      </c>
      <c r="C29" s="1175">
        <v>1</v>
      </c>
      <c r="D29" s="1195">
        <v>24.25</v>
      </c>
      <c r="E29" s="1199">
        <f t="shared" si="45"/>
        <v>24.25</v>
      </c>
      <c r="F29" s="1176">
        <v>1</v>
      </c>
      <c r="G29" s="1217">
        <v>21.17</v>
      </c>
      <c r="H29" s="1199">
        <f t="shared" si="46"/>
        <v>21.17</v>
      </c>
      <c r="I29" s="1176">
        <v>1</v>
      </c>
      <c r="J29" s="1217">
        <v>24.25</v>
      </c>
      <c r="K29" s="1222">
        <f t="shared" si="47"/>
        <v>24.25</v>
      </c>
      <c r="L29" s="1176">
        <v>1</v>
      </c>
      <c r="M29" s="1217">
        <v>19.14</v>
      </c>
      <c r="N29" s="1222">
        <f t="shared" si="48"/>
        <v>19.14</v>
      </c>
      <c r="O29" s="1176">
        <v>1</v>
      </c>
      <c r="P29" s="1217">
        <v>16.510000000000002</v>
      </c>
      <c r="Q29" s="1222">
        <f t="shared" si="49"/>
        <v>16.510000000000002</v>
      </c>
      <c r="R29" s="1176">
        <v>1</v>
      </c>
      <c r="S29" s="1217">
        <v>19.14</v>
      </c>
      <c r="T29" s="1222">
        <f t="shared" si="50"/>
        <v>19.14</v>
      </c>
      <c r="U29" s="1176">
        <v>1</v>
      </c>
      <c r="V29" s="1217">
        <v>19.14</v>
      </c>
      <c r="W29" s="1222">
        <f t="shared" si="51"/>
        <v>19.14</v>
      </c>
      <c r="X29" s="1176">
        <v>1</v>
      </c>
      <c r="Y29" s="1217">
        <v>19.14</v>
      </c>
      <c r="Z29" s="1222">
        <f t="shared" si="52"/>
        <v>19.14</v>
      </c>
      <c r="AA29" s="1176">
        <v>1</v>
      </c>
      <c r="AB29" s="1195">
        <v>18.25</v>
      </c>
      <c r="AC29" s="1222">
        <f t="shared" si="53"/>
        <v>18.25</v>
      </c>
      <c r="AD29" s="1176">
        <v>1</v>
      </c>
      <c r="AE29" s="1195">
        <v>19.14</v>
      </c>
      <c r="AF29" s="1222">
        <f t="shared" si="54"/>
        <v>19.14</v>
      </c>
      <c r="AG29" s="1176">
        <v>1</v>
      </c>
      <c r="AH29" s="1195">
        <v>18.25</v>
      </c>
      <c r="AI29" s="1222">
        <f t="shared" si="55"/>
        <v>18.25</v>
      </c>
      <c r="AJ29" s="1176">
        <v>1</v>
      </c>
      <c r="AK29" s="1195">
        <v>19.14</v>
      </c>
      <c r="AL29" s="1222">
        <f t="shared" si="56"/>
        <v>19.14</v>
      </c>
      <c r="AM29" s="1176">
        <v>1</v>
      </c>
      <c r="AN29" s="1195">
        <v>18.25</v>
      </c>
      <c r="AO29" s="1222">
        <f t="shared" si="57"/>
        <v>18.25</v>
      </c>
      <c r="AP29" s="1176">
        <v>1</v>
      </c>
      <c r="AQ29" s="1195">
        <v>18.25</v>
      </c>
      <c r="AR29" s="1222">
        <f t="shared" si="58"/>
        <v>18.25</v>
      </c>
      <c r="AS29" s="1176">
        <v>1</v>
      </c>
      <c r="AT29" s="1195">
        <v>18.25</v>
      </c>
      <c r="AU29" s="1222">
        <f t="shared" si="59"/>
        <v>18.25</v>
      </c>
      <c r="AV29" s="1176">
        <v>1</v>
      </c>
      <c r="AW29" s="1195">
        <v>19.14</v>
      </c>
      <c r="AX29" s="1222">
        <f t="shared" si="60"/>
        <v>19.14</v>
      </c>
      <c r="AY29" s="1177">
        <f>1/5</f>
        <v>0.2</v>
      </c>
      <c r="AZ29" s="1195">
        <v>19.14</v>
      </c>
      <c r="BA29" s="1222">
        <f t="shared" si="86"/>
        <v>3.8280000000000003</v>
      </c>
      <c r="BB29" s="1177">
        <f>1/5</f>
        <v>0.2</v>
      </c>
      <c r="BC29" s="1195">
        <v>19.440000000000001</v>
      </c>
      <c r="BD29" s="1222">
        <f t="shared" si="61"/>
        <v>3.8880000000000003</v>
      </c>
      <c r="BE29" s="1177">
        <f>1/5</f>
        <v>0.2</v>
      </c>
      <c r="BF29" s="1195">
        <v>21.8</v>
      </c>
      <c r="BG29" s="1266">
        <f t="shared" si="62"/>
        <v>4.3600000000000003</v>
      </c>
      <c r="BH29" s="1177">
        <f>1/5</f>
        <v>0.2</v>
      </c>
      <c r="BI29" s="1195">
        <v>21.8</v>
      </c>
      <c r="BJ29" s="1222">
        <f t="shared" si="63"/>
        <v>4.3600000000000003</v>
      </c>
      <c r="BK29" s="1176">
        <v>1</v>
      </c>
      <c r="BL29" s="1195">
        <v>24.25</v>
      </c>
      <c r="BM29" s="1222">
        <f t="shared" si="64"/>
        <v>24.25</v>
      </c>
      <c r="BN29" s="1156">
        <v>1</v>
      </c>
      <c r="BO29" s="1195">
        <v>21.17</v>
      </c>
      <c r="BP29" s="1222">
        <f t="shared" si="65"/>
        <v>21.17</v>
      </c>
      <c r="BQ29" s="1156"/>
      <c r="BR29" s="1217"/>
      <c r="BS29" s="1222">
        <f t="shared" si="66"/>
        <v>0</v>
      </c>
      <c r="BT29" s="1156">
        <v>1</v>
      </c>
      <c r="BU29" s="1195">
        <v>18.25</v>
      </c>
      <c r="BV29" s="1222">
        <f t="shared" si="67"/>
        <v>18.25</v>
      </c>
      <c r="BW29" s="1156">
        <v>1</v>
      </c>
      <c r="BX29" s="1195">
        <v>18.25</v>
      </c>
      <c r="BY29" s="1222">
        <f t="shared" si="68"/>
        <v>18.25</v>
      </c>
      <c r="BZ29" s="1156">
        <v>1</v>
      </c>
      <c r="CA29" s="1195">
        <v>18.25</v>
      </c>
      <c r="CB29" s="1222">
        <f t="shared" si="69"/>
        <v>18.25</v>
      </c>
      <c r="CC29" s="1156">
        <v>1</v>
      </c>
      <c r="CD29" s="1195">
        <v>18.25</v>
      </c>
      <c r="CE29" s="1222">
        <f t="shared" si="70"/>
        <v>18.25</v>
      </c>
      <c r="CF29" s="1156">
        <v>1</v>
      </c>
      <c r="CG29" s="1195">
        <v>19.14</v>
      </c>
      <c r="CH29" s="1222">
        <f t="shared" si="71"/>
        <v>19.14</v>
      </c>
      <c r="CI29" s="1176">
        <v>1</v>
      </c>
      <c r="CJ29" s="1195">
        <v>19.14</v>
      </c>
      <c r="CK29" s="1222">
        <f t="shared" si="72"/>
        <v>19.14</v>
      </c>
      <c r="CL29" s="1154">
        <v>1</v>
      </c>
      <c r="CM29" s="1195">
        <v>18.25</v>
      </c>
      <c r="CN29" s="1222">
        <f t="shared" si="73"/>
        <v>18.25</v>
      </c>
      <c r="CO29" s="1154">
        <v>1</v>
      </c>
      <c r="CP29" s="1195">
        <v>19.399999999999999</v>
      </c>
      <c r="CQ29" s="1222">
        <f t="shared" si="74"/>
        <v>19.399999999999999</v>
      </c>
      <c r="CR29" s="1154">
        <v>1</v>
      </c>
      <c r="CS29" s="1195">
        <v>18.25</v>
      </c>
      <c r="CT29" s="1222">
        <f t="shared" si="75"/>
        <v>18.25</v>
      </c>
      <c r="CU29" s="1154">
        <v>1</v>
      </c>
      <c r="CV29" s="1195">
        <v>18.25</v>
      </c>
      <c r="CW29" s="1222">
        <f t="shared" si="76"/>
        <v>18.25</v>
      </c>
      <c r="CX29" s="1154">
        <v>1</v>
      </c>
      <c r="CY29" s="1195">
        <v>19.920000000000002</v>
      </c>
      <c r="CZ29" s="1222">
        <f t="shared" si="77"/>
        <v>19.920000000000002</v>
      </c>
      <c r="DA29" s="1154">
        <v>1</v>
      </c>
      <c r="DB29" s="1195">
        <v>19.920000000000002</v>
      </c>
      <c r="DC29" s="1222">
        <f t="shared" si="78"/>
        <v>19.920000000000002</v>
      </c>
      <c r="DD29" s="1154"/>
      <c r="DE29" s="1217"/>
      <c r="DF29" s="1222">
        <f t="shared" si="79"/>
        <v>0</v>
      </c>
      <c r="DG29" s="1156"/>
      <c r="DH29" s="1217"/>
      <c r="DI29" s="1222">
        <f t="shared" si="80"/>
        <v>0</v>
      </c>
      <c r="DJ29" s="1156"/>
      <c r="DK29" s="1217"/>
      <c r="DL29" s="1222">
        <f t="shared" si="81"/>
        <v>0</v>
      </c>
      <c r="DM29" s="1156"/>
      <c r="DN29" s="1217"/>
      <c r="DO29" s="1222">
        <f t="shared" si="82"/>
        <v>0</v>
      </c>
      <c r="DP29" s="1156"/>
      <c r="DQ29" s="1217"/>
      <c r="DR29" s="1222">
        <f t="shared" si="83"/>
        <v>0</v>
      </c>
      <c r="DS29" s="1156"/>
      <c r="DT29" s="1217"/>
      <c r="DU29" s="1222">
        <f t="shared" si="84"/>
        <v>0</v>
      </c>
      <c r="DV29" s="1156"/>
      <c r="DW29" s="1217"/>
      <c r="DX29" s="1244">
        <f t="shared" si="85"/>
        <v>0</v>
      </c>
    </row>
    <row r="30" spans="1:128">
      <c r="B30" s="1305" t="s">
        <v>157</v>
      </c>
      <c r="C30" s="1175">
        <v>2</v>
      </c>
      <c r="D30" s="1195">
        <v>13.95</v>
      </c>
      <c r="E30" s="1199">
        <f t="shared" si="45"/>
        <v>27.9</v>
      </c>
      <c r="F30" s="1176">
        <v>1</v>
      </c>
      <c r="G30" s="1217">
        <v>14.34</v>
      </c>
      <c r="H30" s="1199">
        <f t="shared" si="46"/>
        <v>14.34</v>
      </c>
      <c r="I30" s="1176">
        <v>2</v>
      </c>
      <c r="J30" s="1217">
        <v>13.95</v>
      </c>
      <c r="K30" s="1222">
        <f t="shared" si="47"/>
        <v>27.9</v>
      </c>
      <c r="L30" s="1176"/>
      <c r="M30" s="1217"/>
      <c r="N30" s="1222">
        <f t="shared" si="48"/>
        <v>0</v>
      </c>
      <c r="O30" s="1176"/>
      <c r="P30" s="1217"/>
      <c r="Q30" s="1222">
        <f t="shared" si="49"/>
        <v>0</v>
      </c>
      <c r="R30" s="1176"/>
      <c r="S30" s="1217"/>
      <c r="T30" s="1222">
        <f t="shared" si="50"/>
        <v>0</v>
      </c>
      <c r="U30" s="1176"/>
      <c r="V30" s="1217"/>
      <c r="W30" s="1222">
        <f t="shared" si="51"/>
        <v>0</v>
      </c>
      <c r="X30" s="1176"/>
      <c r="Y30" s="1217"/>
      <c r="Z30" s="1222">
        <f t="shared" si="52"/>
        <v>0</v>
      </c>
      <c r="AA30" s="1176"/>
      <c r="AB30" s="1195"/>
      <c r="AC30" s="1222">
        <f t="shared" si="53"/>
        <v>0</v>
      </c>
      <c r="AD30" s="1176"/>
      <c r="AE30" s="1195"/>
      <c r="AF30" s="1222">
        <f t="shared" si="54"/>
        <v>0</v>
      </c>
      <c r="AG30" s="1176"/>
      <c r="AH30" s="1195"/>
      <c r="AI30" s="1222">
        <f t="shared" si="55"/>
        <v>0</v>
      </c>
      <c r="AJ30" s="1176"/>
      <c r="AK30" s="1195"/>
      <c r="AL30" s="1222">
        <f t="shared" si="56"/>
        <v>0</v>
      </c>
      <c r="AM30" s="1176"/>
      <c r="AN30" s="1195"/>
      <c r="AO30" s="1222">
        <f t="shared" si="57"/>
        <v>0</v>
      </c>
      <c r="AP30" s="1176"/>
      <c r="AQ30" s="1195"/>
      <c r="AR30" s="1222">
        <f t="shared" si="58"/>
        <v>0</v>
      </c>
      <c r="AS30" s="1176"/>
      <c r="AT30" s="1195"/>
      <c r="AU30" s="1222">
        <f t="shared" si="59"/>
        <v>0</v>
      </c>
      <c r="AV30" s="1176"/>
      <c r="AW30" s="1195"/>
      <c r="AX30" s="1222">
        <f t="shared" si="60"/>
        <v>0</v>
      </c>
      <c r="AY30" s="1176"/>
      <c r="AZ30" s="1195"/>
      <c r="BA30" s="1222">
        <f t="shared" si="86"/>
        <v>0</v>
      </c>
      <c r="BB30" s="1176"/>
      <c r="BC30" s="1195"/>
      <c r="BD30" s="1222">
        <f t="shared" si="61"/>
        <v>0</v>
      </c>
      <c r="BE30" s="1177"/>
      <c r="BF30" s="1195"/>
      <c r="BG30" s="1266">
        <f t="shared" si="62"/>
        <v>0</v>
      </c>
      <c r="BH30" s="1177"/>
      <c r="BI30" s="1195"/>
      <c r="BJ30" s="1222">
        <f t="shared" si="63"/>
        <v>0</v>
      </c>
      <c r="BK30" s="1176">
        <v>2</v>
      </c>
      <c r="BL30" s="1195">
        <v>13.95</v>
      </c>
      <c r="BM30" s="1222">
        <f t="shared" si="64"/>
        <v>27.9</v>
      </c>
      <c r="BN30" s="1156">
        <v>1</v>
      </c>
      <c r="BO30" s="1195">
        <v>14.34</v>
      </c>
      <c r="BP30" s="1222">
        <f t="shared" si="65"/>
        <v>14.34</v>
      </c>
      <c r="BQ30" s="1156"/>
      <c r="BR30" s="1217"/>
      <c r="BS30" s="1222">
        <f t="shared" si="66"/>
        <v>0</v>
      </c>
      <c r="BT30" s="1163"/>
      <c r="BU30" s="1195"/>
      <c r="BV30" s="1222">
        <f t="shared" si="67"/>
        <v>0</v>
      </c>
      <c r="BW30" s="1163"/>
      <c r="BX30" s="1195"/>
      <c r="BY30" s="1222">
        <f t="shared" si="68"/>
        <v>0</v>
      </c>
      <c r="BZ30" s="1156"/>
      <c r="CA30" s="1195"/>
      <c r="CB30" s="1222">
        <f t="shared" si="69"/>
        <v>0</v>
      </c>
      <c r="CC30" s="1156"/>
      <c r="CD30" s="1195"/>
      <c r="CE30" s="1222">
        <f t="shared" si="70"/>
        <v>0</v>
      </c>
      <c r="CF30" s="1156"/>
      <c r="CG30" s="1195"/>
      <c r="CH30" s="1222">
        <f t="shared" si="71"/>
        <v>0</v>
      </c>
      <c r="CI30" s="1176"/>
      <c r="CJ30" s="1195"/>
      <c r="CK30" s="1222">
        <f t="shared" si="72"/>
        <v>0</v>
      </c>
      <c r="CL30" s="1154"/>
      <c r="CM30" s="1195"/>
      <c r="CN30" s="1222">
        <f t="shared" si="73"/>
        <v>0</v>
      </c>
      <c r="CO30" s="1154"/>
      <c r="CP30" s="1195"/>
      <c r="CQ30" s="1222">
        <f t="shared" si="74"/>
        <v>0</v>
      </c>
      <c r="CR30" s="1154"/>
      <c r="CS30" s="1195"/>
      <c r="CT30" s="1222">
        <f t="shared" si="75"/>
        <v>0</v>
      </c>
      <c r="CU30" s="1154"/>
      <c r="CV30" s="1195"/>
      <c r="CW30" s="1222">
        <f t="shared" si="76"/>
        <v>0</v>
      </c>
      <c r="CX30" s="1154">
        <v>2</v>
      </c>
      <c r="CY30" s="1195">
        <v>14.17</v>
      </c>
      <c r="CZ30" s="1222">
        <f t="shared" si="77"/>
        <v>28.34</v>
      </c>
      <c r="DA30" s="1154">
        <v>2</v>
      </c>
      <c r="DB30" s="1195">
        <v>14.17</v>
      </c>
      <c r="DC30" s="1222">
        <f t="shared" si="78"/>
        <v>28.34</v>
      </c>
      <c r="DD30" s="1154"/>
      <c r="DE30" s="1217"/>
      <c r="DF30" s="1222">
        <f t="shared" si="79"/>
        <v>0</v>
      </c>
      <c r="DG30" s="1163"/>
      <c r="DH30" s="1217"/>
      <c r="DI30" s="1222">
        <f t="shared" si="80"/>
        <v>0</v>
      </c>
      <c r="DJ30" s="1163"/>
      <c r="DK30" s="1217"/>
      <c r="DL30" s="1222">
        <f t="shared" si="81"/>
        <v>0</v>
      </c>
      <c r="DM30" s="1156"/>
      <c r="DN30" s="1217"/>
      <c r="DO30" s="1222">
        <f t="shared" si="82"/>
        <v>0</v>
      </c>
      <c r="DP30" s="1156"/>
      <c r="DQ30" s="1217"/>
      <c r="DR30" s="1222">
        <f t="shared" si="83"/>
        <v>0</v>
      </c>
      <c r="DS30" s="1156"/>
      <c r="DT30" s="1217"/>
      <c r="DU30" s="1222">
        <f t="shared" si="84"/>
        <v>0</v>
      </c>
      <c r="DV30" s="1156"/>
      <c r="DW30" s="1217"/>
      <c r="DX30" s="1244">
        <f t="shared" si="85"/>
        <v>0</v>
      </c>
    </row>
    <row r="31" spans="1:128">
      <c r="B31" s="1305" t="s">
        <v>835</v>
      </c>
      <c r="C31" s="1175"/>
      <c r="D31" s="1195"/>
      <c r="E31" s="1199">
        <f t="shared" si="45"/>
        <v>0</v>
      </c>
      <c r="F31" s="1176"/>
      <c r="G31" s="1217"/>
      <c r="H31" s="1199">
        <f t="shared" si="46"/>
        <v>0</v>
      </c>
      <c r="I31" s="1176"/>
      <c r="J31" s="1217"/>
      <c r="K31" s="1222">
        <f t="shared" si="47"/>
        <v>0</v>
      </c>
      <c r="L31" s="1176">
        <v>1</v>
      </c>
      <c r="M31" s="1217">
        <v>5.98</v>
      </c>
      <c r="N31" s="1222">
        <f t="shared" si="48"/>
        <v>5.98</v>
      </c>
      <c r="O31" s="1176"/>
      <c r="P31" s="1217"/>
      <c r="Q31" s="1222">
        <f t="shared" si="49"/>
        <v>0</v>
      </c>
      <c r="R31" s="1176"/>
      <c r="S31" s="1217"/>
      <c r="T31" s="1222">
        <f t="shared" si="50"/>
        <v>0</v>
      </c>
      <c r="U31" s="1176"/>
      <c r="V31" s="1217"/>
      <c r="W31" s="1222">
        <f t="shared" si="51"/>
        <v>0</v>
      </c>
      <c r="X31" s="1176"/>
      <c r="Y31" s="1217"/>
      <c r="Z31" s="1222">
        <f t="shared" si="52"/>
        <v>0</v>
      </c>
      <c r="AA31" s="1176"/>
      <c r="AB31" s="1195"/>
      <c r="AC31" s="1222">
        <f t="shared" si="53"/>
        <v>0</v>
      </c>
      <c r="AD31" s="1176"/>
      <c r="AE31" s="1195"/>
      <c r="AF31" s="1222">
        <f t="shared" si="54"/>
        <v>0</v>
      </c>
      <c r="AG31" s="1176"/>
      <c r="AH31" s="1195"/>
      <c r="AI31" s="1222">
        <f t="shared" si="55"/>
        <v>0</v>
      </c>
      <c r="AJ31" s="1176"/>
      <c r="AK31" s="1195"/>
      <c r="AL31" s="1222">
        <f t="shared" si="56"/>
        <v>0</v>
      </c>
      <c r="AM31" s="1176"/>
      <c r="AN31" s="1195"/>
      <c r="AO31" s="1222">
        <f t="shared" si="57"/>
        <v>0</v>
      </c>
      <c r="AP31" s="1176"/>
      <c r="AQ31" s="1195"/>
      <c r="AR31" s="1222">
        <f t="shared" si="58"/>
        <v>0</v>
      </c>
      <c r="AS31" s="1176"/>
      <c r="AT31" s="1195"/>
      <c r="AU31" s="1222">
        <f t="shared" si="59"/>
        <v>0</v>
      </c>
      <c r="AV31" s="1176"/>
      <c r="AW31" s="1195"/>
      <c r="AX31" s="1222">
        <f t="shared" si="60"/>
        <v>0</v>
      </c>
      <c r="AY31" s="1176"/>
      <c r="AZ31" s="1195"/>
      <c r="BA31" s="1222">
        <f t="shared" si="86"/>
        <v>0</v>
      </c>
      <c r="BB31" s="1176"/>
      <c r="BC31" s="1195"/>
      <c r="BD31" s="1222">
        <f t="shared" si="61"/>
        <v>0</v>
      </c>
      <c r="BE31" s="1177"/>
      <c r="BF31" s="1195"/>
      <c r="BG31" s="1266"/>
      <c r="BH31" s="1177"/>
      <c r="BI31" s="1195"/>
      <c r="BJ31" s="1222">
        <f t="shared" si="63"/>
        <v>0</v>
      </c>
      <c r="BK31" s="1176"/>
      <c r="BL31" s="1195"/>
      <c r="BM31" s="1222">
        <f t="shared" si="64"/>
        <v>0</v>
      </c>
      <c r="BN31" s="1156"/>
      <c r="BO31" s="1195"/>
      <c r="BP31" s="1222">
        <f t="shared" si="65"/>
        <v>0</v>
      </c>
      <c r="BQ31" s="1156"/>
      <c r="BR31" s="1217"/>
      <c r="BS31" s="1222">
        <f t="shared" si="66"/>
        <v>0</v>
      </c>
      <c r="BT31" s="1163"/>
      <c r="BU31" s="1195"/>
      <c r="BV31" s="1222">
        <f t="shared" si="67"/>
        <v>0</v>
      </c>
      <c r="BW31" s="1163"/>
      <c r="BX31" s="1195"/>
      <c r="BY31" s="1222">
        <f t="shared" si="68"/>
        <v>0</v>
      </c>
      <c r="BZ31" s="1156">
        <v>1</v>
      </c>
      <c r="CA31" s="1195">
        <v>5.98</v>
      </c>
      <c r="CB31" s="1222">
        <f t="shared" si="69"/>
        <v>5.98</v>
      </c>
      <c r="CC31" s="1156">
        <v>1</v>
      </c>
      <c r="CD31" s="1195">
        <v>5.98</v>
      </c>
      <c r="CE31" s="1222">
        <f t="shared" si="70"/>
        <v>5.98</v>
      </c>
      <c r="CF31" s="1156"/>
      <c r="CG31" s="1195"/>
      <c r="CH31" s="1222">
        <f t="shared" si="71"/>
        <v>0</v>
      </c>
      <c r="CI31" s="1176"/>
      <c r="CJ31" s="1195"/>
      <c r="CK31" s="1222">
        <f t="shared" si="72"/>
        <v>0</v>
      </c>
      <c r="CL31" s="1154"/>
      <c r="CM31" s="1195"/>
      <c r="CN31" s="1222">
        <f t="shared" si="73"/>
        <v>0</v>
      </c>
      <c r="CO31" s="1154"/>
      <c r="CP31" s="1195"/>
      <c r="CQ31" s="1222">
        <f t="shared" si="74"/>
        <v>0</v>
      </c>
      <c r="CR31" s="1154"/>
      <c r="CS31" s="1195"/>
      <c r="CT31" s="1222">
        <f t="shared" si="75"/>
        <v>0</v>
      </c>
      <c r="CU31" s="1154"/>
      <c r="CV31" s="1195"/>
      <c r="CW31" s="1222">
        <f t="shared" si="76"/>
        <v>0</v>
      </c>
      <c r="CX31" s="1154"/>
      <c r="CY31" s="1195"/>
      <c r="CZ31" s="1222">
        <f t="shared" si="77"/>
        <v>0</v>
      </c>
      <c r="DA31" s="1154"/>
      <c r="DB31" s="1195"/>
      <c r="DC31" s="1222">
        <f t="shared" si="78"/>
        <v>0</v>
      </c>
      <c r="DD31" s="1154"/>
      <c r="DE31" s="1217"/>
      <c r="DF31" s="1222">
        <f t="shared" si="79"/>
        <v>0</v>
      </c>
      <c r="DG31" s="1163"/>
      <c r="DH31" s="1217"/>
      <c r="DI31" s="1222">
        <f t="shared" si="80"/>
        <v>0</v>
      </c>
      <c r="DJ31" s="1163"/>
      <c r="DK31" s="1217"/>
      <c r="DL31" s="1222">
        <f t="shared" si="81"/>
        <v>0</v>
      </c>
      <c r="DM31" s="1156"/>
      <c r="DN31" s="1217"/>
      <c r="DO31" s="1222">
        <f t="shared" si="82"/>
        <v>0</v>
      </c>
      <c r="DP31" s="1156"/>
      <c r="DQ31" s="1217"/>
      <c r="DR31" s="1222">
        <f t="shared" si="83"/>
        <v>0</v>
      </c>
      <c r="DS31" s="1156"/>
      <c r="DT31" s="1217"/>
      <c r="DU31" s="1222">
        <f t="shared" si="84"/>
        <v>0</v>
      </c>
      <c r="DV31" s="1156"/>
      <c r="DW31" s="1217"/>
      <c r="DX31" s="1244">
        <f t="shared" si="85"/>
        <v>0</v>
      </c>
    </row>
    <row r="32" spans="1:128">
      <c r="B32" s="1305" t="s">
        <v>1255</v>
      </c>
      <c r="C32" s="1175"/>
      <c r="D32" s="1195"/>
      <c r="E32" s="1199">
        <f t="shared" si="45"/>
        <v>0</v>
      </c>
      <c r="F32" s="1176"/>
      <c r="G32" s="1217"/>
      <c r="H32" s="1199">
        <f t="shared" si="46"/>
        <v>0</v>
      </c>
      <c r="I32" s="1176"/>
      <c r="J32" s="1217"/>
      <c r="K32" s="1222">
        <f t="shared" si="47"/>
        <v>0</v>
      </c>
      <c r="L32" s="1176"/>
      <c r="M32" s="1217"/>
      <c r="N32" s="1222">
        <f t="shared" si="48"/>
        <v>0</v>
      </c>
      <c r="O32" s="1176"/>
      <c r="P32" s="1217"/>
      <c r="Q32" s="1222">
        <f t="shared" si="49"/>
        <v>0</v>
      </c>
      <c r="R32" s="1176"/>
      <c r="S32" s="1217"/>
      <c r="T32" s="1222">
        <f t="shared" si="50"/>
        <v>0</v>
      </c>
      <c r="U32" s="1176"/>
      <c r="V32" s="1217"/>
      <c r="W32" s="1222">
        <f t="shared" si="51"/>
        <v>0</v>
      </c>
      <c r="X32" s="1176"/>
      <c r="Y32" s="1217"/>
      <c r="Z32" s="1222">
        <f t="shared" si="52"/>
        <v>0</v>
      </c>
      <c r="AA32" s="1176"/>
      <c r="AB32" s="1195"/>
      <c r="AC32" s="1222">
        <f t="shared" si="53"/>
        <v>0</v>
      </c>
      <c r="AD32" s="1176"/>
      <c r="AE32" s="1195"/>
      <c r="AF32" s="1222">
        <f t="shared" si="54"/>
        <v>0</v>
      </c>
      <c r="AG32" s="1176"/>
      <c r="AH32" s="1195"/>
      <c r="AI32" s="1222">
        <f t="shared" si="55"/>
        <v>0</v>
      </c>
      <c r="AJ32" s="1176"/>
      <c r="AK32" s="1195"/>
      <c r="AL32" s="1222">
        <f t="shared" si="56"/>
        <v>0</v>
      </c>
      <c r="AM32" s="1176"/>
      <c r="AN32" s="1195"/>
      <c r="AO32" s="1222">
        <f t="shared" si="57"/>
        <v>0</v>
      </c>
      <c r="AP32" s="1176"/>
      <c r="AQ32" s="1195"/>
      <c r="AR32" s="1222">
        <f t="shared" si="58"/>
        <v>0</v>
      </c>
      <c r="AS32" s="1176"/>
      <c r="AT32" s="1195"/>
      <c r="AU32" s="1222">
        <f t="shared" si="59"/>
        <v>0</v>
      </c>
      <c r="AV32" s="1176"/>
      <c r="AW32" s="1195"/>
      <c r="AX32" s="1222">
        <f t="shared" si="60"/>
        <v>0</v>
      </c>
      <c r="AY32" s="1176"/>
      <c r="AZ32" s="1195"/>
      <c r="BA32" s="1222">
        <f t="shared" si="86"/>
        <v>0</v>
      </c>
      <c r="BB32" s="1176"/>
      <c r="BC32" s="1195"/>
      <c r="BD32" s="1222">
        <f t="shared" si="61"/>
        <v>0</v>
      </c>
      <c r="BE32" s="1177">
        <f>12/5</f>
        <v>2.4</v>
      </c>
      <c r="BF32" s="1195">
        <f>16.09+2.9+5.28+(0.1*230)+(0.09*230)</f>
        <v>67.97</v>
      </c>
      <c r="BG32" s="1266"/>
      <c r="BH32" s="1177">
        <f>12/5</f>
        <v>2.4</v>
      </c>
      <c r="BI32" s="1195">
        <f>16.09+2.9+5.28+(0.1*230)+(0.09*230)</f>
        <v>67.97</v>
      </c>
      <c r="BJ32" s="1222">
        <f t="shared" si="63"/>
        <v>163.12799999999999</v>
      </c>
      <c r="BK32" s="1176"/>
      <c r="BL32" s="1195"/>
      <c r="BM32" s="1222">
        <f t="shared" si="64"/>
        <v>0</v>
      </c>
      <c r="BN32" s="1156"/>
      <c r="BO32" s="1195"/>
      <c r="BP32" s="1222">
        <f t="shared" si="65"/>
        <v>0</v>
      </c>
      <c r="BQ32" s="1156"/>
      <c r="BR32" s="1217"/>
      <c r="BS32" s="1222">
        <f t="shared" si="66"/>
        <v>0</v>
      </c>
      <c r="BT32" s="1163"/>
      <c r="BU32" s="1195"/>
      <c r="BV32" s="1222">
        <f t="shared" si="67"/>
        <v>0</v>
      </c>
      <c r="BW32" s="1163"/>
      <c r="BX32" s="1195"/>
      <c r="BY32" s="1222">
        <f t="shared" si="68"/>
        <v>0</v>
      </c>
      <c r="BZ32" s="1156"/>
      <c r="CA32" s="1195"/>
      <c r="CB32" s="1222">
        <f t="shared" si="69"/>
        <v>0</v>
      </c>
      <c r="CC32" s="1156"/>
      <c r="CD32" s="1195"/>
      <c r="CE32" s="1222">
        <f t="shared" si="70"/>
        <v>0</v>
      </c>
      <c r="CF32" s="1156">
        <v>1</v>
      </c>
      <c r="CG32" s="1195">
        <v>15.04</v>
      </c>
      <c r="CH32" s="1222">
        <f t="shared" si="71"/>
        <v>15.04</v>
      </c>
      <c r="CI32" s="1176">
        <v>1</v>
      </c>
      <c r="CJ32" s="1195">
        <v>15.04</v>
      </c>
      <c r="CK32" s="1222">
        <f t="shared" si="72"/>
        <v>15.04</v>
      </c>
      <c r="CL32" s="1154">
        <v>1</v>
      </c>
      <c r="CM32" s="1195">
        <v>15.04</v>
      </c>
      <c r="CN32" s="1222">
        <f t="shared" si="73"/>
        <v>15.04</v>
      </c>
      <c r="CO32" s="1154">
        <v>1</v>
      </c>
      <c r="CP32" s="1195">
        <v>15.04</v>
      </c>
      <c r="CQ32" s="1222">
        <f t="shared" si="74"/>
        <v>15.04</v>
      </c>
      <c r="CR32" s="1154"/>
      <c r="CS32" s="1195"/>
      <c r="CT32" s="1222">
        <f t="shared" si="75"/>
        <v>0</v>
      </c>
      <c r="CU32" s="1154"/>
      <c r="CV32" s="1195"/>
      <c r="CW32" s="1222">
        <f t="shared" si="76"/>
        <v>0</v>
      </c>
      <c r="CX32" s="1154">
        <v>1</v>
      </c>
      <c r="CY32" s="1195">
        <f>11.39+9.18</f>
        <v>20.57</v>
      </c>
      <c r="CZ32" s="1222">
        <f t="shared" si="77"/>
        <v>20.57</v>
      </c>
      <c r="DA32" s="1154">
        <v>1</v>
      </c>
      <c r="DB32" s="1195">
        <f>11.39+9.18</f>
        <v>20.57</v>
      </c>
      <c r="DC32" s="1222">
        <f t="shared" si="78"/>
        <v>20.57</v>
      </c>
      <c r="DD32" s="1154"/>
      <c r="DE32" s="1217"/>
      <c r="DF32" s="1222"/>
      <c r="DG32" s="1163"/>
      <c r="DH32" s="1217"/>
      <c r="DI32" s="1222"/>
      <c r="DJ32" s="1163"/>
      <c r="DK32" s="1217"/>
      <c r="DL32" s="1222"/>
      <c r="DM32" s="1156"/>
      <c r="DN32" s="1217"/>
      <c r="DO32" s="1222"/>
      <c r="DP32" s="1156"/>
      <c r="DQ32" s="1217"/>
      <c r="DR32" s="1222"/>
      <c r="DS32" s="1156"/>
      <c r="DT32" s="1217"/>
      <c r="DU32" s="1222"/>
      <c r="DV32" s="1156"/>
      <c r="DW32" s="1217"/>
      <c r="DX32" s="1244"/>
    </row>
    <row r="33" spans="1:128">
      <c r="B33" s="1305" t="s">
        <v>328</v>
      </c>
      <c r="C33" s="1175">
        <v>1</v>
      </c>
      <c r="D33" s="1195">
        <v>117.73</v>
      </c>
      <c r="E33" s="1199">
        <f t="shared" si="45"/>
        <v>117.73</v>
      </c>
      <c r="F33" s="1176">
        <v>1</v>
      </c>
      <c r="G33" s="1217">
        <v>43.5</v>
      </c>
      <c r="H33" s="1199">
        <f t="shared" si="46"/>
        <v>43.5</v>
      </c>
      <c r="I33" s="1176">
        <v>1</v>
      </c>
      <c r="J33" s="1217">
        <v>84.56</v>
      </c>
      <c r="K33" s="1222">
        <f t="shared" si="47"/>
        <v>84.56</v>
      </c>
      <c r="L33" s="1176">
        <v>1</v>
      </c>
      <c r="M33" s="1217">
        <v>44.56</v>
      </c>
      <c r="N33" s="1222">
        <f t="shared" si="48"/>
        <v>44.56</v>
      </c>
      <c r="O33" s="1176">
        <v>1</v>
      </c>
      <c r="P33" s="1217">
        <v>85.22</v>
      </c>
      <c r="Q33" s="1222">
        <f t="shared" si="49"/>
        <v>85.22</v>
      </c>
      <c r="R33" s="1176">
        <v>1</v>
      </c>
      <c r="S33" s="1217">
        <v>36.799999999999997</v>
      </c>
      <c r="T33" s="1222">
        <f t="shared" si="50"/>
        <v>36.799999999999997</v>
      </c>
      <c r="U33" s="1176">
        <v>1</v>
      </c>
      <c r="V33" s="1217">
        <v>36.799999999999997</v>
      </c>
      <c r="W33" s="1222">
        <f t="shared" si="51"/>
        <v>36.799999999999997</v>
      </c>
      <c r="X33" s="1176">
        <v>1</v>
      </c>
      <c r="Y33" s="1217">
        <v>36.799999999999997</v>
      </c>
      <c r="Z33" s="1222">
        <f t="shared" si="52"/>
        <v>36.799999999999997</v>
      </c>
      <c r="AA33" s="1176">
        <v>1</v>
      </c>
      <c r="AB33" s="1195">
        <v>36.64</v>
      </c>
      <c r="AC33" s="1222">
        <f t="shared" si="53"/>
        <v>36.64</v>
      </c>
      <c r="AD33" s="1176">
        <v>1</v>
      </c>
      <c r="AE33" s="1195">
        <v>36.799999999999997</v>
      </c>
      <c r="AF33" s="1222">
        <f t="shared" si="54"/>
        <v>36.799999999999997</v>
      </c>
      <c r="AG33" s="1176">
        <v>1</v>
      </c>
      <c r="AH33" s="1195">
        <v>36.64</v>
      </c>
      <c r="AI33" s="1222">
        <f t="shared" si="55"/>
        <v>36.64</v>
      </c>
      <c r="AJ33" s="1176">
        <v>1</v>
      </c>
      <c r="AK33" s="1195">
        <v>36.799999999999997</v>
      </c>
      <c r="AL33" s="1222">
        <f t="shared" si="56"/>
        <v>36.799999999999997</v>
      </c>
      <c r="AM33" s="1176">
        <v>1</v>
      </c>
      <c r="AN33" s="1195">
        <v>36.840000000000003</v>
      </c>
      <c r="AO33" s="1222">
        <f t="shared" si="57"/>
        <v>36.840000000000003</v>
      </c>
      <c r="AP33" s="1176">
        <v>1</v>
      </c>
      <c r="AQ33" s="1195">
        <v>36.840000000000003</v>
      </c>
      <c r="AR33" s="1222">
        <f t="shared" si="58"/>
        <v>36.840000000000003</v>
      </c>
      <c r="AS33" s="1176">
        <v>1</v>
      </c>
      <c r="AT33" s="1195">
        <v>36.64</v>
      </c>
      <c r="AU33" s="1222">
        <f t="shared" si="59"/>
        <v>36.64</v>
      </c>
      <c r="AV33" s="1176">
        <v>1</v>
      </c>
      <c r="AW33" s="1195">
        <v>36.799999999999997</v>
      </c>
      <c r="AX33" s="1222">
        <f t="shared" si="60"/>
        <v>36.799999999999997</v>
      </c>
      <c r="AY33" s="1176"/>
      <c r="AZ33" s="1195"/>
      <c r="BA33" s="1222">
        <f t="shared" si="86"/>
        <v>0</v>
      </c>
      <c r="BB33" s="1176"/>
      <c r="BC33" s="1195"/>
      <c r="BD33" s="1222">
        <f t="shared" si="61"/>
        <v>0</v>
      </c>
      <c r="BE33" s="1177">
        <f>1/5</f>
        <v>0.2</v>
      </c>
      <c r="BF33" s="1195">
        <v>36.799999999999997</v>
      </c>
      <c r="BG33" s="1266">
        <f t="shared" si="62"/>
        <v>7.3599999999999994</v>
      </c>
      <c r="BH33" s="1177">
        <f>1/5</f>
        <v>0.2</v>
      </c>
      <c r="BI33" s="1195">
        <v>36.799999999999997</v>
      </c>
      <c r="BJ33" s="1222">
        <f t="shared" si="63"/>
        <v>7.3599999999999994</v>
      </c>
      <c r="BK33" s="1156">
        <v>1</v>
      </c>
      <c r="BL33" s="1195">
        <v>142.81</v>
      </c>
      <c r="BM33" s="1222">
        <f t="shared" si="64"/>
        <v>142.81</v>
      </c>
      <c r="BN33" s="1156">
        <v>1</v>
      </c>
      <c r="BO33" s="1195">
        <v>142.81</v>
      </c>
      <c r="BP33" s="1222">
        <f t="shared" si="65"/>
        <v>142.81</v>
      </c>
      <c r="BQ33" s="1156">
        <f>BQ7</f>
        <v>1.7</v>
      </c>
      <c r="BR33" s="1217">
        <f>10/0.18</f>
        <v>55.555555555555557</v>
      </c>
      <c r="BS33" s="1222">
        <f t="shared" si="66"/>
        <v>94.444444444444443</v>
      </c>
      <c r="BT33" s="1156">
        <v>1</v>
      </c>
      <c r="BU33" s="1195">
        <v>36.64</v>
      </c>
      <c r="BV33" s="1222">
        <f t="shared" si="67"/>
        <v>36.64</v>
      </c>
      <c r="BW33" s="1156">
        <v>1</v>
      </c>
      <c r="BX33" s="1195">
        <v>36.64</v>
      </c>
      <c r="BY33" s="1222">
        <f t="shared" si="68"/>
        <v>36.64</v>
      </c>
      <c r="BZ33" s="1156">
        <v>1</v>
      </c>
      <c r="CA33" s="1195">
        <v>36.64</v>
      </c>
      <c r="CB33" s="1222">
        <f t="shared" si="69"/>
        <v>36.64</v>
      </c>
      <c r="CC33" s="1156">
        <v>1</v>
      </c>
      <c r="CD33" s="1195">
        <v>36.64</v>
      </c>
      <c r="CE33" s="1222">
        <f t="shared" si="70"/>
        <v>36.64</v>
      </c>
      <c r="CF33" s="1156">
        <v>1</v>
      </c>
      <c r="CG33" s="1195">
        <v>43.95</v>
      </c>
      <c r="CH33" s="1222">
        <f t="shared" si="71"/>
        <v>43.95</v>
      </c>
      <c r="CI33" s="1176">
        <v>1</v>
      </c>
      <c r="CJ33" s="1195">
        <v>43.95</v>
      </c>
      <c r="CK33" s="1222">
        <f t="shared" si="72"/>
        <v>43.95</v>
      </c>
      <c r="CL33" s="1176">
        <v>1</v>
      </c>
      <c r="CM33" s="1195">
        <v>43.95</v>
      </c>
      <c r="CN33" s="1222">
        <f t="shared" si="73"/>
        <v>43.95</v>
      </c>
      <c r="CO33" s="1176">
        <v>1</v>
      </c>
      <c r="CP33" s="1195">
        <v>43.95</v>
      </c>
      <c r="CQ33" s="1222">
        <f t="shared" si="74"/>
        <v>43.95</v>
      </c>
      <c r="CR33" s="1154">
        <v>1</v>
      </c>
      <c r="CS33" s="1195">
        <v>69.5</v>
      </c>
      <c r="CT33" s="1222">
        <f t="shared" si="75"/>
        <v>69.5</v>
      </c>
      <c r="CU33" s="1154">
        <v>1</v>
      </c>
      <c r="CV33" s="1195">
        <v>69.5</v>
      </c>
      <c r="CW33" s="1222">
        <f t="shared" si="76"/>
        <v>69.5</v>
      </c>
      <c r="CX33" s="1154">
        <v>1</v>
      </c>
      <c r="CY33" s="1195">
        <v>36.96</v>
      </c>
      <c r="CZ33" s="1222">
        <f t="shared" si="77"/>
        <v>36.96</v>
      </c>
      <c r="DA33" s="1154">
        <v>1</v>
      </c>
      <c r="DB33" s="1195">
        <v>36.96</v>
      </c>
      <c r="DC33" s="1222">
        <f t="shared" si="78"/>
        <v>36.96</v>
      </c>
      <c r="DD33" s="1156"/>
      <c r="DE33" s="1217"/>
      <c r="DF33" s="1222">
        <f t="shared" si="79"/>
        <v>0</v>
      </c>
      <c r="DG33" s="1156"/>
      <c r="DH33" s="1217"/>
      <c r="DI33" s="1222">
        <f t="shared" si="80"/>
        <v>0</v>
      </c>
      <c r="DJ33" s="1156"/>
      <c r="DK33" s="1217"/>
      <c r="DL33" s="1222">
        <f t="shared" si="81"/>
        <v>0</v>
      </c>
      <c r="DM33" s="1156"/>
      <c r="DN33" s="1217"/>
      <c r="DO33" s="1222">
        <f t="shared" si="82"/>
        <v>0</v>
      </c>
      <c r="DP33" s="1156"/>
      <c r="DQ33" s="1217"/>
      <c r="DR33" s="1222">
        <f t="shared" si="83"/>
        <v>0</v>
      </c>
      <c r="DS33" s="1156"/>
      <c r="DT33" s="1217"/>
      <c r="DU33" s="1222">
        <f t="shared" si="84"/>
        <v>0</v>
      </c>
      <c r="DV33" s="1156"/>
      <c r="DW33" s="1217"/>
      <c r="DX33" s="1244">
        <f t="shared" si="85"/>
        <v>0</v>
      </c>
    </row>
    <row r="34" spans="1:128">
      <c r="B34" s="1305" t="s">
        <v>1256</v>
      </c>
      <c r="C34" s="1175">
        <v>1</v>
      </c>
      <c r="D34" s="1195">
        <v>13.55</v>
      </c>
      <c r="E34" s="1199">
        <f t="shared" si="45"/>
        <v>13.55</v>
      </c>
      <c r="F34" s="1176">
        <v>1</v>
      </c>
      <c r="G34" s="1217">
        <v>14.09</v>
      </c>
      <c r="H34" s="1199">
        <f t="shared" si="46"/>
        <v>14.09</v>
      </c>
      <c r="I34" s="1176">
        <v>3</v>
      </c>
      <c r="J34" s="1217">
        <v>4.8499999999999996</v>
      </c>
      <c r="K34" s="1222">
        <f t="shared" si="47"/>
        <v>14.549999999999999</v>
      </c>
      <c r="L34" s="1176">
        <v>2.6</v>
      </c>
      <c r="M34" s="1217">
        <v>4.33</v>
      </c>
      <c r="N34" s="1222">
        <f t="shared" si="48"/>
        <v>11.258000000000001</v>
      </c>
      <c r="O34" s="1176">
        <v>1</v>
      </c>
      <c r="P34" s="1217">
        <v>4.7</v>
      </c>
      <c r="Q34" s="1222">
        <f t="shared" si="49"/>
        <v>4.7</v>
      </c>
      <c r="R34" s="1176">
        <v>1</v>
      </c>
      <c r="S34" s="1217">
        <v>5.61</v>
      </c>
      <c r="T34" s="1222">
        <f t="shared" si="50"/>
        <v>5.61</v>
      </c>
      <c r="U34" s="1176">
        <v>1</v>
      </c>
      <c r="V34" s="1217">
        <v>5.61</v>
      </c>
      <c r="W34" s="1222">
        <f t="shared" si="51"/>
        <v>5.61</v>
      </c>
      <c r="X34" s="1176">
        <v>1</v>
      </c>
      <c r="Y34" s="1217">
        <v>5.61</v>
      </c>
      <c r="Z34" s="1222">
        <f t="shared" si="52"/>
        <v>5.61</v>
      </c>
      <c r="AA34" s="1176">
        <v>1</v>
      </c>
      <c r="AB34" s="1195">
        <v>4.12</v>
      </c>
      <c r="AC34" s="1222">
        <f t="shared" si="53"/>
        <v>4.12</v>
      </c>
      <c r="AD34" s="1176">
        <v>1</v>
      </c>
      <c r="AE34" s="1195">
        <v>5.13</v>
      </c>
      <c r="AF34" s="1222">
        <f t="shared" si="54"/>
        <v>5.13</v>
      </c>
      <c r="AG34" s="1176">
        <v>1</v>
      </c>
      <c r="AH34" s="1195">
        <v>3.55</v>
      </c>
      <c r="AI34" s="1222">
        <f t="shared" si="55"/>
        <v>3.55</v>
      </c>
      <c r="AJ34" s="1176">
        <v>1</v>
      </c>
      <c r="AK34" s="1195">
        <v>5.28</v>
      </c>
      <c r="AL34" s="1222">
        <f t="shared" si="56"/>
        <v>5.28</v>
      </c>
      <c r="AM34" s="1176">
        <v>1</v>
      </c>
      <c r="AN34" s="1195">
        <v>6.2</v>
      </c>
      <c r="AO34" s="1222">
        <f t="shared" si="57"/>
        <v>6.2</v>
      </c>
      <c r="AP34" s="1176">
        <v>1</v>
      </c>
      <c r="AQ34" s="1195">
        <v>6.2</v>
      </c>
      <c r="AR34" s="1222">
        <f t="shared" si="58"/>
        <v>6.2</v>
      </c>
      <c r="AS34" s="1176">
        <v>1</v>
      </c>
      <c r="AT34" s="1195">
        <v>5.52</v>
      </c>
      <c r="AU34" s="1222">
        <f t="shared" si="59"/>
        <v>5.52</v>
      </c>
      <c r="AV34" s="1176">
        <v>1</v>
      </c>
      <c r="AW34" s="1195">
        <v>5.13</v>
      </c>
      <c r="AX34" s="1222">
        <f t="shared" si="60"/>
        <v>5.13</v>
      </c>
      <c r="AY34" s="1176"/>
      <c r="AZ34" s="1195"/>
      <c r="BA34" s="1222">
        <f t="shared" si="86"/>
        <v>0</v>
      </c>
      <c r="BB34" s="1176"/>
      <c r="BC34" s="1195"/>
      <c r="BD34" s="1222">
        <f t="shared" si="61"/>
        <v>0</v>
      </c>
      <c r="BE34" s="1177">
        <f>1/5</f>
        <v>0.2</v>
      </c>
      <c r="BF34" s="1195">
        <v>5.13</v>
      </c>
      <c r="BG34" s="1266">
        <f t="shared" si="62"/>
        <v>1.026</v>
      </c>
      <c r="BH34" s="1177">
        <f>1/5</f>
        <v>0.2</v>
      </c>
      <c r="BI34" s="1195">
        <v>5.13</v>
      </c>
      <c r="BJ34" s="1222">
        <f t="shared" si="63"/>
        <v>1.026</v>
      </c>
      <c r="BK34" s="1156">
        <v>1</v>
      </c>
      <c r="BL34" s="1195">
        <v>99.87</v>
      </c>
      <c r="BM34" s="1222">
        <f t="shared" si="64"/>
        <v>99.87</v>
      </c>
      <c r="BN34" s="1156">
        <v>1</v>
      </c>
      <c r="BO34" s="1195">
        <v>99.87</v>
      </c>
      <c r="BP34" s="1222">
        <f t="shared" si="65"/>
        <v>99.87</v>
      </c>
      <c r="BQ34" s="1156"/>
      <c r="BR34" s="1217"/>
      <c r="BS34" s="1222">
        <f t="shared" si="66"/>
        <v>0</v>
      </c>
      <c r="BT34" s="1156">
        <v>1</v>
      </c>
      <c r="BU34" s="1195">
        <v>5.61</v>
      </c>
      <c r="BV34" s="1222">
        <f t="shared" si="67"/>
        <v>5.61</v>
      </c>
      <c r="BW34" s="1156">
        <v>1</v>
      </c>
      <c r="BX34" s="1195">
        <v>5.61</v>
      </c>
      <c r="BY34" s="1222">
        <f t="shared" si="68"/>
        <v>5.61</v>
      </c>
      <c r="BZ34" s="1156">
        <v>1</v>
      </c>
      <c r="CA34" s="1195">
        <v>5.61</v>
      </c>
      <c r="CB34" s="1222">
        <f t="shared" si="69"/>
        <v>5.61</v>
      </c>
      <c r="CC34" s="1156">
        <v>1</v>
      </c>
      <c r="CD34" s="1195">
        <v>5.61</v>
      </c>
      <c r="CE34" s="1222">
        <f t="shared" si="70"/>
        <v>5.61</v>
      </c>
      <c r="CF34" s="1156">
        <v>2</v>
      </c>
      <c r="CG34" s="1195">
        <v>3.37</v>
      </c>
      <c r="CH34" s="1222">
        <f t="shared" si="71"/>
        <v>6.74</v>
      </c>
      <c r="CI34" s="1176">
        <v>1</v>
      </c>
      <c r="CJ34" s="1195">
        <v>3.37</v>
      </c>
      <c r="CK34" s="1222">
        <f t="shared" si="72"/>
        <v>3.37</v>
      </c>
      <c r="CL34" s="1176">
        <v>1</v>
      </c>
      <c r="CM34" s="1195">
        <v>9.42</v>
      </c>
      <c r="CN34" s="1222">
        <f t="shared" si="73"/>
        <v>9.42</v>
      </c>
      <c r="CO34" s="1176">
        <v>1</v>
      </c>
      <c r="CP34" s="1195">
        <v>9.42</v>
      </c>
      <c r="CQ34" s="1222">
        <f t="shared" si="74"/>
        <v>9.42</v>
      </c>
      <c r="CR34" s="1154">
        <v>1</v>
      </c>
      <c r="CS34" s="1195">
        <v>23.92</v>
      </c>
      <c r="CT34" s="1222">
        <f t="shared" si="75"/>
        <v>23.92</v>
      </c>
      <c r="CU34" s="1154">
        <v>1</v>
      </c>
      <c r="CV34" s="1195">
        <v>23.92</v>
      </c>
      <c r="CW34" s="1222">
        <f t="shared" si="76"/>
        <v>23.92</v>
      </c>
      <c r="CX34" s="1154">
        <v>1</v>
      </c>
      <c r="CY34" s="1195">
        <v>3.24</v>
      </c>
      <c r="CZ34" s="1222">
        <f t="shared" si="77"/>
        <v>3.24</v>
      </c>
      <c r="DA34" s="1154">
        <v>1</v>
      </c>
      <c r="DB34" s="1195">
        <v>3.24</v>
      </c>
      <c r="DC34" s="1222">
        <f t="shared" si="78"/>
        <v>3.24</v>
      </c>
      <c r="DD34" s="1156"/>
      <c r="DE34" s="1217"/>
      <c r="DF34" s="1222">
        <f t="shared" si="79"/>
        <v>0</v>
      </c>
      <c r="DG34" s="1156"/>
      <c r="DH34" s="1217"/>
      <c r="DI34" s="1222">
        <f t="shared" si="80"/>
        <v>0</v>
      </c>
      <c r="DJ34" s="1156"/>
      <c r="DK34" s="1217"/>
      <c r="DL34" s="1222">
        <f t="shared" si="81"/>
        <v>0</v>
      </c>
      <c r="DM34" s="1156"/>
      <c r="DN34" s="1217"/>
      <c r="DO34" s="1222">
        <f t="shared" si="82"/>
        <v>0</v>
      </c>
      <c r="DP34" s="1156"/>
      <c r="DQ34" s="1217"/>
      <c r="DR34" s="1222">
        <f t="shared" si="83"/>
        <v>0</v>
      </c>
      <c r="DS34" s="1156"/>
      <c r="DT34" s="1217"/>
      <c r="DU34" s="1222">
        <f t="shared" si="84"/>
        <v>0</v>
      </c>
      <c r="DV34" s="1156"/>
      <c r="DW34" s="1217"/>
      <c r="DX34" s="1244">
        <f t="shared" si="85"/>
        <v>0</v>
      </c>
    </row>
    <row r="35" spans="1:128">
      <c r="B35" s="1305" t="s">
        <v>1257</v>
      </c>
      <c r="C35" s="1175"/>
      <c r="D35" s="1195"/>
      <c r="E35" s="1199">
        <f t="shared" si="45"/>
        <v>0</v>
      </c>
      <c r="F35" s="1176"/>
      <c r="G35" s="1217"/>
      <c r="H35" s="1199">
        <f t="shared" si="46"/>
        <v>0</v>
      </c>
      <c r="I35" s="1176"/>
      <c r="J35" s="1217"/>
      <c r="K35" s="1222">
        <f t="shared" si="47"/>
        <v>0</v>
      </c>
      <c r="L35" s="1176">
        <v>1</v>
      </c>
      <c r="M35" s="1217">
        <v>32.4</v>
      </c>
      <c r="N35" s="1222">
        <f t="shared" si="48"/>
        <v>32.4</v>
      </c>
      <c r="O35" s="1176"/>
      <c r="P35" s="1217"/>
      <c r="Q35" s="1222">
        <f t="shared" si="49"/>
        <v>0</v>
      </c>
      <c r="R35" s="1176"/>
      <c r="S35" s="1217"/>
      <c r="T35" s="1222">
        <f t="shared" si="50"/>
        <v>0</v>
      </c>
      <c r="U35" s="1156"/>
      <c r="V35" s="1195"/>
      <c r="W35" s="1222">
        <f t="shared" si="51"/>
        <v>0</v>
      </c>
      <c r="X35" s="1176"/>
      <c r="Y35" s="1217"/>
      <c r="Z35" s="1222">
        <f t="shared" si="52"/>
        <v>0</v>
      </c>
      <c r="AA35" s="1176"/>
      <c r="AB35" s="1195"/>
      <c r="AC35" s="1222">
        <f t="shared" si="53"/>
        <v>0</v>
      </c>
      <c r="AD35" s="1176"/>
      <c r="AE35" s="1195"/>
      <c r="AF35" s="1222">
        <f t="shared" si="54"/>
        <v>0</v>
      </c>
      <c r="AG35" s="1176"/>
      <c r="AH35" s="1195"/>
      <c r="AI35" s="1222">
        <f t="shared" si="55"/>
        <v>0</v>
      </c>
      <c r="AJ35" s="1176"/>
      <c r="AK35" s="1195"/>
      <c r="AL35" s="1222">
        <f t="shared" si="56"/>
        <v>0</v>
      </c>
      <c r="AM35" s="1176"/>
      <c r="AN35" s="1195"/>
      <c r="AO35" s="1222">
        <f t="shared" si="57"/>
        <v>0</v>
      </c>
      <c r="AP35" s="1176"/>
      <c r="AQ35" s="1195"/>
      <c r="AR35" s="1222">
        <f t="shared" si="58"/>
        <v>0</v>
      </c>
      <c r="AS35" s="1176"/>
      <c r="AT35" s="1195"/>
      <c r="AU35" s="1222">
        <f t="shared" si="59"/>
        <v>0</v>
      </c>
      <c r="AV35" s="1176"/>
      <c r="AW35" s="1195"/>
      <c r="AX35" s="1222">
        <f t="shared" si="60"/>
        <v>0</v>
      </c>
      <c r="AY35" s="1176"/>
      <c r="AZ35" s="1195"/>
      <c r="BA35" s="1222">
        <f t="shared" si="86"/>
        <v>0</v>
      </c>
      <c r="BB35" s="1176"/>
      <c r="BC35" s="1195"/>
      <c r="BD35" s="1222">
        <f t="shared" si="61"/>
        <v>0</v>
      </c>
      <c r="BE35" s="1177"/>
      <c r="BF35" s="1195"/>
      <c r="BG35" s="1266"/>
      <c r="BH35" s="1177"/>
      <c r="BI35" s="1195"/>
      <c r="BJ35" s="1222">
        <f t="shared" si="63"/>
        <v>0</v>
      </c>
      <c r="BK35" s="1156">
        <v>1</v>
      </c>
      <c r="BL35" s="1195">
        <v>50.64</v>
      </c>
      <c r="BM35" s="1222">
        <f t="shared" si="64"/>
        <v>50.64</v>
      </c>
      <c r="BN35" s="1156">
        <v>1</v>
      </c>
      <c r="BO35" s="1195">
        <v>50.64</v>
      </c>
      <c r="BP35" s="1222">
        <f t="shared" si="65"/>
        <v>50.64</v>
      </c>
      <c r="BQ35" s="1156"/>
      <c r="BR35" s="1217"/>
      <c r="BS35" s="1222">
        <f t="shared" si="66"/>
        <v>0</v>
      </c>
      <c r="BT35" s="1156"/>
      <c r="BU35" s="1195"/>
      <c r="BV35" s="1222">
        <f t="shared" si="67"/>
        <v>0</v>
      </c>
      <c r="BW35" s="1156"/>
      <c r="BX35" s="1195"/>
      <c r="BY35" s="1222">
        <f t="shared" si="68"/>
        <v>0</v>
      </c>
      <c r="BZ35" s="1156"/>
      <c r="CA35" s="1195"/>
      <c r="CB35" s="1222">
        <f t="shared" si="69"/>
        <v>0</v>
      </c>
      <c r="CC35" s="1156"/>
      <c r="CD35" s="1195"/>
      <c r="CE35" s="1222">
        <f t="shared" si="70"/>
        <v>0</v>
      </c>
      <c r="CF35" s="1156"/>
      <c r="CG35" s="1195"/>
      <c r="CH35" s="1222">
        <f t="shared" si="71"/>
        <v>0</v>
      </c>
      <c r="CI35" s="1156"/>
      <c r="CJ35" s="1195"/>
      <c r="CK35" s="1222">
        <f t="shared" si="72"/>
        <v>0</v>
      </c>
      <c r="CL35" s="1156"/>
      <c r="CM35" s="1195"/>
      <c r="CN35" s="1222">
        <f t="shared" si="73"/>
        <v>0</v>
      </c>
      <c r="CO35" s="1156"/>
      <c r="CP35" s="1195"/>
      <c r="CQ35" s="1222">
        <f t="shared" si="74"/>
        <v>0</v>
      </c>
      <c r="CR35" s="1156"/>
      <c r="CS35" s="1195"/>
      <c r="CT35" s="1222">
        <f t="shared" si="75"/>
        <v>0</v>
      </c>
      <c r="CU35" s="1156"/>
      <c r="CV35" s="1195"/>
      <c r="CW35" s="1222">
        <f t="shared" si="76"/>
        <v>0</v>
      </c>
      <c r="CX35" s="1156">
        <v>1</v>
      </c>
      <c r="CY35" s="1195">
        <v>37.17</v>
      </c>
      <c r="CZ35" s="1222">
        <f t="shared" si="77"/>
        <v>37.17</v>
      </c>
      <c r="DA35" s="1156">
        <v>1</v>
      </c>
      <c r="DB35" s="1195">
        <v>37.17</v>
      </c>
      <c r="DC35" s="1222">
        <f t="shared" si="78"/>
        <v>37.17</v>
      </c>
      <c r="DD35" s="1156"/>
      <c r="DE35" s="1217"/>
      <c r="DF35" s="1222">
        <f t="shared" si="79"/>
        <v>0</v>
      </c>
      <c r="DG35" s="1156"/>
      <c r="DH35" s="1217"/>
      <c r="DI35" s="1222">
        <f t="shared" si="80"/>
        <v>0</v>
      </c>
      <c r="DJ35" s="1156"/>
      <c r="DK35" s="1217"/>
      <c r="DL35" s="1222">
        <f t="shared" si="81"/>
        <v>0</v>
      </c>
      <c r="DM35" s="1156"/>
      <c r="DN35" s="1217"/>
      <c r="DO35" s="1222">
        <f t="shared" si="82"/>
        <v>0</v>
      </c>
      <c r="DP35" s="1156"/>
      <c r="DQ35" s="1217"/>
      <c r="DR35" s="1222">
        <f t="shared" si="83"/>
        <v>0</v>
      </c>
      <c r="DS35" s="1156"/>
      <c r="DT35" s="1217"/>
      <c r="DU35" s="1222">
        <f t="shared" si="84"/>
        <v>0</v>
      </c>
      <c r="DV35" s="1156"/>
      <c r="DW35" s="1217"/>
      <c r="DX35" s="1244">
        <f t="shared" si="85"/>
        <v>0</v>
      </c>
    </row>
    <row r="36" spans="1:128">
      <c r="B36" s="1305" t="s">
        <v>971</v>
      </c>
      <c r="C36" s="1175"/>
      <c r="D36" s="1195"/>
      <c r="E36" s="1199">
        <f t="shared" si="45"/>
        <v>0</v>
      </c>
      <c r="F36" s="1176"/>
      <c r="G36" s="1217"/>
      <c r="H36" s="1199">
        <f t="shared" si="46"/>
        <v>0</v>
      </c>
      <c r="I36" s="1176"/>
      <c r="J36" s="1217"/>
      <c r="K36" s="1222">
        <f t="shared" si="47"/>
        <v>0</v>
      </c>
      <c r="L36" s="1176"/>
      <c r="M36" s="1217"/>
      <c r="N36" s="1222">
        <f t="shared" si="48"/>
        <v>0</v>
      </c>
      <c r="O36" s="1176"/>
      <c r="P36" s="1217"/>
      <c r="Q36" s="1222">
        <f t="shared" si="49"/>
        <v>0</v>
      </c>
      <c r="R36" s="1176"/>
      <c r="S36" s="1217"/>
      <c r="T36" s="1222">
        <f t="shared" si="50"/>
        <v>0</v>
      </c>
      <c r="U36" s="1156"/>
      <c r="V36" s="1195"/>
      <c r="W36" s="1222">
        <f t="shared" si="51"/>
        <v>0</v>
      </c>
      <c r="X36" s="1176"/>
      <c r="Y36" s="1217"/>
      <c r="Z36" s="1222">
        <f t="shared" si="52"/>
        <v>0</v>
      </c>
      <c r="AA36" s="1176"/>
      <c r="AB36" s="1195"/>
      <c r="AC36" s="1222">
        <f t="shared" si="53"/>
        <v>0</v>
      </c>
      <c r="AD36" s="1176"/>
      <c r="AE36" s="1195"/>
      <c r="AF36" s="1222">
        <f t="shared" si="54"/>
        <v>0</v>
      </c>
      <c r="AG36" s="1176"/>
      <c r="AH36" s="1195"/>
      <c r="AI36" s="1222">
        <f t="shared" si="55"/>
        <v>0</v>
      </c>
      <c r="AJ36" s="1176"/>
      <c r="AK36" s="1195"/>
      <c r="AL36" s="1222">
        <f t="shared" si="56"/>
        <v>0</v>
      </c>
      <c r="AM36" s="1176"/>
      <c r="AN36" s="1195"/>
      <c r="AO36" s="1222">
        <f t="shared" si="57"/>
        <v>0</v>
      </c>
      <c r="AP36" s="1176"/>
      <c r="AQ36" s="1195"/>
      <c r="AR36" s="1222">
        <f t="shared" si="58"/>
        <v>0</v>
      </c>
      <c r="AS36" s="1176"/>
      <c r="AT36" s="1195"/>
      <c r="AU36" s="1222">
        <f t="shared" si="59"/>
        <v>0</v>
      </c>
      <c r="AV36" s="1176"/>
      <c r="AW36" s="1195"/>
      <c r="AX36" s="1222">
        <f t="shared" si="60"/>
        <v>0</v>
      </c>
      <c r="AY36" s="1176">
        <v>1</v>
      </c>
      <c r="AZ36" s="1195">
        <f>16.09+11.25</f>
        <v>27.34</v>
      </c>
      <c r="BA36" s="1222">
        <f t="shared" si="86"/>
        <v>27.34</v>
      </c>
      <c r="BB36" s="1176">
        <v>1</v>
      </c>
      <c r="BC36" s="1195">
        <f>16.09+11.25</f>
        <v>27.34</v>
      </c>
      <c r="BD36" s="1222">
        <f t="shared" si="61"/>
        <v>27.34</v>
      </c>
      <c r="BE36" s="1176"/>
      <c r="BF36" s="1217"/>
      <c r="BG36" s="1266"/>
      <c r="BH36" s="1177"/>
      <c r="BI36" s="1195"/>
      <c r="BJ36" s="1222">
        <f t="shared" si="63"/>
        <v>0</v>
      </c>
      <c r="BK36" s="1176"/>
      <c r="BL36" s="1195"/>
      <c r="BM36" s="1222">
        <f t="shared" si="64"/>
        <v>0</v>
      </c>
      <c r="BN36" s="1156"/>
      <c r="BO36" s="1195"/>
      <c r="BP36" s="1222">
        <f t="shared" si="65"/>
        <v>0</v>
      </c>
      <c r="BQ36" s="1156"/>
      <c r="BR36" s="1217"/>
      <c r="BS36" s="1222">
        <f t="shared" si="66"/>
        <v>0</v>
      </c>
      <c r="BT36" s="1156"/>
      <c r="BU36" s="1195"/>
      <c r="BV36" s="1222">
        <f t="shared" si="67"/>
        <v>0</v>
      </c>
      <c r="BW36" s="1156"/>
      <c r="BX36" s="1195"/>
      <c r="BY36" s="1222">
        <f t="shared" si="68"/>
        <v>0</v>
      </c>
      <c r="BZ36" s="1156"/>
      <c r="CA36" s="1195"/>
      <c r="CB36" s="1222">
        <f t="shared" si="69"/>
        <v>0</v>
      </c>
      <c r="CC36" s="1156"/>
      <c r="CD36" s="1195"/>
      <c r="CE36" s="1222">
        <f t="shared" si="70"/>
        <v>0</v>
      </c>
      <c r="CF36" s="1156"/>
      <c r="CG36" s="1195"/>
      <c r="CH36" s="1222">
        <f t="shared" si="71"/>
        <v>0</v>
      </c>
      <c r="CI36" s="1156"/>
      <c r="CJ36" s="1195"/>
      <c r="CK36" s="1222">
        <f t="shared" si="72"/>
        <v>0</v>
      </c>
      <c r="CL36" s="1156"/>
      <c r="CM36" s="1195"/>
      <c r="CN36" s="1222">
        <f t="shared" si="73"/>
        <v>0</v>
      </c>
      <c r="CO36" s="1156"/>
      <c r="CP36" s="1195"/>
      <c r="CQ36" s="1222">
        <f t="shared" si="74"/>
        <v>0</v>
      </c>
      <c r="CR36" s="1156"/>
      <c r="CS36" s="1195"/>
      <c r="CT36" s="1222">
        <f t="shared" si="75"/>
        <v>0</v>
      </c>
      <c r="CU36" s="1156"/>
      <c r="CV36" s="1195"/>
      <c r="CW36" s="1222">
        <f t="shared" si="76"/>
        <v>0</v>
      </c>
      <c r="CX36" s="1156"/>
      <c r="CY36" s="1195"/>
      <c r="CZ36" s="1222">
        <f t="shared" si="77"/>
        <v>0</v>
      </c>
      <c r="DA36" s="1156"/>
      <c r="DB36" s="1195"/>
      <c r="DC36" s="1222">
        <f t="shared" si="78"/>
        <v>0</v>
      </c>
      <c r="DD36" s="1156"/>
      <c r="DE36" s="1217"/>
      <c r="DF36" s="1222">
        <f t="shared" si="79"/>
        <v>0</v>
      </c>
      <c r="DG36" s="1156"/>
      <c r="DH36" s="1217"/>
      <c r="DI36" s="1222">
        <f t="shared" si="80"/>
        <v>0</v>
      </c>
      <c r="DJ36" s="1156"/>
      <c r="DK36" s="1217"/>
      <c r="DL36" s="1222">
        <f t="shared" si="81"/>
        <v>0</v>
      </c>
      <c r="DM36" s="1156"/>
      <c r="DN36" s="1217"/>
      <c r="DO36" s="1222">
        <f t="shared" si="82"/>
        <v>0</v>
      </c>
      <c r="DP36" s="1156"/>
      <c r="DQ36" s="1217"/>
      <c r="DR36" s="1222">
        <f t="shared" si="83"/>
        <v>0</v>
      </c>
      <c r="DS36" s="1156"/>
      <c r="DT36" s="1217"/>
      <c r="DU36" s="1222">
        <f t="shared" si="84"/>
        <v>0</v>
      </c>
      <c r="DV36" s="1156"/>
      <c r="DW36" s="1217"/>
      <c r="DX36" s="1244">
        <f t="shared" si="85"/>
        <v>0</v>
      </c>
    </row>
    <row r="37" spans="1:128">
      <c r="B37" s="1305" t="s">
        <v>329</v>
      </c>
      <c r="C37" s="1175"/>
      <c r="D37" s="1195"/>
      <c r="E37" s="1199">
        <f t="shared" si="45"/>
        <v>0</v>
      </c>
      <c r="F37" s="1176"/>
      <c r="G37" s="1218"/>
      <c r="H37" s="1199">
        <f t="shared" si="46"/>
        <v>0</v>
      </c>
      <c r="I37" s="1178"/>
      <c r="J37" s="1218"/>
      <c r="K37" s="1222">
        <f t="shared" si="47"/>
        <v>0</v>
      </c>
      <c r="L37" s="1178"/>
      <c r="M37" s="1218"/>
      <c r="N37" s="1222">
        <f t="shared" si="48"/>
        <v>0</v>
      </c>
      <c r="O37" s="1178"/>
      <c r="P37" s="1218"/>
      <c r="Q37" s="1222">
        <f t="shared" si="49"/>
        <v>0</v>
      </c>
      <c r="R37" s="1178"/>
      <c r="S37" s="1218"/>
      <c r="T37" s="1222">
        <f t="shared" si="50"/>
        <v>0</v>
      </c>
      <c r="U37" s="1158"/>
      <c r="V37" s="1196"/>
      <c r="W37" s="1222">
        <f t="shared" si="51"/>
        <v>0</v>
      </c>
      <c r="X37" s="1178"/>
      <c r="Y37" s="1218"/>
      <c r="Z37" s="1222">
        <f t="shared" si="52"/>
        <v>0</v>
      </c>
      <c r="AA37" s="1178"/>
      <c r="AB37" s="1196"/>
      <c r="AC37" s="1222">
        <f t="shared" si="53"/>
        <v>0</v>
      </c>
      <c r="AD37" s="1178"/>
      <c r="AE37" s="1196"/>
      <c r="AF37" s="1222">
        <f t="shared" si="54"/>
        <v>0</v>
      </c>
      <c r="AG37" s="1178"/>
      <c r="AH37" s="1196"/>
      <c r="AI37" s="1222">
        <f t="shared" si="55"/>
        <v>0</v>
      </c>
      <c r="AJ37" s="1178"/>
      <c r="AK37" s="1196"/>
      <c r="AL37" s="1222">
        <f t="shared" si="56"/>
        <v>0</v>
      </c>
      <c r="AM37" s="1178"/>
      <c r="AN37" s="1196"/>
      <c r="AO37" s="1222">
        <f t="shared" si="57"/>
        <v>0</v>
      </c>
      <c r="AP37" s="1178"/>
      <c r="AQ37" s="1196"/>
      <c r="AR37" s="1222">
        <f t="shared" si="58"/>
        <v>0</v>
      </c>
      <c r="AS37" s="1178"/>
      <c r="AT37" s="1196"/>
      <c r="AU37" s="1222">
        <f t="shared" si="59"/>
        <v>0</v>
      </c>
      <c r="AV37" s="1178"/>
      <c r="AW37" s="1196"/>
      <c r="AX37" s="1222">
        <f t="shared" si="60"/>
        <v>0</v>
      </c>
      <c r="AY37" s="1178"/>
      <c r="AZ37" s="1196"/>
      <c r="BA37" s="1222">
        <f t="shared" si="86"/>
        <v>0</v>
      </c>
      <c r="BB37" s="1178"/>
      <c r="BC37" s="1196"/>
      <c r="BD37" s="1222">
        <f t="shared" si="61"/>
        <v>0</v>
      </c>
      <c r="BE37" s="1178"/>
      <c r="BF37" s="1218"/>
      <c r="BG37" s="1266">
        <f t="shared" si="62"/>
        <v>0</v>
      </c>
      <c r="BH37" s="1179"/>
      <c r="BI37" s="1196"/>
      <c r="BJ37" s="1222">
        <f t="shared" si="63"/>
        <v>0</v>
      </c>
      <c r="BK37" s="1176"/>
      <c r="BL37" s="1195"/>
      <c r="BM37" s="1222">
        <f t="shared" si="64"/>
        <v>0</v>
      </c>
      <c r="BN37" s="1158"/>
      <c r="BO37" s="1196"/>
      <c r="BP37" s="1222">
        <f t="shared" si="65"/>
        <v>0</v>
      </c>
      <c r="BQ37" s="1158"/>
      <c r="BR37" s="1218"/>
      <c r="BS37" s="1222">
        <f t="shared" si="66"/>
        <v>0</v>
      </c>
      <c r="BT37" s="1158"/>
      <c r="BU37" s="1196"/>
      <c r="BV37" s="1222">
        <f t="shared" si="67"/>
        <v>0</v>
      </c>
      <c r="BW37" s="1158"/>
      <c r="BX37" s="1196"/>
      <c r="BY37" s="1222">
        <f t="shared" si="68"/>
        <v>0</v>
      </c>
      <c r="BZ37" s="1158"/>
      <c r="CA37" s="1196"/>
      <c r="CB37" s="1222">
        <f t="shared" si="69"/>
        <v>0</v>
      </c>
      <c r="CC37" s="1158"/>
      <c r="CD37" s="1196"/>
      <c r="CE37" s="1222">
        <f t="shared" si="70"/>
        <v>0</v>
      </c>
      <c r="CF37" s="1158"/>
      <c r="CG37" s="1196"/>
      <c r="CH37" s="1222">
        <f t="shared" si="71"/>
        <v>0</v>
      </c>
      <c r="CI37" s="1158"/>
      <c r="CJ37" s="1196"/>
      <c r="CK37" s="1222">
        <f t="shared" si="72"/>
        <v>0</v>
      </c>
      <c r="CL37" s="1158"/>
      <c r="CM37" s="1196"/>
      <c r="CN37" s="1222">
        <f t="shared" si="73"/>
        <v>0</v>
      </c>
      <c r="CO37" s="1158"/>
      <c r="CP37" s="1196"/>
      <c r="CQ37" s="1222">
        <f t="shared" si="74"/>
        <v>0</v>
      </c>
      <c r="CR37" s="1158"/>
      <c r="CS37" s="1196"/>
      <c r="CT37" s="1222">
        <f t="shared" si="75"/>
        <v>0</v>
      </c>
      <c r="CU37" s="1158"/>
      <c r="CV37" s="1196"/>
      <c r="CW37" s="1222">
        <f t="shared" si="76"/>
        <v>0</v>
      </c>
      <c r="CX37" s="1158"/>
      <c r="CY37" s="1196"/>
      <c r="CZ37" s="1222">
        <f t="shared" si="77"/>
        <v>0</v>
      </c>
      <c r="DA37" s="1158"/>
      <c r="DB37" s="1196"/>
      <c r="DC37" s="1222">
        <f t="shared" si="78"/>
        <v>0</v>
      </c>
      <c r="DD37" s="1158"/>
      <c r="DE37" s="1218"/>
      <c r="DF37" s="1222">
        <f t="shared" si="79"/>
        <v>0</v>
      </c>
      <c r="DG37" s="1158"/>
      <c r="DH37" s="1218"/>
      <c r="DI37" s="1222">
        <f t="shared" si="80"/>
        <v>0</v>
      </c>
      <c r="DJ37" s="1158"/>
      <c r="DK37" s="1218"/>
      <c r="DL37" s="1222">
        <f t="shared" si="81"/>
        <v>0</v>
      </c>
      <c r="DM37" s="1158"/>
      <c r="DN37" s="1218"/>
      <c r="DO37" s="1222">
        <f t="shared" si="82"/>
        <v>0</v>
      </c>
      <c r="DP37" s="1158"/>
      <c r="DQ37" s="1218"/>
      <c r="DR37" s="1222">
        <f t="shared" si="83"/>
        <v>0</v>
      </c>
      <c r="DS37" s="1158"/>
      <c r="DT37" s="1218"/>
      <c r="DU37" s="1222">
        <f t="shared" si="84"/>
        <v>0</v>
      </c>
      <c r="DV37" s="1158"/>
      <c r="DW37" s="1218"/>
      <c r="DX37" s="1244">
        <f t="shared" si="85"/>
        <v>0</v>
      </c>
    </row>
    <row r="38" spans="1:128" ht="15" thickBot="1">
      <c r="A38" s="1130"/>
      <c r="B38" s="1308" t="s">
        <v>330</v>
      </c>
      <c r="C38" s="1180"/>
      <c r="D38" s="1197"/>
      <c r="E38" s="1204">
        <f>SUM(E21:E37)</f>
        <v>342.72</v>
      </c>
      <c r="F38" s="1181"/>
      <c r="G38" s="1204"/>
      <c r="H38" s="1204">
        <f>SUM(H21:H37)</f>
        <v>192.68</v>
      </c>
      <c r="I38" s="1181"/>
      <c r="J38" s="1204"/>
      <c r="K38" s="1221">
        <f>SUM(K21:K37)</f>
        <v>256.19</v>
      </c>
      <c r="L38" s="1161"/>
      <c r="M38" s="1204"/>
      <c r="N38" s="1221">
        <f>SUM(N21:N37)</f>
        <v>201.32800000000003</v>
      </c>
      <c r="O38" s="1162"/>
      <c r="P38" s="1204"/>
      <c r="Q38" s="1221">
        <f>SUM(Q21:Q37)</f>
        <v>230.02999999999997</v>
      </c>
      <c r="R38" s="1162"/>
      <c r="S38" s="1204"/>
      <c r="T38" s="1221">
        <f>SUM(T21:T37)</f>
        <v>157.46000000000004</v>
      </c>
      <c r="U38" s="1181"/>
      <c r="V38" s="1230"/>
      <c r="W38" s="1221">
        <f>SUM(W21:W37)</f>
        <v>191.54000000000002</v>
      </c>
      <c r="X38" s="1162"/>
      <c r="Y38" s="1204"/>
      <c r="Z38" s="1221">
        <f>SUM(Z21:Z37)</f>
        <v>157.46000000000004</v>
      </c>
      <c r="AA38" s="1162"/>
      <c r="AB38" s="1230"/>
      <c r="AC38" s="1221">
        <f>SUM(AC21:AC37)</f>
        <v>151.08000000000001</v>
      </c>
      <c r="AD38" s="1162"/>
      <c r="AE38" s="1230"/>
      <c r="AF38" s="1221">
        <f>SUM(AF21:AF37)</f>
        <v>149.06</v>
      </c>
      <c r="AG38" s="1162"/>
      <c r="AH38" s="1230"/>
      <c r="AI38" s="1221">
        <f>SUM(AI21:AI37)</f>
        <v>149.29000000000002</v>
      </c>
      <c r="AJ38" s="1162"/>
      <c r="AK38" s="1230"/>
      <c r="AL38" s="1204">
        <f>SUM(AL21:AL37)</f>
        <v>149.21</v>
      </c>
      <c r="AM38" s="1162"/>
      <c r="AN38" s="1230"/>
      <c r="AO38" s="1204">
        <f>SUM(AO21:AO37)</f>
        <v>210.23999999999998</v>
      </c>
      <c r="AP38" s="1162"/>
      <c r="AQ38" s="1230"/>
      <c r="AR38" s="1204">
        <f>SUM(AR21:AR37)</f>
        <v>191.51999999999998</v>
      </c>
      <c r="AS38" s="1181"/>
      <c r="AT38" s="1230"/>
      <c r="AU38" s="1204">
        <f>SUM(AU21:AU37)</f>
        <v>183.05999999999997</v>
      </c>
      <c r="AV38" s="1162"/>
      <c r="AW38" s="1230"/>
      <c r="AX38" s="1204">
        <f>SUM(AX21:AX37)</f>
        <v>149.06</v>
      </c>
      <c r="AY38" s="1162"/>
      <c r="AZ38" s="1230"/>
      <c r="BA38" s="1204">
        <f>SUM(BA21:BA37)</f>
        <v>112.65600000000001</v>
      </c>
      <c r="BB38" s="1162"/>
      <c r="BC38" s="1230"/>
      <c r="BD38" s="1204">
        <f>SUM(BD21:BD37)</f>
        <v>48.658000000000001</v>
      </c>
      <c r="BE38" s="1162"/>
      <c r="BF38" s="1204"/>
      <c r="BG38" s="1260">
        <f>IF(SUM(BG21:BG37)=0,357,SUM(BG21:BG37))-18</f>
        <v>76.341999999999985</v>
      </c>
      <c r="BH38" s="1162"/>
      <c r="BI38" s="1230"/>
      <c r="BJ38" s="1260">
        <f>IF(SUM(BJ21:BJ37)=0,376,SUM(BJ21:BJ37))-30</f>
        <v>163.41199999999998</v>
      </c>
      <c r="BK38" s="1162"/>
      <c r="BL38" s="1230"/>
      <c r="BM38" s="1204">
        <f>SUM(BM21:BM37)</f>
        <v>517.85</v>
      </c>
      <c r="BN38" s="1162"/>
      <c r="BO38" s="1230"/>
      <c r="BP38" s="1204">
        <f>SUM(BP21:BP37)</f>
        <v>474.76</v>
      </c>
      <c r="BQ38" s="1162"/>
      <c r="BR38" s="1204"/>
      <c r="BS38" s="1204">
        <f>SUM(BS21:BS37)</f>
        <v>94.444444444444443</v>
      </c>
      <c r="BT38" s="1162"/>
      <c r="BU38" s="1230"/>
      <c r="BV38" s="1204">
        <f>SUM(BV21:BV37)</f>
        <v>123.75333333333333</v>
      </c>
      <c r="BW38" s="1162"/>
      <c r="BX38" s="1230"/>
      <c r="BY38" s="1204">
        <f>SUM(BY21:BY37)</f>
        <v>123.75333333333333</v>
      </c>
      <c r="BZ38" s="1162"/>
      <c r="CA38" s="1230"/>
      <c r="CB38" s="1204">
        <f>SUM(CB21:CB37)</f>
        <v>138.13000000000002</v>
      </c>
      <c r="CC38" s="1162"/>
      <c r="CD38" s="1230"/>
      <c r="CE38" s="1204">
        <f>SUM(CE21:CE37)</f>
        <v>138.13000000000002</v>
      </c>
      <c r="CF38" s="1162"/>
      <c r="CG38" s="1230"/>
      <c r="CH38" s="1204">
        <f>SUM(CH21:CH37)</f>
        <v>186.88</v>
      </c>
      <c r="CI38" s="1162"/>
      <c r="CJ38" s="1230"/>
      <c r="CK38" s="1204">
        <f>SUM(CK21:CK37)</f>
        <v>172.05</v>
      </c>
      <c r="CL38" s="1162"/>
      <c r="CM38" s="1230"/>
      <c r="CN38" s="1204">
        <f>SUM(CN21:CN37)</f>
        <v>181.03</v>
      </c>
      <c r="CO38" s="1162"/>
      <c r="CP38" s="1230"/>
      <c r="CQ38" s="1204">
        <f>SUM(CQ21:CQ37)</f>
        <v>172.61999999999998</v>
      </c>
      <c r="CR38" s="1162"/>
      <c r="CS38" s="1230"/>
      <c r="CT38" s="1204">
        <f>SUM(CT21:CT37)</f>
        <v>230.5</v>
      </c>
      <c r="CU38" s="1162"/>
      <c r="CV38" s="1230"/>
      <c r="CW38" s="1204">
        <f>SUM(CW21:CW37)</f>
        <v>181.93</v>
      </c>
      <c r="CX38" s="1162"/>
      <c r="CY38" s="1230"/>
      <c r="CZ38" s="1204">
        <f>SUM(CZ21:CZ37)</f>
        <v>257.56</v>
      </c>
      <c r="DA38" s="1162"/>
      <c r="DB38" s="1230"/>
      <c r="DC38" s="1204">
        <f>SUM(DC21:DC37)</f>
        <v>246.99</v>
      </c>
      <c r="DD38" s="1162"/>
      <c r="DE38" s="1204"/>
      <c r="DF38" s="1204">
        <f>SUM(DF21:DF37)</f>
        <v>0</v>
      </c>
      <c r="DG38" s="1162"/>
      <c r="DH38" s="1204"/>
      <c r="DI38" s="1204">
        <f>SUM(DI21:DI37)</f>
        <v>0</v>
      </c>
      <c r="DJ38" s="1162"/>
      <c r="DK38" s="1204"/>
      <c r="DL38" s="1204">
        <f>SUM(DL21:DL37)</f>
        <v>0</v>
      </c>
      <c r="DM38" s="1162"/>
      <c r="DN38" s="1204"/>
      <c r="DO38" s="1204">
        <f>SUM(DO21:DO37)</f>
        <v>0</v>
      </c>
      <c r="DP38" s="1162"/>
      <c r="DQ38" s="1204"/>
      <c r="DR38" s="1204">
        <f>SUM(DR21:DR37)</f>
        <v>0</v>
      </c>
      <c r="DS38" s="1162"/>
      <c r="DT38" s="1204"/>
      <c r="DU38" s="1204">
        <f>SUM(DU21:DU37)</f>
        <v>0</v>
      </c>
      <c r="DV38" s="1162"/>
      <c r="DW38" s="1204"/>
      <c r="DX38" s="1243">
        <f>SUM(DX21:DX37)</f>
        <v>0</v>
      </c>
    </row>
    <row r="39" spans="1:128" ht="15" thickTop="1">
      <c r="A39" s="1070"/>
      <c r="B39" s="1304" t="s">
        <v>331</v>
      </c>
      <c r="C39" s="1173" t="s">
        <v>143</v>
      </c>
      <c r="D39" s="1202" t="s">
        <v>144</v>
      </c>
      <c r="E39" s="1203" t="s">
        <v>145</v>
      </c>
      <c r="F39" s="1174" t="s">
        <v>143</v>
      </c>
      <c r="G39" s="1216" t="s">
        <v>144</v>
      </c>
      <c r="H39" s="1203" t="s">
        <v>145</v>
      </c>
      <c r="I39" s="1174" t="s">
        <v>143</v>
      </c>
      <c r="J39" s="1216" t="s">
        <v>144</v>
      </c>
      <c r="K39" s="1203" t="s">
        <v>145</v>
      </c>
      <c r="L39" s="1174" t="s">
        <v>143</v>
      </c>
      <c r="M39" s="1216" t="s">
        <v>144</v>
      </c>
      <c r="N39" s="1203" t="s">
        <v>145</v>
      </c>
      <c r="O39" s="1174" t="s">
        <v>143</v>
      </c>
      <c r="P39" s="1216" t="s">
        <v>144</v>
      </c>
      <c r="Q39" s="1227" t="s">
        <v>145</v>
      </c>
      <c r="R39" s="1174" t="s">
        <v>143</v>
      </c>
      <c r="S39" s="1216" t="s">
        <v>144</v>
      </c>
      <c r="T39" s="1216" t="s">
        <v>145</v>
      </c>
      <c r="U39" s="1174" t="s">
        <v>143</v>
      </c>
      <c r="V39" s="1232" t="s">
        <v>144</v>
      </c>
      <c r="W39" s="1233" t="s">
        <v>145</v>
      </c>
      <c r="X39" s="1174" t="s">
        <v>143</v>
      </c>
      <c r="Y39" s="1216" t="s">
        <v>144</v>
      </c>
      <c r="Z39" s="1227" t="s">
        <v>145</v>
      </c>
      <c r="AA39" s="1174" t="s">
        <v>143</v>
      </c>
      <c r="AB39" s="1232" t="s">
        <v>144</v>
      </c>
      <c r="AC39" s="1227" t="s">
        <v>145</v>
      </c>
      <c r="AD39" s="1174" t="s">
        <v>143</v>
      </c>
      <c r="AE39" s="1232" t="s">
        <v>144</v>
      </c>
      <c r="AF39" s="1216" t="s">
        <v>145</v>
      </c>
      <c r="AG39" s="1174" t="s">
        <v>143</v>
      </c>
      <c r="AH39" s="1232" t="s">
        <v>144</v>
      </c>
      <c r="AI39" s="1216" t="s">
        <v>145</v>
      </c>
      <c r="AJ39" s="1174" t="s">
        <v>143</v>
      </c>
      <c r="AK39" s="1232" t="s">
        <v>144</v>
      </c>
      <c r="AL39" s="1216" t="s">
        <v>145</v>
      </c>
      <c r="AM39" s="1174" t="s">
        <v>143</v>
      </c>
      <c r="AN39" s="1232" t="s">
        <v>144</v>
      </c>
      <c r="AO39" s="1216" t="s">
        <v>145</v>
      </c>
      <c r="AP39" s="1174" t="s">
        <v>143</v>
      </c>
      <c r="AQ39" s="1232" t="s">
        <v>144</v>
      </c>
      <c r="AR39" s="1216" t="s">
        <v>145</v>
      </c>
      <c r="AS39" s="1174" t="s">
        <v>143</v>
      </c>
      <c r="AT39" s="1232" t="s">
        <v>144</v>
      </c>
      <c r="AU39" s="1216" t="s">
        <v>145</v>
      </c>
      <c r="AV39" s="1174" t="s">
        <v>143</v>
      </c>
      <c r="AW39" s="1232" t="s">
        <v>144</v>
      </c>
      <c r="AX39" s="1216" t="s">
        <v>145</v>
      </c>
      <c r="AY39" s="1174" t="s">
        <v>143</v>
      </c>
      <c r="AZ39" s="1232" t="s">
        <v>144</v>
      </c>
      <c r="BA39" s="1216" t="s">
        <v>145</v>
      </c>
      <c r="BB39" s="1174" t="s">
        <v>143</v>
      </c>
      <c r="BC39" s="1232" t="s">
        <v>144</v>
      </c>
      <c r="BD39" s="1216" t="s">
        <v>145</v>
      </c>
      <c r="BE39" s="1174" t="s">
        <v>143</v>
      </c>
      <c r="BF39" s="1216" t="s">
        <v>144</v>
      </c>
      <c r="BG39" s="1203" t="s">
        <v>145</v>
      </c>
      <c r="BH39" s="1174" t="s">
        <v>143</v>
      </c>
      <c r="BI39" s="1232" t="s">
        <v>144</v>
      </c>
      <c r="BJ39" s="1203" t="s">
        <v>145</v>
      </c>
      <c r="BK39" s="1174" t="s">
        <v>143</v>
      </c>
      <c r="BL39" s="1232" t="s">
        <v>144</v>
      </c>
      <c r="BM39" s="1203" t="s">
        <v>145</v>
      </c>
      <c r="BN39" s="1174" t="s">
        <v>143</v>
      </c>
      <c r="BO39" s="1232" t="s">
        <v>144</v>
      </c>
      <c r="BP39" s="1203" t="s">
        <v>145</v>
      </c>
      <c r="BQ39" s="1174" t="s">
        <v>143</v>
      </c>
      <c r="BR39" s="1216" t="s">
        <v>144</v>
      </c>
      <c r="BS39" s="1255" t="s">
        <v>145</v>
      </c>
      <c r="BT39" s="1174" t="s">
        <v>143</v>
      </c>
      <c r="BU39" s="1232" t="s">
        <v>144</v>
      </c>
      <c r="BV39" s="1216" t="s">
        <v>145</v>
      </c>
      <c r="BW39" s="1174" t="s">
        <v>143</v>
      </c>
      <c r="BX39" s="1232" t="s">
        <v>144</v>
      </c>
      <c r="BY39" s="1216" t="s">
        <v>145</v>
      </c>
      <c r="BZ39" s="1174" t="s">
        <v>143</v>
      </c>
      <c r="CA39" s="1232" t="s">
        <v>144</v>
      </c>
      <c r="CB39" s="1216" t="s">
        <v>145</v>
      </c>
      <c r="CC39" s="1174" t="s">
        <v>143</v>
      </c>
      <c r="CD39" s="1232" t="s">
        <v>144</v>
      </c>
      <c r="CE39" s="1216" t="s">
        <v>145</v>
      </c>
      <c r="CF39" s="1174" t="s">
        <v>143</v>
      </c>
      <c r="CG39" s="1232" t="s">
        <v>144</v>
      </c>
      <c r="CH39" s="1216" t="s">
        <v>145</v>
      </c>
      <c r="CI39" s="1174" t="s">
        <v>143</v>
      </c>
      <c r="CJ39" s="1232" t="s">
        <v>144</v>
      </c>
      <c r="CK39" s="1216" t="s">
        <v>145</v>
      </c>
      <c r="CL39" s="1174" t="s">
        <v>143</v>
      </c>
      <c r="CM39" s="1232" t="s">
        <v>144</v>
      </c>
      <c r="CN39" s="1216" t="s">
        <v>145</v>
      </c>
      <c r="CO39" s="1174" t="s">
        <v>143</v>
      </c>
      <c r="CP39" s="1232" t="s">
        <v>144</v>
      </c>
      <c r="CQ39" s="1216" t="s">
        <v>145</v>
      </c>
      <c r="CR39" s="1174" t="s">
        <v>143</v>
      </c>
      <c r="CS39" s="1232" t="s">
        <v>144</v>
      </c>
      <c r="CT39" s="1216" t="s">
        <v>145</v>
      </c>
      <c r="CU39" s="1174" t="s">
        <v>143</v>
      </c>
      <c r="CV39" s="1232" t="s">
        <v>144</v>
      </c>
      <c r="CW39" s="1216" t="s">
        <v>145</v>
      </c>
      <c r="CX39" s="1174" t="s">
        <v>143</v>
      </c>
      <c r="CY39" s="1232" t="s">
        <v>144</v>
      </c>
      <c r="CZ39" s="1216" t="s">
        <v>145</v>
      </c>
      <c r="DA39" s="1174" t="s">
        <v>143</v>
      </c>
      <c r="DB39" s="1232" t="s">
        <v>144</v>
      </c>
      <c r="DC39" s="1216" t="s">
        <v>145</v>
      </c>
      <c r="DD39" s="1174" t="s">
        <v>143</v>
      </c>
      <c r="DE39" s="1216" t="s">
        <v>144</v>
      </c>
      <c r="DF39" s="1216" t="s">
        <v>145</v>
      </c>
      <c r="DG39" s="1174" t="s">
        <v>143</v>
      </c>
      <c r="DH39" s="1216" t="s">
        <v>144</v>
      </c>
      <c r="DI39" s="1216" t="s">
        <v>145</v>
      </c>
      <c r="DJ39" s="1174" t="s">
        <v>143</v>
      </c>
      <c r="DK39" s="1216" t="s">
        <v>144</v>
      </c>
      <c r="DL39" s="1216" t="s">
        <v>145</v>
      </c>
      <c r="DM39" s="1174" t="s">
        <v>143</v>
      </c>
      <c r="DN39" s="1216" t="s">
        <v>144</v>
      </c>
      <c r="DO39" s="1216" t="s">
        <v>145</v>
      </c>
      <c r="DP39" s="1174" t="s">
        <v>143</v>
      </c>
      <c r="DQ39" s="1216" t="s">
        <v>144</v>
      </c>
      <c r="DR39" s="1216" t="s">
        <v>145</v>
      </c>
      <c r="DS39" s="1174" t="s">
        <v>143</v>
      </c>
      <c r="DT39" s="1216" t="s">
        <v>144</v>
      </c>
      <c r="DU39" s="1216" t="s">
        <v>145</v>
      </c>
      <c r="DV39" s="1174" t="s">
        <v>143</v>
      </c>
      <c r="DW39" s="1216" t="s">
        <v>144</v>
      </c>
      <c r="DX39" s="1246" t="s">
        <v>145</v>
      </c>
    </row>
    <row r="40" spans="1:128">
      <c r="B40" s="1305" t="s">
        <v>332</v>
      </c>
      <c r="C40" s="1155">
        <f t="shared" ref="C40:C45" si="87">C$5</f>
        <v>8</v>
      </c>
      <c r="D40" s="1195">
        <v>3.37</v>
      </c>
      <c r="E40" s="1199">
        <f>D40*C40</f>
        <v>26.96</v>
      </c>
      <c r="F40" s="1156">
        <f t="shared" ref="F40:F45" si="88">F$5</f>
        <v>9.34</v>
      </c>
      <c r="G40" s="1195">
        <v>5.46</v>
      </c>
      <c r="H40" s="1199">
        <f t="shared" ref="H40:H45" si="89">G40*F40</f>
        <v>50.996400000000001</v>
      </c>
      <c r="I40" s="1156">
        <f t="shared" ref="I40:I45" si="90">I$5</f>
        <v>2.8</v>
      </c>
      <c r="J40" s="1217">
        <v>3.14</v>
      </c>
      <c r="K40" s="1222">
        <f t="shared" ref="K40:K45" si="91">I40*J40</f>
        <v>8.7919999999999998</v>
      </c>
      <c r="L40" s="1156">
        <f t="shared" ref="L40:L45" si="92">L$5</f>
        <v>2.6</v>
      </c>
      <c r="M40" s="1217">
        <v>1.44</v>
      </c>
      <c r="N40" s="1222">
        <f t="shared" ref="N40:N45" si="93">L40*M40</f>
        <v>3.7439999999999998</v>
      </c>
      <c r="O40" s="1156">
        <f t="shared" ref="O40:O45" si="94">O$5</f>
        <v>3.2</v>
      </c>
      <c r="P40" s="1195">
        <v>5.12</v>
      </c>
      <c r="Q40" s="1222">
        <f t="shared" ref="Q40:Q45" si="95">O40*P40</f>
        <v>16.384</v>
      </c>
      <c r="R40" s="1156">
        <f t="shared" ref="R40:R45" si="96">R$5</f>
        <v>3.1</v>
      </c>
      <c r="S40" s="1195">
        <v>3.08</v>
      </c>
      <c r="T40" s="1222">
        <f t="shared" ref="T40:T45" si="97">R40*S40</f>
        <v>9.548</v>
      </c>
      <c r="U40" s="1156">
        <f t="shared" ref="U40:U45" si="98">U$5</f>
        <v>3.2</v>
      </c>
      <c r="V40" s="1195">
        <v>5.12</v>
      </c>
      <c r="W40" s="1222">
        <f t="shared" ref="W40:W45" si="99">U40*V40</f>
        <v>16.384</v>
      </c>
      <c r="X40" s="1156">
        <f t="shared" ref="X40:X45" si="100">X$5</f>
        <v>4.2</v>
      </c>
      <c r="Y40" s="1195">
        <v>3.08</v>
      </c>
      <c r="Z40" s="1222">
        <f t="shared" ref="Z40:Z45" si="101">X40*Y40</f>
        <v>12.936000000000002</v>
      </c>
      <c r="AA40" s="1156">
        <f t="shared" ref="AA40:AA45" si="102">AA$5</f>
        <v>2.7</v>
      </c>
      <c r="AB40" s="1195">
        <v>3.25</v>
      </c>
      <c r="AC40" s="1222">
        <f t="shared" ref="AC40:AC45" si="103">AA40*AB40</f>
        <v>8.7750000000000004</v>
      </c>
      <c r="AD40" s="1156">
        <f t="shared" ref="AD40:AD45" si="104">AD$5</f>
        <v>2.89</v>
      </c>
      <c r="AE40" s="1195">
        <v>3.06</v>
      </c>
      <c r="AF40" s="1222">
        <f t="shared" ref="AF40:AF45" si="105">AD40*AE40</f>
        <v>8.8434000000000008</v>
      </c>
      <c r="AG40" s="1156">
        <f t="shared" ref="AG40:AG45" si="106">AG$5</f>
        <v>2.23</v>
      </c>
      <c r="AH40" s="1195">
        <v>5.9</v>
      </c>
      <c r="AI40" s="1222">
        <f t="shared" ref="AI40:AI45" si="107">AG40*AH40</f>
        <v>13.157</v>
      </c>
      <c r="AJ40" s="1156">
        <f t="shared" ref="AJ40:AJ45" si="108">AJ$5</f>
        <v>2.13</v>
      </c>
      <c r="AK40" s="1195">
        <v>4.88</v>
      </c>
      <c r="AL40" s="1222">
        <f t="shared" ref="AL40:AL45" si="109">AJ40*AK40</f>
        <v>10.394399999999999</v>
      </c>
      <c r="AM40" s="1156">
        <f t="shared" ref="AM40:AM45" si="110">AM$5</f>
        <v>4</v>
      </c>
      <c r="AN40" s="1195">
        <v>4.83</v>
      </c>
      <c r="AO40" s="1222">
        <f t="shared" ref="AO40:AO45" si="111">AM40*AN40</f>
        <v>19.32</v>
      </c>
      <c r="AP40" s="1156">
        <f t="shared" ref="AP40:AP45" si="112">AP$5</f>
        <v>4</v>
      </c>
      <c r="AQ40" s="1195">
        <v>4.83</v>
      </c>
      <c r="AR40" s="1222">
        <f t="shared" ref="AR40:AR45" si="113">AP40*AQ40</f>
        <v>19.32</v>
      </c>
      <c r="AS40" s="1156">
        <f t="shared" ref="AS40:AS45" si="114">AS$5</f>
        <v>3</v>
      </c>
      <c r="AT40" s="1195">
        <v>2.61</v>
      </c>
      <c r="AU40" s="1222">
        <f t="shared" ref="AU40:AU45" si="115">AS40*AT40</f>
        <v>7.83</v>
      </c>
      <c r="AV40" s="1156">
        <f t="shared" ref="AV40:AV45" si="116">AV$5</f>
        <v>3</v>
      </c>
      <c r="AW40" s="1195">
        <v>3.06</v>
      </c>
      <c r="AX40" s="1222">
        <f t="shared" ref="AX40:AX45" si="117">AV40*AW40</f>
        <v>9.18</v>
      </c>
      <c r="AY40" s="1156">
        <f t="shared" ref="AY40:AY45" si="118">AY$6</f>
        <v>3.827</v>
      </c>
      <c r="AZ40" s="1195"/>
      <c r="BA40" s="1222">
        <f t="shared" ref="BA40:BA45" si="119">AY40*AZ40</f>
        <v>0</v>
      </c>
      <c r="BB40" s="1156">
        <f t="shared" ref="BB40:BB45" si="120">BB$6</f>
        <v>3.827</v>
      </c>
      <c r="BC40" s="1195"/>
      <c r="BD40" s="1222">
        <f t="shared" ref="BD40:BD45" si="121">BB40*BC40</f>
        <v>0</v>
      </c>
      <c r="BE40" s="1156">
        <f t="shared" ref="BE40:BE45" si="122">BE$6</f>
        <v>5.21</v>
      </c>
      <c r="BF40" s="1195"/>
      <c r="BG40" s="1266">
        <f t="shared" ref="BG40:BG45" si="123">BF40*BE40</f>
        <v>0</v>
      </c>
      <c r="BH40" s="1156">
        <f t="shared" ref="BH40:BH45" si="124">BH$6</f>
        <v>5.21</v>
      </c>
      <c r="BI40" s="1195"/>
      <c r="BJ40" s="1222">
        <f t="shared" ref="BJ40:BJ45" si="125">BI40*BH40</f>
        <v>0</v>
      </c>
      <c r="BK40" s="1156">
        <f t="shared" ref="BK40:BK45" si="126">BK$6</f>
        <v>12.25</v>
      </c>
      <c r="BL40" s="1195">
        <v>3.58</v>
      </c>
      <c r="BM40" s="1222">
        <f t="shared" ref="BM40:BM45" si="127">BL40*BK40</f>
        <v>43.855000000000004</v>
      </c>
      <c r="BN40" s="1156">
        <f t="shared" ref="BN40:BN45" si="128">BN$6</f>
        <v>12.25</v>
      </c>
      <c r="BO40" s="1195">
        <v>3.58</v>
      </c>
      <c r="BP40" s="1222">
        <f t="shared" ref="BP40:BP45" si="129">BO40*BN40</f>
        <v>43.855000000000004</v>
      </c>
      <c r="BQ40" s="1156">
        <f t="shared" ref="BQ40:BQ45" si="130">BQ$7</f>
        <v>1.7</v>
      </c>
      <c r="BR40" s="1217"/>
      <c r="BS40" s="1222">
        <f t="shared" ref="BS40:BS45" si="131">BR40*BQ40</f>
        <v>0</v>
      </c>
      <c r="BT40" s="1155">
        <f t="shared" ref="BT40:BT45" si="132">BT$5</f>
        <v>2.5</v>
      </c>
      <c r="BU40" s="1195">
        <v>4.82</v>
      </c>
      <c r="BV40" s="1222">
        <f t="shared" ref="BV40:BV45" si="133">BT40*BU40</f>
        <v>12.05</v>
      </c>
      <c r="BW40" s="1156">
        <f t="shared" ref="BW40:BW45" si="134">BW$5</f>
        <v>2.5</v>
      </c>
      <c r="BX40" s="1195">
        <v>4.82</v>
      </c>
      <c r="BY40" s="1222">
        <f t="shared" ref="BY40:BY45" si="135">BW40*BX40</f>
        <v>12.05</v>
      </c>
      <c r="BZ40" s="1156">
        <f t="shared" ref="BZ40:BZ45" si="136">BZ$5</f>
        <v>2.5</v>
      </c>
      <c r="CA40" s="1195">
        <v>4.82</v>
      </c>
      <c r="CB40" s="1222">
        <f t="shared" ref="CB40:CB45" si="137">BZ40*CA40</f>
        <v>12.05</v>
      </c>
      <c r="CC40" s="1156">
        <f t="shared" ref="CC40:CC45" si="138">CC$5</f>
        <v>2.5</v>
      </c>
      <c r="CD40" s="1195">
        <v>4.82</v>
      </c>
      <c r="CE40" s="1222">
        <f t="shared" ref="CE40:CE45" si="139">CC40*CD40</f>
        <v>12.05</v>
      </c>
      <c r="CF40" s="1156">
        <f t="shared" ref="CF40:CF45" si="140">CF$5</f>
        <v>1.5</v>
      </c>
      <c r="CG40" s="1195">
        <v>2.23</v>
      </c>
      <c r="CH40" s="1222">
        <f t="shared" ref="CH40:CH45" si="141">CF40*CG40</f>
        <v>3.3449999999999998</v>
      </c>
      <c r="CI40" s="1156">
        <f t="shared" ref="CI40:CI45" si="142">CI$5</f>
        <v>1.57</v>
      </c>
      <c r="CJ40" s="1195">
        <v>3.12</v>
      </c>
      <c r="CK40" s="1222">
        <f t="shared" ref="CK40:CK45" si="143">CI40*CJ40</f>
        <v>4.8984000000000005</v>
      </c>
      <c r="CL40" s="1156">
        <f t="shared" ref="CL40:CL45" si="144">CL$5</f>
        <v>0.63</v>
      </c>
      <c r="CM40" s="1195">
        <v>3.93</v>
      </c>
      <c r="CN40" s="1222">
        <f t="shared" ref="CN40:CN45" si="145">CL40*CM40</f>
        <v>2.4759000000000002</v>
      </c>
      <c r="CO40" s="1156">
        <f t="shared" ref="CO40:CO45" si="146">CO$5</f>
        <v>0.63</v>
      </c>
      <c r="CP40" s="1195">
        <v>3.93</v>
      </c>
      <c r="CQ40" s="1222">
        <f t="shared" ref="CQ40:CQ45" si="147">CO40*CP40</f>
        <v>2.4759000000000002</v>
      </c>
      <c r="CR40" s="1156">
        <f t="shared" ref="CR40:CR45" si="148">CR$5</f>
        <v>1</v>
      </c>
      <c r="CS40" s="1195">
        <v>4.29</v>
      </c>
      <c r="CT40" s="1222">
        <f t="shared" ref="CT40:CT45" si="149">CR40*CS40</f>
        <v>4.29</v>
      </c>
      <c r="CU40" s="1156">
        <f t="shared" ref="CU40:CU45" si="150">CU$5</f>
        <v>1</v>
      </c>
      <c r="CV40" s="1195">
        <v>4.29</v>
      </c>
      <c r="CW40" s="1222">
        <f t="shared" ref="CW40:CW45" si="151">CU40*CV40</f>
        <v>4.29</v>
      </c>
      <c r="CX40" s="1156">
        <f t="shared" ref="CX40:CX45" si="152">CX$5</f>
        <v>2</v>
      </c>
      <c r="CY40" s="1195"/>
      <c r="CZ40" s="1222">
        <f t="shared" ref="CZ40:CZ45" si="153">CX40*CY40</f>
        <v>0</v>
      </c>
      <c r="DA40" s="1156">
        <f t="shared" ref="DA40:DA45" si="154">DA$5</f>
        <v>2</v>
      </c>
      <c r="DB40" s="1195"/>
      <c r="DC40" s="1222">
        <f t="shared" ref="DC40:DC45" si="155">DA40*DB40</f>
        <v>0</v>
      </c>
      <c r="DD40" s="1156"/>
      <c r="DE40" s="1217"/>
      <c r="DF40" s="1222">
        <f t="shared" ref="DF40:DF45" si="156">DD40*DE40</f>
        <v>0</v>
      </c>
      <c r="DG40" s="1156"/>
      <c r="DH40" s="1217"/>
      <c r="DI40" s="1222">
        <f t="shared" ref="DI40:DI45" si="157">DG40*DH40</f>
        <v>0</v>
      </c>
      <c r="DJ40" s="1156"/>
      <c r="DK40" s="1217"/>
      <c r="DL40" s="1222">
        <f t="shared" ref="DL40:DL45" si="158">DJ40*DK40</f>
        <v>0</v>
      </c>
      <c r="DM40" s="1156"/>
      <c r="DN40" s="1217"/>
      <c r="DO40" s="1222">
        <f t="shared" ref="DO40:DO45" si="159">DM40*DN40</f>
        <v>0</v>
      </c>
      <c r="DP40" s="1156"/>
      <c r="DQ40" s="1217"/>
      <c r="DR40" s="1222">
        <f t="shared" ref="DR40:DR45" si="160">DP40*DQ40</f>
        <v>0</v>
      </c>
      <c r="DS40" s="1156"/>
      <c r="DT40" s="1217"/>
      <c r="DU40" s="1222">
        <f t="shared" ref="DU40:DU45" si="161">DS40*DT40</f>
        <v>0</v>
      </c>
      <c r="DV40" s="1156"/>
      <c r="DW40" s="1217"/>
      <c r="DX40" s="1244">
        <f t="shared" ref="DX40:DX45" si="162">DV40*DW40</f>
        <v>0</v>
      </c>
    </row>
    <row r="41" spans="1:128">
      <c r="B41" s="1305" t="s">
        <v>158</v>
      </c>
      <c r="C41" s="1155">
        <f t="shared" si="87"/>
        <v>8</v>
      </c>
      <c r="D41" s="1195">
        <v>19.309999999999999</v>
      </c>
      <c r="E41" s="1199">
        <f>C41*D41</f>
        <v>154.47999999999999</v>
      </c>
      <c r="F41" s="1156">
        <f t="shared" si="88"/>
        <v>9.34</v>
      </c>
      <c r="G41" s="1195">
        <v>20.41</v>
      </c>
      <c r="H41" s="1199">
        <f t="shared" si="89"/>
        <v>190.6294</v>
      </c>
      <c r="I41" s="1156">
        <f t="shared" si="90"/>
        <v>2.8</v>
      </c>
      <c r="J41" s="1217">
        <v>1.95</v>
      </c>
      <c r="K41" s="1222">
        <f t="shared" si="91"/>
        <v>5.46</v>
      </c>
      <c r="L41" s="1156">
        <f t="shared" si="92"/>
        <v>2.6</v>
      </c>
      <c r="M41" s="1217">
        <v>1.04</v>
      </c>
      <c r="N41" s="1222">
        <f t="shared" si="93"/>
        <v>2.7040000000000002</v>
      </c>
      <c r="O41" s="1156">
        <f t="shared" si="94"/>
        <v>3.2</v>
      </c>
      <c r="P41" s="1195">
        <v>7.95</v>
      </c>
      <c r="Q41" s="1222">
        <f t="shared" si="95"/>
        <v>25.44</v>
      </c>
      <c r="R41" s="1156">
        <f t="shared" si="96"/>
        <v>3.1</v>
      </c>
      <c r="S41" s="1195">
        <v>5.14</v>
      </c>
      <c r="T41" s="1222">
        <f t="shared" si="97"/>
        <v>15.933999999999999</v>
      </c>
      <c r="U41" s="1156">
        <f t="shared" si="98"/>
        <v>3.2</v>
      </c>
      <c r="V41" s="1195"/>
      <c r="W41" s="1222">
        <f t="shared" si="99"/>
        <v>0</v>
      </c>
      <c r="X41" s="1156">
        <f t="shared" si="100"/>
        <v>4.2</v>
      </c>
      <c r="Y41" s="1195"/>
      <c r="Z41" s="1222">
        <f t="shared" si="101"/>
        <v>0</v>
      </c>
      <c r="AA41" s="1156">
        <f t="shared" si="102"/>
        <v>2.7</v>
      </c>
      <c r="AB41" s="1195">
        <v>2.44</v>
      </c>
      <c r="AC41" s="1222">
        <f t="shared" si="103"/>
        <v>6.5880000000000001</v>
      </c>
      <c r="AD41" s="1156">
        <f t="shared" si="104"/>
        <v>2.89</v>
      </c>
      <c r="AE41" s="1195">
        <v>2.2999999999999998</v>
      </c>
      <c r="AF41" s="1222">
        <f t="shared" si="105"/>
        <v>6.6469999999999994</v>
      </c>
      <c r="AG41" s="1156">
        <f t="shared" si="106"/>
        <v>2.23</v>
      </c>
      <c r="AH41" s="1195">
        <v>3.66</v>
      </c>
      <c r="AI41" s="1222">
        <f t="shared" si="107"/>
        <v>8.1617999999999995</v>
      </c>
      <c r="AJ41" s="1156">
        <f t="shared" si="108"/>
        <v>2.13</v>
      </c>
      <c r="AK41" s="1195">
        <v>3.66</v>
      </c>
      <c r="AL41" s="1222">
        <f t="shared" si="109"/>
        <v>7.7957999999999998</v>
      </c>
      <c r="AM41" s="1156">
        <f t="shared" si="110"/>
        <v>4</v>
      </c>
      <c r="AN41" s="1195"/>
      <c r="AO41" s="1222">
        <f t="shared" si="111"/>
        <v>0</v>
      </c>
      <c r="AP41" s="1156">
        <f t="shared" si="112"/>
        <v>4</v>
      </c>
      <c r="AQ41" s="1195"/>
      <c r="AR41" s="1222">
        <f t="shared" si="113"/>
        <v>0</v>
      </c>
      <c r="AS41" s="1156">
        <f t="shared" si="114"/>
        <v>3</v>
      </c>
      <c r="AT41" s="1195">
        <v>1.96</v>
      </c>
      <c r="AU41" s="1222">
        <f t="shared" si="115"/>
        <v>5.88</v>
      </c>
      <c r="AV41" s="1156">
        <f t="shared" si="116"/>
        <v>3</v>
      </c>
      <c r="AW41" s="1195">
        <v>2.2999999999999998</v>
      </c>
      <c r="AX41" s="1222">
        <f t="shared" si="117"/>
        <v>6.8999999999999995</v>
      </c>
      <c r="AY41" s="1156">
        <f t="shared" si="118"/>
        <v>3.827</v>
      </c>
      <c r="AZ41" s="1195"/>
      <c r="BA41" s="1222">
        <f t="shared" si="119"/>
        <v>0</v>
      </c>
      <c r="BB41" s="1156">
        <f t="shared" si="120"/>
        <v>3.827</v>
      </c>
      <c r="BC41" s="1195"/>
      <c r="BD41" s="1222">
        <f t="shared" si="121"/>
        <v>0</v>
      </c>
      <c r="BE41" s="1156">
        <f t="shared" si="122"/>
        <v>5.21</v>
      </c>
      <c r="BF41" s="1195">
        <v>6.76</v>
      </c>
      <c r="BG41" s="1266">
        <f t="shared" si="123"/>
        <v>35.2196</v>
      </c>
      <c r="BH41" s="1156">
        <f t="shared" si="124"/>
        <v>5.21</v>
      </c>
      <c r="BI41" s="1195">
        <v>6.76</v>
      </c>
      <c r="BJ41" s="1222">
        <f t="shared" si="125"/>
        <v>35.2196</v>
      </c>
      <c r="BK41" s="1156">
        <f t="shared" si="126"/>
        <v>12.25</v>
      </c>
      <c r="BL41" s="1195"/>
      <c r="BM41" s="1222">
        <f t="shared" si="127"/>
        <v>0</v>
      </c>
      <c r="BN41" s="1156">
        <f t="shared" si="128"/>
        <v>12.25</v>
      </c>
      <c r="BO41" s="1195"/>
      <c r="BP41" s="1222">
        <f t="shared" si="129"/>
        <v>0</v>
      </c>
      <c r="BQ41" s="1156">
        <f t="shared" si="130"/>
        <v>1.7</v>
      </c>
      <c r="BR41" s="1217"/>
      <c r="BS41" s="1222">
        <f t="shared" si="131"/>
        <v>0</v>
      </c>
      <c r="BT41" s="1155">
        <f t="shared" si="132"/>
        <v>2.5</v>
      </c>
      <c r="BU41" s="1195">
        <v>5</v>
      </c>
      <c r="BV41" s="1222">
        <f t="shared" si="133"/>
        <v>12.5</v>
      </c>
      <c r="BW41" s="1156">
        <f t="shared" si="134"/>
        <v>2.5</v>
      </c>
      <c r="BX41" s="1195">
        <v>5</v>
      </c>
      <c r="BY41" s="1222">
        <f t="shared" si="135"/>
        <v>12.5</v>
      </c>
      <c r="BZ41" s="1156">
        <f t="shared" si="136"/>
        <v>2.5</v>
      </c>
      <c r="CA41" s="1195">
        <v>3</v>
      </c>
      <c r="CB41" s="1222">
        <f t="shared" si="137"/>
        <v>7.5</v>
      </c>
      <c r="CC41" s="1156">
        <f t="shared" si="138"/>
        <v>2.5</v>
      </c>
      <c r="CD41" s="1195">
        <v>3</v>
      </c>
      <c r="CE41" s="1222">
        <f t="shared" si="139"/>
        <v>7.5</v>
      </c>
      <c r="CF41" s="1156">
        <f t="shared" si="140"/>
        <v>1.5</v>
      </c>
      <c r="CG41" s="1195"/>
      <c r="CH41" s="1222">
        <f t="shared" si="141"/>
        <v>0</v>
      </c>
      <c r="CI41" s="1156">
        <f t="shared" si="142"/>
        <v>1.57</v>
      </c>
      <c r="CJ41" s="1195">
        <v>2.36</v>
      </c>
      <c r="CK41" s="1222">
        <f t="shared" si="143"/>
        <v>3.7052</v>
      </c>
      <c r="CL41" s="1156">
        <f t="shared" si="144"/>
        <v>0.63</v>
      </c>
      <c r="CM41" s="1195">
        <f>2.44+25.74</f>
        <v>28.18</v>
      </c>
      <c r="CN41" s="1222">
        <f t="shared" si="145"/>
        <v>17.753399999999999</v>
      </c>
      <c r="CO41" s="1156">
        <f t="shared" si="146"/>
        <v>0.63</v>
      </c>
      <c r="CP41" s="1195">
        <f>2.44+25.74</f>
        <v>28.18</v>
      </c>
      <c r="CQ41" s="1222">
        <f t="shared" si="147"/>
        <v>17.753399999999999</v>
      </c>
      <c r="CR41" s="1156">
        <f t="shared" si="148"/>
        <v>1</v>
      </c>
      <c r="CS41" s="1195">
        <v>21.53</v>
      </c>
      <c r="CT41" s="1222">
        <f t="shared" si="149"/>
        <v>21.53</v>
      </c>
      <c r="CU41" s="1156">
        <f t="shared" si="150"/>
        <v>1</v>
      </c>
      <c r="CV41" s="1195">
        <v>21.53</v>
      </c>
      <c r="CW41" s="1222">
        <f t="shared" si="151"/>
        <v>21.53</v>
      </c>
      <c r="CX41" s="1156">
        <f t="shared" si="152"/>
        <v>2</v>
      </c>
      <c r="CY41" s="1195">
        <v>19.53</v>
      </c>
      <c r="CZ41" s="1222">
        <f t="shared" si="153"/>
        <v>39.06</v>
      </c>
      <c r="DA41" s="1156">
        <f t="shared" si="154"/>
        <v>2</v>
      </c>
      <c r="DB41" s="1195">
        <v>19.53</v>
      </c>
      <c r="DC41" s="1222">
        <f t="shared" si="155"/>
        <v>39.06</v>
      </c>
      <c r="DD41" s="1156"/>
      <c r="DE41" s="1217"/>
      <c r="DF41" s="1222">
        <f t="shared" si="156"/>
        <v>0</v>
      </c>
      <c r="DG41" s="1156"/>
      <c r="DH41" s="1217"/>
      <c r="DI41" s="1222">
        <f t="shared" si="157"/>
        <v>0</v>
      </c>
      <c r="DJ41" s="1156"/>
      <c r="DK41" s="1217"/>
      <c r="DL41" s="1222">
        <f t="shared" si="158"/>
        <v>0</v>
      </c>
      <c r="DM41" s="1156"/>
      <c r="DN41" s="1217"/>
      <c r="DO41" s="1222">
        <f t="shared" si="159"/>
        <v>0</v>
      </c>
      <c r="DP41" s="1156"/>
      <c r="DQ41" s="1217"/>
      <c r="DR41" s="1222">
        <f t="shared" si="160"/>
        <v>0</v>
      </c>
      <c r="DS41" s="1156"/>
      <c r="DT41" s="1217"/>
      <c r="DU41" s="1222">
        <f t="shared" si="161"/>
        <v>0</v>
      </c>
      <c r="DV41" s="1156"/>
      <c r="DW41" s="1217"/>
      <c r="DX41" s="1244">
        <f t="shared" si="162"/>
        <v>0</v>
      </c>
    </row>
    <row r="42" spans="1:128">
      <c r="B42" s="1305" t="s">
        <v>159</v>
      </c>
      <c r="C42" s="1155">
        <f t="shared" si="87"/>
        <v>8</v>
      </c>
      <c r="D42" s="1195"/>
      <c r="E42" s="1199">
        <f>C42*D42</f>
        <v>0</v>
      </c>
      <c r="F42" s="1156">
        <f t="shared" si="88"/>
        <v>9.34</v>
      </c>
      <c r="G42" s="1195"/>
      <c r="H42" s="1199">
        <f t="shared" si="89"/>
        <v>0</v>
      </c>
      <c r="I42" s="1156">
        <f t="shared" si="90"/>
        <v>2.8</v>
      </c>
      <c r="J42" s="1217">
        <v>3.23</v>
      </c>
      <c r="K42" s="1222">
        <f t="shared" si="91"/>
        <v>9.0439999999999987</v>
      </c>
      <c r="L42" s="1156">
        <f t="shared" si="92"/>
        <v>2.6</v>
      </c>
      <c r="M42" s="1217"/>
      <c r="N42" s="1222">
        <f t="shared" si="93"/>
        <v>0</v>
      </c>
      <c r="O42" s="1156">
        <f t="shared" si="94"/>
        <v>3.2</v>
      </c>
      <c r="P42" s="1195">
        <v>3.23</v>
      </c>
      <c r="Q42" s="1222">
        <f t="shared" si="95"/>
        <v>10.336</v>
      </c>
      <c r="R42" s="1156">
        <f t="shared" si="96"/>
        <v>3.1</v>
      </c>
      <c r="S42" s="1195">
        <v>4</v>
      </c>
      <c r="T42" s="1222">
        <f t="shared" si="97"/>
        <v>12.4</v>
      </c>
      <c r="U42" s="1156">
        <f t="shared" si="98"/>
        <v>3.2</v>
      </c>
      <c r="V42" s="1195">
        <v>3.23</v>
      </c>
      <c r="W42" s="1222">
        <f t="shared" si="99"/>
        <v>10.336</v>
      </c>
      <c r="X42" s="1156">
        <f t="shared" si="100"/>
        <v>4.2</v>
      </c>
      <c r="Y42" s="1195">
        <v>4</v>
      </c>
      <c r="Z42" s="1222">
        <f t="shared" si="101"/>
        <v>16.8</v>
      </c>
      <c r="AA42" s="1156">
        <f t="shared" si="102"/>
        <v>2.7</v>
      </c>
      <c r="AB42" s="1195"/>
      <c r="AC42" s="1222">
        <f t="shared" si="103"/>
        <v>0</v>
      </c>
      <c r="AD42" s="1156">
        <f t="shared" si="104"/>
        <v>2.89</v>
      </c>
      <c r="AE42" s="1195"/>
      <c r="AF42" s="1222">
        <f t="shared" si="105"/>
        <v>0</v>
      </c>
      <c r="AG42" s="1156">
        <f t="shared" si="106"/>
        <v>2.23</v>
      </c>
      <c r="AH42" s="1195"/>
      <c r="AI42" s="1222">
        <f t="shared" si="107"/>
        <v>0</v>
      </c>
      <c r="AJ42" s="1156">
        <f t="shared" si="108"/>
        <v>2.13</v>
      </c>
      <c r="AK42" s="1195"/>
      <c r="AL42" s="1222">
        <f t="shared" si="109"/>
        <v>0</v>
      </c>
      <c r="AM42" s="1156">
        <f t="shared" si="110"/>
        <v>4</v>
      </c>
      <c r="AN42" s="1195"/>
      <c r="AO42" s="1222">
        <f t="shared" si="111"/>
        <v>0</v>
      </c>
      <c r="AP42" s="1156">
        <f t="shared" si="112"/>
        <v>4</v>
      </c>
      <c r="AQ42" s="1195"/>
      <c r="AR42" s="1222">
        <f t="shared" si="113"/>
        <v>0</v>
      </c>
      <c r="AS42" s="1156">
        <f t="shared" si="114"/>
        <v>3</v>
      </c>
      <c r="AT42" s="1195"/>
      <c r="AU42" s="1222">
        <f t="shared" si="115"/>
        <v>0</v>
      </c>
      <c r="AV42" s="1156">
        <f t="shared" si="116"/>
        <v>3</v>
      </c>
      <c r="AW42" s="1195"/>
      <c r="AX42" s="1222">
        <f t="shared" si="117"/>
        <v>0</v>
      </c>
      <c r="AY42" s="1156">
        <f t="shared" si="118"/>
        <v>3.827</v>
      </c>
      <c r="AZ42" s="1195"/>
      <c r="BA42" s="1222">
        <f t="shared" si="119"/>
        <v>0</v>
      </c>
      <c r="BB42" s="1156">
        <f t="shared" si="120"/>
        <v>3.827</v>
      </c>
      <c r="BC42" s="1195"/>
      <c r="BD42" s="1222">
        <f t="shared" si="121"/>
        <v>0</v>
      </c>
      <c r="BE42" s="1156">
        <f t="shared" si="122"/>
        <v>5.21</v>
      </c>
      <c r="BF42" s="1195"/>
      <c r="BG42" s="1266">
        <f t="shared" si="123"/>
        <v>0</v>
      </c>
      <c r="BH42" s="1156">
        <f t="shared" si="124"/>
        <v>5.21</v>
      </c>
      <c r="BI42" s="1195"/>
      <c r="BJ42" s="1222">
        <f t="shared" si="125"/>
        <v>0</v>
      </c>
      <c r="BK42" s="1156">
        <f t="shared" si="126"/>
        <v>12.25</v>
      </c>
      <c r="BL42" s="1195"/>
      <c r="BM42" s="1222">
        <f t="shared" si="127"/>
        <v>0</v>
      </c>
      <c r="BN42" s="1156">
        <f t="shared" si="128"/>
        <v>12.25</v>
      </c>
      <c r="BO42" s="1195"/>
      <c r="BP42" s="1222">
        <f t="shared" si="129"/>
        <v>0</v>
      </c>
      <c r="BQ42" s="1156">
        <f t="shared" si="130"/>
        <v>1.7</v>
      </c>
      <c r="BR42" s="1217"/>
      <c r="BS42" s="1222">
        <f t="shared" si="131"/>
        <v>0</v>
      </c>
      <c r="BT42" s="1155">
        <f t="shared" si="132"/>
        <v>2.5</v>
      </c>
      <c r="BU42" s="1195">
        <v>4.9400000000000004</v>
      </c>
      <c r="BV42" s="1222">
        <f t="shared" si="133"/>
        <v>12.350000000000001</v>
      </c>
      <c r="BW42" s="1156">
        <f t="shared" si="134"/>
        <v>2.5</v>
      </c>
      <c r="BX42" s="1195">
        <v>4.9400000000000004</v>
      </c>
      <c r="BY42" s="1222">
        <f t="shared" si="135"/>
        <v>12.350000000000001</v>
      </c>
      <c r="BZ42" s="1156">
        <f t="shared" si="136"/>
        <v>2.5</v>
      </c>
      <c r="CA42" s="1195">
        <f>4.94+5.1</f>
        <v>10.039999999999999</v>
      </c>
      <c r="CB42" s="1222">
        <f t="shared" si="137"/>
        <v>25.099999999999998</v>
      </c>
      <c r="CC42" s="1156">
        <f t="shared" si="138"/>
        <v>2.5</v>
      </c>
      <c r="CD42" s="1195">
        <f>4.94+5.1</f>
        <v>10.039999999999999</v>
      </c>
      <c r="CE42" s="1222">
        <f t="shared" si="139"/>
        <v>25.099999999999998</v>
      </c>
      <c r="CF42" s="1156">
        <f t="shared" si="140"/>
        <v>1.5</v>
      </c>
      <c r="CG42" s="1195">
        <v>100</v>
      </c>
      <c r="CH42" s="1222">
        <f t="shared" si="141"/>
        <v>150</v>
      </c>
      <c r="CI42" s="1156">
        <f t="shared" si="142"/>
        <v>1.57</v>
      </c>
      <c r="CJ42" s="1195"/>
      <c r="CK42" s="1222">
        <f t="shared" si="143"/>
        <v>0</v>
      </c>
      <c r="CL42" s="1156">
        <f t="shared" si="144"/>
        <v>0.63</v>
      </c>
      <c r="CM42" s="1195">
        <v>15.81</v>
      </c>
      <c r="CN42" s="1222">
        <f t="shared" si="145"/>
        <v>9.9603000000000002</v>
      </c>
      <c r="CO42" s="1156">
        <f t="shared" si="146"/>
        <v>0.63</v>
      </c>
      <c r="CP42" s="1195">
        <v>15.81</v>
      </c>
      <c r="CQ42" s="1222">
        <f t="shared" si="147"/>
        <v>9.9603000000000002</v>
      </c>
      <c r="CR42" s="1156">
        <f t="shared" si="148"/>
        <v>1</v>
      </c>
      <c r="CS42" s="1195">
        <v>4.3099999999999996</v>
      </c>
      <c r="CT42" s="1222">
        <f t="shared" si="149"/>
        <v>4.3099999999999996</v>
      </c>
      <c r="CU42" s="1156">
        <f t="shared" si="150"/>
        <v>1</v>
      </c>
      <c r="CV42" s="1195">
        <v>4.3099999999999996</v>
      </c>
      <c r="CW42" s="1222">
        <f t="shared" si="151"/>
        <v>4.3099999999999996</v>
      </c>
      <c r="CX42" s="1156">
        <f t="shared" si="152"/>
        <v>2</v>
      </c>
      <c r="CY42" s="1195"/>
      <c r="CZ42" s="1222">
        <f t="shared" si="153"/>
        <v>0</v>
      </c>
      <c r="DA42" s="1156">
        <f t="shared" si="154"/>
        <v>2</v>
      </c>
      <c r="DB42" s="1195"/>
      <c r="DC42" s="1222">
        <f t="shared" si="155"/>
        <v>0</v>
      </c>
      <c r="DD42" s="1156"/>
      <c r="DE42" s="1217"/>
      <c r="DF42" s="1222">
        <f t="shared" si="156"/>
        <v>0</v>
      </c>
      <c r="DG42" s="1156"/>
      <c r="DH42" s="1217"/>
      <c r="DI42" s="1222">
        <f t="shared" si="157"/>
        <v>0</v>
      </c>
      <c r="DJ42" s="1156"/>
      <c r="DK42" s="1217"/>
      <c r="DL42" s="1222">
        <f t="shared" si="158"/>
        <v>0</v>
      </c>
      <c r="DM42" s="1156"/>
      <c r="DN42" s="1217"/>
      <c r="DO42" s="1222">
        <f t="shared" si="159"/>
        <v>0</v>
      </c>
      <c r="DP42" s="1156"/>
      <c r="DQ42" s="1217"/>
      <c r="DR42" s="1222">
        <f t="shared" si="160"/>
        <v>0</v>
      </c>
      <c r="DS42" s="1156"/>
      <c r="DT42" s="1217"/>
      <c r="DU42" s="1222">
        <f t="shared" si="161"/>
        <v>0</v>
      </c>
      <c r="DV42" s="1156"/>
      <c r="DW42" s="1217"/>
      <c r="DX42" s="1244">
        <f t="shared" si="162"/>
        <v>0</v>
      </c>
    </row>
    <row r="43" spans="1:128">
      <c r="B43" s="1305" t="s">
        <v>160</v>
      </c>
      <c r="C43" s="1155">
        <f t="shared" si="87"/>
        <v>8</v>
      </c>
      <c r="D43" s="1195">
        <v>1.8</v>
      </c>
      <c r="E43" s="1199">
        <f>C43*D43</f>
        <v>14.4</v>
      </c>
      <c r="F43" s="1156">
        <f t="shared" si="88"/>
        <v>9.34</v>
      </c>
      <c r="G43" s="1195">
        <v>1.3</v>
      </c>
      <c r="H43" s="1199">
        <f t="shared" si="89"/>
        <v>12.141999999999999</v>
      </c>
      <c r="I43" s="1156">
        <f t="shared" si="90"/>
        <v>2.8</v>
      </c>
      <c r="J43" s="1217">
        <v>1.9</v>
      </c>
      <c r="K43" s="1222">
        <f t="shared" si="91"/>
        <v>5.3199999999999994</v>
      </c>
      <c r="L43" s="1156">
        <f t="shared" si="92"/>
        <v>2.6</v>
      </c>
      <c r="M43" s="1217">
        <v>1.4</v>
      </c>
      <c r="N43" s="1222">
        <f t="shared" si="93"/>
        <v>3.6399999999999997</v>
      </c>
      <c r="O43" s="1156">
        <f t="shared" si="94"/>
        <v>3.2</v>
      </c>
      <c r="P43" s="1195">
        <v>1.9</v>
      </c>
      <c r="Q43" s="1222">
        <f t="shared" si="95"/>
        <v>6.08</v>
      </c>
      <c r="R43" s="1156">
        <f t="shared" si="96"/>
        <v>3.1</v>
      </c>
      <c r="S43" s="1195">
        <v>1.4</v>
      </c>
      <c r="T43" s="1222">
        <f t="shared" si="97"/>
        <v>4.34</v>
      </c>
      <c r="U43" s="1156">
        <f t="shared" si="98"/>
        <v>3.2</v>
      </c>
      <c r="V43" s="1195">
        <v>1.9</v>
      </c>
      <c r="W43" s="1222">
        <f t="shared" si="99"/>
        <v>6.08</v>
      </c>
      <c r="X43" s="1156">
        <f t="shared" si="100"/>
        <v>4.2</v>
      </c>
      <c r="Y43" s="1195">
        <v>1.4</v>
      </c>
      <c r="Z43" s="1222">
        <f t="shared" si="101"/>
        <v>5.88</v>
      </c>
      <c r="AA43" s="1156">
        <f t="shared" si="102"/>
        <v>2.7</v>
      </c>
      <c r="AB43" s="1195">
        <v>1.9</v>
      </c>
      <c r="AC43" s="1222">
        <f t="shared" si="103"/>
        <v>5.13</v>
      </c>
      <c r="AD43" s="1156">
        <f t="shared" si="104"/>
        <v>2.89</v>
      </c>
      <c r="AE43" s="1195">
        <v>1.4</v>
      </c>
      <c r="AF43" s="1222">
        <f t="shared" si="105"/>
        <v>4.0460000000000003</v>
      </c>
      <c r="AG43" s="1156">
        <f t="shared" si="106"/>
        <v>2.23</v>
      </c>
      <c r="AH43" s="1195">
        <v>1.9</v>
      </c>
      <c r="AI43" s="1222">
        <f t="shared" si="107"/>
        <v>4.2370000000000001</v>
      </c>
      <c r="AJ43" s="1156">
        <f t="shared" si="108"/>
        <v>2.13</v>
      </c>
      <c r="AK43" s="1195">
        <v>1.4</v>
      </c>
      <c r="AL43" s="1222">
        <f t="shared" si="109"/>
        <v>2.9819999999999998</v>
      </c>
      <c r="AM43" s="1156">
        <f t="shared" si="110"/>
        <v>4</v>
      </c>
      <c r="AN43" s="1195">
        <v>1.9</v>
      </c>
      <c r="AO43" s="1222">
        <f t="shared" si="111"/>
        <v>7.6</v>
      </c>
      <c r="AP43" s="1156">
        <f t="shared" si="112"/>
        <v>4</v>
      </c>
      <c r="AQ43" s="1195">
        <v>1.9</v>
      </c>
      <c r="AR43" s="1222">
        <f t="shared" si="113"/>
        <v>7.6</v>
      </c>
      <c r="AS43" s="1156">
        <f t="shared" si="114"/>
        <v>3</v>
      </c>
      <c r="AT43" s="1195">
        <v>1.8</v>
      </c>
      <c r="AU43" s="1222">
        <f t="shared" si="115"/>
        <v>5.4</v>
      </c>
      <c r="AV43" s="1156">
        <f t="shared" si="116"/>
        <v>3</v>
      </c>
      <c r="AW43" s="1195">
        <v>1.4</v>
      </c>
      <c r="AX43" s="1222">
        <f t="shared" si="117"/>
        <v>4.1999999999999993</v>
      </c>
      <c r="AY43" s="1156">
        <f t="shared" si="118"/>
        <v>3.827</v>
      </c>
      <c r="AZ43" s="1195"/>
      <c r="BA43" s="1222">
        <f t="shared" si="119"/>
        <v>0</v>
      </c>
      <c r="BB43" s="1156">
        <f t="shared" si="120"/>
        <v>3.827</v>
      </c>
      <c r="BC43" s="1195"/>
      <c r="BD43" s="1222">
        <f t="shared" si="121"/>
        <v>0</v>
      </c>
      <c r="BE43" s="1156">
        <f t="shared" si="122"/>
        <v>5.21</v>
      </c>
      <c r="BF43" s="1195"/>
      <c r="BG43" s="1266">
        <f t="shared" si="123"/>
        <v>0</v>
      </c>
      <c r="BH43" s="1156">
        <f t="shared" si="124"/>
        <v>5.21</v>
      </c>
      <c r="BI43" s="1195"/>
      <c r="BJ43" s="1222">
        <f t="shared" si="125"/>
        <v>0</v>
      </c>
      <c r="BK43" s="1156">
        <f t="shared" si="126"/>
        <v>12.25</v>
      </c>
      <c r="BL43" s="1195"/>
      <c r="BM43" s="1222">
        <f t="shared" si="127"/>
        <v>0</v>
      </c>
      <c r="BN43" s="1156">
        <f t="shared" si="128"/>
        <v>12.25</v>
      </c>
      <c r="BO43" s="1195"/>
      <c r="BP43" s="1222">
        <f t="shared" si="129"/>
        <v>0</v>
      </c>
      <c r="BQ43" s="1156">
        <f t="shared" si="130"/>
        <v>1.7</v>
      </c>
      <c r="BR43" s="1217"/>
      <c r="BS43" s="1222">
        <f t="shared" si="131"/>
        <v>0</v>
      </c>
      <c r="BT43" s="1155">
        <f t="shared" si="132"/>
        <v>2.5</v>
      </c>
      <c r="BU43" s="1195">
        <v>1.9</v>
      </c>
      <c r="BV43" s="1222">
        <f t="shared" si="133"/>
        <v>4.75</v>
      </c>
      <c r="BW43" s="1156">
        <f t="shared" si="134"/>
        <v>2.5</v>
      </c>
      <c r="BX43" s="1195">
        <v>1.9</v>
      </c>
      <c r="BY43" s="1222">
        <f t="shared" si="135"/>
        <v>4.75</v>
      </c>
      <c r="BZ43" s="1156">
        <f t="shared" si="136"/>
        <v>2.5</v>
      </c>
      <c r="CA43" s="1195">
        <v>1.9</v>
      </c>
      <c r="CB43" s="1222">
        <f t="shared" si="137"/>
        <v>4.75</v>
      </c>
      <c r="CC43" s="1156">
        <f t="shared" si="138"/>
        <v>2.5</v>
      </c>
      <c r="CD43" s="1195">
        <v>1.9</v>
      </c>
      <c r="CE43" s="1222">
        <f t="shared" si="139"/>
        <v>4.75</v>
      </c>
      <c r="CF43" s="1156">
        <f t="shared" si="140"/>
        <v>1.5</v>
      </c>
      <c r="CG43" s="1195">
        <v>1.9</v>
      </c>
      <c r="CH43" s="1222">
        <f t="shared" si="141"/>
        <v>2.8499999999999996</v>
      </c>
      <c r="CI43" s="1156">
        <f t="shared" si="142"/>
        <v>1.57</v>
      </c>
      <c r="CJ43" s="1195">
        <v>1.4</v>
      </c>
      <c r="CK43" s="1222">
        <f t="shared" si="143"/>
        <v>2.198</v>
      </c>
      <c r="CL43" s="1156">
        <f t="shared" si="144"/>
        <v>0.63</v>
      </c>
      <c r="CM43" s="1195"/>
      <c r="CN43" s="1222">
        <f t="shared" si="145"/>
        <v>0</v>
      </c>
      <c r="CO43" s="1156">
        <f t="shared" si="146"/>
        <v>0.63</v>
      </c>
      <c r="CP43" s="1195"/>
      <c r="CQ43" s="1222">
        <f t="shared" si="147"/>
        <v>0</v>
      </c>
      <c r="CR43" s="1156">
        <f t="shared" si="148"/>
        <v>1</v>
      </c>
      <c r="CS43" s="1195">
        <v>1.9</v>
      </c>
      <c r="CT43" s="1222">
        <f t="shared" si="149"/>
        <v>1.9</v>
      </c>
      <c r="CU43" s="1156">
        <f t="shared" si="150"/>
        <v>1</v>
      </c>
      <c r="CV43" s="1195">
        <v>1.9</v>
      </c>
      <c r="CW43" s="1222">
        <f t="shared" si="151"/>
        <v>1.9</v>
      </c>
      <c r="CX43" s="1156">
        <f t="shared" si="152"/>
        <v>2</v>
      </c>
      <c r="CY43" s="1195">
        <v>1.35</v>
      </c>
      <c r="CZ43" s="1222">
        <f t="shared" si="153"/>
        <v>2.7</v>
      </c>
      <c r="DA43" s="1156">
        <f t="shared" si="154"/>
        <v>2</v>
      </c>
      <c r="DB43" s="1195">
        <v>1.35</v>
      </c>
      <c r="DC43" s="1222">
        <f t="shared" si="155"/>
        <v>2.7</v>
      </c>
      <c r="DD43" s="1156"/>
      <c r="DE43" s="1217"/>
      <c r="DF43" s="1222">
        <f t="shared" si="156"/>
        <v>0</v>
      </c>
      <c r="DG43" s="1156"/>
      <c r="DH43" s="1217"/>
      <c r="DI43" s="1222">
        <f t="shared" si="157"/>
        <v>0</v>
      </c>
      <c r="DJ43" s="1156"/>
      <c r="DK43" s="1217"/>
      <c r="DL43" s="1222">
        <f t="shared" si="158"/>
        <v>0</v>
      </c>
      <c r="DM43" s="1156"/>
      <c r="DN43" s="1217"/>
      <c r="DO43" s="1222">
        <f t="shared" si="159"/>
        <v>0</v>
      </c>
      <c r="DP43" s="1156"/>
      <c r="DQ43" s="1217"/>
      <c r="DR43" s="1222">
        <f t="shared" si="160"/>
        <v>0</v>
      </c>
      <c r="DS43" s="1156"/>
      <c r="DT43" s="1217"/>
      <c r="DU43" s="1222">
        <f t="shared" si="161"/>
        <v>0</v>
      </c>
      <c r="DV43" s="1156"/>
      <c r="DW43" s="1217"/>
      <c r="DX43" s="1244">
        <f t="shared" si="162"/>
        <v>0</v>
      </c>
    </row>
    <row r="44" spans="1:128">
      <c r="B44" s="1305" t="s">
        <v>333</v>
      </c>
      <c r="C44" s="1155">
        <f t="shared" si="87"/>
        <v>8</v>
      </c>
      <c r="D44" s="1195"/>
      <c r="E44" s="1199">
        <f>C44*D44</f>
        <v>0</v>
      </c>
      <c r="F44" s="1156">
        <f t="shared" si="88"/>
        <v>9.34</v>
      </c>
      <c r="G44" s="1195"/>
      <c r="H44" s="1199">
        <f t="shared" si="89"/>
        <v>0</v>
      </c>
      <c r="I44" s="1156">
        <f t="shared" si="90"/>
        <v>2.8</v>
      </c>
      <c r="J44" s="1217"/>
      <c r="K44" s="1222">
        <f t="shared" si="91"/>
        <v>0</v>
      </c>
      <c r="L44" s="1156">
        <f t="shared" si="92"/>
        <v>2.6</v>
      </c>
      <c r="M44" s="1217"/>
      <c r="N44" s="1222">
        <f t="shared" si="93"/>
        <v>0</v>
      </c>
      <c r="O44" s="1156">
        <f t="shared" si="94"/>
        <v>3.2</v>
      </c>
      <c r="P44" s="1195">
        <v>3</v>
      </c>
      <c r="Q44" s="1222">
        <f t="shared" si="95"/>
        <v>9.6000000000000014</v>
      </c>
      <c r="R44" s="1156">
        <f t="shared" si="96"/>
        <v>3.1</v>
      </c>
      <c r="S44" s="1195">
        <v>2.97</v>
      </c>
      <c r="T44" s="1222">
        <f t="shared" si="97"/>
        <v>9.2070000000000007</v>
      </c>
      <c r="U44" s="1156">
        <f t="shared" si="98"/>
        <v>3.2</v>
      </c>
      <c r="V44" s="1195">
        <v>3</v>
      </c>
      <c r="W44" s="1222">
        <f t="shared" si="99"/>
        <v>9.6000000000000014</v>
      </c>
      <c r="X44" s="1156">
        <f t="shared" si="100"/>
        <v>4.2</v>
      </c>
      <c r="Y44" s="1195">
        <v>2.97</v>
      </c>
      <c r="Z44" s="1222">
        <f t="shared" si="101"/>
        <v>12.474000000000002</v>
      </c>
      <c r="AA44" s="1156">
        <f t="shared" si="102"/>
        <v>2.7</v>
      </c>
      <c r="AB44" s="1195"/>
      <c r="AC44" s="1222">
        <f t="shared" si="103"/>
        <v>0</v>
      </c>
      <c r="AD44" s="1156">
        <f t="shared" si="104"/>
        <v>2.89</v>
      </c>
      <c r="AE44" s="1195"/>
      <c r="AF44" s="1222">
        <f t="shared" si="105"/>
        <v>0</v>
      </c>
      <c r="AG44" s="1156">
        <f t="shared" si="106"/>
        <v>2.23</v>
      </c>
      <c r="AH44" s="1195"/>
      <c r="AI44" s="1222">
        <f t="shared" si="107"/>
        <v>0</v>
      </c>
      <c r="AJ44" s="1156">
        <f t="shared" si="108"/>
        <v>2.13</v>
      </c>
      <c r="AK44" s="1195"/>
      <c r="AL44" s="1222">
        <f t="shared" si="109"/>
        <v>0</v>
      </c>
      <c r="AM44" s="1156">
        <f t="shared" si="110"/>
        <v>4</v>
      </c>
      <c r="AN44" s="1195"/>
      <c r="AO44" s="1222">
        <f t="shared" si="111"/>
        <v>0</v>
      </c>
      <c r="AP44" s="1156">
        <f t="shared" si="112"/>
        <v>4</v>
      </c>
      <c r="AQ44" s="1195"/>
      <c r="AR44" s="1222">
        <f t="shared" si="113"/>
        <v>0</v>
      </c>
      <c r="AS44" s="1156">
        <f t="shared" si="114"/>
        <v>3</v>
      </c>
      <c r="AT44" s="1195"/>
      <c r="AU44" s="1222">
        <f t="shared" si="115"/>
        <v>0</v>
      </c>
      <c r="AV44" s="1156">
        <f t="shared" si="116"/>
        <v>3</v>
      </c>
      <c r="AW44" s="1195"/>
      <c r="AX44" s="1222">
        <f t="shared" si="117"/>
        <v>0</v>
      </c>
      <c r="AY44" s="1156">
        <f t="shared" si="118"/>
        <v>3.827</v>
      </c>
      <c r="AZ44" s="1195"/>
      <c r="BA44" s="1222">
        <f t="shared" si="119"/>
        <v>0</v>
      </c>
      <c r="BB44" s="1156">
        <f t="shared" si="120"/>
        <v>3.827</v>
      </c>
      <c r="BC44" s="1195"/>
      <c r="BD44" s="1222">
        <f t="shared" si="121"/>
        <v>0</v>
      </c>
      <c r="BE44" s="1156">
        <f t="shared" si="122"/>
        <v>5.21</v>
      </c>
      <c r="BF44" s="1195"/>
      <c r="BG44" s="1266">
        <f t="shared" si="123"/>
        <v>0</v>
      </c>
      <c r="BH44" s="1156">
        <f t="shared" si="124"/>
        <v>5.21</v>
      </c>
      <c r="BI44" s="1195"/>
      <c r="BJ44" s="1222">
        <f t="shared" si="125"/>
        <v>0</v>
      </c>
      <c r="BK44" s="1156">
        <f t="shared" si="126"/>
        <v>12.25</v>
      </c>
      <c r="BL44" s="1195"/>
      <c r="BM44" s="1222">
        <f t="shared" si="127"/>
        <v>0</v>
      </c>
      <c r="BN44" s="1156">
        <f t="shared" si="128"/>
        <v>12.25</v>
      </c>
      <c r="BO44" s="1195"/>
      <c r="BP44" s="1222">
        <f t="shared" si="129"/>
        <v>0</v>
      </c>
      <c r="BQ44" s="1156">
        <f t="shared" si="130"/>
        <v>1.7</v>
      </c>
      <c r="BR44" s="1217"/>
      <c r="BS44" s="1222">
        <f t="shared" si="131"/>
        <v>0</v>
      </c>
      <c r="BT44" s="1155">
        <f t="shared" si="132"/>
        <v>2.5</v>
      </c>
      <c r="BU44" s="1195">
        <v>5.49</v>
      </c>
      <c r="BV44" s="1222">
        <f t="shared" si="133"/>
        <v>13.725000000000001</v>
      </c>
      <c r="BW44" s="1156">
        <f t="shared" si="134"/>
        <v>2.5</v>
      </c>
      <c r="BX44" s="1195">
        <v>5.49</v>
      </c>
      <c r="BY44" s="1222">
        <f t="shared" si="135"/>
        <v>13.725000000000001</v>
      </c>
      <c r="BZ44" s="1156">
        <f t="shared" si="136"/>
        <v>2.5</v>
      </c>
      <c r="CA44" s="1195">
        <v>8.25</v>
      </c>
      <c r="CB44" s="1222">
        <f t="shared" si="137"/>
        <v>20.625</v>
      </c>
      <c r="CC44" s="1156">
        <f t="shared" si="138"/>
        <v>2.5</v>
      </c>
      <c r="CD44" s="1195">
        <v>8.25</v>
      </c>
      <c r="CE44" s="1222">
        <f t="shared" si="139"/>
        <v>20.625</v>
      </c>
      <c r="CF44" s="1156">
        <f t="shared" si="140"/>
        <v>1.5</v>
      </c>
      <c r="CG44" s="1195">
        <v>4</v>
      </c>
      <c r="CH44" s="1222">
        <f t="shared" si="141"/>
        <v>6</v>
      </c>
      <c r="CI44" s="1156">
        <f t="shared" si="142"/>
        <v>1.57</v>
      </c>
      <c r="CJ44" s="1195"/>
      <c r="CK44" s="1222">
        <f t="shared" si="143"/>
        <v>0</v>
      </c>
      <c r="CL44" s="1156">
        <f t="shared" si="144"/>
        <v>0.63</v>
      </c>
      <c r="CM44" s="1195">
        <v>2.68</v>
      </c>
      <c r="CN44" s="1222">
        <f t="shared" si="145"/>
        <v>1.6884000000000001</v>
      </c>
      <c r="CO44" s="1156">
        <f t="shared" si="146"/>
        <v>0.63</v>
      </c>
      <c r="CP44" s="1195">
        <v>2.68</v>
      </c>
      <c r="CQ44" s="1222">
        <f t="shared" si="147"/>
        <v>1.6884000000000001</v>
      </c>
      <c r="CR44" s="1156">
        <f t="shared" si="148"/>
        <v>1</v>
      </c>
      <c r="CS44" s="1195"/>
      <c r="CT44" s="1222">
        <f t="shared" si="149"/>
        <v>0</v>
      </c>
      <c r="CU44" s="1156">
        <f t="shared" si="150"/>
        <v>1</v>
      </c>
      <c r="CV44" s="1195"/>
      <c r="CW44" s="1222">
        <f t="shared" si="151"/>
        <v>0</v>
      </c>
      <c r="CX44" s="1156">
        <f t="shared" si="152"/>
        <v>2</v>
      </c>
      <c r="CY44" s="1195"/>
      <c r="CZ44" s="1222">
        <f t="shared" si="153"/>
        <v>0</v>
      </c>
      <c r="DA44" s="1156">
        <f t="shared" si="154"/>
        <v>2</v>
      </c>
      <c r="DB44" s="1195"/>
      <c r="DC44" s="1222">
        <f t="shared" si="155"/>
        <v>0</v>
      </c>
      <c r="DD44" s="1156"/>
      <c r="DE44" s="1217"/>
      <c r="DF44" s="1222">
        <f t="shared" si="156"/>
        <v>0</v>
      </c>
      <c r="DG44" s="1156"/>
      <c r="DH44" s="1217"/>
      <c r="DI44" s="1222">
        <f t="shared" si="157"/>
        <v>0</v>
      </c>
      <c r="DJ44" s="1156"/>
      <c r="DK44" s="1217"/>
      <c r="DL44" s="1222">
        <f t="shared" si="158"/>
        <v>0</v>
      </c>
      <c r="DM44" s="1156"/>
      <c r="DN44" s="1217"/>
      <c r="DO44" s="1222">
        <f t="shared" si="159"/>
        <v>0</v>
      </c>
      <c r="DP44" s="1156"/>
      <c r="DQ44" s="1217"/>
      <c r="DR44" s="1222">
        <f t="shared" si="160"/>
        <v>0</v>
      </c>
      <c r="DS44" s="1156"/>
      <c r="DT44" s="1217"/>
      <c r="DU44" s="1222">
        <f t="shared" si="161"/>
        <v>0</v>
      </c>
      <c r="DV44" s="1156"/>
      <c r="DW44" s="1217"/>
      <c r="DX44" s="1244">
        <f t="shared" si="162"/>
        <v>0</v>
      </c>
    </row>
    <row r="45" spans="1:128">
      <c r="B45" s="1305" t="s">
        <v>334</v>
      </c>
      <c r="C45" s="1155">
        <f t="shared" si="87"/>
        <v>8</v>
      </c>
      <c r="D45" s="1195">
        <v>15</v>
      </c>
      <c r="E45" s="1199">
        <f>C45*D45</f>
        <v>120</v>
      </c>
      <c r="F45" s="1156">
        <f t="shared" si="88"/>
        <v>9.34</v>
      </c>
      <c r="G45" s="1195">
        <v>10</v>
      </c>
      <c r="H45" s="1199">
        <f t="shared" si="89"/>
        <v>93.4</v>
      </c>
      <c r="I45" s="1156">
        <f t="shared" si="90"/>
        <v>2.8</v>
      </c>
      <c r="J45" s="1217">
        <v>20</v>
      </c>
      <c r="K45" s="1222">
        <f t="shared" si="91"/>
        <v>56</v>
      </c>
      <c r="L45" s="1156">
        <f t="shared" si="92"/>
        <v>2.6</v>
      </c>
      <c r="M45" s="1217">
        <v>10</v>
      </c>
      <c r="N45" s="1222">
        <f t="shared" si="93"/>
        <v>26</v>
      </c>
      <c r="O45" s="1156">
        <f t="shared" si="94"/>
        <v>3.2</v>
      </c>
      <c r="P45" s="1195">
        <v>15</v>
      </c>
      <c r="Q45" s="1222">
        <f t="shared" si="95"/>
        <v>48</v>
      </c>
      <c r="R45" s="1156">
        <f t="shared" si="96"/>
        <v>3.1</v>
      </c>
      <c r="S45" s="1195">
        <v>15</v>
      </c>
      <c r="T45" s="1222">
        <f t="shared" si="97"/>
        <v>46.5</v>
      </c>
      <c r="U45" s="1156">
        <f t="shared" si="98"/>
        <v>3.2</v>
      </c>
      <c r="V45" s="1195">
        <v>15</v>
      </c>
      <c r="W45" s="1222">
        <f t="shared" si="99"/>
        <v>48</v>
      </c>
      <c r="X45" s="1156">
        <f t="shared" si="100"/>
        <v>4.2</v>
      </c>
      <c r="Y45" s="1195">
        <v>15</v>
      </c>
      <c r="Z45" s="1222">
        <f t="shared" si="101"/>
        <v>63</v>
      </c>
      <c r="AA45" s="1156">
        <f t="shared" si="102"/>
        <v>2.7</v>
      </c>
      <c r="AB45" s="1195">
        <v>15</v>
      </c>
      <c r="AC45" s="1222">
        <f t="shared" si="103"/>
        <v>40.5</v>
      </c>
      <c r="AD45" s="1156">
        <f t="shared" si="104"/>
        <v>2.89</v>
      </c>
      <c r="AE45" s="1195">
        <v>8</v>
      </c>
      <c r="AF45" s="1222">
        <f t="shared" si="105"/>
        <v>23.12</v>
      </c>
      <c r="AG45" s="1156">
        <f t="shared" si="106"/>
        <v>2.23</v>
      </c>
      <c r="AH45" s="1195">
        <v>20</v>
      </c>
      <c r="AI45" s="1222">
        <f t="shared" si="107"/>
        <v>44.6</v>
      </c>
      <c r="AJ45" s="1156">
        <f t="shared" si="108"/>
        <v>2.13</v>
      </c>
      <c r="AK45" s="1195">
        <v>12.5</v>
      </c>
      <c r="AL45" s="1222">
        <f t="shared" si="109"/>
        <v>26.625</v>
      </c>
      <c r="AM45" s="1156">
        <f t="shared" si="110"/>
        <v>4</v>
      </c>
      <c r="AN45" s="1195">
        <v>15</v>
      </c>
      <c r="AO45" s="1222">
        <f t="shared" si="111"/>
        <v>60</v>
      </c>
      <c r="AP45" s="1156">
        <f t="shared" si="112"/>
        <v>4</v>
      </c>
      <c r="AQ45" s="1195">
        <v>15</v>
      </c>
      <c r="AR45" s="1222">
        <f t="shared" si="113"/>
        <v>60</v>
      </c>
      <c r="AS45" s="1156">
        <f t="shared" si="114"/>
        <v>3</v>
      </c>
      <c r="AT45" s="1195">
        <v>15</v>
      </c>
      <c r="AU45" s="1222">
        <f t="shared" si="115"/>
        <v>45</v>
      </c>
      <c r="AV45" s="1156">
        <f t="shared" si="116"/>
        <v>3</v>
      </c>
      <c r="AW45" s="1195">
        <v>8</v>
      </c>
      <c r="AX45" s="1222">
        <f t="shared" si="117"/>
        <v>24</v>
      </c>
      <c r="AY45" s="1156">
        <f t="shared" si="118"/>
        <v>3.827</v>
      </c>
      <c r="AZ45" s="1195"/>
      <c r="BA45" s="1222">
        <f t="shared" si="119"/>
        <v>0</v>
      </c>
      <c r="BB45" s="1156">
        <f t="shared" si="120"/>
        <v>3.827</v>
      </c>
      <c r="BC45" s="1195"/>
      <c r="BD45" s="1222">
        <f t="shared" si="121"/>
        <v>0</v>
      </c>
      <c r="BE45" s="1156">
        <f t="shared" si="122"/>
        <v>5.21</v>
      </c>
      <c r="BF45" s="1195"/>
      <c r="BG45" s="1266">
        <f t="shared" si="123"/>
        <v>0</v>
      </c>
      <c r="BH45" s="1156">
        <f t="shared" si="124"/>
        <v>5.21</v>
      </c>
      <c r="BI45" s="1195"/>
      <c r="BJ45" s="1222">
        <f t="shared" si="125"/>
        <v>0</v>
      </c>
      <c r="BK45" s="1156">
        <f t="shared" si="126"/>
        <v>12.25</v>
      </c>
      <c r="BL45" s="1195"/>
      <c r="BM45" s="1222">
        <f t="shared" si="127"/>
        <v>0</v>
      </c>
      <c r="BN45" s="1156">
        <f t="shared" si="128"/>
        <v>12.25</v>
      </c>
      <c r="BO45" s="1195"/>
      <c r="BP45" s="1222">
        <f t="shared" si="129"/>
        <v>0</v>
      </c>
      <c r="BQ45" s="1156">
        <f t="shared" si="130"/>
        <v>1.7</v>
      </c>
      <c r="BR45" s="1217"/>
      <c r="BS45" s="1222">
        <f t="shared" si="131"/>
        <v>0</v>
      </c>
      <c r="BT45" s="1155">
        <f t="shared" si="132"/>
        <v>2.5</v>
      </c>
      <c r="BU45" s="1195">
        <v>29.8</v>
      </c>
      <c r="BV45" s="1222">
        <f t="shared" si="133"/>
        <v>74.5</v>
      </c>
      <c r="BW45" s="1156">
        <f t="shared" si="134"/>
        <v>2.5</v>
      </c>
      <c r="BX45" s="1195">
        <v>29.8</v>
      </c>
      <c r="BY45" s="1222">
        <f t="shared" si="135"/>
        <v>74.5</v>
      </c>
      <c r="BZ45" s="1156">
        <f t="shared" si="136"/>
        <v>2.5</v>
      </c>
      <c r="CA45" s="1195">
        <v>30.6</v>
      </c>
      <c r="CB45" s="1222">
        <f t="shared" si="137"/>
        <v>76.5</v>
      </c>
      <c r="CC45" s="1156">
        <f t="shared" si="138"/>
        <v>2.5</v>
      </c>
      <c r="CD45" s="1195">
        <v>30.6</v>
      </c>
      <c r="CE45" s="1222">
        <f t="shared" si="139"/>
        <v>76.5</v>
      </c>
      <c r="CF45" s="1156">
        <f t="shared" si="140"/>
        <v>1.5</v>
      </c>
      <c r="CG45" s="1195">
        <v>23</v>
      </c>
      <c r="CH45" s="1222">
        <f t="shared" si="141"/>
        <v>34.5</v>
      </c>
      <c r="CI45" s="1156">
        <f t="shared" si="142"/>
        <v>1.57</v>
      </c>
      <c r="CJ45" s="1195">
        <v>20</v>
      </c>
      <c r="CK45" s="1222">
        <f t="shared" si="143"/>
        <v>31.400000000000002</v>
      </c>
      <c r="CL45" s="1156">
        <f t="shared" si="144"/>
        <v>0.63</v>
      </c>
      <c r="CM45" s="1195">
        <v>14.59</v>
      </c>
      <c r="CN45" s="1222">
        <f t="shared" si="145"/>
        <v>9.1916999999999991</v>
      </c>
      <c r="CO45" s="1156">
        <f t="shared" si="146"/>
        <v>0.63</v>
      </c>
      <c r="CP45" s="1195">
        <v>14.59</v>
      </c>
      <c r="CQ45" s="1222">
        <f t="shared" si="147"/>
        <v>9.1916999999999991</v>
      </c>
      <c r="CR45" s="1156">
        <f t="shared" si="148"/>
        <v>1</v>
      </c>
      <c r="CS45" s="1195">
        <v>20</v>
      </c>
      <c r="CT45" s="1222">
        <f t="shared" si="149"/>
        <v>20</v>
      </c>
      <c r="CU45" s="1156">
        <f t="shared" si="150"/>
        <v>1</v>
      </c>
      <c r="CV45" s="1195">
        <v>20</v>
      </c>
      <c r="CW45" s="1222">
        <f t="shared" si="151"/>
        <v>20</v>
      </c>
      <c r="CX45" s="1156">
        <f t="shared" si="152"/>
        <v>2</v>
      </c>
      <c r="CY45" s="1195">
        <v>14.5</v>
      </c>
      <c r="CZ45" s="1222">
        <f t="shared" si="153"/>
        <v>29</v>
      </c>
      <c r="DA45" s="1156">
        <f t="shared" si="154"/>
        <v>2</v>
      </c>
      <c r="DB45" s="1195">
        <v>14.5</v>
      </c>
      <c r="DC45" s="1222">
        <f t="shared" si="155"/>
        <v>29</v>
      </c>
      <c r="DD45" s="1156"/>
      <c r="DE45" s="1217"/>
      <c r="DF45" s="1222">
        <f t="shared" si="156"/>
        <v>0</v>
      </c>
      <c r="DG45" s="1156"/>
      <c r="DH45" s="1217"/>
      <c r="DI45" s="1222">
        <f t="shared" si="157"/>
        <v>0</v>
      </c>
      <c r="DJ45" s="1156"/>
      <c r="DK45" s="1217"/>
      <c r="DL45" s="1222">
        <f t="shared" si="158"/>
        <v>0</v>
      </c>
      <c r="DM45" s="1156"/>
      <c r="DN45" s="1217"/>
      <c r="DO45" s="1222">
        <f t="shared" si="159"/>
        <v>0</v>
      </c>
      <c r="DP45" s="1156"/>
      <c r="DQ45" s="1217"/>
      <c r="DR45" s="1222">
        <f t="shared" si="160"/>
        <v>0</v>
      </c>
      <c r="DS45" s="1156"/>
      <c r="DT45" s="1217"/>
      <c r="DU45" s="1222">
        <f t="shared" si="161"/>
        <v>0</v>
      </c>
      <c r="DV45" s="1156"/>
      <c r="DW45" s="1217"/>
      <c r="DX45" s="1244">
        <f t="shared" si="162"/>
        <v>0</v>
      </c>
    </row>
    <row r="46" spans="1:128" ht="15" thickBot="1">
      <c r="A46" s="1130"/>
      <c r="B46" s="1308" t="s">
        <v>161</v>
      </c>
      <c r="C46" s="1180"/>
      <c r="D46" s="1197"/>
      <c r="E46" s="1204">
        <f>SUM(E40:E45)</f>
        <v>315.84000000000003</v>
      </c>
      <c r="F46" s="1181"/>
      <c r="G46" s="1204"/>
      <c r="H46" s="1204">
        <f>SUM(H40:H45)</f>
        <v>347.1678</v>
      </c>
      <c r="I46" s="1181"/>
      <c r="J46" s="1204"/>
      <c r="K46" s="1221">
        <f>SUM(K40:K45)</f>
        <v>84.616</v>
      </c>
      <c r="L46" s="1161"/>
      <c r="M46" s="1204"/>
      <c r="N46" s="1221">
        <f>SUM(N40:N45)</f>
        <v>36.088000000000001</v>
      </c>
      <c r="O46" s="1162"/>
      <c r="P46" s="1204"/>
      <c r="Q46" s="1221">
        <f>SUM(Q40:Q45)</f>
        <v>115.84</v>
      </c>
      <c r="R46" s="1162"/>
      <c r="S46" s="1204"/>
      <c r="T46" s="1221">
        <f>SUM(T40:T45)</f>
        <v>97.929000000000002</v>
      </c>
      <c r="U46" s="1181"/>
      <c r="V46" s="1230"/>
      <c r="W46" s="1221">
        <f>SUM(W40:W45)</f>
        <v>90.4</v>
      </c>
      <c r="X46" s="1162"/>
      <c r="Y46" s="1204"/>
      <c r="Z46" s="1221">
        <f>SUM(Z40:Z45)</f>
        <v>111.09</v>
      </c>
      <c r="AA46" s="1162"/>
      <c r="AB46" s="1230"/>
      <c r="AC46" s="1221">
        <f>SUM(AC40:AC45)</f>
        <v>60.992999999999995</v>
      </c>
      <c r="AD46" s="1162"/>
      <c r="AE46" s="1230"/>
      <c r="AF46" s="1221">
        <f>SUM(AF40:AF45)</f>
        <v>42.656400000000005</v>
      </c>
      <c r="AG46" s="1162"/>
      <c r="AH46" s="1230"/>
      <c r="AI46" s="1221">
        <f>SUM(AI40:AI45)</f>
        <v>70.155799999999999</v>
      </c>
      <c r="AJ46" s="1162"/>
      <c r="AK46" s="1230"/>
      <c r="AL46" s="1204">
        <f>SUM(AL40:AL45)</f>
        <v>47.797199999999997</v>
      </c>
      <c r="AM46" s="1162"/>
      <c r="AN46" s="1230"/>
      <c r="AO46" s="1204">
        <f>SUM(AO40:AO45)</f>
        <v>86.92</v>
      </c>
      <c r="AP46" s="1162"/>
      <c r="AQ46" s="1230"/>
      <c r="AR46" s="1204">
        <f>SUM(AR40:AR45)</f>
        <v>86.92</v>
      </c>
      <c r="AS46" s="1181"/>
      <c r="AT46" s="1230"/>
      <c r="AU46" s="1204">
        <f>SUM(AU40:AU45)</f>
        <v>64.11</v>
      </c>
      <c r="AV46" s="1162"/>
      <c r="AW46" s="1230"/>
      <c r="AX46" s="1204">
        <f>SUM(AX40:AX45)</f>
        <v>44.28</v>
      </c>
      <c r="AY46" s="1162"/>
      <c r="AZ46" s="1230"/>
      <c r="BA46" s="1204">
        <f>SUM(BA40:BA45)</f>
        <v>0</v>
      </c>
      <c r="BB46" s="1162"/>
      <c r="BC46" s="1230"/>
      <c r="BD46" s="1204">
        <f>SUM(BD40:BD45)</f>
        <v>0</v>
      </c>
      <c r="BE46" s="1162"/>
      <c r="BF46" s="1204"/>
      <c r="BG46" s="1260">
        <f>SUM(BG40:BG45)</f>
        <v>35.2196</v>
      </c>
      <c r="BH46" s="1162"/>
      <c r="BI46" s="1230"/>
      <c r="BJ46" s="1260">
        <f>SUM(BJ40:BJ45)</f>
        <v>35.2196</v>
      </c>
      <c r="BK46" s="1162"/>
      <c r="BL46" s="1230"/>
      <c r="BM46" s="1260">
        <f>SUM(BM40:BM45)</f>
        <v>43.855000000000004</v>
      </c>
      <c r="BN46" s="1162"/>
      <c r="BO46" s="1230"/>
      <c r="BP46" s="1260">
        <f>SUM(BP40:BP45)</f>
        <v>43.855000000000004</v>
      </c>
      <c r="BQ46" s="1162"/>
      <c r="BR46" s="1204"/>
      <c r="BS46" s="1253">
        <f>SUM(BS40:BS45)</f>
        <v>0</v>
      </c>
      <c r="BT46" s="1162"/>
      <c r="BU46" s="1230"/>
      <c r="BV46" s="1204">
        <f>SUM(BV40:BV45)</f>
        <v>129.875</v>
      </c>
      <c r="BW46" s="1162"/>
      <c r="BX46" s="1230"/>
      <c r="BY46" s="1204">
        <f>SUM(BY40:BY45)</f>
        <v>129.875</v>
      </c>
      <c r="BZ46" s="1162"/>
      <c r="CA46" s="1230"/>
      <c r="CB46" s="1204">
        <f>SUM(CB40:CB45)</f>
        <v>146.52500000000001</v>
      </c>
      <c r="CC46" s="1162"/>
      <c r="CD46" s="1230"/>
      <c r="CE46" s="1204">
        <f>SUM(CE40:CE45)</f>
        <v>146.52500000000001</v>
      </c>
      <c r="CF46" s="1162"/>
      <c r="CG46" s="1230"/>
      <c r="CH46" s="1204">
        <f>SUM(CH40:CH45)</f>
        <v>196.69499999999999</v>
      </c>
      <c r="CI46" s="1162"/>
      <c r="CJ46" s="1230"/>
      <c r="CK46" s="1204">
        <f>SUM(CK40:CK45)</f>
        <v>42.201599999999999</v>
      </c>
      <c r="CL46" s="1162"/>
      <c r="CM46" s="1230"/>
      <c r="CN46" s="1204">
        <f>SUM(CN40:CN45)</f>
        <v>41.069699999999997</v>
      </c>
      <c r="CO46" s="1162"/>
      <c r="CP46" s="1230"/>
      <c r="CQ46" s="1204">
        <f>SUM(CQ40:CQ45)</f>
        <v>41.069699999999997</v>
      </c>
      <c r="CR46" s="1162"/>
      <c r="CS46" s="1230"/>
      <c r="CT46" s="1204">
        <f>SUM(CT40:CT45)</f>
        <v>52.03</v>
      </c>
      <c r="CU46" s="1162"/>
      <c r="CV46" s="1230"/>
      <c r="CW46" s="1204">
        <f>SUM(CW40:CW45)</f>
        <v>52.03</v>
      </c>
      <c r="CX46" s="1162"/>
      <c r="CY46" s="1230"/>
      <c r="CZ46" s="1204">
        <f>SUM(CZ40:CZ45)</f>
        <v>70.760000000000005</v>
      </c>
      <c r="DA46" s="1162"/>
      <c r="DB46" s="1230"/>
      <c r="DC46" s="1204">
        <f>SUM(DC40:DC45)</f>
        <v>70.760000000000005</v>
      </c>
      <c r="DD46" s="1162"/>
      <c r="DE46" s="1204"/>
      <c r="DF46" s="1204">
        <f>SUM(DF40:DF45)</f>
        <v>0</v>
      </c>
      <c r="DG46" s="1162"/>
      <c r="DH46" s="1204"/>
      <c r="DI46" s="1204">
        <f>SUM(DI40:DI45)</f>
        <v>0</v>
      </c>
      <c r="DJ46" s="1162"/>
      <c r="DK46" s="1204"/>
      <c r="DL46" s="1204">
        <f>SUM(DL40:DL45)</f>
        <v>0</v>
      </c>
      <c r="DM46" s="1162"/>
      <c r="DN46" s="1204"/>
      <c r="DO46" s="1204">
        <f>SUM(DO40:DO45)</f>
        <v>0</v>
      </c>
      <c r="DP46" s="1162"/>
      <c r="DQ46" s="1204"/>
      <c r="DR46" s="1204">
        <f>SUM(DR40:DR45)</f>
        <v>0</v>
      </c>
      <c r="DS46" s="1162"/>
      <c r="DT46" s="1204"/>
      <c r="DU46" s="1204">
        <f>SUM(DU40:DU45)</f>
        <v>0</v>
      </c>
      <c r="DV46" s="1182"/>
      <c r="DW46" s="1247"/>
      <c r="DX46" s="1243">
        <f>SUM(DX40:DX45)</f>
        <v>0</v>
      </c>
    </row>
    <row r="47" spans="1:128" ht="15" thickTop="1">
      <c r="A47" s="1070"/>
      <c r="B47" s="1304" t="s">
        <v>335</v>
      </c>
      <c r="C47" s="1173" t="s">
        <v>143</v>
      </c>
      <c r="D47" s="1202" t="s">
        <v>144</v>
      </c>
      <c r="E47" s="1203" t="s">
        <v>145</v>
      </c>
      <c r="F47" s="1174" t="s">
        <v>143</v>
      </c>
      <c r="G47" s="1216" t="s">
        <v>144</v>
      </c>
      <c r="H47" s="1203" t="s">
        <v>145</v>
      </c>
      <c r="I47" s="1174" t="s">
        <v>143</v>
      </c>
      <c r="J47" s="1216" t="s">
        <v>144</v>
      </c>
      <c r="K47" s="1203" t="s">
        <v>145</v>
      </c>
      <c r="L47" s="1174"/>
      <c r="M47" s="1216"/>
      <c r="N47" s="1203"/>
      <c r="O47" s="1174" t="s">
        <v>143</v>
      </c>
      <c r="P47" s="1216" t="s">
        <v>144</v>
      </c>
      <c r="Q47" s="1227" t="s">
        <v>145</v>
      </c>
      <c r="R47" s="1174" t="s">
        <v>143</v>
      </c>
      <c r="S47" s="1216" t="s">
        <v>144</v>
      </c>
      <c r="T47" s="1216" t="s">
        <v>145</v>
      </c>
      <c r="U47" s="1174" t="s">
        <v>143</v>
      </c>
      <c r="V47" s="1232" t="s">
        <v>144</v>
      </c>
      <c r="W47" s="1233" t="s">
        <v>145</v>
      </c>
      <c r="X47" s="1174" t="s">
        <v>143</v>
      </c>
      <c r="Y47" s="1216" t="s">
        <v>144</v>
      </c>
      <c r="Z47" s="1227" t="s">
        <v>145</v>
      </c>
      <c r="AA47" s="1174" t="s">
        <v>143</v>
      </c>
      <c r="AB47" s="1232" t="s">
        <v>144</v>
      </c>
      <c r="AC47" s="1227" t="s">
        <v>145</v>
      </c>
      <c r="AD47" s="1174" t="s">
        <v>143</v>
      </c>
      <c r="AE47" s="1232" t="s">
        <v>144</v>
      </c>
      <c r="AF47" s="1216" t="s">
        <v>145</v>
      </c>
      <c r="AG47" s="1174" t="s">
        <v>143</v>
      </c>
      <c r="AH47" s="1232" t="s">
        <v>144</v>
      </c>
      <c r="AI47" s="1216" t="s">
        <v>145</v>
      </c>
      <c r="AJ47" s="1174" t="s">
        <v>143</v>
      </c>
      <c r="AK47" s="1232" t="s">
        <v>144</v>
      </c>
      <c r="AL47" s="1216" t="s">
        <v>145</v>
      </c>
      <c r="AM47" s="1174" t="s">
        <v>143</v>
      </c>
      <c r="AN47" s="1232" t="s">
        <v>144</v>
      </c>
      <c r="AO47" s="1216" t="s">
        <v>145</v>
      </c>
      <c r="AP47" s="1174" t="s">
        <v>143</v>
      </c>
      <c r="AQ47" s="1232" t="s">
        <v>144</v>
      </c>
      <c r="AR47" s="1216" t="s">
        <v>145</v>
      </c>
      <c r="AS47" s="1174" t="s">
        <v>143</v>
      </c>
      <c r="AT47" s="1232" t="s">
        <v>144</v>
      </c>
      <c r="AU47" s="1216" t="s">
        <v>145</v>
      </c>
      <c r="AV47" s="1174" t="s">
        <v>143</v>
      </c>
      <c r="AW47" s="1232" t="s">
        <v>144</v>
      </c>
      <c r="AX47" s="1216" t="s">
        <v>145</v>
      </c>
      <c r="AY47" s="1174" t="s">
        <v>143</v>
      </c>
      <c r="AZ47" s="1232" t="s">
        <v>144</v>
      </c>
      <c r="BA47" s="1216" t="s">
        <v>145</v>
      </c>
      <c r="BB47" s="1174" t="s">
        <v>143</v>
      </c>
      <c r="BC47" s="1232" t="s">
        <v>144</v>
      </c>
      <c r="BD47" s="1216" t="s">
        <v>145</v>
      </c>
      <c r="BE47" s="1174" t="s">
        <v>143</v>
      </c>
      <c r="BF47" s="1216" t="s">
        <v>144</v>
      </c>
      <c r="BG47" s="1203" t="s">
        <v>145</v>
      </c>
      <c r="BH47" s="1174" t="s">
        <v>143</v>
      </c>
      <c r="BI47" s="1232" t="s">
        <v>144</v>
      </c>
      <c r="BJ47" s="1203" t="s">
        <v>145</v>
      </c>
      <c r="BK47" s="1174" t="s">
        <v>143</v>
      </c>
      <c r="BL47" s="1232" t="s">
        <v>144</v>
      </c>
      <c r="BM47" s="1203" t="s">
        <v>145</v>
      </c>
      <c r="BN47" s="1174" t="s">
        <v>143</v>
      </c>
      <c r="BO47" s="1232" t="s">
        <v>144</v>
      </c>
      <c r="BP47" s="1203" t="s">
        <v>145</v>
      </c>
      <c r="BQ47" s="1174" t="s">
        <v>143</v>
      </c>
      <c r="BR47" s="1216" t="s">
        <v>144</v>
      </c>
      <c r="BS47" s="1255" t="s">
        <v>145</v>
      </c>
      <c r="BT47" s="1174" t="s">
        <v>143</v>
      </c>
      <c r="BU47" s="1232" t="s">
        <v>144</v>
      </c>
      <c r="BV47" s="1216" t="s">
        <v>145</v>
      </c>
      <c r="BW47" s="1174" t="s">
        <v>143</v>
      </c>
      <c r="BX47" s="1232" t="s">
        <v>144</v>
      </c>
      <c r="BY47" s="1216" t="s">
        <v>145</v>
      </c>
      <c r="BZ47" s="1174" t="s">
        <v>143</v>
      </c>
      <c r="CA47" s="1232" t="s">
        <v>144</v>
      </c>
      <c r="CB47" s="1216" t="s">
        <v>145</v>
      </c>
      <c r="CC47" s="1174" t="s">
        <v>143</v>
      </c>
      <c r="CD47" s="1232" t="s">
        <v>144</v>
      </c>
      <c r="CE47" s="1216" t="s">
        <v>145</v>
      </c>
      <c r="CF47" s="1174" t="s">
        <v>143</v>
      </c>
      <c r="CG47" s="1232" t="s">
        <v>144</v>
      </c>
      <c r="CH47" s="1216" t="s">
        <v>145</v>
      </c>
      <c r="CI47" s="1174" t="s">
        <v>143</v>
      </c>
      <c r="CJ47" s="1232" t="s">
        <v>144</v>
      </c>
      <c r="CK47" s="1216" t="s">
        <v>145</v>
      </c>
      <c r="CL47" s="1174" t="s">
        <v>143</v>
      </c>
      <c r="CM47" s="1232" t="s">
        <v>144</v>
      </c>
      <c r="CN47" s="1216" t="s">
        <v>145</v>
      </c>
      <c r="CO47" s="1174" t="s">
        <v>143</v>
      </c>
      <c r="CP47" s="1232" t="s">
        <v>144</v>
      </c>
      <c r="CQ47" s="1216" t="s">
        <v>145</v>
      </c>
      <c r="CR47" s="1174" t="s">
        <v>143</v>
      </c>
      <c r="CS47" s="1232" t="s">
        <v>144</v>
      </c>
      <c r="CT47" s="1216" t="s">
        <v>145</v>
      </c>
      <c r="CU47" s="1174" t="s">
        <v>143</v>
      </c>
      <c r="CV47" s="1232" t="s">
        <v>144</v>
      </c>
      <c r="CW47" s="1216" t="s">
        <v>145</v>
      </c>
      <c r="CX47" s="1174" t="s">
        <v>143</v>
      </c>
      <c r="CY47" s="1232" t="s">
        <v>144</v>
      </c>
      <c r="CZ47" s="1216" t="s">
        <v>145</v>
      </c>
      <c r="DA47" s="1174" t="s">
        <v>143</v>
      </c>
      <c r="DB47" s="1232" t="s">
        <v>144</v>
      </c>
      <c r="DC47" s="1216" t="s">
        <v>145</v>
      </c>
      <c r="DD47" s="1174" t="s">
        <v>143</v>
      </c>
      <c r="DE47" s="1216" t="s">
        <v>144</v>
      </c>
      <c r="DF47" s="1216" t="s">
        <v>145</v>
      </c>
      <c r="DG47" s="1174" t="s">
        <v>143</v>
      </c>
      <c r="DH47" s="1216" t="s">
        <v>144</v>
      </c>
      <c r="DI47" s="1216" t="s">
        <v>145</v>
      </c>
      <c r="DJ47" s="1174" t="s">
        <v>143</v>
      </c>
      <c r="DK47" s="1216" t="s">
        <v>144</v>
      </c>
      <c r="DL47" s="1216" t="s">
        <v>145</v>
      </c>
      <c r="DM47" s="1174" t="s">
        <v>143</v>
      </c>
      <c r="DN47" s="1216" t="s">
        <v>144</v>
      </c>
      <c r="DO47" s="1216" t="s">
        <v>145</v>
      </c>
      <c r="DP47" s="1174" t="s">
        <v>143</v>
      </c>
      <c r="DQ47" s="1216" t="s">
        <v>144</v>
      </c>
      <c r="DR47" s="1216" t="s">
        <v>145</v>
      </c>
      <c r="DS47" s="1174" t="s">
        <v>143</v>
      </c>
      <c r="DT47" s="1216" t="s">
        <v>144</v>
      </c>
      <c r="DU47" s="1216" t="s">
        <v>145</v>
      </c>
      <c r="DV47" s="1174" t="s">
        <v>143</v>
      </c>
      <c r="DW47" s="1216" t="s">
        <v>144</v>
      </c>
      <c r="DX47" s="1246" t="s">
        <v>145</v>
      </c>
    </row>
    <row r="48" spans="1:128">
      <c r="B48" s="1305" t="s">
        <v>336</v>
      </c>
      <c r="C48" s="1155"/>
      <c r="D48" s="1195"/>
      <c r="E48" s="1199">
        <f>C48*D48</f>
        <v>0</v>
      </c>
      <c r="F48" s="1156"/>
      <c r="G48" s="1195"/>
      <c r="H48" s="1199">
        <f t="shared" ref="H48:H53" si="163">F48*G48</f>
        <v>0</v>
      </c>
      <c r="I48" s="1156"/>
      <c r="J48" s="1195"/>
      <c r="K48" s="1222">
        <f t="shared" ref="K48:K53" si="164">J48*I48</f>
        <v>0</v>
      </c>
      <c r="L48" s="1156">
        <v>1.28</v>
      </c>
      <c r="M48" s="1195"/>
      <c r="N48" s="1222">
        <f t="shared" ref="N48:N53" si="165">M48*L48</f>
        <v>0</v>
      </c>
      <c r="O48" s="1156"/>
      <c r="P48" s="1195"/>
      <c r="Q48" s="1222">
        <f t="shared" ref="Q48:Q53" si="166">O48*P48</f>
        <v>0</v>
      </c>
      <c r="R48" s="1156">
        <v>1.86</v>
      </c>
      <c r="S48" s="1195"/>
      <c r="T48" s="1222">
        <f t="shared" ref="T48:T53" si="167">R48*S48</f>
        <v>0</v>
      </c>
      <c r="U48" s="1156"/>
      <c r="V48" s="1195"/>
      <c r="W48" s="1222">
        <f t="shared" ref="W48:W53" si="168">U48*V48</f>
        <v>0</v>
      </c>
      <c r="X48" s="1156"/>
      <c r="Y48" s="1195"/>
      <c r="Z48" s="1222">
        <f t="shared" ref="Z48:Z53" si="169">X48*Y48</f>
        <v>0</v>
      </c>
      <c r="AA48" s="1156"/>
      <c r="AB48" s="1195"/>
      <c r="AC48" s="1222">
        <f t="shared" ref="AC48:AC53" si="170">AA48*AB48</f>
        <v>0</v>
      </c>
      <c r="AD48" s="1156"/>
      <c r="AE48" s="1195"/>
      <c r="AF48" s="1222">
        <f t="shared" ref="AF48:AF53" si="171">AD48*AE48</f>
        <v>0</v>
      </c>
      <c r="AG48" s="1156"/>
      <c r="AH48" s="1195"/>
      <c r="AI48" s="1222">
        <f t="shared" ref="AI48:AI53" si="172">AG48*AH48</f>
        <v>0</v>
      </c>
      <c r="AJ48" s="1156"/>
      <c r="AK48" s="1195"/>
      <c r="AL48" s="1222">
        <f t="shared" ref="AL48:AL53" si="173">AJ48*AK48</f>
        <v>0</v>
      </c>
      <c r="AM48" s="1156"/>
      <c r="AN48" s="1195"/>
      <c r="AO48" s="1222">
        <f t="shared" ref="AO48:AO53" si="174">AM48*AN48</f>
        <v>0</v>
      </c>
      <c r="AP48" s="1156"/>
      <c r="AQ48" s="1195"/>
      <c r="AR48" s="1222">
        <f t="shared" ref="AR48:AR53" si="175">AP48*AQ48</f>
        <v>0</v>
      </c>
      <c r="AS48" s="1156"/>
      <c r="AT48" s="1195"/>
      <c r="AU48" s="1222">
        <f t="shared" ref="AU48:AU53" si="176">AS48*AT48</f>
        <v>0</v>
      </c>
      <c r="AV48" s="1156"/>
      <c r="AW48" s="1195"/>
      <c r="AX48" s="1222">
        <f t="shared" ref="AX48:AX53" si="177">AV48*AW48</f>
        <v>0</v>
      </c>
      <c r="AY48" s="1156"/>
      <c r="AZ48" s="1195"/>
      <c r="BA48" s="1222">
        <f t="shared" ref="BA48:BA53" si="178">AY48*AZ48</f>
        <v>0</v>
      </c>
      <c r="BB48" s="1156"/>
      <c r="BC48" s="1195"/>
      <c r="BD48" s="1222">
        <f t="shared" ref="BD48:BD53" si="179">BB48*BC48</f>
        <v>0</v>
      </c>
      <c r="BE48" s="1183">
        <f>0.8*0.0737*BE5</f>
        <v>2.4763200000000006E-2</v>
      </c>
      <c r="BF48" s="1195">
        <v>225</v>
      </c>
      <c r="BG48" s="1222">
        <f t="shared" ref="BG48:BG53" si="180">BF48*BE48</f>
        <v>5.5717200000000018</v>
      </c>
      <c r="BH48" s="1183">
        <f>0.85*0.035*BH5</f>
        <v>1.2495000000000003E-2</v>
      </c>
      <c r="BI48" s="1195">
        <v>225</v>
      </c>
      <c r="BJ48" s="1222">
        <f t="shared" ref="BJ48:BJ53" si="181">BI48*BH48</f>
        <v>2.8113750000000004</v>
      </c>
      <c r="BK48" s="1156"/>
      <c r="BL48" s="1195"/>
      <c r="BM48" s="1222">
        <f t="shared" ref="BM48:BM53" si="182">BL48*BK48</f>
        <v>0</v>
      </c>
      <c r="BN48" s="1156">
        <v>5</v>
      </c>
      <c r="BO48" s="1195"/>
      <c r="BP48" s="1222">
        <f t="shared" ref="BP48:BP53" si="183">BO48*BN48</f>
        <v>0</v>
      </c>
      <c r="BQ48" s="1156"/>
      <c r="BR48" s="1217"/>
      <c r="BS48" s="1222">
        <f t="shared" ref="BS48:BS53" si="184">BR48*BQ48</f>
        <v>0</v>
      </c>
      <c r="BT48" s="1156"/>
      <c r="BU48" s="1195"/>
      <c r="BV48" s="1222">
        <f t="shared" ref="BV48:BV53" si="185">BT48*BU48</f>
        <v>0</v>
      </c>
      <c r="BW48" s="1156"/>
      <c r="BX48" s="1195"/>
      <c r="BY48" s="1222">
        <f t="shared" ref="BY48:BY53" si="186">BW48*BX48</f>
        <v>0</v>
      </c>
      <c r="BZ48" s="1156"/>
      <c r="CA48" s="1195"/>
      <c r="CB48" s="1222">
        <f t="shared" ref="CB48:CB53" si="187">BZ48*CA48</f>
        <v>0</v>
      </c>
      <c r="CC48" s="1156"/>
      <c r="CD48" s="1195"/>
      <c r="CE48" s="1222">
        <f t="shared" ref="CE48:CE53" si="188">CC48*CD48</f>
        <v>0</v>
      </c>
      <c r="CF48" s="1156"/>
      <c r="CG48" s="1195"/>
      <c r="CH48" s="1222">
        <f t="shared" ref="CH48:CH53" si="189">CF48*CG48</f>
        <v>0</v>
      </c>
      <c r="CI48" s="1156"/>
      <c r="CJ48" s="1195"/>
      <c r="CK48" s="1222">
        <f t="shared" ref="CK48:CK53" si="190">CI48*CJ48</f>
        <v>0</v>
      </c>
      <c r="CL48" s="1156"/>
      <c r="CM48" s="1195"/>
      <c r="CN48" s="1222">
        <f t="shared" ref="CN48:CN53" si="191">CL48*CM48</f>
        <v>0</v>
      </c>
      <c r="CO48" s="1156"/>
      <c r="CP48" s="1195"/>
      <c r="CQ48" s="1222">
        <f t="shared" ref="CQ48:CQ53" si="192">CO48*CP48</f>
        <v>0</v>
      </c>
      <c r="CR48" s="1156"/>
      <c r="CS48" s="1195"/>
      <c r="CT48" s="1222">
        <f t="shared" ref="CT48:CT53" si="193">CR48*CS48</f>
        <v>0</v>
      </c>
      <c r="CU48" s="1156"/>
      <c r="CV48" s="1195"/>
      <c r="CW48" s="1222">
        <f t="shared" ref="CW48:CW53" si="194">CU48*CV48</f>
        <v>0</v>
      </c>
      <c r="CX48" s="1156"/>
      <c r="CY48" s="1195"/>
      <c r="CZ48" s="1222">
        <f t="shared" ref="CZ48:CZ53" si="195">CX48*CY48</f>
        <v>0</v>
      </c>
      <c r="DA48" s="1156">
        <v>4.4000000000000004</v>
      </c>
      <c r="DB48" s="1195"/>
      <c r="DC48" s="1222">
        <f t="shared" ref="DC48:DC53" si="196">DA48*DB48</f>
        <v>0</v>
      </c>
      <c r="DD48" s="1156"/>
      <c r="DE48" s="1217"/>
      <c r="DF48" s="1222">
        <f t="shared" ref="DF48:DF53" si="197">DD48*DE48</f>
        <v>0</v>
      </c>
      <c r="DG48" s="1156"/>
      <c r="DH48" s="1217"/>
      <c r="DI48" s="1222">
        <f t="shared" ref="DI48:DI53" si="198">DG48*DH48</f>
        <v>0</v>
      </c>
      <c r="DJ48" s="1156"/>
      <c r="DK48" s="1217"/>
      <c r="DL48" s="1222">
        <f t="shared" ref="DL48:DL53" si="199">DJ48*DK48</f>
        <v>0</v>
      </c>
      <c r="DM48" s="1156"/>
      <c r="DN48" s="1217"/>
      <c r="DO48" s="1222">
        <f t="shared" ref="DO48:DO53" si="200">DM48*DN48</f>
        <v>0</v>
      </c>
      <c r="DP48" s="1156"/>
      <c r="DQ48" s="1217"/>
      <c r="DR48" s="1222">
        <f t="shared" ref="DR48:DR53" si="201">DP48*DQ48</f>
        <v>0</v>
      </c>
      <c r="DS48" s="1156"/>
      <c r="DT48" s="1217"/>
      <c r="DU48" s="1222">
        <f t="shared" ref="DU48:DU53" si="202">DS48*DT48</f>
        <v>0</v>
      </c>
      <c r="DV48" s="1156"/>
      <c r="DW48" s="1217"/>
      <c r="DX48" s="1244">
        <f t="shared" ref="DX48:DX53" si="203">DV48*DW48</f>
        <v>0</v>
      </c>
    </row>
    <row r="49" spans="1:130">
      <c r="B49" s="1305" t="s">
        <v>337</v>
      </c>
      <c r="C49" s="1184">
        <f>0.8*0.0313*C5</f>
        <v>0.20032000000000003</v>
      </c>
      <c r="D49" s="1195">
        <v>270</v>
      </c>
      <c r="E49" s="1199">
        <f>C49*D49</f>
        <v>54.086400000000005</v>
      </c>
      <c r="F49" s="1184">
        <f>0.85*0.0268*F5</f>
        <v>0.21276520000000002</v>
      </c>
      <c r="G49" s="1195">
        <v>180</v>
      </c>
      <c r="H49" s="1199">
        <f t="shared" si="163"/>
        <v>38.297736</v>
      </c>
      <c r="I49" s="1184">
        <f>0.8*0.024*I5</f>
        <v>5.3760000000000002E-2</v>
      </c>
      <c r="J49" s="1195">
        <v>600</v>
      </c>
      <c r="K49" s="1222">
        <f t="shared" si="164"/>
        <v>32.256</v>
      </c>
      <c r="L49" s="1183">
        <f>0.85*0.0248*L5</f>
        <v>5.4807999999999996E-2</v>
      </c>
      <c r="M49" s="1195">
        <v>400</v>
      </c>
      <c r="N49" s="1222">
        <f t="shared" si="165"/>
        <v>21.923199999999998</v>
      </c>
      <c r="O49" s="1183">
        <f>0.8*0.052*O5</f>
        <v>0.13311999999999999</v>
      </c>
      <c r="P49" s="1195">
        <v>438</v>
      </c>
      <c r="Q49" s="1222">
        <f t="shared" si="166"/>
        <v>58.306559999999998</v>
      </c>
      <c r="R49" s="1183">
        <f>0.85*0.0478*R5</f>
        <v>0.12595300000000001</v>
      </c>
      <c r="S49" s="1195">
        <v>292</v>
      </c>
      <c r="T49" s="1222">
        <f t="shared" si="167"/>
        <v>36.778276000000005</v>
      </c>
      <c r="U49" s="1183">
        <f>0.8*0.052*U5</f>
        <v>0.13311999999999999</v>
      </c>
      <c r="V49" s="1195">
        <v>438</v>
      </c>
      <c r="W49" s="1222">
        <f t="shared" si="168"/>
        <v>58.306559999999998</v>
      </c>
      <c r="X49" s="1183">
        <f>0.8*0.052*X5</f>
        <v>0.17471999999999999</v>
      </c>
      <c r="Y49" s="1195">
        <v>292</v>
      </c>
      <c r="Z49" s="1222">
        <f t="shared" si="169"/>
        <v>51.018239999999999</v>
      </c>
      <c r="AA49" s="1183">
        <f>0.8*0.0737*AA5</f>
        <v>0.15919200000000003</v>
      </c>
      <c r="AB49" s="1195">
        <v>225</v>
      </c>
      <c r="AC49" s="1222">
        <f t="shared" si="170"/>
        <v>35.818200000000004</v>
      </c>
      <c r="AD49" s="1183">
        <f>0.85*0.035*AD5</f>
        <v>8.5977500000000012E-2</v>
      </c>
      <c r="AE49" s="1195">
        <v>225</v>
      </c>
      <c r="AF49" s="1222">
        <f t="shared" si="171"/>
        <v>19.344937500000004</v>
      </c>
      <c r="AG49" s="1183">
        <f>0.8*0.07*AG5</f>
        <v>0.12488000000000002</v>
      </c>
      <c r="AH49" s="1195">
        <v>298</v>
      </c>
      <c r="AI49" s="1222">
        <f t="shared" si="172"/>
        <v>37.214240000000004</v>
      </c>
      <c r="AJ49" s="1183">
        <f>0.85*0.0272*AJ5</f>
        <v>4.9245599999999994E-2</v>
      </c>
      <c r="AK49" s="1195">
        <v>248</v>
      </c>
      <c r="AL49" s="1222">
        <f t="shared" si="173"/>
        <v>12.212908799999999</v>
      </c>
      <c r="AM49" s="1156"/>
      <c r="AN49" s="1195"/>
      <c r="AO49" s="1222">
        <f t="shared" si="174"/>
        <v>0</v>
      </c>
      <c r="AP49" s="1156"/>
      <c r="AQ49" s="1195"/>
      <c r="AR49" s="1222">
        <f t="shared" si="175"/>
        <v>0</v>
      </c>
      <c r="AS49" s="1183">
        <f>0.8*0.0514*AS5</f>
        <v>0.12336000000000001</v>
      </c>
      <c r="AT49" s="1195">
        <v>281</v>
      </c>
      <c r="AU49" s="1222">
        <f t="shared" si="176"/>
        <v>34.664160000000003</v>
      </c>
      <c r="AV49" s="1183">
        <f>0.85*0.035*AV5</f>
        <v>8.925000000000001E-2</v>
      </c>
      <c r="AW49" s="1195">
        <v>225</v>
      </c>
      <c r="AX49" s="1222">
        <f t="shared" si="177"/>
        <v>20.081250000000001</v>
      </c>
      <c r="AY49" s="1183">
        <f>0.88*0.0168*AY6</f>
        <v>5.6578367999999997E-2</v>
      </c>
      <c r="AZ49" s="1195">
        <v>125</v>
      </c>
      <c r="BA49" s="1222">
        <f t="shared" si="178"/>
        <v>7.0722959999999997</v>
      </c>
      <c r="BB49" s="1183">
        <f>0.88*0.0168*BB6</f>
        <v>5.6578367999999997E-2</v>
      </c>
      <c r="BC49" s="1195">
        <v>125</v>
      </c>
      <c r="BD49" s="1222">
        <f t="shared" si="179"/>
        <v>7.0722959999999997</v>
      </c>
      <c r="BE49" s="1183">
        <f>0.88*0.018*BE6</f>
        <v>8.25264E-2</v>
      </c>
      <c r="BF49" s="1195">
        <v>125</v>
      </c>
      <c r="BG49" s="1222">
        <f t="shared" si="180"/>
        <v>10.315799999999999</v>
      </c>
      <c r="BH49" s="1183">
        <f>0.88*0.018*BH6</f>
        <v>8.25264E-2</v>
      </c>
      <c r="BI49" s="1195">
        <v>125</v>
      </c>
      <c r="BJ49" s="1222">
        <f t="shared" si="181"/>
        <v>10.315799999999999</v>
      </c>
      <c r="BK49" s="1183">
        <f>0.8*0.0076*BK6</f>
        <v>7.4480000000000005E-2</v>
      </c>
      <c r="BL49" s="1195">
        <v>110</v>
      </c>
      <c r="BM49" s="1222">
        <f t="shared" si="182"/>
        <v>8.1928000000000001</v>
      </c>
      <c r="BN49" s="1183">
        <f>0.8*0.0076*BN6</f>
        <v>7.4480000000000005E-2</v>
      </c>
      <c r="BO49" s="1195">
        <v>110</v>
      </c>
      <c r="BP49" s="1222">
        <f t="shared" si="183"/>
        <v>8.1928000000000001</v>
      </c>
      <c r="BQ49" s="1156"/>
      <c r="BR49" s="1217"/>
      <c r="BS49" s="1222">
        <f t="shared" si="184"/>
        <v>0</v>
      </c>
      <c r="BT49" s="1183">
        <f>0.8*0.0514*BT5</f>
        <v>0.1028</v>
      </c>
      <c r="BU49" s="1195">
        <v>295</v>
      </c>
      <c r="BV49" s="1222">
        <f t="shared" si="185"/>
        <v>30.326000000000001</v>
      </c>
      <c r="BW49" s="1183">
        <f>0.8*0.0514*BW5</f>
        <v>0.1028</v>
      </c>
      <c r="BX49" s="1195">
        <v>295</v>
      </c>
      <c r="BY49" s="1222">
        <f t="shared" si="186"/>
        <v>30.326000000000001</v>
      </c>
      <c r="BZ49" s="1183">
        <f>0.8*0.052*BZ5</f>
        <v>0.104</v>
      </c>
      <c r="CA49" s="1195">
        <v>350</v>
      </c>
      <c r="CB49" s="1222">
        <f t="shared" si="187"/>
        <v>36.4</v>
      </c>
      <c r="CC49" s="1183">
        <f>0.8*0.052*CC5</f>
        <v>0.104</v>
      </c>
      <c r="CD49" s="1195">
        <v>350</v>
      </c>
      <c r="CE49" s="1222">
        <f t="shared" si="188"/>
        <v>36.4</v>
      </c>
      <c r="CF49" s="1183">
        <f>0.8*0.0692*CF5</f>
        <v>8.3040000000000003E-2</v>
      </c>
      <c r="CG49" s="1195">
        <v>549</v>
      </c>
      <c r="CH49" s="1222">
        <f t="shared" si="189"/>
        <v>45.58896</v>
      </c>
      <c r="CI49" s="1183">
        <f>0.8*0.0566*CI5</f>
        <v>7.1089600000000003E-2</v>
      </c>
      <c r="CJ49" s="1195">
        <v>518</v>
      </c>
      <c r="CK49" s="1222">
        <f t="shared" si="190"/>
        <v>36.824412800000005</v>
      </c>
      <c r="CL49" s="1183">
        <f>0.8*0.1533*CL5</f>
        <v>7.7263200000000004E-2</v>
      </c>
      <c r="CM49" s="1195">
        <v>400</v>
      </c>
      <c r="CN49" s="1222">
        <f t="shared" si="191"/>
        <v>30.905280000000001</v>
      </c>
      <c r="CO49" s="1183">
        <f>0.8*0.1533*CO5</f>
        <v>7.7263200000000004E-2</v>
      </c>
      <c r="CP49" s="1195">
        <v>400</v>
      </c>
      <c r="CQ49" s="1222">
        <f t="shared" si="192"/>
        <v>30.905280000000001</v>
      </c>
      <c r="CR49" s="1183"/>
      <c r="CS49" s="1195"/>
      <c r="CT49" s="1222">
        <f t="shared" si="193"/>
        <v>0</v>
      </c>
      <c r="CU49" s="1156"/>
      <c r="CV49" s="1195"/>
      <c r="CW49" s="1222">
        <f t="shared" si="194"/>
        <v>0</v>
      </c>
      <c r="CX49" s="1183">
        <f>0.8*0.1142*CX5</f>
        <v>0.18271999999999999</v>
      </c>
      <c r="CY49" s="1195">
        <v>664</v>
      </c>
      <c r="CZ49" s="1222">
        <f t="shared" si="195"/>
        <v>121.32607999999999</v>
      </c>
      <c r="DA49" s="1183">
        <f>0.8*0.1142*DA5</f>
        <v>0.18271999999999999</v>
      </c>
      <c r="DB49" s="1195">
        <v>664</v>
      </c>
      <c r="DC49" s="1222">
        <f t="shared" si="196"/>
        <v>121.32607999999999</v>
      </c>
      <c r="DD49" s="1156"/>
      <c r="DE49" s="1217"/>
      <c r="DF49" s="1222">
        <f t="shared" si="197"/>
        <v>0</v>
      </c>
      <c r="DG49" s="1156"/>
      <c r="DH49" s="1217"/>
      <c r="DI49" s="1222">
        <f t="shared" si="198"/>
        <v>0</v>
      </c>
      <c r="DJ49" s="1156"/>
      <c r="DK49" s="1217"/>
      <c r="DL49" s="1222">
        <f t="shared" si="199"/>
        <v>0</v>
      </c>
      <c r="DM49" s="1156"/>
      <c r="DN49" s="1217"/>
      <c r="DO49" s="1222">
        <f t="shared" si="200"/>
        <v>0</v>
      </c>
      <c r="DP49" s="1156"/>
      <c r="DQ49" s="1217"/>
      <c r="DR49" s="1222">
        <f t="shared" si="201"/>
        <v>0</v>
      </c>
      <c r="DS49" s="1156"/>
      <c r="DT49" s="1217"/>
      <c r="DU49" s="1222">
        <f t="shared" si="202"/>
        <v>0</v>
      </c>
      <c r="DV49" s="1156"/>
      <c r="DW49" s="1217"/>
      <c r="DX49" s="1244">
        <f t="shared" si="203"/>
        <v>0</v>
      </c>
    </row>
    <row r="50" spans="1:130">
      <c r="B50" s="1305" t="s">
        <v>162</v>
      </c>
      <c r="C50" s="1185"/>
      <c r="D50" s="1195"/>
      <c r="E50" s="1199">
        <f>C50*D50</f>
        <v>0</v>
      </c>
      <c r="F50" s="1186"/>
      <c r="G50" s="1195"/>
      <c r="H50" s="1199">
        <f t="shared" si="163"/>
        <v>0</v>
      </c>
      <c r="I50" s="1186"/>
      <c r="J50" s="1195"/>
      <c r="K50" s="1222">
        <f t="shared" si="164"/>
        <v>0</v>
      </c>
      <c r="L50" s="1186"/>
      <c r="M50" s="1195"/>
      <c r="N50" s="1222">
        <f t="shared" si="165"/>
        <v>0</v>
      </c>
      <c r="O50" s="1156">
        <v>1</v>
      </c>
      <c r="P50" s="1195">
        <v>73.5</v>
      </c>
      <c r="Q50" s="1222">
        <f t="shared" si="166"/>
        <v>73.5</v>
      </c>
      <c r="R50" s="1156">
        <v>1</v>
      </c>
      <c r="S50" s="1195">
        <v>40.31</v>
      </c>
      <c r="T50" s="1222">
        <f t="shared" si="167"/>
        <v>40.31</v>
      </c>
      <c r="U50" s="1156">
        <v>1</v>
      </c>
      <c r="V50" s="1195">
        <v>73.5</v>
      </c>
      <c r="W50" s="1222">
        <f t="shared" si="168"/>
        <v>73.5</v>
      </c>
      <c r="X50" s="1156">
        <v>1</v>
      </c>
      <c r="Y50" s="1195">
        <v>40.31</v>
      </c>
      <c r="Z50" s="1222">
        <f t="shared" si="169"/>
        <v>40.31</v>
      </c>
      <c r="AA50" s="1156">
        <v>1</v>
      </c>
      <c r="AB50" s="1195">
        <v>61.11</v>
      </c>
      <c r="AC50" s="1222">
        <f t="shared" si="170"/>
        <v>61.11</v>
      </c>
      <c r="AD50" s="1156">
        <v>1</v>
      </c>
      <c r="AE50" s="1195">
        <v>51.41</v>
      </c>
      <c r="AF50" s="1222">
        <f t="shared" si="171"/>
        <v>51.41</v>
      </c>
      <c r="AG50" s="1156">
        <v>1</v>
      </c>
      <c r="AH50" s="1195">
        <v>78.38</v>
      </c>
      <c r="AI50" s="1222">
        <f t="shared" si="172"/>
        <v>78.38</v>
      </c>
      <c r="AJ50" s="1156">
        <v>1</v>
      </c>
      <c r="AK50" s="1195">
        <v>78.38</v>
      </c>
      <c r="AL50" s="1222">
        <f t="shared" si="173"/>
        <v>78.38</v>
      </c>
      <c r="AM50" s="1156"/>
      <c r="AN50" s="1195"/>
      <c r="AO50" s="1222">
        <f t="shared" si="174"/>
        <v>0</v>
      </c>
      <c r="AP50" s="1156"/>
      <c r="AQ50" s="1195"/>
      <c r="AR50" s="1222">
        <f t="shared" si="175"/>
        <v>0</v>
      </c>
      <c r="AS50" s="1156">
        <v>1</v>
      </c>
      <c r="AT50" s="1195">
        <v>40.31</v>
      </c>
      <c r="AU50" s="1222">
        <f t="shared" si="176"/>
        <v>40.31</v>
      </c>
      <c r="AV50" s="1156">
        <v>1</v>
      </c>
      <c r="AW50" s="1195">
        <v>51.41</v>
      </c>
      <c r="AX50" s="1222">
        <f t="shared" si="177"/>
        <v>51.41</v>
      </c>
      <c r="AY50" s="1156"/>
      <c r="AZ50" s="1195"/>
      <c r="BA50" s="1222">
        <f t="shared" si="178"/>
        <v>0</v>
      </c>
      <c r="BB50" s="1183"/>
      <c r="BC50" s="1195"/>
      <c r="BD50" s="1222">
        <f t="shared" si="179"/>
        <v>0</v>
      </c>
      <c r="BE50" s="1156">
        <f>1/5</f>
        <v>0.2</v>
      </c>
      <c r="BF50" s="1195">
        <v>51.41</v>
      </c>
      <c r="BG50" s="1222">
        <f t="shared" si="180"/>
        <v>10.282</v>
      </c>
      <c r="BH50" s="1156">
        <f>1/5</f>
        <v>0.2</v>
      </c>
      <c r="BI50" s="1195">
        <v>51.41</v>
      </c>
      <c r="BJ50" s="1222">
        <f t="shared" si="181"/>
        <v>10.282</v>
      </c>
      <c r="BK50" s="1156"/>
      <c r="BL50" s="1195"/>
      <c r="BM50" s="1222">
        <f t="shared" si="182"/>
        <v>0</v>
      </c>
      <c r="BN50" s="1156"/>
      <c r="BO50" s="1195"/>
      <c r="BP50" s="1222">
        <f t="shared" si="183"/>
        <v>0</v>
      </c>
      <c r="BQ50" s="1156"/>
      <c r="BR50" s="1217"/>
      <c r="BS50" s="1222">
        <f t="shared" si="184"/>
        <v>0</v>
      </c>
      <c r="BT50" s="1156">
        <v>1</v>
      </c>
      <c r="BU50" s="1195">
        <v>40.31</v>
      </c>
      <c r="BV50" s="1222">
        <f t="shared" si="185"/>
        <v>40.31</v>
      </c>
      <c r="BW50" s="1156">
        <v>1</v>
      </c>
      <c r="BX50" s="1195">
        <v>40.31</v>
      </c>
      <c r="BY50" s="1222">
        <f t="shared" si="186"/>
        <v>40.31</v>
      </c>
      <c r="BZ50" s="1156">
        <v>1</v>
      </c>
      <c r="CA50" s="1195">
        <v>40.31</v>
      </c>
      <c r="CB50" s="1222">
        <f t="shared" si="187"/>
        <v>40.31</v>
      </c>
      <c r="CC50" s="1156">
        <v>1</v>
      </c>
      <c r="CD50" s="1195">
        <v>40.31</v>
      </c>
      <c r="CE50" s="1222">
        <f t="shared" si="188"/>
        <v>40.31</v>
      </c>
      <c r="CF50" s="1156">
        <v>1</v>
      </c>
      <c r="CG50" s="1195">
        <v>8.68</v>
      </c>
      <c r="CH50" s="1222">
        <f t="shared" si="189"/>
        <v>8.68</v>
      </c>
      <c r="CI50" s="1156">
        <v>1</v>
      </c>
      <c r="CJ50" s="1195">
        <v>18.440000000000001</v>
      </c>
      <c r="CK50" s="1222">
        <f t="shared" si="190"/>
        <v>18.440000000000001</v>
      </c>
      <c r="CL50" s="1156"/>
      <c r="CM50" s="1195"/>
      <c r="CN50" s="1222">
        <f t="shared" si="191"/>
        <v>0</v>
      </c>
      <c r="CO50" s="1156"/>
      <c r="CP50" s="1195"/>
      <c r="CQ50" s="1222">
        <f t="shared" si="192"/>
        <v>0</v>
      </c>
      <c r="CR50" s="1156"/>
      <c r="CS50" s="1195"/>
      <c r="CT50" s="1222">
        <f t="shared" si="193"/>
        <v>0</v>
      </c>
      <c r="CU50" s="1156"/>
      <c r="CV50" s="1195"/>
      <c r="CW50" s="1222">
        <f t="shared" si="194"/>
        <v>0</v>
      </c>
      <c r="CX50" s="1156"/>
      <c r="CY50" s="1195"/>
      <c r="CZ50" s="1222">
        <f t="shared" si="195"/>
        <v>0</v>
      </c>
      <c r="DA50" s="1156"/>
      <c r="DB50" s="1195"/>
      <c r="DC50" s="1222">
        <f t="shared" si="196"/>
        <v>0</v>
      </c>
      <c r="DD50" s="1156"/>
      <c r="DE50" s="1217"/>
      <c r="DF50" s="1222">
        <f t="shared" si="197"/>
        <v>0</v>
      </c>
      <c r="DG50" s="1156"/>
      <c r="DH50" s="1217"/>
      <c r="DI50" s="1222">
        <f t="shared" si="198"/>
        <v>0</v>
      </c>
      <c r="DJ50" s="1156"/>
      <c r="DK50" s="1217"/>
      <c r="DL50" s="1222">
        <f t="shared" si="199"/>
        <v>0</v>
      </c>
      <c r="DM50" s="1156"/>
      <c r="DN50" s="1217"/>
      <c r="DO50" s="1222">
        <f t="shared" si="200"/>
        <v>0</v>
      </c>
      <c r="DP50" s="1156"/>
      <c r="DQ50" s="1217"/>
      <c r="DR50" s="1222">
        <f t="shared" si="201"/>
        <v>0</v>
      </c>
      <c r="DS50" s="1156"/>
      <c r="DT50" s="1217"/>
      <c r="DU50" s="1222">
        <f t="shared" si="202"/>
        <v>0</v>
      </c>
      <c r="DV50" s="1156"/>
      <c r="DW50" s="1217"/>
      <c r="DX50" s="1244">
        <f t="shared" si="203"/>
        <v>0</v>
      </c>
    </row>
    <row r="51" spans="1:130">
      <c r="B51" s="1305" t="s">
        <v>163</v>
      </c>
      <c r="C51" s="1155"/>
      <c r="D51" s="1195"/>
      <c r="E51" s="1199">
        <f>C51*D51</f>
        <v>0</v>
      </c>
      <c r="F51" s="1156"/>
      <c r="G51" s="1195"/>
      <c r="H51" s="1199">
        <f t="shared" si="163"/>
        <v>0</v>
      </c>
      <c r="I51" s="1156"/>
      <c r="J51" s="1195"/>
      <c r="K51" s="1222">
        <f t="shared" si="164"/>
        <v>0</v>
      </c>
      <c r="L51" s="1156"/>
      <c r="M51" s="1195"/>
      <c r="N51" s="1222">
        <f t="shared" si="165"/>
        <v>0</v>
      </c>
      <c r="O51" s="1156"/>
      <c r="P51" s="1195"/>
      <c r="Q51" s="1222">
        <f t="shared" si="166"/>
        <v>0</v>
      </c>
      <c r="R51" s="1156"/>
      <c r="S51" s="1195"/>
      <c r="T51" s="1222">
        <f t="shared" si="167"/>
        <v>0</v>
      </c>
      <c r="U51" s="1156"/>
      <c r="V51" s="1195"/>
      <c r="W51" s="1222">
        <f t="shared" si="168"/>
        <v>0</v>
      </c>
      <c r="X51" s="1156"/>
      <c r="Y51" s="1195"/>
      <c r="Z51" s="1222">
        <f t="shared" si="169"/>
        <v>0</v>
      </c>
      <c r="AA51" s="1156"/>
      <c r="AB51" s="1195"/>
      <c r="AC51" s="1222">
        <f t="shared" si="170"/>
        <v>0</v>
      </c>
      <c r="AD51" s="1156"/>
      <c r="AE51" s="1195"/>
      <c r="AF51" s="1222">
        <f t="shared" si="171"/>
        <v>0</v>
      </c>
      <c r="AG51" s="1156"/>
      <c r="AH51" s="1195"/>
      <c r="AI51" s="1222">
        <f t="shared" si="172"/>
        <v>0</v>
      </c>
      <c r="AJ51" s="1156"/>
      <c r="AK51" s="1195"/>
      <c r="AL51" s="1222">
        <f t="shared" si="173"/>
        <v>0</v>
      </c>
      <c r="AM51" s="1156"/>
      <c r="AN51" s="1195"/>
      <c r="AO51" s="1222">
        <f t="shared" si="174"/>
        <v>0</v>
      </c>
      <c r="AP51" s="1156"/>
      <c r="AQ51" s="1195"/>
      <c r="AR51" s="1222">
        <f t="shared" si="175"/>
        <v>0</v>
      </c>
      <c r="AS51" s="1156"/>
      <c r="AT51" s="1195"/>
      <c r="AU51" s="1222">
        <f t="shared" si="176"/>
        <v>0</v>
      </c>
      <c r="AV51" s="1156"/>
      <c r="AW51" s="1195"/>
      <c r="AX51" s="1222">
        <f t="shared" si="177"/>
        <v>0</v>
      </c>
      <c r="AY51" s="1156"/>
      <c r="AZ51" s="1195"/>
      <c r="BA51" s="1222">
        <f t="shared" si="178"/>
        <v>0</v>
      </c>
      <c r="BB51" s="1156"/>
      <c r="BC51" s="1195"/>
      <c r="BD51" s="1222">
        <f t="shared" si="179"/>
        <v>0</v>
      </c>
      <c r="BE51" s="1156"/>
      <c r="BF51" s="1195"/>
      <c r="BG51" s="1222">
        <f t="shared" si="180"/>
        <v>0</v>
      </c>
      <c r="BH51" s="1156"/>
      <c r="BI51" s="1195"/>
      <c r="BJ51" s="1222">
        <f t="shared" si="181"/>
        <v>0</v>
      </c>
      <c r="BK51" s="1156"/>
      <c r="BL51" s="1195"/>
      <c r="BM51" s="1222">
        <f t="shared" si="182"/>
        <v>0</v>
      </c>
      <c r="BN51" s="1156"/>
      <c r="BO51" s="1195"/>
      <c r="BP51" s="1222">
        <f t="shared" si="183"/>
        <v>0</v>
      </c>
      <c r="BQ51" s="1156"/>
      <c r="BR51" s="1217"/>
      <c r="BS51" s="1222">
        <f t="shared" si="184"/>
        <v>0</v>
      </c>
      <c r="BT51" s="1156"/>
      <c r="BU51" s="1195"/>
      <c r="BV51" s="1222">
        <f t="shared" si="185"/>
        <v>0</v>
      </c>
      <c r="BW51" s="1156"/>
      <c r="BX51" s="1195"/>
      <c r="BY51" s="1222">
        <f t="shared" si="186"/>
        <v>0</v>
      </c>
      <c r="BZ51" s="1156"/>
      <c r="CA51" s="1195"/>
      <c r="CB51" s="1222">
        <f t="shared" si="187"/>
        <v>0</v>
      </c>
      <c r="CC51" s="1156"/>
      <c r="CD51" s="1195"/>
      <c r="CE51" s="1222">
        <f t="shared" si="188"/>
        <v>0</v>
      </c>
      <c r="CF51" s="1156"/>
      <c r="CG51" s="1195"/>
      <c r="CH51" s="1222">
        <f t="shared" si="189"/>
        <v>0</v>
      </c>
      <c r="CI51" s="1156"/>
      <c r="CJ51" s="1195"/>
      <c r="CK51" s="1222">
        <f t="shared" si="190"/>
        <v>0</v>
      </c>
      <c r="CL51" s="1156"/>
      <c r="CM51" s="1195"/>
      <c r="CN51" s="1222">
        <f t="shared" si="191"/>
        <v>0</v>
      </c>
      <c r="CO51" s="1156"/>
      <c r="CP51" s="1195"/>
      <c r="CQ51" s="1222">
        <f t="shared" si="192"/>
        <v>0</v>
      </c>
      <c r="CR51" s="1156"/>
      <c r="CS51" s="1195"/>
      <c r="CT51" s="1222">
        <f t="shared" si="193"/>
        <v>0</v>
      </c>
      <c r="CU51" s="1156"/>
      <c r="CV51" s="1195"/>
      <c r="CW51" s="1222">
        <f t="shared" si="194"/>
        <v>0</v>
      </c>
      <c r="CX51" s="1156"/>
      <c r="CY51" s="1195"/>
      <c r="CZ51" s="1222">
        <f t="shared" si="195"/>
        <v>0</v>
      </c>
      <c r="DA51" s="1156"/>
      <c r="DB51" s="1195"/>
      <c r="DC51" s="1222">
        <f t="shared" si="196"/>
        <v>0</v>
      </c>
      <c r="DD51" s="1156"/>
      <c r="DE51" s="1217"/>
      <c r="DF51" s="1222">
        <f t="shared" si="197"/>
        <v>0</v>
      </c>
      <c r="DG51" s="1156"/>
      <c r="DH51" s="1217"/>
      <c r="DI51" s="1222">
        <f t="shared" si="198"/>
        <v>0</v>
      </c>
      <c r="DJ51" s="1156"/>
      <c r="DK51" s="1217"/>
      <c r="DL51" s="1222">
        <f t="shared" si="199"/>
        <v>0</v>
      </c>
      <c r="DM51" s="1156"/>
      <c r="DN51" s="1217"/>
      <c r="DO51" s="1222">
        <f t="shared" si="200"/>
        <v>0</v>
      </c>
      <c r="DP51" s="1156"/>
      <c r="DQ51" s="1217"/>
      <c r="DR51" s="1222">
        <f t="shared" si="201"/>
        <v>0</v>
      </c>
      <c r="DS51" s="1156"/>
      <c r="DT51" s="1217"/>
      <c r="DU51" s="1222">
        <f t="shared" si="202"/>
        <v>0</v>
      </c>
      <c r="DV51" s="1156"/>
      <c r="DW51" s="1217"/>
      <c r="DX51" s="1244">
        <f t="shared" si="203"/>
        <v>0</v>
      </c>
    </row>
    <row r="52" spans="1:130">
      <c r="B52" s="1305" t="s">
        <v>613</v>
      </c>
      <c r="C52" s="1164">
        <f>(E19+E38+E46+E48+E49+E50+E51+E53)/2*9/12</f>
        <v>463.72990000000004</v>
      </c>
      <c r="D52" s="1195">
        <v>0.05</v>
      </c>
      <c r="E52" s="1199">
        <f>C52*D52</f>
        <v>23.186495000000004</v>
      </c>
      <c r="F52" s="1164">
        <f>(H19+H38+H46+H48+H49+H50+H51+H53)/2*9/12</f>
        <v>523.26207599999998</v>
      </c>
      <c r="G52" s="1195">
        <v>0.05</v>
      </c>
      <c r="H52" s="1199">
        <f t="shared" si="163"/>
        <v>26.163103800000002</v>
      </c>
      <c r="I52" s="1164">
        <f>(K19+K38+K46+K48+K49+K50+K51+K53)/2*9/12</f>
        <v>265.42325</v>
      </c>
      <c r="J52" s="1195">
        <v>0.05</v>
      </c>
      <c r="K52" s="1222">
        <f>J52*I52</f>
        <v>13.271162500000001</v>
      </c>
      <c r="L52" s="1164">
        <f>(N19+N38+N46+N48+N49+N50+N51+N53)/2*9/12</f>
        <v>254.48595</v>
      </c>
      <c r="M52" s="1195">
        <v>0.05</v>
      </c>
      <c r="N52" s="1222">
        <f>M52*L52</f>
        <v>12.7242975</v>
      </c>
      <c r="O52" s="1164">
        <f>(Q19+Q38+Q46+Q48+Q49+Q50+Q51+Q53)/2*9/12</f>
        <v>377.19371000000001</v>
      </c>
      <c r="P52" s="1195">
        <v>0.05</v>
      </c>
      <c r="Q52" s="1222">
        <f t="shared" si="166"/>
        <v>18.859685500000001</v>
      </c>
      <c r="R52" s="1164">
        <f>(T19+T38+T46+T48+T49+T50+T51+T53)/2*9/12</f>
        <v>352.64897849999994</v>
      </c>
      <c r="S52" s="1195">
        <v>0.05</v>
      </c>
      <c r="T52" s="1222">
        <f t="shared" si="167"/>
        <v>17.632448924999998</v>
      </c>
      <c r="U52" s="1164">
        <f>(W19+W38+W46+W48+W49+W50+W51+W53)/2*9/12</f>
        <v>342.71995999999996</v>
      </c>
      <c r="V52" s="1195">
        <v>0.05</v>
      </c>
      <c r="W52" s="1222">
        <f t="shared" si="168"/>
        <v>17.135997999999997</v>
      </c>
      <c r="X52" s="1164">
        <f>(Z19+Z38+Z46+Z48+Z49+Z50+Z51+Z53)/2*9/12</f>
        <v>350.06934000000001</v>
      </c>
      <c r="Y52" s="1195">
        <v>0.05</v>
      </c>
      <c r="Z52" s="1222">
        <f t="shared" si="169"/>
        <v>17.503467000000001</v>
      </c>
      <c r="AA52" s="1164">
        <f>(AC19+AC38+AC46+AC48+AC49+AC50+AC51+AC53)/2*9/12</f>
        <v>235.91582313432832</v>
      </c>
      <c r="AB52" s="1195">
        <v>0.05</v>
      </c>
      <c r="AC52" s="1222">
        <f t="shared" si="170"/>
        <v>11.795791156716417</v>
      </c>
      <c r="AD52" s="1164">
        <f>(AF19+AF38+AF46+AF48+AF49+AF50+AF51+AF53)/2*9/12</f>
        <v>250.0392515625</v>
      </c>
      <c r="AE52" s="1195">
        <v>0.05</v>
      </c>
      <c r="AF52" s="1222">
        <f t="shared" si="171"/>
        <v>12.501962578125001</v>
      </c>
      <c r="AG52" s="1164">
        <f>(AI19+AI38+AI46+AI48+AI49+AI50+AI51+AI53)/2*9/12</f>
        <v>297.3591381343283</v>
      </c>
      <c r="AH52" s="1195">
        <v>0.05</v>
      </c>
      <c r="AI52" s="1222">
        <f t="shared" si="172"/>
        <v>14.867956906716415</v>
      </c>
      <c r="AJ52" s="1164">
        <f>(AL19+AL38+AL46+AL48+AL49+AL50+AL51+AL53)/2*9/12</f>
        <v>214.03879079999993</v>
      </c>
      <c r="AK52" s="1195">
        <v>0.05</v>
      </c>
      <c r="AL52" s="1222">
        <f t="shared" si="173"/>
        <v>10.701939539999998</v>
      </c>
      <c r="AM52" s="1164">
        <f>(AO19+AO38+AO46+AO48+AO49+AO50+AO51+AO53)/2*9/12</f>
        <v>241.09787313432832</v>
      </c>
      <c r="AN52" s="1195">
        <v>0.05</v>
      </c>
      <c r="AO52" s="1222">
        <f t="shared" si="174"/>
        <v>12.054893656716416</v>
      </c>
      <c r="AP52" s="1164">
        <f>(AR19+AR38+AR46+AR48+AR49+AR50+AR51+AR53)/2*9/12</f>
        <v>234.07787313432831</v>
      </c>
      <c r="AQ52" s="1195">
        <v>0.05</v>
      </c>
      <c r="AR52" s="1222">
        <f t="shared" si="175"/>
        <v>11.703893656716417</v>
      </c>
      <c r="AS52" s="1164">
        <f>(AU19+AU38+AU46+AU48+AU49+AU50+AU51+AU53)/2*9/12</f>
        <v>265.12943313432839</v>
      </c>
      <c r="AT52" s="1195">
        <v>0.05</v>
      </c>
      <c r="AU52" s="1222">
        <f t="shared" si="176"/>
        <v>13.256471656716421</v>
      </c>
      <c r="AV52" s="1164">
        <f>(AX19+AX38+AX46+AX48+AX49+AX50+AX51+AX53)/2*9/12</f>
        <v>272.35546874999994</v>
      </c>
      <c r="AW52" s="1195">
        <v>0.05</v>
      </c>
      <c r="AX52" s="1222">
        <f t="shared" si="177"/>
        <v>13.617773437499999</v>
      </c>
      <c r="AY52" s="1164">
        <f>(BA19+BA38+BA46+BA48+BA49+BA50+BA51+BA53)/2*6/12</f>
        <v>47.299656089552251</v>
      </c>
      <c r="AZ52" s="1195">
        <v>0.05</v>
      </c>
      <c r="BA52" s="1222">
        <f t="shared" si="178"/>
        <v>2.3649828044776124</v>
      </c>
      <c r="BB52" s="1164">
        <f>(BD19+BD38+BD46+BD48+BD49+BD50+BD51+BD53)/2*6/12</f>
        <v>74.043953999999999</v>
      </c>
      <c r="BC52" s="1195">
        <v>0.05</v>
      </c>
      <c r="BD52" s="1222">
        <f t="shared" si="179"/>
        <v>3.7021977000000001</v>
      </c>
      <c r="BE52" s="1164">
        <f>(BG19+BG38+BG46+BG48+BG49+BG50+BG51+BG53)/2*6/12</f>
        <v>62.705362089552246</v>
      </c>
      <c r="BF52" s="1195">
        <v>0.05</v>
      </c>
      <c r="BG52" s="1222">
        <f t="shared" si="180"/>
        <v>3.1352681044776123</v>
      </c>
      <c r="BH52" s="1164">
        <f>(BJ19+BJ38+BJ46+BJ48+BJ49+BJ50+BJ51+BJ53)/2*6/12</f>
        <v>145.80814375000003</v>
      </c>
      <c r="BI52" s="1195">
        <v>0.05</v>
      </c>
      <c r="BJ52" s="1222">
        <f t="shared" si="181"/>
        <v>7.2904071875000014</v>
      </c>
      <c r="BK52" s="1164">
        <f>(BM19+BM38+BM46+BM48+BM49+BM50+BM51+BM53)/2*9/12</f>
        <v>331.26204813432838</v>
      </c>
      <c r="BL52" s="1195">
        <v>0.05</v>
      </c>
      <c r="BM52" s="1222">
        <f t="shared" si="182"/>
        <v>16.563102406716421</v>
      </c>
      <c r="BN52" s="1164">
        <f>(BP19+BP38+BP46+BP48+BP49+BP50+BP51+BP53)/2*9/12</f>
        <v>380.579925</v>
      </c>
      <c r="BO52" s="1195">
        <v>0.05</v>
      </c>
      <c r="BP52" s="1222">
        <f t="shared" si="183"/>
        <v>19.028996250000002</v>
      </c>
      <c r="BQ52" s="1156"/>
      <c r="BR52" s="1217"/>
      <c r="BS52" s="1222">
        <f t="shared" si="184"/>
        <v>0</v>
      </c>
      <c r="BT52" s="1164">
        <f>(BV19+BV38+BV46+BV48+BV49+BV50+BV51+BV53)/2*9/12</f>
        <v>300.81449813432829</v>
      </c>
      <c r="BU52" s="1195">
        <v>0.05</v>
      </c>
      <c r="BV52" s="1222">
        <f t="shared" si="185"/>
        <v>15.040724906716415</v>
      </c>
      <c r="BW52" s="1164">
        <f>(BY19+BY38+BY46+BY48+BY49+BY50+BY51+BY53)/2*9/12</f>
        <v>278.39912500000003</v>
      </c>
      <c r="BX52" s="1195">
        <v>0.05</v>
      </c>
      <c r="BY52" s="1222">
        <f t="shared" si="186"/>
        <v>13.919956250000002</v>
      </c>
      <c r="BZ52" s="1164">
        <f>(CB19+CB38+CB46+CB48+CB49+CB50+CB51+CB53)/2*9/12</f>
        <v>324.0422481343283</v>
      </c>
      <c r="CA52" s="1195">
        <v>0.05</v>
      </c>
      <c r="CB52" s="1222">
        <f t="shared" si="187"/>
        <v>16.202112406716417</v>
      </c>
      <c r="CC52" s="1164">
        <f>(CE19+CE38+CE46+CE48+CE49+CE50+CE51+CE53)/2*9/12</f>
        <v>316.86687499999999</v>
      </c>
      <c r="CD52" s="1195">
        <v>0.05</v>
      </c>
      <c r="CE52" s="1222">
        <f t="shared" si="188"/>
        <v>15.843343750000001</v>
      </c>
      <c r="CF52" s="1164">
        <f>(CH19+CH38+CH46+CH48+CH49+CH50+CH51+CH53)/2*6/12</f>
        <v>160.11123875621891</v>
      </c>
      <c r="CG52" s="1195">
        <v>0.05</v>
      </c>
      <c r="CH52" s="1222">
        <f t="shared" si="189"/>
        <v>8.0055619378109455</v>
      </c>
      <c r="CI52" s="1164">
        <f>(CK19+CK38+CK46+CK48+CK49+CK50+CK51+CK53)/2*4/12</f>
        <v>130.89655768888892</v>
      </c>
      <c r="CJ52" s="1195">
        <v>0.05</v>
      </c>
      <c r="CK52" s="1222">
        <f t="shared" si="190"/>
        <v>6.5448278844444463</v>
      </c>
      <c r="CL52" s="1164">
        <f>(CN19+CN38+CN46+CN48+CN49+CN50+CN51+CN53)/2*9/12</f>
        <v>170.93974063432836</v>
      </c>
      <c r="CM52" s="1195">
        <v>0.05</v>
      </c>
      <c r="CN52" s="1222">
        <f t="shared" si="191"/>
        <v>8.5469870317164176</v>
      </c>
      <c r="CO52" s="1164">
        <f>(CQ19+CQ38+CQ46+CQ48+CQ49+CQ50+CQ51+CQ53)/2*4/12</f>
        <v>77.462496666666667</v>
      </c>
      <c r="CP52" s="1195">
        <v>0.05</v>
      </c>
      <c r="CQ52" s="1222">
        <f t="shared" si="192"/>
        <v>3.8731248333333337</v>
      </c>
      <c r="CR52" s="1164">
        <f>(CT19+CT38+CT46+CT48+CT49+CT50+CT51+CT53)/2*9/12</f>
        <v>268.27412313432836</v>
      </c>
      <c r="CS52" s="1195">
        <v>0.05</v>
      </c>
      <c r="CT52" s="1222">
        <f t="shared" si="193"/>
        <v>13.413706156716419</v>
      </c>
      <c r="CU52" s="1164">
        <f>(CW19+CW38+CW46+CW48+CW49+CW50+CW51+CW53)/2*9/12</f>
        <v>308.76499999999993</v>
      </c>
      <c r="CV52" s="1195">
        <v>0.05</v>
      </c>
      <c r="CW52" s="1222">
        <f t="shared" si="194"/>
        <v>15.438249999999996</v>
      </c>
      <c r="CX52" s="1164">
        <f>(CZ19+CZ38+CZ46+CZ48+CZ49+CZ50+CZ51+CZ53)/2*4/12</f>
        <v>152.27229028192369</v>
      </c>
      <c r="CY52" s="1195">
        <v>0.05</v>
      </c>
      <c r="CZ52" s="1222">
        <f t="shared" si="195"/>
        <v>7.6136145140961844</v>
      </c>
      <c r="DA52" s="1164">
        <f>(DC19+DC38+DC46+DC48+DC49+DC50+DC51+DC53)/2*4/12</f>
        <v>191.27264666666667</v>
      </c>
      <c r="DB52" s="1195">
        <v>0.05</v>
      </c>
      <c r="DC52" s="1222">
        <f t="shared" si="196"/>
        <v>9.5636323333333344</v>
      </c>
      <c r="DD52" s="1164">
        <f>(DF19+DF38+DF46+DF48+DF49+DF50+DF51+DF53)/2*9/12</f>
        <v>0</v>
      </c>
      <c r="DE52" s="1217"/>
      <c r="DF52" s="1222">
        <f t="shared" si="197"/>
        <v>0</v>
      </c>
      <c r="DG52" s="1164">
        <f>(DI19+DI38+DI46+DI48+DI49+DI50+DI51+DI53)/2*9/12</f>
        <v>0</v>
      </c>
      <c r="DH52" s="1217"/>
      <c r="DI52" s="1222">
        <f t="shared" si="198"/>
        <v>0</v>
      </c>
      <c r="DJ52" s="1164">
        <f>(DL19+DL38+DL46+DL48+DL49+DL50+DL51+DL53)/2*9/12</f>
        <v>0</v>
      </c>
      <c r="DK52" s="1217"/>
      <c r="DL52" s="1222">
        <f t="shared" si="199"/>
        <v>0</v>
      </c>
      <c r="DM52" s="1164">
        <f>(DO19+DO38+DO46+DO48+DO49+DO50+DO51+DO53)/2*9/12</f>
        <v>0</v>
      </c>
      <c r="DN52" s="1217"/>
      <c r="DO52" s="1222">
        <f t="shared" si="200"/>
        <v>0</v>
      </c>
      <c r="DP52" s="1164">
        <f>(DR19+DR38+DR46+DR48+DR49+DR50+DR51+DR53)/2*9/12</f>
        <v>0</v>
      </c>
      <c r="DQ52" s="1217"/>
      <c r="DR52" s="1222">
        <f t="shared" si="201"/>
        <v>0</v>
      </c>
      <c r="DS52" s="1164">
        <f>(DU19+DU38+DU46+DU48+DU49+DU50+DU51+DU53)/2*9/12</f>
        <v>0</v>
      </c>
      <c r="DT52" s="1217"/>
      <c r="DU52" s="1222">
        <f t="shared" si="202"/>
        <v>0</v>
      </c>
      <c r="DV52" s="1164">
        <f>(DX19+DX38+DX46+DX48+DX49+DX50+DX51+DX53)/2*9/12</f>
        <v>0</v>
      </c>
      <c r="DW52" s="1217"/>
      <c r="DX52" s="1244">
        <f t="shared" si="203"/>
        <v>0</v>
      </c>
    </row>
    <row r="53" spans="1:130">
      <c r="B53" s="1305" t="s">
        <v>612</v>
      </c>
      <c r="C53" s="1187">
        <f>1/81</f>
        <v>1.2345679012345678E-2</v>
      </c>
      <c r="D53" s="1196">
        <v>1350</v>
      </c>
      <c r="E53" s="1199">
        <f>D53*C53</f>
        <v>16.666666666666664</v>
      </c>
      <c r="F53" s="1188"/>
      <c r="G53" s="1196"/>
      <c r="H53" s="1199">
        <f t="shared" si="163"/>
        <v>0</v>
      </c>
      <c r="I53" s="1189">
        <f>1/81</f>
        <v>1.2345679012345678E-2</v>
      </c>
      <c r="J53" s="1196">
        <v>1350</v>
      </c>
      <c r="K53" s="1222">
        <f t="shared" si="164"/>
        <v>16.666666666666664</v>
      </c>
      <c r="L53" s="1188"/>
      <c r="M53" s="1196"/>
      <c r="N53" s="1222">
        <f t="shared" si="165"/>
        <v>0</v>
      </c>
      <c r="O53" s="1187">
        <f>1/81</f>
        <v>1.2345679012345678E-2</v>
      </c>
      <c r="P53" s="1196">
        <v>1350</v>
      </c>
      <c r="Q53" s="1222">
        <f t="shared" si="166"/>
        <v>16.666666666666664</v>
      </c>
      <c r="R53" s="1158"/>
      <c r="S53" s="1196"/>
      <c r="T53" s="1222">
        <f t="shared" si="167"/>
        <v>0</v>
      </c>
      <c r="U53" s="1187">
        <f>1/81</f>
        <v>1.2345679012345678E-2</v>
      </c>
      <c r="V53" s="1196">
        <v>1350</v>
      </c>
      <c r="W53" s="1222">
        <f t="shared" si="168"/>
        <v>16.666666666666664</v>
      </c>
      <c r="X53" s="1158"/>
      <c r="Y53" s="1196"/>
      <c r="Z53" s="1222">
        <f t="shared" si="169"/>
        <v>0</v>
      </c>
      <c r="AA53" s="1187">
        <f>1/67</f>
        <v>1.4925373134328358E-2</v>
      </c>
      <c r="AB53" s="1196">
        <v>1282</v>
      </c>
      <c r="AC53" s="1222">
        <f t="shared" si="170"/>
        <v>19.134328358208954</v>
      </c>
      <c r="AD53" s="1158"/>
      <c r="AE53" s="1196"/>
      <c r="AF53" s="1222">
        <f t="shared" si="171"/>
        <v>0</v>
      </c>
      <c r="AG53" s="1187">
        <f>1/67</f>
        <v>1.4925373134328358E-2</v>
      </c>
      <c r="AH53" s="1196">
        <v>1282</v>
      </c>
      <c r="AI53" s="1222">
        <f t="shared" si="172"/>
        <v>19.134328358208954</v>
      </c>
      <c r="AJ53" s="1158"/>
      <c r="AK53" s="1196"/>
      <c r="AL53" s="1222">
        <f t="shared" si="173"/>
        <v>0</v>
      </c>
      <c r="AM53" s="1187">
        <f>1/67</f>
        <v>1.4925373134328358E-2</v>
      </c>
      <c r="AN53" s="1196">
        <v>1282</v>
      </c>
      <c r="AO53" s="1222">
        <f t="shared" si="174"/>
        <v>19.134328358208954</v>
      </c>
      <c r="AP53" s="1187">
        <f>1/67</f>
        <v>1.4925373134328358E-2</v>
      </c>
      <c r="AQ53" s="1196">
        <v>1282</v>
      </c>
      <c r="AR53" s="1222">
        <f t="shared" si="175"/>
        <v>19.134328358208954</v>
      </c>
      <c r="AS53" s="1190">
        <f>1/67</f>
        <v>1.4925373134328358E-2</v>
      </c>
      <c r="AT53" s="1196">
        <v>1282</v>
      </c>
      <c r="AU53" s="1222">
        <f t="shared" si="176"/>
        <v>19.134328358208954</v>
      </c>
      <c r="AV53" s="1158"/>
      <c r="AW53" s="1196"/>
      <c r="AX53" s="1222">
        <f t="shared" si="177"/>
        <v>0</v>
      </c>
      <c r="AY53" s="1190">
        <f>1/67</f>
        <v>1.4925373134328358E-2</v>
      </c>
      <c r="AZ53" s="1196">
        <v>1282</v>
      </c>
      <c r="BA53" s="1222">
        <f t="shared" si="178"/>
        <v>19.134328358208954</v>
      </c>
      <c r="BB53" s="1190"/>
      <c r="BC53" s="1196"/>
      <c r="BD53" s="1222">
        <f t="shared" si="179"/>
        <v>0</v>
      </c>
      <c r="BE53" s="1190">
        <f>1/67</f>
        <v>1.4925373134328358E-2</v>
      </c>
      <c r="BF53" s="1218">
        <v>1282</v>
      </c>
      <c r="BG53" s="1222">
        <f t="shared" si="180"/>
        <v>19.134328358208954</v>
      </c>
      <c r="BH53" s="1158"/>
      <c r="BI53" s="1196"/>
      <c r="BJ53" s="1222">
        <f t="shared" si="181"/>
        <v>0</v>
      </c>
      <c r="BK53" s="1190">
        <f>1/67</f>
        <v>1.4925373134328358E-2</v>
      </c>
      <c r="BL53" s="1196">
        <v>1282</v>
      </c>
      <c r="BM53" s="1222">
        <f t="shared" si="182"/>
        <v>19.134328358208954</v>
      </c>
      <c r="BN53" s="1158"/>
      <c r="BO53" s="1196"/>
      <c r="BP53" s="1222">
        <f t="shared" si="183"/>
        <v>0</v>
      </c>
      <c r="BQ53" s="1158"/>
      <c r="BR53" s="1218"/>
      <c r="BS53" s="1222">
        <f t="shared" si="184"/>
        <v>0</v>
      </c>
      <c r="BT53" s="1190">
        <f>1/67</f>
        <v>1.4925373134328358E-2</v>
      </c>
      <c r="BU53" s="1196">
        <v>1282</v>
      </c>
      <c r="BV53" s="1222">
        <f t="shared" si="185"/>
        <v>19.134328358208954</v>
      </c>
      <c r="BW53" s="1158"/>
      <c r="BX53" s="1196"/>
      <c r="BY53" s="1222">
        <f t="shared" si="186"/>
        <v>0</v>
      </c>
      <c r="BZ53" s="1190">
        <f>1/67</f>
        <v>1.4925373134328358E-2</v>
      </c>
      <c r="CA53" s="1196">
        <v>1282</v>
      </c>
      <c r="CB53" s="1222">
        <f t="shared" si="187"/>
        <v>19.134328358208954</v>
      </c>
      <c r="CC53" s="1190"/>
      <c r="CD53" s="1196"/>
      <c r="CE53" s="1222">
        <f t="shared" si="188"/>
        <v>0</v>
      </c>
      <c r="CF53" s="1190">
        <f>1/67</f>
        <v>1.4925373134328358E-2</v>
      </c>
      <c r="CG53" s="1196">
        <v>1282</v>
      </c>
      <c r="CH53" s="1222">
        <f t="shared" si="189"/>
        <v>19.134328358208954</v>
      </c>
      <c r="CI53" s="1158"/>
      <c r="CJ53" s="1196"/>
      <c r="CK53" s="1222">
        <f t="shared" si="190"/>
        <v>0</v>
      </c>
      <c r="CL53" s="1190">
        <f>1/67</f>
        <v>1.4925373134328358E-2</v>
      </c>
      <c r="CM53" s="1196">
        <v>1282</v>
      </c>
      <c r="CN53" s="1222">
        <f t="shared" si="191"/>
        <v>19.134328358208954</v>
      </c>
      <c r="CO53" s="1190"/>
      <c r="CP53" s="1196"/>
      <c r="CQ53" s="1222">
        <f t="shared" si="192"/>
        <v>0</v>
      </c>
      <c r="CR53" s="1190">
        <f>1/67</f>
        <v>1.4925373134328358E-2</v>
      </c>
      <c r="CS53" s="1196">
        <v>1282</v>
      </c>
      <c r="CT53" s="1222">
        <f t="shared" si="193"/>
        <v>19.134328358208954</v>
      </c>
      <c r="CU53" s="1158"/>
      <c r="CV53" s="1196"/>
      <c r="CW53" s="1222">
        <f t="shared" si="194"/>
        <v>0</v>
      </c>
      <c r="CX53" s="1190">
        <f>1/67</f>
        <v>1.4925373134328358E-2</v>
      </c>
      <c r="CY53" s="1196">
        <v>1282</v>
      </c>
      <c r="CZ53" s="1222">
        <f t="shared" si="195"/>
        <v>19.134328358208954</v>
      </c>
      <c r="DA53" s="1158"/>
      <c r="DB53" s="1196"/>
      <c r="DC53" s="1222">
        <f t="shared" si="196"/>
        <v>0</v>
      </c>
      <c r="DD53" s="1158"/>
      <c r="DE53" s="1218"/>
      <c r="DF53" s="1222">
        <f t="shared" si="197"/>
        <v>0</v>
      </c>
      <c r="DG53" s="1158"/>
      <c r="DH53" s="1218"/>
      <c r="DI53" s="1222">
        <f t="shared" si="198"/>
        <v>0</v>
      </c>
      <c r="DJ53" s="1158"/>
      <c r="DK53" s="1218"/>
      <c r="DL53" s="1222">
        <f t="shared" si="199"/>
        <v>0</v>
      </c>
      <c r="DM53" s="1158"/>
      <c r="DN53" s="1218"/>
      <c r="DO53" s="1222">
        <f t="shared" si="200"/>
        <v>0</v>
      </c>
      <c r="DP53" s="1158"/>
      <c r="DQ53" s="1218"/>
      <c r="DR53" s="1222">
        <f t="shared" si="201"/>
        <v>0</v>
      </c>
      <c r="DS53" s="1158"/>
      <c r="DT53" s="1218"/>
      <c r="DU53" s="1222">
        <f t="shared" si="202"/>
        <v>0</v>
      </c>
      <c r="DV53" s="1158"/>
      <c r="DW53" s="1218"/>
      <c r="DX53" s="1244">
        <f t="shared" si="203"/>
        <v>0</v>
      </c>
    </row>
    <row r="54" spans="1:130" ht="15" thickBot="1">
      <c r="A54" s="1130"/>
      <c r="B54" s="1308" t="s">
        <v>611</v>
      </c>
      <c r="C54" s="1135"/>
      <c r="D54" s="1205"/>
      <c r="E54" s="1206">
        <f>SUM(E47:E53)</f>
        <v>93.939561666666663</v>
      </c>
      <c r="F54" s="1136"/>
      <c r="G54" s="1206"/>
      <c r="H54" s="1206">
        <f>SUM(H47:H53)</f>
        <v>64.460839800000002</v>
      </c>
      <c r="I54" s="1136"/>
      <c r="J54" s="1206"/>
      <c r="K54" s="1224">
        <f>SUM(K47:K53)</f>
        <v>62.193829166666667</v>
      </c>
      <c r="L54" s="1131"/>
      <c r="M54" s="1206"/>
      <c r="N54" s="1224">
        <f>SUM(N47:N53)</f>
        <v>34.6474975</v>
      </c>
      <c r="O54" s="1132"/>
      <c r="P54" s="1206"/>
      <c r="Q54" s="1224">
        <f>SUM(Q47:Q53)</f>
        <v>167.33291216666666</v>
      </c>
      <c r="R54" s="1132"/>
      <c r="S54" s="1206"/>
      <c r="T54" s="1224">
        <f>SUM(T47:T53)</f>
        <v>94.720724925000013</v>
      </c>
      <c r="U54" s="1136"/>
      <c r="V54" s="1234"/>
      <c r="W54" s="1224">
        <f>SUM(W47:W53)</f>
        <v>165.60922466666665</v>
      </c>
      <c r="X54" s="1132"/>
      <c r="Y54" s="1206"/>
      <c r="Z54" s="1224">
        <f>SUM(Z47:Z53)</f>
        <v>108.83170699999999</v>
      </c>
      <c r="AA54" s="1132"/>
      <c r="AB54" s="1234"/>
      <c r="AC54" s="1224">
        <f>SUM(AC47:AC53)</f>
        <v>127.85831951492537</v>
      </c>
      <c r="AD54" s="1132"/>
      <c r="AE54" s="1234"/>
      <c r="AF54" s="1224">
        <f>SUM(AF47:AF53)</f>
        <v>83.256900078125</v>
      </c>
      <c r="AG54" s="1132"/>
      <c r="AH54" s="1234"/>
      <c r="AI54" s="1224">
        <f>SUM(AI47:AI53)</f>
        <v>149.59652526492539</v>
      </c>
      <c r="AJ54" s="1132"/>
      <c r="AK54" s="1234"/>
      <c r="AL54" s="1206">
        <f>SUM(AL47:AL53)</f>
        <v>101.29484833999999</v>
      </c>
      <c r="AM54" s="1132"/>
      <c r="AN54" s="1234"/>
      <c r="AO54" s="1206">
        <f>SUM(AO47:AO53)</f>
        <v>31.18922201492537</v>
      </c>
      <c r="AP54" s="1132"/>
      <c r="AQ54" s="1234"/>
      <c r="AR54" s="1206">
        <f>SUM(AR47:AR53)</f>
        <v>30.838222014925371</v>
      </c>
      <c r="AS54" s="1136"/>
      <c r="AT54" s="1234"/>
      <c r="AU54" s="1206">
        <f>SUM(AU47:AU53)</f>
        <v>107.3649600149254</v>
      </c>
      <c r="AV54" s="1136"/>
      <c r="AW54" s="1206"/>
      <c r="AX54" s="1206">
        <f>SUM(AX47:AX53)</f>
        <v>85.109023437499985</v>
      </c>
      <c r="AY54" s="1132"/>
      <c r="AZ54" s="1234"/>
      <c r="BA54" s="1206">
        <f>SUM(BA47:BA53)</f>
        <v>28.571607162686568</v>
      </c>
      <c r="BB54" s="1132"/>
      <c r="BC54" s="1234"/>
      <c r="BD54" s="1206">
        <f>SUM(BD47:BD53)</f>
        <v>10.774493700000001</v>
      </c>
      <c r="BE54" s="1132"/>
      <c r="BF54" s="1206"/>
      <c r="BG54" s="1262">
        <f>SUM(BG47:BG53)</f>
        <v>48.43911646268657</v>
      </c>
      <c r="BH54" s="1132"/>
      <c r="BI54" s="1234"/>
      <c r="BJ54" s="1262">
        <f>SUM(BJ47:BJ53)</f>
        <v>30.699582187499999</v>
      </c>
      <c r="BK54" s="1132"/>
      <c r="BL54" s="1234"/>
      <c r="BM54" s="1262">
        <f>SUM(BM47:BM53)</f>
        <v>43.890230764925377</v>
      </c>
      <c r="BN54" s="1132"/>
      <c r="BO54" s="1234"/>
      <c r="BP54" s="1262">
        <f>SUM(BP47:BP53)</f>
        <v>27.221796250000004</v>
      </c>
      <c r="BQ54" s="1132"/>
      <c r="BR54" s="1206"/>
      <c r="BS54" s="1256">
        <f>SUM(BS47:BS53)</f>
        <v>0</v>
      </c>
      <c r="BT54" s="1132"/>
      <c r="BU54" s="1234"/>
      <c r="BV54" s="1206">
        <f>SUM(BV47:BV53)</f>
        <v>104.81105326492536</v>
      </c>
      <c r="BW54" s="1132"/>
      <c r="BX54" s="1234"/>
      <c r="BY54" s="1206">
        <f>SUM(BY47:BY53)</f>
        <v>84.555956249999994</v>
      </c>
      <c r="BZ54" s="1132"/>
      <c r="CA54" s="1234"/>
      <c r="CB54" s="1206">
        <f>SUM(CB47:CB53)</f>
        <v>112.04644076492539</v>
      </c>
      <c r="CC54" s="1132"/>
      <c r="CD54" s="1234"/>
      <c r="CE54" s="1206">
        <f>SUM(CE47:CE53)</f>
        <v>92.55334375000001</v>
      </c>
      <c r="CF54" s="1132"/>
      <c r="CG54" s="1234"/>
      <c r="CH54" s="1206">
        <f>SUM(CH47:CH53)</f>
        <v>81.408850296019892</v>
      </c>
      <c r="CI54" s="1132"/>
      <c r="CJ54" s="1234"/>
      <c r="CK54" s="1206">
        <f>SUM(CK47:CK53)</f>
        <v>61.809240684444447</v>
      </c>
      <c r="CL54" s="1132"/>
      <c r="CM54" s="1234"/>
      <c r="CN54" s="1206">
        <f>SUM(CN47:CN53)</f>
        <v>58.586595389925371</v>
      </c>
      <c r="CO54" s="1132"/>
      <c r="CP54" s="1234"/>
      <c r="CQ54" s="1206">
        <f>SUM(CQ47:CQ53)</f>
        <v>34.778404833333333</v>
      </c>
      <c r="CR54" s="1132"/>
      <c r="CS54" s="1234"/>
      <c r="CT54" s="1206">
        <f>SUM(CT47:CT53)</f>
        <v>32.548034514925376</v>
      </c>
      <c r="CU54" s="1132"/>
      <c r="CV54" s="1234"/>
      <c r="CW54" s="1206">
        <f>SUM(CW47:CW53)</f>
        <v>15.438249999999996</v>
      </c>
      <c r="CX54" s="1132"/>
      <c r="CY54" s="1234"/>
      <c r="CZ54" s="1206">
        <f>SUM(CZ47:CZ53)</f>
        <v>148.07402287230514</v>
      </c>
      <c r="DA54" s="1132"/>
      <c r="DB54" s="1234"/>
      <c r="DC54" s="1206">
        <f>SUM(DC47:DC53)</f>
        <v>130.88971233333334</v>
      </c>
      <c r="DD54" s="1132"/>
      <c r="DE54" s="1206"/>
      <c r="DF54" s="1206">
        <f>SUM(DF47:DF53)</f>
        <v>0</v>
      </c>
      <c r="DG54" s="1132"/>
      <c r="DH54" s="1206"/>
      <c r="DI54" s="1206">
        <f>SUM(DI47:DI53)</f>
        <v>0</v>
      </c>
      <c r="DJ54" s="1132"/>
      <c r="DK54" s="1206"/>
      <c r="DL54" s="1206">
        <f>SUM(DL47:DL53)</f>
        <v>0</v>
      </c>
      <c r="DM54" s="1132"/>
      <c r="DN54" s="1206"/>
      <c r="DO54" s="1206">
        <f>SUM(DO47:DO53)</f>
        <v>0</v>
      </c>
      <c r="DP54" s="1132"/>
      <c r="DQ54" s="1206"/>
      <c r="DR54" s="1206">
        <f>SUM(DR47:DR53)</f>
        <v>0</v>
      </c>
      <c r="DS54" s="1132"/>
      <c r="DT54" s="1206"/>
      <c r="DU54" s="1206">
        <f>SUM(DU47:DU53)</f>
        <v>0</v>
      </c>
      <c r="DV54" s="1132"/>
      <c r="DW54" s="1206"/>
      <c r="DX54" s="1248">
        <f>SUM(DX47:DX53)</f>
        <v>0</v>
      </c>
    </row>
    <row r="55" spans="1:130" s="1467" customFormat="1" ht="15.75" thickTop="1" thickBot="1">
      <c r="A55" s="1137"/>
      <c r="B55" s="1309" t="s">
        <v>1152</v>
      </c>
      <c r="C55" s="1138"/>
      <c r="D55" s="1207"/>
      <c r="E55" s="1208">
        <f>E54+E46+E38+E19</f>
        <v>1259.7995616666667</v>
      </c>
      <c r="F55" s="1139"/>
      <c r="G55" s="1208"/>
      <c r="H55" s="1208">
        <f>H54+H46+H38+H19</f>
        <v>1421.5286398000001</v>
      </c>
      <c r="I55" s="1139"/>
      <c r="J55" s="1208"/>
      <c r="K55" s="1225">
        <f>K54+K46+K38+K19</f>
        <v>721.06649583333342</v>
      </c>
      <c r="L55" s="1140"/>
      <c r="M55" s="1208"/>
      <c r="N55" s="1225">
        <f>N54+N46+N38+N19</f>
        <v>691.3534975</v>
      </c>
      <c r="O55" s="1141"/>
      <c r="P55" s="1208"/>
      <c r="Q55" s="1225">
        <f>Q54+Q46+Q38+Q19</f>
        <v>1024.7095788333334</v>
      </c>
      <c r="R55" s="1141"/>
      <c r="S55" s="1208"/>
      <c r="T55" s="1225">
        <f>T54+T46+T38+T19</f>
        <v>958.02972492499987</v>
      </c>
      <c r="U55" s="1139"/>
      <c r="V55" s="1235"/>
      <c r="W55" s="1225">
        <f>W54+W46+W38+W19</f>
        <v>931.05589133333342</v>
      </c>
      <c r="X55" s="1141"/>
      <c r="Y55" s="1208"/>
      <c r="Z55" s="1225">
        <f>Z54+Z46+Z38+Z19</f>
        <v>951.02170699999999</v>
      </c>
      <c r="AA55" s="1141"/>
      <c r="AB55" s="1235"/>
      <c r="AC55" s="1225">
        <f>AC54+AC46+AC38+AC19</f>
        <v>640.90465284825859</v>
      </c>
      <c r="AD55" s="1141"/>
      <c r="AE55" s="1235"/>
      <c r="AF55" s="1225">
        <f>AF54+AF46+AF38+AF19</f>
        <v>679.27330007812498</v>
      </c>
      <c r="AG55" s="1141"/>
      <c r="AH55" s="1235"/>
      <c r="AI55" s="1225">
        <f>AI54+AI46+AI38+AI19</f>
        <v>807.82565859825877</v>
      </c>
      <c r="AJ55" s="1141"/>
      <c r="AK55" s="1235"/>
      <c r="AL55" s="1208">
        <f>AL54+AL46+AL38+AL19</f>
        <v>581.47204834000001</v>
      </c>
      <c r="AM55" s="1141"/>
      <c r="AN55" s="1235"/>
      <c r="AO55" s="1208">
        <f>AO54+AO46+AO38+AO19</f>
        <v>654.98255534825864</v>
      </c>
      <c r="AP55" s="1141"/>
      <c r="AQ55" s="1235"/>
      <c r="AR55" s="1208">
        <f>AR54+AR46+AR38+AR19</f>
        <v>635.91155534825862</v>
      </c>
      <c r="AS55" s="1139"/>
      <c r="AT55" s="1235"/>
      <c r="AU55" s="1208">
        <f>AU54+AU46+AU38+AU19</f>
        <v>720.26829334825857</v>
      </c>
      <c r="AV55" s="1139"/>
      <c r="AW55" s="1208"/>
      <c r="AX55" s="1208">
        <f>AX54+AX46+AX38+AX19</f>
        <v>739.89902343750009</v>
      </c>
      <c r="AY55" s="1141"/>
      <c r="AZ55" s="1235"/>
      <c r="BA55" s="1208">
        <f>BA54+BA46+BA38+BA19</f>
        <v>191.56360716268659</v>
      </c>
      <c r="BB55" s="1141"/>
      <c r="BC55" s="1235"/>
      <c r="BD55" s="1208">
        <f>BD54+BD46+BD38+BD19</f>
        <v>299.8780137</v>
      </c>
      <c r="BE55" s="1141"/>
      <c r="BF55" s="1208"/>
      <c r="BG55" s="1263">
        <f>BG54+BG46+BG38+BG19</f>
        <v>253.95671646268659</v>
      </c>
      <c r="BH55" s="1141"/>
      <c r="BI55" s="1235"/>
      <c r="BJ55" s="1263">
        <f>BJ54+BJ46+BJ38+BJ19</f>
        <v>590.52298218750002</v>
      </c>
      <c r="BK55" s="1141"/>
      <c r="BL55" s="1235"/>
      <c r="BM55" s="1263">
        <f>BM54+BM46+BM38+BM19</f>
        <v>899.92856409825868</v>
      </c>
      <c r="BN55" s="1141"/>
      <c r="BO55" s="1235"/>
      <c r="BP55" s="1263">
        <f>BP54+BP46+BP38+BP19</f>
        <v>1033.90879625</v>
      </c>
      <c r="BQ55" s="1141"/>
      <c r="BR55" s="1208"/>
      <c r="BS55" s="1257">
        <f>BS54+BS46+BS38+BS19</f>
        <v>94.444444444444443</v>
      </c>
      <c r="BT55" s="1141"/>
      <c r="BU55" s="1235"/>
      <c r="BV55" s="1208">
        <f>BV54+BV46+BV38+BV19</f>
        <v>817.21271993159201</v>
      </c>
      <c r="BW55" s="1141"/>
      <c r="BX55" s="1235"/>
      <c r="BY55" s="1208">
        <f>BY54+BY46+BY38+BY19</f>
        <v>756.31762291666666</v>
      </c>
      <c r="BZ55" s="1141"/>
      <c r="CA55" s="1235"/>
      <c r="CB55" s="1208">
        <f>CB54+CB46+CB38+CB19</f>
        <v>880.31477409825879</v>
      </c>
      <c r="CC55" s="1141"/>
      <c r="CD55" s="1235"/>
      <c r="CE55" s="1208">
        <f>CE54+CE46+CE38+CE19</f>
        <v>860.82167708333338</v>
      </c>
      <c r="CF55" s="1141"/>
      <c r="CG55" s="1235"/>
      <c r="CH55" s="1208">
        <f>CH54+CH46+CH38+CH19</f>
        <v>648.45051696268661</v>
      </c>
      <c r="CI55" s="1141"/>
      <c r="CJ55" s="1235"/>
      <c r="CK55" s="1208">
        <f>CK54+CK46+CK38+CK19</f>
        <v>791.92417401777777</v>
      </c>
      <c r="CL55" s="1141"/>
      <c r="CM55" s="1235"/>
      <c r="CN55" s="1208">
        <f>CN54+CN46+CN38+CN19</f>
        <v>464.38629538992535</v>
      </c>
      <c r="CO55" s="1141"/>
      <c r="CP55" s="1235"/>
      <c r="CQ55" s="1208">
        <f>CQ54+CQ46+CQ38+CQ19</f>
        <v>468.64810483333332</v>
      </c>
      <c r="CR55" s="1141"/>
      <c r="CS55" s="1235"/>
      <c r="CT55" s="1208">
        <f>CT54+CT46+CT38+CT19</f>
        <v>728.81136784825867</v>
      </c>
      <c r="CU55" s="1141"/>
      <c r="CV55" s="1235"/>
      <c r="CW55" s="1208">
        <f>CW54+CW46+CW38+CW19</f>
        <v>838.81158333333337</v>
      </c>
      <c r="CX55" s="1141"/>
      <c r="CY55" s="1235"/>
      <c r="CZ55" s="1208">
        <f>CZ54+CZ46+CZ38+CZ19</f>
        <v>921.24735620563843</v>
      </c>
      <c r="DA55" s="1141"/>
      <c r="DB55" s="1235"/>
      <c r="DC55" s="1208">
        <f>DC54+DC46+DC38+DC19</f>
        <v>1157.1995123333331</v>
      </c>
      <c r="DD55" s="1141"/>
      <c r="DE55" s="1208"/>
      <c r="DF55" s="1208">
        <f>DF54+DF46+DF38+DF19</f>
        <v>0</v>
      </c>
      <c r="DG55" s="1141"/>
      <c r="DH55" s="1208"/>
      <c r="DI55" s="1208">
        <f>DI54+DI46+DI38+DI19</f>
        <v>0</v>
      </c>
      <c r="DJ55" s="1141"/>
      <c r="DK55" s="1208"/>
      <c r="DL55" s="1208">
        <f>DL54+DL46+DL38+DL19</f>
        <v>0</v>
      </c>
      <c r="DM55" s="1141"/>
      <c r="DN55" s="1208"/>
      <c r="DO55" s="1208">
        <f>DO54+DO46+DO38+DO19</f>
        <v>0</v>
      </c>
      <c r="DP55" s="1141"/>
      <c r="DQ55" s="1208"/>
      <c r="DR55" s="1208">
        <f>DR54+DR46+DR38+DR19</f>
        <v>0</v>
      </c>
      <c r="DS55" s="1141"/>
      <c r="DT55" s="1208"/>
      <c r="DU55" s="1208">
        <f>DU54+DU46+DU38+DU19</f>
        <v>0</v>
      </c>
      <c r="DV55" s="1141"/>
      <c r="DW55" s="1208"/>
      <c r="DX55" s="1249">
        <f>DX54+DX46+DX38+DX19</f>
        <v>0</v>
      </c>
      <c r="DY55" s="1128"/>
      <c r="DZ55" s="1128"/>
    </row>
    <row r="56" spans="1:130" s="1467" customFormat="1" ht="15.75" thickTop="1" thickBot="1">
      <c r="A56" s="1142"/>
      <c r="B56" s="1310" t="s">
        <v>610</v>
      </c>
      <c r="C56" s="1143"/>
      <c r="D56" s="1209"/>
      <c r="E56" s="1210">
        <f>E10-E55</f>
        <v>2772.1140183333332</v>
      </c>
      <c r="F56" s="1144"/>
      <c r="G56" s="1210"/>
      <c r="H56" s="1210">
        <f>H10-H55</f>
        <v>444.37906019999991</v>
      </c>
      <c r="I56" s="1144"/>
      <c r="J56" s="1210"/>
      <c r="K56" s="1226">
        <f>K10-K55</f>
        <v>2324.5033041666666</v>
      </c>
      <c r="L56" s="1145"/>
      <c r="M56" s="1210"/>
      <c r="N56" s="1226">
        <f>N10-N55</f>
        <v>545.15088250000008</v>
      </c>
      <c r="O56" s="1146"/>
      <c r="P56" s="1210"/>
      <c r="Q56" s="1226">
        <f>Q10-Q55</f>
        <v>1165.450421166667</v>
      </c>
      <c r="R56" s="1146"/>
      <c r="S56" s="1210"/>
      <c r="T56" s="1226">
        <f>T10-T55</f>
        <v>244.45527507500003</v>
      </c>
      <c r="U56" s="1144"/>
      <c r="V56" s="1236">
        <f>$W$80</f>
        <v>0</v>
      </c>
      <c r="W56" s="1226">
        <f>W10-W55</f>
        <v>1259.3841086666666</v>
      </c>
      <c r="X56" s="1146"/>
      <c r="Y56" s="1210"/>
      <c r="Z56" s="1226">
        <f>Z10-Z55</f>
        <v>508.30329300000005</v>
      </c>
      <c r="AA56" s="1146"/>
      <c r="AB56" s="1236"/>
      <c r="AC56" s="1226">
        <f>AC10-AC55</f>
        <v>720.57034715174132</v>
      </c>
      <c r="AD56" s="1146"/>
      <c r="AE56" s="1236"/>
      <c r="AF56" s="1226">
        <f>AF10-AF55</f>
        <v>267.46419992187509</v>
      </c>
      <c r="AG56" s="1146"/>
      <c r="AH56" s="1236"/>
      <c r="AI56" s="1226">
        <f>AI10-AI55</f>
        <v>398.88184140174121</v>
      </c>
      <c r="AJ56" s="1146"/>
      <c r="AK56" s="1236"/>
      <c r="AL56" s="1210">
        <f>AL10-AL55</f>
        <v>324.89095166000004</v>
      </c>
      <c r="AM56" s="1146"/>
      <c r="AN56" s="1236"/>
      <c r="AO56" s="1210">
        <f>AO10-AO55</f>
        <v>1629.3324446517413</v>
      </c>
      <c r="AP56" s="1146"/>
      <c r="AQ56" s="1236"/>
      <c r="AR56" s="1210">
        <f>AR10-AR55</f>
        <v>343.29844465174142</v>
      </c>
      <c r="AS56" s="1144"/>
      <c r="AT56" s="1236"/>
      <c r="AU56" s="1210">
        <f>AU10-AU55</f>
        <v>826.70670665174134</v>
      </c>
      <c r="AV56" s="1144"/>
      <c r="AW56" s="1210"/>
      <c r="AX56" s="1210">
        <f>AX10-AX55</f>
        <v>170.77597656249986</v>
      </c>
      <c r="AY56" s="1146"/>
      <c r="AZ56" s="1236"/>
      <c r="BA56" s="1210">
        <f>BA10-BA55</f>
        <v>237.06039283731343</v>
      </c>
      <c r="BB56" s="1146"/>
      <c r="BC56" s="1236"/>
      <c r="BD56" s="1210">
        <f>BD10-BD55</f>
        <v>128.74598630000003</v>
      </c>
      <c r="BE56" s="1146"/>
      <c r="BF56" s="1210"/>
      <c r="BG56" s="1264">
        <f>BG10-BG55</f>
        <v>550.1471635373133</v>
      </c>
      <c r="BH56" s="1146"/>
      <c r="BI56" s="1236"/>
      <c r="BJ56" s="1264">
        <f>BJ10-BJ55</f>
        <v>113.89389781249986</v>
      </c>
      <c r="BK56" s="1146"/>
      <c r="BL56" s="1236"/>
      <c r="BM56" s="1264">
        <f>BM10-BM55</f>
        <v>1025.0714359017413</v>
      </c>
      <c r="BN56" s="1146"/>
      <c r="BO56" s="1236"/>
      <c r="BP56" s="1264">
        <f>BP10-BP55</f>
        <v>891.09120374999998</v>
      </c>
      <c r="BQ56" s="1146"/>
      <c r="BR56" s="1210"/>
      <c r="BS56" s="1258">
        <f>BS10-BS55</f>
        <v>189.45555555555552</v>
      </c>
      <c r="BT56" s="1146"/>
      <c r="BU56" s="1236"/>
      <c r="BV56" s="1210">
        <f>BV10-BV55</f>
        <v>841.80728006840798</v>
      </c>
      <c r="BW56" s="1146"/>
      <c r="BX56" s="1236"/>
      <c r="BY56" s="1210">
        <f>BY10-BY55</f>
        <v>-132.54762291666668</v>
      </c>
      <c r="BZ56" s="1146"/>
      <c r="CA56" s="1236"/>
      <c r="CB56" s="1210">
        <f>CB10-CB55</f>
        <v>778.35522590174128</v>
      </c>
      <c r="CC56" s="1146"/>
      <c r="CD56" s="1236"/>
      <c r="CE56" s="1210">
        <f>CE10-CE55</f>
        <v>-237.40167708333342</v>
      </c>
      <c r="CF56" s="1146"/>
      <c r="CG56" s="1236"/>
      <c r="CH56" s="1210">
        <f>CH10-CH55</f>
        <v>1156.7974830373134</v>
      </c>
      <c r="CI56" s="1146"/>
      <c r="CJ56" s="1236"/>
      <c r="CK56" s="1210">
        <f>CK10-CK55</f>
        <v>102.7902259822223</v>
      </c>
      <c r="CL56" s="1146"/>
      <c r="CM56" s="1236"/>
      <c r="CN56" s="1210">
        <f>CN10-CN55</f>
        <v>138.78970461007469</v>
      </c>
      <c r="CO56" s="1146"/>
      <c r="CP56" s="1236"/>
      <c r="CQ56" s="1210">
        <f>CQ10-CQ55</f>
        <v>-87.899904833333323</v>
      </c>
      <c r="CR56" s="1146"/>
      <c r="CS56" s="1236"/>
      <c r="CT56" s="1210">
        <f>CT10-CT55</f>
        <v>3377.008632151741</v>
      </c>
      <c r="CU56" s="1146"/>
      <c r="CV56" s="1236"/>
      <c r="CW56" s="1210">
        <f>CW10-CW55</f>
        <v>297.30841666666652</v>
      </c>
      <c r="CX56" s="1146"/>
      <c r="CY56" s="1236"/>
      <c r="CZ56" s="1210">
        <f>CZ10-CZ55</f>
        <v>3237.1766437943616</v>
      </c>
      <c r="DA56" s="1146"/>
      <c r="DB56" s="1236"/>
      <c r="DC56" s="1210">
        <f>DC10-DC55</f>
        <v>656.72448766666685</v>
      </c>
      <c r="DD56" s="1146"/>
      <c r="DE56" s="1210"/>
      <c r="DF56" s="1210">
        <f>DF10-DF55</f>
        <v>0</v>
      </c>
      <c r="DG56" s="1146"/>
      <c r="DH56" s="1210"/>
      <c r="DI56" s="1210">
        <f>DI10-DI55</f>
        <v>0</v>
      </c>
      <c r="DJ56" s="1146"/>
      <c r="DK56" s="1210"/>
      <c r="DL56" s="1210">
        <f>DL10-DL55</f>
        <v>0</v>
      </c>
      <c r="DM56" s="1146"/>
      <c r="DN56" s="1210"/>
      <c r="DO56" s="1210">
        <f>DO10-DO55</f>
        <v>0</v>
      </c>
      <c r="DP56" s="1146"/>
      <c r="DQ56" s="1210"/>
      <c r="DR56" s="1210">
        <f>DR10-DR55</f>
        <v>0</v>
      </c>
      <c r="DS56" s="1146"/>
      <c r="DT56" s="1210"/>
      <c r="DU56" s="1210">
        <f>DU10-DU55</f>
        <v>0</v>
      </c>
      <c r="DV56" s="1146"/>
      <c r="DW56" s="1210"/>
      <c r="DX56" s="1250">
        <f>DX10-DX55</f>
        <v>0</v>
      </c>
      <c r="DY56" s="1128"/>
      <c r="DZ56" s="1128"/>
    </row>
    <row r="57" spans="1:130" ht="15.75" thickTop="1" thickBot="1">
      <c r="A57" s="1129"/>
      <c r="B57" s="1311"/>
      <c r="C57" s="1147"/>
      <c r="D57" s="1211"/>
      <c r="E57" s="1212"/>
      <c r="F57" s="1129"/>
      <c r="G57" s="1212"/>
      <c r="H57" s="1212"/>
      <c r="I57" s="1129"/>
      <c r="J57" s="1212"/>
      <c r="K57" s="1212"/>
      <c r="L57" s="1129"/>
      <c r="M57" s="1212"/>
      <c r="N57" s="1212"/>
      <c r="O57" s="1129"/>
      <c r="P57" s="1212"/>
      <c r="Q57" s="1212"/>
      <c r="R57" s="1129"/>
      <c r="S57" s="1212"/>
      <c r="T57" s="1212"/>
      <c r="U57" s="1133"/>
      <c r="V57" s="1237"/>
      <c r="W57" s="1212"/>
      <c r="X57" s="1129"/>
      <c r="Y57" s="1212"/>
      <c r="Z57" s="1212"/>
      <c r="AA57" s="1129"/>
      <c r="AB57" s="1237"/>
      <c r="AC57" s="1212"/>
      <c r="AD57" s="1129"/>
      <c r="AE57" s="1237"/>
      <c r="AF57" s="1212"/>
      <c r="AG57" s="1129"/>
      <c r="AH57" s="1237"/>
      <c r="AI57" s="1212"/>
      <c r="AJ57" s="1129"/>
      <c r="AK57" s="1237"/>
      <c r="AL57" s="1212"/>
      <c r="AM57" s="1129"/>
      <c r="AN57" s="1237"/>
      <c r="AO57" s="1212"/>
      <c r="AP57" s="1129"/>
      <c r="AQ57" s="1237"/>
      <c r="AR57" s="1212"/>
      <c r="AS57" s="1129"/>
      <c r="AT57" s="1237"/>
      <c r="AU57" s="1212"/>
      <c r="AV57" s="1129"/>
      <c r="AW57" s="1212"/>
      <c r="AX57" s="1212"/>
      <c r="BA57" s="1212"/>
      <c r="BD57" s="1212"/>
      <c r="BV57" s="1212"/>
      <c r="BY57" s="1212"/>
      <c r="CB57" s="1212"/>
      <c r="CE57" s="1212"/>
      <c r="CH57" s="1212"/>
      <c r="CK57" s="1212"/>
      <c r="CN57" s="1212"/>
      <c r="CQ57" s="1212"/>
      <c r="CT57" s="1212"/>
      <c r="CW57" s="1212"/>
      <c r="CZ57" s="1212"/>
      <c r="DC57" s="1212"/>
      <c r="DF57" s="1212"/>
      <c r="DI57" s="1212"/>
      <c r="DL57" s="1212"/>
      <c r="DO57" s="1212"/>
      <c r="DR57" s="1212"/>
      <c r="DU57" s="1212"/>
      <c r="DX57" s="1212"/>
    </row>
    <row r="58" spans="1:130" ht="16.5" hidden="1" customHeight="1" thickBot="1">
      <c r="A58" s="1129"/>
      <c r="B58" s="1311"/>
      <c r="C58" s="1147"/>
      <c r="D58" s="1211"/>
      <c r="F58" s="1129"/>
      <c r="G58" s="1212"/>
      <c r="I58" s="1129"/>
      <c r="J58" s="1212"/>
      <c r="K58" s="1212"/>
      <c r="L58" s="1129"/>
      <c r="M58" s="1212"/>
      <c r="N58" s="1212"/>
      <c r="O58" s="1129"/>
      <c r="P58" s="1212"/>
      <c r="Q58" s="1212"/>
      <c r="R58" s="1129"/>
      <c r="S58" s="1212"/>
      <c r="T58" s="1212"/>
      <c r="U58" s="1133"/>
      <c r="V58" s="1237"/>
      <c r="W58" s="1212"/>
      <c r="X58" s="1129"/>
      <c r="Y58" s="1212"/>
      <c r="Z58" s="1212"/>
      <c r="AA58" s="1129"/>
      <c r="AB58" s="1237"/>
      <c r="AC58" s="1212"/>
      <c r="AD58" s="1129"/>
      <c r="AE58" s="1237"/>
      <c r="AF58" s="1212"/>
      <c r="AG58" s="1129"/>
      <c r="AH58" s="1237"/>
      <c r="AI58" s="1212"/>
      <c r="AJ58" s="1129"/>
      <c r="AK58" s="1237"/>
      <c r="AL58" s="1212"/>
      <c r="AM58" s="1129"/>
      <c r="AN58" s="1237"/>
      <c r="AO58" s="1212"/>
      <c r="AP58" s="1129"/>
      <c r="AQ58" s="1237"/>
      <c r="AR58" s="1212"/>
      <c r="AS58" s="1129"/>
      <c r="AT58" s="1237"/>
      <c r="AU58" s="1212"/>
      <c r="AV58" s="1129"/>
      <c r="AW58" s="1212"/>
      <c r="AX58" s="1212"/>
      <c r="BA58" s="1212"/>
      <c r="BD58" s="1212"/>
      <c r="BV58" s="1212"/>
      <c r="BY58" s="1212"/>
      <c r="CB58" s="1212"/>
      <c r="CE58" s="1212"/>
      <c r="CH58" s="1212"/>
      <c r="CK58" s="1212"/>
      <c r="CN58" s="1212"/>
      <c r="CQ58" s="1212"/>
      <c r="CT58" s="1212"/>
      <c r="CW58" s="1212"/>
      <c r="CZ58" s="1212"/>
      <c r="DC58" s="1212"/>
      <c r="DF58" s="1212"/>
      <c r="DI58" s="1212"/>
      <c r="DL58" s="1212"/>
      <c r="DO58" s="1212"/>
      <c r="DR58" s="1212"/>
      <c r="DU58" s="1212"/>
      <c r="DX58" s="1212"/>
    </row>
    <row r="59" spans="1:130" ht="16.5" hidden="1" customHeight="1" thickBot="1">
      <c r="A59" s="1129"/>
      <c r="B59" s="1311"/>
      <c r="C59" s="1147"/>
      <c r="D59" s="1211"/>
      <c r="E59" s="1212"/>
      <c r="F59" s="1129"/>
      <c r="G59" s="1212"/>
      <c r="H59" s="1212"/>
      <c r="I59" s="1129"/>
      <c r="J59" s="1212"/>
      <c r="K59" s="1212"/>
      <c r="L59" s="1129"/>
      <c r="M59" s="1212"/>
      <c r="N59" s="1212"/>
      <c r="O59" s="1129"/>
      <c r="P59" s="1212"/>
      <c r="Q59" s="1212"/>
      <c r="R59" s="1129"/>
      <c r="S59" s="1212"/>
      <c r="T59" s="1212"/>
      <c r="U59" s="1129"/>
      <c r="V59" s="1237"/>
      <c r="W59" s="1212"/>
      <c r="X59" s="1129"/>
      <c r="Y59" s="1212"/>
      <c r="Z59" s="1212"/>
      <c r="AA59" s="1129"/>
      <c r="AB59" s="1237"/>
      <c r="AC59" s="1212"/>
      <c r="AD59" s="1129"/>
      <c r="AE59" s="1237"/>
      <c r="AF59" s="1212"/>
      <c r="AG59" s="1129"/>
      <c r="AH59" s="1237"/>
      <c r="AI59" s="1212"/>
      <c r="AJ59" s="1129"/>
      <c r="AK59" s="1237"/>
      <c r="AL59" s="1212"/>
      <c r="AM59" s="1129"/>
      <c r="AN59" s="1237"/>
      <c r="AO59" s="1212"/>
      <c r="AP59" s="1129"/>
      <c r="AQ59" s="1237"/>
      <c r="AR59" s="1212"/>
      <c r="AS59" s="1129"/>
      <c r="AT59" s="1237"/>
      <c r="AU59" s="1212"/>
      <c r="AV59" s="1129"/>
      <c r="AW59" s="1212"/>
      <c r="AX59" s="1212"/>
      <c r="BA59" s="1212"/>
      <c r="BD59" s="1212"/>
      <c r="BV59" s="1212"/>
      <c r="BY59" s="1212"/>
      <c r="CB59" s="1212"/>
      <c r="CE59" s="1212"/>
      <c r="CH59" s="1212"/>
      <c r="CK59" s="1212"/>
      <c r="CN59" s="1212"/>
      <c r="CQ59" s="1212"/>
      <c r="CT59" s="1212"/>
      <c r="CW59" s="1212"/>
      <c r="CZ59" s="1212"/>
      <c r="DC59" s="1212"/>
      <c r="DF59" s="1212"/>
      <c r="DI59" s="1212"/>
      <c r="DL59" s="1212"/>
      <c r="DO59" s="1212"/>
      <c r="DR59" s="1212"/>
      <c r="DU59" s="1212"/>
      <c r="DX59" s="1212"/>
    </row>
    <row r="60" spans="1:130" ht="16.5" hidden="1" customHeight="1" thickBot="1">
      <c r="A60" s="1129"/>
      <c r="B60" s="1311"/>
      <c r="C60" s="1147"/>
      <c r="D60" s="1211"/>
      <c r="E60" s="1212"/>
      <c r="F60" s="1129"/>
      <c r="G60" s="1212"/>
      <c r="H60" s="1212"/>
      <c r="I60" s="1129"/>
      <c r="J60" s="1212"/>
      <c r="K60" s="1212"/>
      <c r="L60" s="1129"/>
      <c r="M60" s="1212"/>
      <c r="N60" s="1212"/>
      <c r="O60" s="1129"/>
      <c r="P60" s="1212"/>
      <c r="Q60" s="1212"/>
      <c r="R60" s="1129"/>
      <c r="S60" s="1212"/>
      <c r="T60" s="1212"/>
      <c r="U60" s="1129"/>
      <c r="V60" s="1237"/>
      <c r="W60" s="1212"/>
      <c r="X60" s="1129"/>
      <c r="Y60" s="1212"/>
      <c r="Z60" s="1212"/>
      <c r="AA60" s="1129"/>
      <c r="AB60" s="1237"/>
      <c r="AC60" s="1212"/>
      <c r="AD60" s="1129"/>
      <c r="AE60" s="1237"/>
      <c r="AF60" s="1212"/>
      <c r="AG60" s="1129"/>
      <c r="AH60" s="1237"/>
      <c r="AI60" s="1212"/>
      <c r="AJ60" s="1129"/>
      <c r="AK60" s="1237"/>
      <c r="AL60" s="1212"/>
      <c r="AM60" s="1129"/>
      <c r="AN60" s="1237"/>
      <c r="AO60" s="1212"/>
      <c r="AP60" s="1129"/>
      <c r="AQ60" s="1237"/>
      <c r="AR60" s="1212"/>
      <c r="AS60" s="1129"/>
      <c r="AT60" s="1237"/>
      <c r="AU60" s="1212"/>
      <c r="AV60" s="1129"/>
      <c r="AW60" s="1212"/>
      <c r="AX60" s="1212"/>
      <c r="BA60" s="1212"/>
      <c r="BD60" s="1212"/>
      <c r="BV60" s="1212"/>
      <c r="BY60" s="1212"/>
      <c r="CB60" s="1212"/>
      <c r="CE60" s="1212"/>
      <c r="CH60" s="1212"/>
      <c r="CK60" s="1212"/>
      <c r="CN60" s="1212"/>
      <c r="CQ60" s="1212"/>
      <c r="CT60" s="1212"/>
      <c r="CW60" s="1212"/>
      <c r="CZ60" s="1212"/>
      <c r="DC60" s="1212"/>
      <c r="DF60" s="1212"/>
      <c r="DI60" s="1212"/>
      <c r="DL60" s="1212"/>
      <c r="DO60" s="1212"/>
      <c r="DR60" s="1212"/>
      <c r="DU60" s="1212"/>
      <c r="DX60" s="1212"/>
    </row>
    <row r="61" spans="1:130" s="1300" customFormat="1" ht="15" thickTop="1">
      <c r="A61" s="1299"/>
      <c r="B61" s="1304" t="s">
        <v>338</v>
      </c>
      <c r="C61" s="1173"/>
      <c r="D61" s="1202"/>
      <c r="E61" s="1203"/>
      <c r="F61" s="1174"/>
      <c r="G61" s="1216"/>
      <c r="H61" s="1203"/>
      <c r="I61" s="1174"/>
      <c r="J61" s="1216"/>
      <c r="K61" s="1203"/>
      <c r="L61" s="1174"/>
      <c r="M61" s="1216"/>
      <c r="N61" s="1203"/>
      <c r="O61" s="1174"/>
      <c r="P61" s="1216"/>
      <c r="Q61" s="1227"/>
      <c r="R61" s="1174"/>
      <c r="S61" s="1216"/>
      <c r="T61" s="1216"/>
      <c r="U61" s="1174"/>
      <c r="V61" s="1232"/>
      <c r="W61" s="1233"/>
      <c r="X61" s="1174"/>
      <c r="Y61" s="1216"/>
      <c r="Z61" s="1227"/>
      <c r="AA61" s="1174"/>
      <c r="AB61" s="1232"/>
      <c r="AC61" s="1227"/>
      <c r="AD61" s="1174"/>
      <c r="AE61" s="1232"/>
      <c r="AF61" s="1216"/>
      <c r="AG61" s="1174"/>
      <c r="AH61" s="1232"/>
      <c r="AI61" s="1216"/>
      <c r="AJ61" s="1174"/>
      <c r="AK61" s="1232"/>
      <c r="AL61" s="1216"/>
      <c r="AM61" s="1174"/>
      <c r="AN61" s="1232"/>
      <c r="AO61" s="1216"/>
      <c r="AP61" s="1174"/>
      <c r="AQ61" s="1232"/>
      <c r="AR61" s="1216"/>
      <c r="AS61" s="1174"/>
      <c r="AT61" s="1232"/>
      <c r="AU61" s="1216"/>
      <c r="AV61" s="1174"/>
      <c r="AW61" s="1216"/>
      <c r="AX61" s="1216"/>
      <c r="AY61" s="1174"/>
      <c r="AZ61" s="1232"/>
      <c r="BA61" s="1216"/>
      <c r="BB61" s="1174"/>
      <c r="BC61" s="1232"/>
      <c r="BD61" s="1216"/>
      <c r="BE61" s="1174"/>
      <c r="BF61" s="1216"/>
      <c r="BG61" s="1203"/>
      <c r="BH61" s="1174"/>
      <c r="BI61" s="1232"/>
      <c r="BJ61" s="1203"/>
      <c r="BK61" s="1174"/>
      <c r="BL61" s="1232"/>
      <c r="BM61" s="1203"/>
      <c r="BN61" s="1174"/>
      <c r="BO61" s="1232"/>
      <c r="BP61" s="1203"/>
      <c r="BQ61" s="1174"/>
      <c r="BR61" s="1216"/>
      <c r="BS61" s="1255"/>
      <c r="BT61" s="1174"/>
      <c r="BU61" s="1232"/>
      <c r="BV61" s="1216"/>
      <c r="BW61" s="1174"/>
      <c r="BX61" s="1232"/>
      <c r="BY61" s="1216"/>
      <c r="BZ61" s="1174"/>
      <c r="CA61" s="1232"/>
      <c r="CB61" s="1216"/>
      <c r="CC61" s="1174"/>
      <c r="CD61" s="1232"/>
      <c r="CE61" s="1216"/>
      <c r="CF61" s="1174"/>
      <c r="CG61" s="1232"/>
      <c r="CH61" s="1216"/>
      <c r="CI61" s="1174"/>
      <c r="CJ61" s="1232"/>
      <c r="CK61" s="1216"/>
      <c r="CL61" s="1174"/>
      <c r="CM61" s="1232"/>
      <c r="CN61" s="1216"/>
      <c r="CO61" s="1174"/>
      <c r="CP61" s="1232"/>
      <c r="CQ61" s="1216"/>
      <c r="CR61" s="1174"/>
      <c r="CS61" s="1232"/>
      <c r="CT61" s="1216"/>
      <c r="CU61" s="1174"/>
      <c r="CV61" s="1232"/>
      <c r="CW61" s="1216"/>
      <c r="CX61" s="1174"/>
      <c r="CY61" s="1232"/>
      <c r="CZ61" s="1216"/>
      <c r="DA61" s="1174"/>
      <c r="DB61" s="1232"/>
      <c r="DC61" s="1216"/>
      <c r="DD61" s="1174"/>
      <c r="DE61" s="1216"/>
      <c r="DF61" s="1216"/>
      <c r="DG61" s="1174"/>
      <c r="DH61" s="1216"/>
      <c r="DI61" s="1216"/>
      <c r="DJ61" s="1174"/>
      <c r="DK61" s="1216"/>
      <c r="DL61" s="1216"/>
      <c r="DM61" s="1174"/>
      <c r="DN61" s="1216"/>
      <c r="DO61" s="1216"/>
      <c r="DP61" s="1174"/>
      <c r="DQ61" s="1216"/>
      <c r="DR61" s="1216"/>
      <c r="DS61" s="1174"/>
      <c r="DT61" s="1216"/>
      <c r="DU61" s="1216"/>
      <c r="DV61" s="1174"/>
      <c r="DW61" s="1216"/>
      <c r="DX61" s="1246"/>
    </row>
    <row r="62" spans="1:130">
      <c r="B62" s="1305" t="s">
        <v>973</v>
      </c>
      <c r="C62" s="1155"/>
      <c r="D62" s="1195"/>
      <c r="E62" s="1199"/>
      <c r="F62" s="1156"/>
      <c r="G62" s="1195"/>
      <c r="H62" s="1199"/>
      <c r="I62" s="1156"/>
      <c r="J62" s="1195"/>
      <c r="K62" s="1222"/>
      <c r="L62" s="1156"/>
      <c r="M62" s="1195"/>
      <c r="N62" s="1222"/>
      <c r="O62" s="1156"/>
      <c r="P62" s="1195"/>
      <c r="Q62" s="1222"/>
      <c r="R62" s="1156"/>
      <c r="S62" s="1195"/>
      <c r="T62" s="1222"/>
      <c r="U62" s="1156">
        <f>1098+350</f>
        <v>1448</v>
      </c>
      <c r="V62" s="1195">
        <v>6000</v>
      </c>
      <c r="W62" s="1222"/>
      <c r="X62" s="1156"/>
      <c r="Y62" s="1195"/>
      <c r="Z62" s="1222"/>
      <c r="AA62" s="1156"/>
      <c r="AB62" s="1195"/>
      <c r="AC62" s="1222"/>
      <c r="AD62" s="1156"/>
      <c r="AE62" s="1195"/>
      <c r="AF62" s="1222"/>
      <c r="AG62" s="1156"/>
      <c r="AH62" s="1195"/>
      <c r="AI62" s="1222"/>
      <c r="AJ62" s="1156"/>
      <c r="AK62" s="1195"/>
      <c r="AL62" s="1222"/>
      <c r="AM62" s="1156"/>
      <c r="AN62" s="1195"/>
      <c r="AO62" s="1222"/>
      <c r="AP62" s="1156"/>
      <c r="AQ62" s="1195"/>
      <c r="AR62" s="1222"/>
      <c r="AS62" s="1156"/>
      <c r="AT62" s="1195"/>
      <c r="AU62" s="1222"/>
      <c r="AV62" s="1156"/>
      <c r="AW62" s="1195"/>
      <c r="AX62" s="1222"/>
      <c r="AY62" s="1156"/>
      <c r="AZ62" s="1195"/>
      <c r="BA62" s="1222">
        <v>10</v>
      </c>
      <c r="BB62" s="1156"/>
      <c r="BC62" s="1195"/>
      <c r="BD62" s="1222">
        <v>10</v>
      </c>
      <c r="BE62" s="1183"/>
      <c r="BF62" s="1195"/>
      <c r="BG62" s="1222">
        <v>10</v>
      </c>
      <c r="BH62" s="1183"/>
      <c r="BI62" s="1195"/>
      <c r="BJ62" s="1222">
        <v>9</v>
      </c>
      <c r="BK62" s="1156"/>
      <c r="BL62" s="1195"/>
      <c r="BM62" s="1222">
        <v>10</v>
      </c>
      <c r="BN62" s="1156"/>
      <c r="BO62" s="1195"/>
      <c r="BP62" s="1222">
        <v>10</v>
      </c>
      <c r="BQ62" s="1156"/>
      <c r="BR62" s="1217"/>
      <c r="BS62" s="1222"/>
      <c r="BT62" s="1156"/>
      <c r="BU62" s="1195"/>
      <c r="BV62" s="1222"/>
      <c r="BW62" s="1156"/>
      <c r="BX62" s="1195"/>
      <c r="BY62" s="1222"/>
      <c r="BZ62" s="1156"/>
      <c r="CA62" s="1195"/>
      <c r="CB62" s="1222"/>
      <c r="CC62" s="1156"/>
      <c r="CD62" s="1195"/>
      <c r="CE62" s="1222"/>
      <c r="CF62" s="1156"/>
      <c r="CG62" s="1195"/>
      <c r="CH62" s="1222"/>
      <c r="CI62" s="1156"/>
      <c r="CJ62" s="1195"/>
      <c r="CK62" s="1222"/>
      <c r="CL62" s="1156"/>
      <c r="CM62" s="1195"/>
      <c r="CN62" s="1222"/>
      <c r="CO62" s="1156"/>
      <c r="CP62" s="1195"/>
      <c r="CQ62" s="1222"/>
      <c r="CR62" s="1156"/>
      <c r="CS62" s="1195"/>
      <c r="CT62" s="1222"/>
      <c r="CU62" s="1156"/>
      <c r="CV62" s="1195"/>
      <c r="CW62" s="1222"/>
      <c r="CX62" s="1156"/>
      <c r="CY62" s="1195"/>
      <c r="CZ62" s="1222"/>
      <c r="DA62" s="1156"/>
      <c r="DB62" s="1195"/>
      <c r="DC62" s="1222"/>
      <c r="DD62" s="1156"/>
      <c r="DE62" s="1217"/>
      <c r="DF62" s="1222"/>
      <c r="DG62" s="1156"/>
      <c r="DH62" s="1217"/>
      <c r="DI62" s="1222"/>
      <c r="DJ62" s="1156"/>
      <c r="DK62" s="1217"/>
      <c r="DL62" s="1222"/>
      <c r="DM62" s="1156"/>
      <c r="DN62" s="1217"/>
      <c r="DO62" s="1222"/>
      <c r="DP62" s="1156"/>
      <c r="DQ62" s="1217"/>
      <c r="DR62" s="1222"/>
      <c r="DS62" s="1156"/>
      <c r="DT62" s="1217"/>
      <c r="DU62" s="1222"/>
      <c r="DV62" s="1156"/>
      <c r="DW62" s="1217"/>
      <c r="DX62" s="1244"/>
    </row>
    <row r="63" spans="1:130">
      <c r="B63" s="1305" t="s">
        <v>972</v>
      </c>
      <c r="C63" s="1184"/>
      <c r="D63" s="1195"/>
      <c r="E63" s="1199"/>
      <c r="F63" s="1184"/>
      <c r="G63" s="1195"/>
      <c r="H63" s="1199"/>
      <c r="I63" s="1184"/>
      <c r="J63" s="1195"/>
      <c r="K63" s="1222"/>
      <c r="L63" s="1183"/>
      <c r="M63" s="1195"/>
      <c r="N63" s="1222"/>
      <c r="O63" s="1183"/>
      <c r="P63" s="1195"/>
      <c r="Q63" s="1222"/>
      <c r="R63" s="1183"/>
      <c r="S63" s="1195"/>
      <c r="T63" s="1222"/>
      <c r="U63" s="1183"/>
      <c r="V63" s="1195"/>
      <c r="W63" s="1222"/>
      <c r="X63" s="1183"/>
      <c r="Y63" s="1195"/>
      <c r="Z63" s="1222"/>
      <c r="AA63" s="1183"/>
      <c r="AB63" s="1195"/>
      <c r="AC63" s="1222"/>
      <c r="AD63" s="1183"/>
      <c r="AE63" s="1195"/>
      <c r="AF63" s="1222"/>
      <c r="AG63" s="1183"/>
      <c r="AH63" s="1195"/>
      <c r="AI63" s="1222"/>
      <c r="AJ63" s="1183"/>
      <c r="AK63" s="1195"/>
      <c r="AL63" s="1222"/>
      <c r="AM63" s="1156"/>
      <c r="AN63" s="1195"/>
      <c r="AO63" s="1222"/>
      <c r="AP63" s="1156"/>
      <c r="AQ63" s="1195"/>
      <c r="AR63" s="1222"/>
      <c r="AS63" s="1183"/>
      <c r="AT63" s="1195"/>
      <c r="AU63" s="1222"/>
      <c r="AV63" s="1183"/>
      <c r="AW63" s="1195"/>
      <c r="AX63" s="1222"/>
      <c r="AY63" s="1183"/>
      <c r="AZ63" s="1195"/>
      <c r="BA63" s="1222">
        <f>79-BA18</f>
        <v>56</v>
      </c>
      <c r="BB63" s="1183"/>
      <c r="BC63" s="1195"/>
      <c r="BD63" s="1222">
        <f>79-BD18</f>
        <v>56</v>
      </c>
      <c r="BE63" s="1183"/>
      <c r="BF63" s="1195"/>
      <c r="BG63" s="1222">
        <f>79-BG18</f>
        <v>56</v>
      </c>
      <c r="BH63" s="1183"/>
      <c r="BI63" s="1195"/>
      <c r="BJ63" s="1222">
        <f>61-BJ18</f>
        <v>38</v>
      </c>
      <c r="BK63" s="1183"/>
      <c r="BL63" s="1195"/>
      <c r="BM63" s="1222">
        <f>98-BM18</f>
        <v>82.666666666666671</v>
      </c>
      <c r="BN63" s="1183"/>
      <c r="BO63" s="1195"/>
      <c r="BP63" s="1222">
        <f>66-BP18</f>
        <v>44</v>
      </c>
      <c r="BQ63" s="1156"/>
      <c r="BR63" s="1217"/>
      <c r="BS63" s="1222"/>
      <c r="BT63" s="1183"/>
      <c r="BU63" s="1195"/>
      <c r="BV63" s="1222"/>
      <c r="BW63" s="1183"/>
      <c r="BX63" s="1195"/>
      <c r="BY63" s="1222"/>
      <c r="BZ63" s="1183"/>
      <c r="CA63" s="1195"/>
      <c r="CB63" s="1222"/>
      <c r="CC63" s="1183"/>
      <c r="CD63" s="1195"/>
      <c r="CE63" s="1222"/>
      <c r="CF63" s="1183"/>
      <c r="CG63" s="1195"/>
      <c r="CH63" s="1222"/>
      <c r="CI63" s="1183"/>
      <c r="CJ63" s="1195"/>
      <c r="CK63" s="1222"/>
      <c r="CL63" s="1183"/>
      <c r="CM63" s="1195"/>
      <c r="CN63" s="1222"/>
      <c r="CO63" s="1183"/>
      <c r="CP63" s="1195"/>
      <c r="CQ63" s="1222"/>
      <c r="CR63" s="1183"/>
      <c r="CS63" s="1195"/>
      <c r="CT63" s="1222"/>
      <c r="CU63" s="1156"/>
      <c r="CV63" s="1195"/>
      <c r="CW63" s="1222"/>
      <c r="CX63" s="1183"/>
      <c r="CY63" s="1195"/>
      <c r="CZ63" s="1222"/>
      <c r="DA63" s="1183"/>
      <c r="DB63" s="1195"/>
      <c r="DC63" s="1222"/>
      <c r="DD63" s="1156"/>
      <c r="DE63" s="1217"/>
      <c r="DF63" s="1222"/>
      <c r="DG63" s="1156"/>
      <c r="DH63" s="1217"/>
      <c r="DI63" s="1222"/>
      <c r="DJ63" s="1156"/>
      <c r="DK63" s="1217"/>
      <c r="DL63" s="1222"/>
      <c r="DM63" s="1156"/>
      <c r="DN63" s="1217"/>
      <c r="DO63" s="1222"/>
      <c r="DP63" s="1156"/>
      <c r="DQ63" s="1217"/>
      <c r="DR63" s="1222"/>
      <c r="DS63" s="1156"/>
      <c r="DT63" s="1217"/>
      <c r="DU63" s="1222"/>
      <c r="DV63" s="1156"/>
      <c r="DW63" s="1217"/>
      <c r="DX63" s="1244"/>
    </row>
    <row r="64" spans="1:130">
      <c r="B64" s="1305" t="s">
        <v>164</v>
      </c>
      <c r="C64" s="1185"/>
      <c r="D64" s="1195"/>
      <c r="E64" s="1199"/>
      <c r="F64" s="1186"/>
      <c r="G64" s="1195"/>
      <c r="H64" s="1199"/>
      <c r="I64" s="1186"/>
      <c r="J64" s="1195"/>
      <c r="K64" s="1222"/>
      <c r="L64" s="1186"/>
      <c r="M64" s="1195"/>
      <c r="N64" s="1222"/>
      <c r="O64" s="1156"/>
      <c r="P64" s="1195"/>
      <c r="Q64" s="1222"/>
      <c r="R64" s="1156"/>
      <c r="S64" s="1195"/>
      <c r="T64" s="1222"/>
      <c r="U64" s="1156">
        <f>1938+426</f>
        <v>2364</v>
      </c>
      <c r="V64" s="1195">
        <v>1500</v>
      </c>
      <c r="W64" s="1222"/>
      <c r="X64" s="1156"/>
      <c r="Y64" s="1195"/>
      <c r="Z64" s="1222"/>
      <c r="AA64" s="1156"/>
      <c r="AB64" s="1195"/>
      <c r="AC64" s="1222"/>
      <c r="AD64" s="1156"/>
      <c r="AE64" s="1195"/>
      <c r="AF64" s="1222"/>
      <c r="AG64" s="1156"/>
      <c r="AH64" s="1195"/>
      <c r="AI64" s="1222"/>
      <c r="AJ64" s="1156"/>
      <c r="AK64" s="1195"/>
      <c r="AL64" s="1222"/>
      <c r="AM64" s="1156"/>
      <c r="AN64" s="1195"/>
      <c r="AO64" s="1222"/>
      <c r="AP64" s="1156"/>
      <c r="AQ64" s="1195"/>
      <c r="AR64" s="1222"/>
      <c r="AS64" s="1156"/>
      <c r="AT64" s="1195"/>
      <c r="AU64" s="1222"/>
      <c r="AV64" s="1156"/>
      <c r="AW64" s="1195"/>
      <c r="AX64" s="1222"/>
      <c r="AY64" s="1156"/>
      <c r="AZ64" s="1195"/>
      <c r="BA64" s="1222"/>
      <c r="BB64" s="1183"/>
      <c r="BC64" s="1195"/>
      <c r="BD64" s="1222"/>
      <c r="BE64" s="1156"/>
      <c r="BF64" s="1195"/>
      <c r="BG64" s="1222"/>
      <c r="BH64" s="1156"/>
      <c r="BI64" s="1195"/>
      <c r="BJ64" s="1222"/>
      <c r="BK64" s="1156"/>
      <c r="BL64" s="1195"/>
      <c r="BM64" s="1222"/>
      <c r="BN64" s="1156"/>
      <c r="BO64" s="1195"/>
      <c r="BP64" s="1222"/>
      <c r="BQ64" s="1156"/>
      <c r="BR64" s="1217"/>
      <c r="BS64" s="1222"/>
      <c r="BT64" s="1156"/>
      <c r="BU64" s="1195"/>
      <c r="BV64" s="1222"/>
      <c r="BW64" s="1156"/>
      <c r="BX64" s="1195"/>
      <c r="BY64" s="1222"/>
      <c r="BZ64" s="1156"/>
      <c r="CA64" s="1195"/>
      <c r="CB64" s="1222"/>
      <c r="CC64" s="1156"/>
      <c r="CD64" s="1195"/>
      <c r="CE64" s="1222"/>
      <c r="CF64" s="1156"/>
      <c r="CG64" s="1195"/>
      <c r="CH64" s="1222"/>
      <c r="CI64" s="1156"/>
      <c r="CJ64" s="1195"/>
      <c r="CK64" s="1222"/>
      <c r="CL64" s="1156"/>
      <c r="CM64" s="1195"/>
      <c r="CN64" s="1222"/>
      <c r="CO64" s="1156"/>
      <c r="CP64" s="1195"/>
      <c r="CQ64" s="1222"/>
      <c r="CR64" s="1156"/>
      <c r="CS64" s="1195"/>
      <c r="CT64" s="1222"/>
      <c r="CU64" s="1156"/>
      <c r="CV64" s="1195"/>
      <c r="CW64" s="1222"/>
      <c r="CX64" s="1156"/>
      <c r="CY64" s="1195"/>
      <c r="CZ64" s="1222"/>
      <c r="DA64" s="1156"/>
      <c r="DB64" s="1195"/>
      <c r="DC64" s="1222"/>
      <c r="DD64" s="1156"/>
      <c r="DE64" s="1217"/>
      <c r="DF64" s="1222"/>
      <c r="DG64" s="1156"/>
      <c r="DH64" s="1217"/>
      <c r="DI64" s="1222"/>
      <c r="DJ64" s="1156"/>
      <c r="DK64" s="1217"/>
      <c r="DL64" s="1222"/>
      <c r="DM64" s="1156"/>
      <c r="DN64" s="1217"/>
      <c r="DO64" s="1222"/>
      <c r="DP64" s="1156"/>
      <c r="DQ64" s="1217"/>
      <c r="DR64" s="1222"/>
      <c r="DS64" s="1156"/>
      <c r="DT64" s="1217"/>
      <c r="DU64" s="1222"/>
      <c r="DV64" s="1156"/>
      <c r="DW64" s="1217"/>
      <c r="DX64" s="1244"/>
    </row>
    <row r="65" spans="1:128">
      <c r="B65" s="1305" t="s">
        <v>165</v>
      </c>
      <c r="C65" s="1155"/>
      <c r="D65" s="1195"/>
      <c r="E65" s="1199"/>
      <c r="F65" s="1156"/>
      <c r="G65" s="1195"/>
      <c r="H65" s="1199"/>
      <c r="I65" s="1156"/>
      <c r="J65" s="1195"/>
      <c r="K65" s="1222"/>
      <c r="L65" s="1156"/>
      <c r="M65" s="1195"/>
      <c r="N65" s="1222"/>
      <c r="O65" s="1156"/>
      <c r="P65" s="1195"/>
      <c r="Q65" s="1222"/>
      <c r="R65" s="1156"/>
      <c r="S65" s="1195"/>
      <c r="T65" s="1222"/>
      <c r="U65" s="1156">
        <f>1208+4279</f>
        <v>5487</v>
      </c>
      <c r="V65" s="1195">
        <v>1000</v>
      </c>
      <c r="W65" s="1222"/>
      <c r="X65" s="1156"/>
      <c r="Y65" s="1195"/>
      <c r="Z65" s="1222"/>
      <c r="AA65" s="1156"/>
      <c r="AB65" s="1195"/>
      <c r="AC65" s="1222"/>
      <c r="AD65" s="1156"/>
      <c r="AE65" s="1195"/>
      <c r="AF65" s="1222"/>
      <c r="AG65" s="1156"/>
      <c r="AH65" s="1195"/>
      <c r="AI65" s="1222"/>
      <c r="AJ65" s="1156"/>
      <c r="AK65" s="1195"/>
      <c r="AL65" s="1222"/>
      <c r="AM65" s="1156"/>
      <c r="AN65" s="1195"/>
      <c r="AO65" s="1222"/>
      <c r="AP65" s="1156"/>
      <c r="AQ65" s="1195"/>
      <c r="AR65" s="1222"/>
      <c r="AS65" s="1156"/>
      <c r="AT65" s="1195"/>
      <c r="AU65" s="1222"/>
      <c r="AV65" s="1156"/>
      <c r="AW65" s="1195"/>
      <c r="AX65" s="1222"/>
      <c r="AY65" s="1156"/>
      <c r="AZ65" s="1195"/>
      <c r="BA65" s="1222"/>
      <c r="BB65" s="1156"/>
      <c r="BC65" s="1195"/>
      <c r="BD65" s="1222"/>
      <c r="BE65" s="1156"/>
      <c r="BF65" s="1195"/>
      <c r="BG65" s="1222"/>
      <c r="BH65" s="1156"/>
      <c r="BI65" s="1195"/>
      <c r="BJ65" s="1222"/>
      <c r="BK65" s="1156"/>
      <c r="BL65" s="1195"/>
      <c r="BM65" s="1222"/>
      <c r="BN65" s="1156"/>
      <c r="BO65" s="1195"/>
      <c r="BP65" s="1222"/>
      <c r="BQ65" s="1156"/>
      <c r="BR65" s="1217"/>
      <c r="BS65" s="1222"/>
      <c r="BT65" s="1156"/>
      <c r="BU65" s="1195"/>
      <c r="BV65" s="1222"/>
      <c r="BW65" s="1156"/>
      <c r="BX65" s="1195"/>
      <c r="BY65" s="1222"/>
      <c r="BZ65" s="1156"/>
      <c r="CA65" s="1195"/>
      <c r="CB65" s="1222"/>
      <c r="CC65" s="1156"/>
      <c r="CD65" s="1195"/>
      <c r="CE65" s="1222"/>
      <c r="CF65" s="1156"/>
      <c r="CG65" s="1195"/>
      <c r="CH65" s="1222"/>
      <c r="CI65" s="1156"/>
      <c r="CJ65" s="1195"/>
      <c r="CK65" s="1222"/>
      <c r="CL65" s="1156"/>
      <c r="CM65" s="1195"/>
      <c r="CN65" s="1222"/>
      <c r="CO65" s="1156"/>
      <c r="CP65" s="1195"/>
      <c r="CQ65" s="1222"/>
      <c r="CR65" s="1156"/>
      <c r="CS65" s="1195"/>
      <c r="CT65" s="1222"/>
      <c r="CU65" s="1156"/>
      <c r="CV65" s="1195"/>
      <c r="CW65" s="1222"/>
      <c r="CX65" s="1156"/>
      <c r="CY65" s="1195"/>
      <c r="CZ65" s="1222"/>
      <c r="DA65" s="1156"/>
      <c r="DB65" s="1195"/>
      <c r="DC65" s="1222"/>
      <c r="DD65" s="1156"/>
      <c r="DE65" s="1217"/>
      <c r="DF65" s="1222"/>
      <c r="DG65" s="1156"/>
      <c r="DH65" s="1217"/>
      <c r="DI65" s="1222"/>
      <c r="DJ65" s="1156"/>
      <c r="DK65" s="1217"/>
      <c r="DL65" s="1222"/>
      <c r="DM65" s="1156"/>
      <c r="DN65" s="1217"/>
      <c r="DO65" s="1222"/>
      <c r="DP65" s="1156"/>
      <c r="DQ65" s="1217"/>
      <c r="DR65" s="1222"/>
      <c r="DS65" s="1156"/>
      <c r="DT65" s="1217"/>
      <c r="DU65" s="1222"/>
      <c r="DV65" s="1156"/>
      <c r="DW65" s="1217"/>
      <c r="DX65" s="1244"/>
    </row>
    <row r="66" spans="1:128">
      <c r="B66" s="1305" t="s">
        <v>166</v>
      </c>
      <c r="C66" s="1155"/>
      <c r="D66" s="1195"/>
      <c r="E66" s="1199"/>
      <c r="F66" s="1156"/>
      <c r="G66" s="1195"/>
      <c r="H66" s="1199"/>
      <c r="I66" s="1156"/>
      <c r="J66" s="1195"/>
      <c r="K66" s="1222"/>
      <c r="L66" s="1156"/>
      <c r="M66" s="1195"/>
      <c r="N66" s="1222"/>
      <c r="O66" s="1156"/>
      <c r="P66" s="1195"/>
      <c r="Q66" s="1222"/>
      <c r="R66" s="1156"/>
      <c r="S66" s="1195"/>
      <c r="T66" s="1222"/>
      <c r="U66" s="1156">
        <f>411+12843</f>
        <v>13254</v>
      </c>
      <c r="V66" s="1195">
        <v>2000</v>
      </c>
      <c r="W66" s="1222"/>
      <c r="X66" s="1156"/>
      <c r="Y66" s="1195"/>
      <c r="Z66" s="1222"/>
      <c r="AA66" s="1156"/>
      <c r="AB66" s="1195"/>
      <c r="AC66" s="1222"/>
      <c r="AD66" s="1156"/>
      <c r="AE66" s="1195"/>
      <c r="AF66" s="1222"/>
      <c r="AG66" s="1156"/>
      <c r="AH66" s="1195"/>
      <c r="AI66" s="1222"/>
      <c r="AJ66" s="1156"/>
      <c r="AK66" s="1195"/>
      <c r="AL66" s="1222"/>
      <c r="AM66" s="1156"/>
      <c r="AN66" s="1195"/>
      <c r="AO66" s="1222"/>
      <c r="AP66" s="1156"/>
      <c r="AQ66" s="1195"/>
      <c r="AR66" s="1222"/>
      <c r="AS66" s="1156"/>
      <c r="AT66" s="1195"/>
      <c r="AU66" s="1222"/>
      <c r="AV66" s="1156"/>
      <c r="AW66" s="1195"/>
      <c r="AX66" s="1222"/>
      <c r="AY66" s="1156"/>
      <c r="AZ66" s="1195"/>
      <c r="BA66" s="1222"/>
      <c r="BB66" s="1156"/>
      <c r="BC66" s="1195"/>
      <c r="BD66" s="1222"/>
      <c r="BE66" s="1156"/>
      <c r="BF66" s="1195"/>
      <c r="BG66" s="1222"/>
      <c r="BH66" s="1156"/>
      <c r="BI66" s="1195"/>
      <c r="BJ66" s="1222"/>
      <c r="BK66" s="1156"/>
      <c r="BL66" s="1195"/>
      <c r="BM66" s="1222"/>
      <c r="BN66" s="1156"/>
      <c r="BO66" s="1195"/>
      <c r="BP66" s="1222"/>
      <c r="BQ66" s="1156"/>
      <c r="BR66" s="1217"/>
      <c r="BS66" s="1222"/>
      <c r="BT66" s="1156"/>
      <c r="BU66" s="1195"/>
      <c r="BV66" s="1222"/>
      <c r="BW66" s="1156"/>
      <c r="BX66" s="1195"/>
      <c r="BY66" s="1222"/>
      <c r="BZ66" s="1156"/>
      <c r="CA66" s="1195"/>
      <c r="CB66" s="1222"/>
      <c r="CC66" s="1156"/>
      <c r="CD66" s="1195"/>
      <c r="CE66" s="1222"/>
      <c r="CF66" s="1156"/>
      <c r="CG66" s="1195"/>
      <c r="CH66" s="1222"/>
      <c r="CI66" s="1156"/>
      <c r="CJ66" s="1195"/>
      <c r="CK66" s="1222"/>
      <c r="CL66" s="1156"/>
      <c r="CM66" s="1195"/>
      <c r="CN66" s="1222"/>
      <c r="CO66" s="1156"/>
      <c r="CP66" s="1195"/>
      <c r="CQ66" s="1222"/>
      <c r="CR66" s="1156"/>
      <c r="CS66" s="1195"/>
      <c r="CT66" s="1222"/>
      <c r="CU66" s="1156"/>
      <c r="CV66" s="1195"/>
      <c r="CW66" s="1222"/>
      <c r="CX66" s="1156"/>
      <c r="CY66" s="1195"/>
      <c r="CZ66" s="1222"/>
      <c r="DA66" s="1156"/>
      <c r="DB66" s="1195"/>
      <c r="DC66" s="1222"/>
      <c r="DD66" s="1156"/>
      <c r="DE66" s="1217"/>
      <c r="DF66" s="1222"/>
      <c r="DG66" s="1156"/>
      <c r="DH66" s="1217"/>
      <c r="DI66" s="1222"/>
      <c r="DJ66" s="1156"/>
      <c r="DK66" s="1217"/>
      <c r="DL66" s="1222"/>
      <c r="DM66" s="1156"/>
      <c r="DN66" s="1217"/>
      <c r="DO66" s="1222"/>
      <c r="DP66" s="1156"/>
      <c r="DQ66" s="1217"/>
      <c r="DR66" s="1222"/>
      <c r="DS66" s="1156"/>
      <c r="DT66" s="1217"/>
      <c r="DU66" s="1222"/>
      <c r="DV66" s="1156"/>
      <c r="DW66" s="1217"/>
      <c r="DX66" s="1244"/>
    </row>
    <row r="67" spans="1:128">
      <c r="B67" s="1305" t="s">
        <v>167</v>
      </c>
      <c r="C67" s="1155"/>
      <c r="D67" s="1195"/>
      <c r="E67" s="1199"/>
      <c r="F67" s="1156"/>
      <c r="G67" s="1195"/>
      <c r="H67" s="1199"/>
      <c r="I67" s="1156"/>
      <c r="J67" s="1195"/>
      <c r="K67" s="1222"/>
      <c r="L67" s="1156"/>
      <c r="M67" s="1195"/>
      <c r="N67" s="1222"/>
      <c r="O67" s="1156"/>
      <c r="P67" s="1195"/>
      <c r="Q67" s="1222"/>
      <c r="R67" s="1156"/>
      <c r="S67" s="1195"/>
      <c r="T67" s="1222"/>
      <c r="U67" s="1156"/>
      <c r="V67" s="1195">
        <v>3000</v>
      </c>
      <c r="W67" s="1222"/>
      <c r="X67" s="1156"/>
      <c r="Y67" s="1195"/>
      <c r="Z67" s="1222"/>
      <c r="AA67" s="1156"/>
      <c r="AB67" s="1195"/>
      <c r="AC67" s="1222"/>
      <c r="AD67" s="1156"/>
      <c r="AE67" s="1195"/>
      <c r="AF67" s="1222"/>
      <c r="AG67" s="1156"/>
      <c r="AH67" s="1195"/>
      <c r="AI67" s="1222"/>
      <c r="AJ67" s="1156"/>
      <c r="AK67" s="1195"/>
      <c r="AL67" s="1222"/>
      <c r="AM67" s="1156"/>
      <c r="AN67" s="1195"/>
      <c r="AO67" s="1222"/>
      <c r="AP67" s="1156"/>
      <c r="AQ67" s="1195"/>
      <c r="AR67" s="1222"/>
      <c r="AS67" s="1156"/>
      <c r="AT67" s="1195"/>
      <c r="AU67" s="1222"/>
      <c r="AV67" s="1156"/>
      <c r="AW67" s="1195"/>
      <c r="AX67" s="1222"/>
      <c r="AY67" s="1156"/>
      <c r="AZ67" s="1195"/>
      <c r="BA67" s="1222"/>
      <c r="BB67" s="1156"/>
      <c r="BC67" s="1195"/>
      <c r="BD67" s="1222"/>
      <c r="BE67" s="1156"/>
      <c r="BF67" s="1195"/>
      <c r="BG67" s="1222"/>
      <c r="BH67" s="1156"/>
      <c r="BI67" s="1195"/>
      <c r="BJ67" s="1222"/>
      <c r="BK67" s="1156"/>
      <c r="BL67" s="1195"/>
      <c r="BM67" s="1222"/>
      <c r="BN67" s="1156"/>
      <c r="BO67" s="1195"/>
      <c r="BP67" s="1222"/>
      <c r="BQ67" s="1156"/>
      <c r="BR67" s="1217"/>
      <c r="BS67" s="1222"/>
      <c r="BT67" s="1156"/>
      <c r="BU67" s="1195"/>
      <c r="BV67" s="1222"/>
      <c r="BW67" s="1156"/>
      <c r="BX67" s="1195"/>
      <c r="BY67" s="1222"/>
      <c r="BZ67" s="1156"/>
      <c r="CA67" s="1195"/>
      <c r="CB67" s="1222"/>
      <c r="CC67" s="1156"/>
      <c r="CD67" s="1195"/>
      <c r="CE67" s="1222"/>
      <c r="CF67" s="1156"/>
      <c r="CG67" s="1195"/>
      <c r="CH67" s="1222"/>
      <c r="CI67" s="1156"/>
      <c r="CJ67" s="1195"/>
      <c r="CK67" s="1222"/>
      <c r="CL67" s="1156"/>
      <c r="CM67" s="1195"/>
      <c r="CN67" s="1222"/>
      <c r="CO67" s="1156"/>
      <c r="CP67" s="1195"/>
      <c r="CQ67" s="1222"/>
      <c r="CR67" s="1156"/>
      <c r="CS67" s="1195"/>
      <c r="CT67" s="1222"/>
      <c r="CU67" s="1156"/>
      <c r="CV67" s="1195"/>
      <c r="CW67" s="1222"/>
      <c r="CX67" s="1156"/>
      <c r="CY67" s="1195"/>
      <c r="CZ67" s="1222"/>
      <c r="DA67" s="1156"/>
      <c r="DB67" s="1195"/>
      <c r="DC67" s="1222"/>
      <c r="DD67" s="1156"/>
      <c r="DE67" s="1217"/>
      <c r="DF67" s="1222"/>
      <c r="DG67" s="1156"/>
      <c r="DH67" s="1217"/>
      <c r="DI67" s="1222"/>
      <c r="DJ67" s="1156"/>
      <c r="DK67" s="1217"/>
      <c r="DL67" s="1222"/>
      <c r="DM67" s="1156"/>
      <c r="DN67" s="1217"/>
      <c r="DO67" s="1222"/>
      <c r="DP67" s="1156"/>
      <c r="DQ67" s="1217"/>
      <c r="DR67" s="1222"/>
      <c r="DS67" s="1156"/>
      <c r="DT67" s="1217"/>
      <c r="DU67" s="1222"/>
      <c r="DV67" s="1156"/>
      <c r="DW67" s="1217"/>
      <c r="DX67" s="1244"/>
    </row>
    <row r="68" spans="1:128">
      <c r="B68" s="1305" t="s">
        <v>168</v>
      </c>
      <c r="C68" s="1155"/>
      <c r="D68" s="1195"/>
      <c r="E68" s="1199"/>
      <c r="F68" s="1156"/>
      <c r="G68" s="1195"/>
      <c r="H68" s="1199"/>
      <c r="I68" s="1156"/>
      <c r="J68" s="1195"/>
      <c r="K68" s="1222"/>
      <c r="L68" s="1156"/>
      <c r="M68" s="1195"/>
      <c r="N68" s="1222"/>
      <c r="O68" s="1156"/>
      <c r="P68" s="1195"/>
      <c r="Q68" s="1222"/>
      <c r="R68" s="1156"/>
      <c r="S68" s="1195"/>
      <c r="T68" s="1222"/>
      <c r="U68" s="1156">
        <v>6521</v>
      </c>
      <c r="V68" s="1195">
        <v>0</v>
      </c>
      <c r="W68" s="1222"/>
      <c r="X68" s="1156"/>
      <c r="Y68" s="1195"/>
      <c r="Z68" s="1222"/>
      <c r="AA68" s="1156"/>
      <c r="AB68" s="1195"/>
      <c r="AC68" s="1222"/>
      <c r="AD68" s="1156"/>
      <c r="AE68" s="1195"/>
      <c r="AF68" s="1222"/>
      <c r="AG68" s="1156"/>
      <c r="AH68" s="1195"/>
      <c r="AI68" s="1222"/>
      <c r="AJ68" s="1156"/>
      <c r="AK68" s="1195"/>
      <c r="AL68" s="1222"/>
      <c r="AM68" s="1156"/>
      <c r="AN68" s="1195"/>
      <c r="AO68" s="1222"/>
      <c r="AP68" s="1156"/>
      <c r="AQ68" s="1195"/>
      <c r="AR68" s="1222"/>
      <c r="AS68" s="1156"/>
      <c r="AT68" s="1195"/>
      <c r="AU68" s="1222"/>
      <c r="AV68" s="1156"/>
      <c r="AW68" s="1195"/>
      <c r="AX68" s="1222"/>
      <c r="AY68" s="1156"/>
      <c r="AZ68" s="1195"/>
      <c r="BA68" s="1222"/>
      <c r="BB68" s="1156"/>
      <c r="BC68" s="1195"/>
      <c r="BD68" s="1222"/>
      <c r="BE68" s="1156"/>
      <c r="BF68" s="1195"/>
      <c r="BG68" s="1222"/>
      <c r="BH68" s="1156"/>
      <c r="BI68" s="1195"/>
      <c r="BJ68" s="1222"/>
      <c r="BK68" s="1156"/>
      <c r="BL68" s="1195"/>
      <c r="BM68" s="1222"/>
      <c r="BN68" s="1156"/>
      <c r="BO68" s="1195"/>
      <c r="BP68" s="1222"/>
      <c r="BQ68" s="1156"/>
      <c r="BR68" s="1217"/>
      <c r="BS68" s="1222"/>
      <c r="BT68" s="1156"/>
      <c r="BU68" s="1195"/>
      <c r="BV68" s="1222"/>
      <c r="BW68" s="1156"/>
      <c r="BX68" s="1195"/>
      <c r="BY68" s="1222"/>
      <c r="BZ68" s="1156"/>
      <c r="CA68" s="1195"/>
      <c r="CB68" s="1222"/>
      <c r="CC68" s="1156"/>
      <c r="CD68" s="1195"/>
      <c r="CE68" s="1222"/>
      <c r="CF68" s="1156"/>
      <c r="CG68" s="1195"/>
      <c r="CH68" s="1222"/>
      <c r="CI68" s="1156"/>
      <c r="CJ68" s="1195"/>
      <c r="CK68" s="1222"/>
      <c r="CL68" s="1156"/>
      <c r="CM68" s="1195"/>
      <c r="CN68" s="1222"/>
      <c r="CO68" s="1156"/>
      <c r="CP68" s="1195"/>
      <c r="CQ68" s="1222"/>
      <c r="CR68" s="1156"/>
      <c r="CS68" s="1195"/>
      <c r="CT68" s="1222"/>
      <c r="CU68" s="1156"/>
      <c r="CV68" s="1195"/>
      <c r="CW68" s="1222"/>
      <c r="CX68" s="1156"/>
      <c r="CY68" s="1195"/>
      <c r="CZ68" s="1222"/>
      <c r="DA68" s="1156"/>
      <c r="DB68" s="1195"/>
      <c r="DC68" s="1222"/>
      <c r="DD68" s="1156"/>
      <c r="DE68" s="1217"/>
      <c r="DF68" s="1222"/>
      <c r="DG68" s="1156"/>
      <c r="DH68" s="1217"/>
      <c r="DI68" s="1222"/>
      <c r="DJ68" s="1156"/>
      <c r="DK68" s="1217"/>
      <c r="DL68" s="1222"/>
      <c r="DM68" s="1156"/>
      <c r="DN68" s="1217"/>
      <c r="DO68" s="1222"/>
      <c r="DP68" s="1156"/>
      <c r="DQ68" s="1217"/>
      <c r="DR68" s="1222"/>
      <c r="DS68" s="1156"/>
      <c r="DT68" s="1217"/>
      <c r="DU68" s="1222"/>
      <c r="DV68" s="1156"/>
      <c r="DW68" s="1217"/>
      <c r="DX68" s="1244"/>
    </row>
    <row r="69" spans="1:128">
      <c r="B69" s="1305" t="s">
        <v>169</v>
      </c>
      <c r="C69" s="1155"/>
      <c r="D69" s="1195"/>
      <c r="E69" s="1199"/>
      <c r="F69" s="1156"/>
      <c r="G69" s="1195"/>
      <c r="H69" s="1199"/>
      <c r="I69" s="1156"/>
      <c r="J69" s="1195"/>
      <c r="K69" s="1222"/>
      <c r="L69" s="1156"/>
      <c r="M69" s="1195"/>
      <c r="N69" s="1222"/>
      <c r="O69" s="1156"/>
      <c r="P69" s="1195"/>
      <c r="Q69" s="1222"/>
      <c r="R69" s="1156"/>
      <c r="S69" s="1195"/>
      <c r="T69" s="1222"/>
      <c r="U69" s="1156">
        <v>135</v>
      </c>
      <c r="V69" s="1195">
        <v>2300</v>
      </c>
      <c r="W69" s="1222"/>
      <c r="X69" s="1156"/>
      <c r="Y69" s="1195"/>
      <c r="Z69" s="1222"/>
      <c r="AA69" s="1156"/>
      <c r="AB69" s="1195"/>
      <c r="AC69" s="1222"/>
      <c r="AD69" s="1156"/>
      <c r="AE69" s="1195"/>
      <c r="AF69" s="1222"/>
      <c r="AG69" s="1156"/>
      <c r="AH69" s="1195"/>
      <c r="AI69" s="1222"/>
      <c r="AJ69" s="1156"/>
      <c r="AK69" s="1195"/>
      <c r="AL69" s="1222"/>
      <c r="AM69" s="1156"/>
      <c r="AN69" s="1195"/>
      <c r="AO69" s="1222"/>
      <c r="AP69" s="1156"/>
      <c r="AQ69" s="1195"/>
      <c r="AR69" s="1222"/>
      <c r="AS69" s="1156"/>
      <c r="AT69" s="1195"/>
      <c r="AU69" s="1222"/>
      <c r="AV69" s="1156"/>
      <c r="AW69" s="1195"/>
      <c r="AX69" s="1222"/>
      <c r="AY69" s="1156"/>
      <c r="AZ69" s="1195"/>
      <c r="BA69" s="1222">
        <f>100-BA53</f>
        <v>80.865671641791039</v>
      </c>
      <c r="BB69" s="1156"/>
      <c r="BC69" s="1195"/>
      <c r="BD69" s="1222">
        <f>100-BD53</f>
        <v>100</v>
      </c>
      <c r="BE69" s="1156"/>
      <c r="BF69" s="1195"/>
      <c r="BG69" s="1222">
        <f>100-BG53</f>
        <v>80.865671641791039</v>
      </c>
      <c r="BH69" s="1156"/>
      <c r="BI69" s="1195"/>
      <c r="BJ69" s="1222">
        <f>BD69</f>
        <v>100</v>
      </c>
      <c r="BK69" s="1156"/>
      <c r="BL69" s="1195"/>
      <c r="BM69" s="1222">
        <f>BG69</f>
        <v>80.865671641791039</v>
      </c>
      <c r="BN69" s="1156"/>
      <c r="BO69" s="1195"/>
      <c r="BP69" s="1222">
        <f>BJ69</f>
        <v>100</v>
      </c>
      <c r="BQ69" s="1156"/>
      <c r="BR69" s="1217"/>
      <c r="BS69" s="1222"/>
      <c r="BT69" s="1156"/>
      <c r="BU69" s="1195"/>
      <c r="BV69" s="1222"/>
      <c r="BW69" s="1156"/>
      <c r="BX69" s="1195"/>
      <c r="BY69" s="1222"/>
      <c r="BZ69" s="1156"/>
      <c r="CA69" s="1195"/>
      <c r="CB69" s="1222"/>
      <c r="CC69" s="1156"/>
      <c r="CD69" s="1195"/>
      <c r="CE69" s="1222"/>
      <c r="CF69" s="1156"/>
      <c r="CG69" s="1195"/>
      <c r="CH69" s="1222"/>
      <c r="CI69" s="1156"/>
      <c r="CJ69" s="1195"/>
      <c r="CK69" s="1222"/>
      <c r="CL69" s="1156"/>
      <c r="CM69" s="1195"/>
      <c r="CN69" s="1222"/>
      <c r="CO69" s="1156"/>
      <c r="CP69" s="1195"/>
      <c r="CQ69" s="1222"/>
      <c r="CR69" s="1156"/>
      <c r="CS69" s="1195"/>
      <c r="CT69" s="1222"/>
      <c r="CU69" s="1156"/>
      <c r="CV69" s="1195"/>
      <c r="CW69" s="1222"/>
      <c r="CX69" s="1156"/>
      <c r="CY69" s="1195"/>
      <c r="CZ69" s="1222"/>
      <c r="DA69" s="1156"/>
      <c r="DB69" s="1195"/>
      <c r="DC69" s="1222"/>
      <c r="DD69" s="1156"/>
      <c r="DE69" s="1217"/>
      <c r="DF69" s="1222"/>
      <c r="DG69" s="1156"/>
      <c r="DH69" s="1217"/>
      <c r="DI69" s="1222"/>
      <c r="DJ69" s="1156"/>
      <c r="DK69" s="1217"/>
      <c r="DL69" s="1222"/>
      <c r="DM69" s="1156"/>
      <c r="DN69" s="1217"/>
      <c r="DO69" s="1222"/>
      <c r="DP69" s="1156"/>
      <c r="DQ69" s="1217"/>
      <c r="DR69" s="1222"/>
      <c r="DS69" s="1156"/>
      <c r="DT69" s="1217"/>
      <c r="DU69" s="1222"/>
      <c r="DV69" s="1156"/>
      <c r="DW69" s="1217"/>
      <c r="DX69" s="1244"/>
    </row>
    <row r="70" spans="1:128">
      <c r="B70" s="1305" t="s">
        <v>170</v>
      </c>
      <c r="C70" s="1155"/>
      <c r="D70" s="1195"/>
      <c r="E70" s="1199"/>
      <c r="F70" s="1156"/>
      <c r="G70" s="1195"/>
      <c r="H70" s="1199"/>
      <c r="I70" s="1156"/>
      <c r="J70" s="1195"/>
      <c r="K70" s="1222"/>
      <c r="L70" s="1156"/>
      <c r="M70" s="1195"/>
      <c r="N70" s="1222"/>
      <c r="O70" s="1156"/>
      <c r="P70" s="1195"/>
      <c r="Q70" s="1222"/>
      <c r="R70" s="1156"/>
      <c r="S70" s="1195"/>
      <c r="T70" s="1222"/>
      <c r="U70" s="1156">
        <v>12140</v>
      </c>
      <c r="V70" s="1195">
        <v>5000</v>
      </c>
      <c r="W70" s="1222"/>
      <c r="X70" s="1156"/>
      <c r="Y70" s="1195"/>
      <c r="Z70" s="1222"/>
      <c r="AA70" s="1156"/>
      <c r="AB70" s="1195"/>
      <c r="AC70" s="1222"/>
      <c r="AD70" s="1156"/>
      <c r="AE70" s="1195"/>
      <c r="AF70" s="1222"/>
      <c r="AG70" s="1156"/>
      <c r="AH70" s="1195"/>
      <c r="AI70" s="1222"/>
      <c r="AJ70" s="1156"/>
      <c r="AK70" s="1195"/>
      <c r="AL70" s="1222"/>
      <c r="AM70" s="1156"/>
      <c r="AN70" s="1195"/>
      <c r="AO70" s="1222"/>
      <c r="AP70" s="1156"/>
      <c r="AQ70" s="1195"/>
      <c r="AR70" s="1222"/>
      <c r="AS70" s="1156"/>
      <c r="AT70" s="1195"/>
      <c r="AU70" s="1222"/>
      <c r="AV70" s="1156"/>
      <c r="AW70" s="1195"/>
      <c r="AX70" s="1222"/>
      <c r="AY70" s="1156"/>
      <c r="AZ70" s="1195"/>
      <c r="BA70" s="1222"/>
      <c r="BB70" s="1156"/>
      <c r="BC70" s="1195"/>
      <c r="BD70" s="1222"/>
      <c r="BE70" s="1156"/>
      <c r="BF70" s="1195"/>
      <c r="BG70" s="1222"/>
      <c r="BH70" s="1156"/>
      <c r="BI70" s="1195"/>
      <c r="BJ70" s="1222"/>
      <c r="BK70" s="1156"/>
      <c r="BL70" s="1195"/>
      <c r="BM70" s="1222"/>
      <c r="BN70" s="1156"/>
      <c r="BO70" s="1195"/>
      <c r="BP70" s="1222"/>
      <c r="BQ70" s="1156"/>
      <c r="BR70" s="1217"/>
      <c r="BS70" s="1222"/>
      <c r="BT70" s="1156"/>
      <c r="BU70" s="1195"/>
      <c r="BV70" s="1222"/>
      <c r="BW70" s="1156"/>
      <c r="BX70" s="1195"/>
      <c r="BY70" s="1222"/>
      <c r="BZ70" s="1156"/>
      <c r="CA70" s="1195"/>
      <c r="CB70" s="1222"/>
      <c r="CC70" s="1156"/>
      <c r="CD70" s="1195"/>
      <c r="CE70" s="1222"/>
      <c r="CF70" s="1156"/>
      <c r="CG70" s="1195"/>
      <c r="CH70" s="1222"/>
      <c r="CI70" s="1156"/>
      <c r="CJ70" s="1195"/>
      <c r="CK70" s="1222"/>
      <c r="CL70" s="1156"/>
      <c r="CM70" s="1195"/>
      <c r="CN70" s="1222"/>
      <c r="CO70" s="1156"/>
      <c r="CP70" s="1195"/>
      <c r="CQ70" s="1222"/>
      <c r="CR70" s="1156"/>
      <c r="CS70" s="1195"/>
      <c r="CT70" s="1222"/>
      <c r="CU70" s="1156"/>
      <c r="CV70" s="1195"/>
      <c r="CW70" s="1222"/>
      <c r="CX70" s="1156"/>
      <c r="CY70" s="1195"/>
      <c r="CZ70" s="1222"/>
      <c r="DA70" s="1156"/>
      <c r="DB70" s="1195"/>
      <c r="DC70" s="1222"/>
      <c r="DD70" s="1156"/>
      <c r="DE70" s="1217"/>
      <c r="DF70" s="1222"/>
      <c r="DG70" s="1156"/>
      <c r="DH70" s="1217"/>
      <c r="DI70" s="1222"/>
      <c r="DJ70" s="1156"/>
      <c r="DK70" s="1217"/>
      <c r="DL70" s="1222"/>
      <c r="DM70" s="1156"/>
      <c r="DN70" s="1217"/>
      <c r="DO70" s="1222"/>
      <c r="DP70" s="1156"/>
      <c r="DQ70" s="1217"/>
      <c r="DR70" s="1222"/>
      <c r="DS70" s="1156"/>
      <c r="DT70" s="1217"/>
      <c r="DU70" s="1222"/>
      <c r="DV70" s="1156"/>
      <c r="DW70" s="1217"/>
      <c r="DX70" s="1244"/>
    </row>
    <row r="71" spans="1:128">
      <c r="B71" s="1305" t="s">
        <v>171</v>
      </c>
      <c r="C71" s="1155"/>
      <c r="D71" s="1195"/>
      <c r="E71" s="1199"/>
      <c r="F71" s="1156"/>
      <c r="G71" s="1195"/>
      <c r="H71" s="1199"/>
      <c r="I71" s="1156"/>
      <c r="J71" s="1195"/>
      <c r="K71" s="1222"/>
      <c r="L71" s="1156"/>
      <c r="M71" s="1195"/>
      <c r="N71" s="1222"/>
      <c r="O71" s="1156"/>
      <c r="P71" s="1195"/>
      <c r="Q71" s="1222"/>
      <c r="R71" s="1156"/>
      <c r="S71" s="1195"/>
      <c r="T71" s="1222"/>
      <c r="U71" s="1156"/>
      <c r="V71" s="1195"/>
      <c r="W71" s="1222"/>
      <c r="X71" s="1156"/>
      <c r="Y71" s="1195"/>
      <c r="Z71" s="1222"/>
      <c r="AA71" s="1156"/>
      <c r="AB71" s="1195"/>
      <c r="AC71" s="1222"/>
      <c r="AD71" s="1156"/>
      <c r="AE71" s="1195"/>
      <c r="AF71" s="1222"/>
      <c r="AG71" s="1156"/>
      <c r="AH71" s="1195"/>
      <c r="AI71" s="1222"/>
      <c r="AJ71" s="1156"/>
      <c r="AK71" s="1195"/>
      <c r="AL71" s="1222"/>
      <c r="AM71" s="1156"/>
      <c r="AN71" s="1195"/>
      <c r="AO71" s="1222"/>
      <c r="AP71" s="1156"/>
      <c r="AQ71" s="1195"/>
      <c r="AR71" s="1222"/>
      <c r="AS71" s="1156"/>
      <c r="AT71" s="1195"/>
      <c r="AU71" s="1222"/>
      <c r="AV71" s="1156"/>
      <c r="AW71" s="1195"/>
      <c r="AX71" s="1222"/>
      <c r="AY71" s="1156"/>
      <c r="AZ71" s="1195"/>
      <c r="BA71" s="1222"/>
      <c r="BB71" s="1156"/>
      <c r="BC71" s="1195"/>
      <c r="BD71" s="1222"/>
      <c r="BE71" s="1156"/>
      <c r="BF71" s="1195"/>
      <c r="BG71" s="1222"/>
      <c r="BH71" s="1156"/>
      <c r="BI71" s="1195"/>
      <c r="BJ71" s="1222"/>
      <c r="BK71" s="1156"/>
      <c r="BL71" s="1195"/>
      <c r="BM71" s="1222"/>
      <c r="BN71" s="1156"/>
      <c r="BO71" s="1195"/>
      <c r="BP71" s="1222"/>
      <c r="BQ71" s="1156"/>
      <c r="BR71" s="1217"/>
      <c r="BS71" s="1222"/>
      <c r="BT71" s="1156"/>
      <c r="BU71" s="1195"/>
      <c r="BV71" s="1222"/>
      <c r="BW71" s="1156"/>
      <c r="BX71" s="1195"/>
      <c r="BY71" s="1222"/>
      <c r="BZ71" s="1156"/>
      <c r="CA71" s="1195"/>
      <c r="CB71" s="1222"/>
      <c r="CC71" s="1156"/>
      <c r="CD71" s="1195"/>
      <c r="CE71" s="1222"/>
      <c r="CF71" s="1156"/>
      <c r="CG71" s="1195"/>
      <c r="CH71" s="1222"/>
      <c r="CI71" s="1156"/>
      <c r="CJ71" s="1195"/>
      <c r="CK71" s="1222"/>
      <c r="CL71" s="1156"/>
      <c r="CM71" s="1195"/>
      <c r="CN71" s="1222"/>
      <c r="CO71" s="1156"/>
      <c r="CP71" s="1195"/>
      <c r="CQ71" s="1222"/>
      <c r="CR71" s="1156"/>
      <c r="CS71" s="1195"/>
      <c r="CT71" s="1222"/>
      <c r="CU71" s="1156"/>
      <c r="CV71" s="1195"/>
      <c r="CW71" s="1222"/>
      <c r="CX71" s="1156"/>
      <c r="CY71" s="1195"/>
      <c r="CZ71" s="1222"/>
      <c r="DA71" s="1156"/>
      <c r="DB71" s="1195"/>
      <c r="DC71" s="1222"/>
      <c r="DD71" s="1156"/>
      <c r="DE71" s="1217"/>
      <c r="DF71" s="1222"/>
      <c r="DG71" s="1156"/>
      <c r="DH71" s="1217"/>
      <c r="DI71" s="1222"/>
      <c r="DJ71" s="1156"/>
      <c r="DK71" s="1217"/>
      <c r="DL71" s="1222"/>
      <c r="DM71" s="1156"/>
      <c r="DN71" s="1217"/>
      <c r="DO71" s="1222"/>
      <c r="DP71" s="1156"/>
      <c r="DQ71" s="1217"/>
      <c r="DR71" s="1222"/>
      <c r="DS71" s="1156"/>
      <c r="DT71" s="1217"/>
      <c r="DU71" s="1222"/>
      <c r="DV71" s="1156"/>
      <c r="DW71" s="1217"/>
      <c r="DX71" s="1244"/>
    </row>
    <row r="72" spans="1:128">
      <c r="B72" s="1305" t="s">
        <v>172</v>
      </c>
      <c r="C72" s="1155"/>
      <c r="D72" s="1195"/>
      <c r="E72" s="1199"/>
      <c r="F72" s="1156"/>
      <c r="G72" s="1195"/>
      <c r="H72" s="1199"/>
      <c r="I72" s="1156"/>
      <c r="J72" s="1195"/>
      <c r="K72" s="1222"/>
      <c r="L72" s="1156"/>
      <c r="M72" s="1195"/>
      <c r="N72" s="1222"/>
      <c r="O72" s="1156"/>
      <c r="P72" s="1195"/>
      <c r="Q72" s="1222"/>
      <c r="R72" s="1156"/>
      <c r="S72" s="1195"/>
      <c r="T72" s="1222"/>
      <c r="U72" s="1156"/>
      <c r="V72" s="1195"/>
      <c r="W72" s="1222"/>
      <c r="X72" s="1156"/>
      <c r="Y72" s="1195"/>
      <c r="Z72" s="1222"/>
      <c r="AA72" s="1156"/>
      <c r="AB72" s="1195"/>
      <c r="AC72" s="1222"/>
      <c r="AD72" s="1156"/>
      <c r="AE72" s="1195"/>
      <c r="AF72" s="1222"/>
      <c r="AG72" s="1156"/>
      <c r="AH72" s="1195"/>
      <c r="AI72" s="1222"/>
      <c r="AJ72" s="1156"/>
      <c r="AK72" s="1195"/>
      <c r="AL72" s="1222"/>
      <c r="AM72" s="1156"/>
      <c r="AN72" s="1195"/>
      <c r="AO72" s="1222"/>
      <c r="AP72" s="1156"/>
      <c r="AQ72" s="1195"/>
      <c r="AR72" s="1222"/>
      <c r="AS72" s="1156"/>
      <c r="AT72" s="1195"/>
      <c r="AU72" s="1222"/>
      <c r="AV72" s="1156"/>
      <c r="AW72" s="1195"/>
      <c r="AX72" s="1222"/>
      <c r="AY72" s="1156"/>
      <c r="AZ72" s="1195"/>
      <c r="BA72" s="1222"/>
      <c r="BB72" s="1156"/>
      <c r="BC72" s="1195"/>
      <c r="BD72" s="1222"/>
      <c r="BE72" s="1156"/>
      <c r="BF72" s="1195"/>
      <c r="BG72" s="1222"/>
      <c r="BH72" s="1156"/>
      <c r="BI72" s="1195"/>
      <c r="BJ72" s="1222"/>
      <c r="BK72" s="1156"/>
      <c r="BL72" s="1195"/>
      <c r="BM72" s="1222"/>
      <c r="BN72" s="1156"/>
      <c r="BO72" s="1195"/>
      <c r="BP72" s="1222"/>
      <c r="BQ72" s="1156"/>
      <c r="BR72" s="1217"/>
      <c r="BS72" s="1222"/>
      <c r="BT72" s="1156"/>
      <c r="BU72" s="1195"/>
      <c r="BV72" s="1222"/>
      <c r="BW72" s="1156"/>
      <c r="BX72" s="1195"/>
      <c r="BY72" s="1222"/>
      <c r="BZ72" s="1156"/>
      <c r="CA72" s="1195"/>
      <c r="CB72" s="1222"/>
      <c r="CC72" s="1156"/>
      <c r="CD72" s="1195"/>
      <c r="CE72" s="1222"/>
      <c r="CF72" s="1156"/>
      <c r="CG72" s="1195"/>
      <c r="CH72" s="1222"/>
      <c r="CI72" s="1156"/>
      <c r="CJ72" s="1195"/>
      <c r="CK72" s="1222"/>
      <c r="CL72" s="1156"/>
      <c r="CM72" s="1195"/>
      <c r="CN72" s="1222"/>
      <c r="CO72" s="1156"/>
      <c r="CP72" s="1195"/>
      <c r="CQ72" s="1222"/>
      <c r="CR72" s="1156"/>
      <c r="CS72" s="1195"/>
      <c r="CT72" s="1222"/>
      <c r="CU72" s="1156"/>
      <c r="CV72" s="1195"/>
      <c r="CW72" s="1222"/>
      <c r="CX72" s="1156"/>
      <c r="CY72" s="1195"/>
      <c r="CZ72" s="1222"/>
      <c r="DA72" s="1156"/>
      <c r="DB72" s="1195"/>
      <c r="DC72" s="1222"/>
      <c r="DD72" s="1156"/>
      <c r="DE72" s="1217"/>
      <c r="DF72" s="1222"/>
      <c r="DG72" s="1156"/>
      <c r="DH72" s="1217"/>
      <c r="DI72" s="1222"/>
      <c r="DJ72" s="1156"/>
      <c r="DK72" s="1217"/>
      <c r="DL72" s="1222"/>
      <c r="DM72" s="1156"/>
      <c r="DN72" s="1217"/>
      <c r="DO72" s="1222"/>
      <c r="DP72" s="1156"/>
      <c r="DQ72" s="1217"/>
      <c r="DR72" s="1222"/>
      <c r="DS72" s="1156"/>
      <c r="DT72" s="1217"/>
      <c r="DU72" s="1222"/>
      <c r="DV72" s="1156"/>
      <c r="DW72" s="1217"/>
      <c r="DX72" s="1244"/>
    </row>
    <row r="73" spans="1:128">
      <c r="B73" s="1305" t="s">
        <v>173</v>
      </c>
      <c r="C73" s="1155"/>
      <c r="D73" s="1195"/>
      <c r="E73" s="1199"/>
      <c r="F73" s="1156"/>
      <c r="G73" s="1195"/>
      <c r="H73" s="1199"/>
      <c r="I73" s="1156"/>
      <c r="J73" s="1195"/>
      <c r="K73" s="1222"/>
      <c r="L73" s="1156"/>
      <c r="M73" s="1195"/>
      <c r="N73" s="1222"/>
      <c r="O73" s="1156"/>
      <c r="P73" s="1195"/>
      <c r="Q73" s="1222"/>
      <c r="R73" s="1156"/>
      <c r="S73" s="1195"/>
      <c r="T73" s="1222"/>
      <c r="U73" s="1156">
        <f>263+662+849+239+1985</f>
        <v>3998</v>
      </c>
      <c r="V73" s="1195">
        <v>1500</v>
      </c>
      <c r="W73" s="1222"/>
      <c r="X73" s="1156"/>
      <c r="Y73" s="1195"/>
      <c r="Z73" s="1222"/>
      <c r="AA73" s="1156"/>
      <c r="AB73" s="1195"/>
      <c r="AC73" s="1222"/>
      <c r="AD73" s="1156"/>
      <c r="AE73" s="1195"/>
      <c r="AF73" s="1222"/>
      <c r="AG73" s="1156"/>
      <c r="AH73" s="1195"/>
      <c r="AI73" s="1222"/>
      <c r="AJ73" s="1156"/>
      <c r="AK73" s="1195"/>
      <c r="AL73" s="1222"/>
      <c r="AM73" s="1156"/>
      <c r="AN73" s="1195"/>
      <c r="AO73" s="1222"/>
      <c r="AP73" s="1156"/>
      <c r="AQ73" s="1195"/>
      <c r="AR73" s="1222"/>
      <c r="AS73" s="1156"/>
      <c r="AT73" s="1195"/>
      <c r="AU73" s="1222"/>
      <c r="AV73" s="1156"/>
      <c r="AW73" s="1195"/>
      <c r="AX73" s="1222"/>
      <c r="AY73" s="1156"/>
      <c r="AZ73" s="1195"/>
      <c r="BA73" s="1222"/>
      <c r="BB73" s="1156"/>
      <c r="BC73" s="1195"/>
      <c r="BD73" s="1222"/>
      <c r="BE73" s="1156"/>
      <c r="BF73" s="1195"/>
      <c r="BG73" s="1222"/>
      <c r="BH73" s="1156"/>
      <c r="BI73" s="1195"/>
      <c r="BJ73" s="1222"/>
      <c r="BK73" s="1156"/>
      <c r="BL73" s="1195"/>
      <c r="BM73" s="1222"/>
      <c r="BN73" s="1156"/>
      <c r="BO73" s="1195"/>
      <c r="BP73" s="1222"/>
      <c r="BQ73" s="1156"/>
      <c r="BR73" s="1217"/>
      <c r="BS73" s="1222"/>
      <c r="BT73" s="1156"/>
      <c r="BU73" s="1195"/>
      <c r="BV73" s="1222"/>
      <c r="BW73" s="1156"/>
      <c r="BX73" s="1195"/>
      <c r="BY73" s="1222"/>
      <c r="BZ73" s="1156"/>
      <c r="CA73" s="1195"/>
      <c r="CB73" s="1222"/>
      <c r="CC73" s="1156"/>
      <c r="CD73" s="1195"/>
      <c r="CE73" s="1222"/>
      <c r="CF73" s="1156"/>
      <c r="CG73" s="1195"/>
      <c r="CH73" s="1222"/>
      <c r="CI73" s="1156"/>
      <c r="CJ73" s="1195"/>
      <c r="CK73" s="1222"/>
      <c r="CL73" s="1156"/>
      <c r="CM73" s="1195"/>
      <c r="CN73" s="1222"/>
      <c r="CO73" s="1156"/>
      <c r="CP73" s="1195"/>
      <c r="CQ73" s="1222"/>
      <c r="CR73" s="1156"/>
      <c r="CS73" s="1195"/>
      <c r="CT73" s="1222"/>
      <c r="CU73" s="1156"/>
      <c r="CV73" s="1195"/>
      <c r="CW73" s="1222"/>
      <c r="CX73" s="1156"/>
      <c r="CY73" s="1195"/>
      <c r="CZ73" s="1222"/>
      <c r="DA73" s="1156"/>
      <c r="DB73" s="1195"/>
      <c r="DC73" s="1222"/>
      <c r="DD73" s="1156"/>
      <c r="DE73" s="1217"/>
      <c r="DF73" s="1222"/>
      <c r="DG73" s="1156"/>
      <c r="DH73" s="1217"/>
      <c r="DI73" s="1222"/>
      <c r="DJ73" s="1156"/>
      <c r="DK73" s="1217"/>
      <c r="DL73" s="1222"/>
      <c r="DM73" s="1156"/>
      <c r="DN73" s="1217"/>
      <c r="DO73" s="1222"/>
      <c r="DP73" s="1156"/>
      <c r="DQ73" s="1217"/>
      <c r="DR73" s="1222"/>
      <c r="DS73" s="1156"/>
      <c r="DT73" s="1217"/>
      <c r="DU73" s="1222"/>
      <c r="DV73" s="1156"/>
      <c r="DW73" s="1217"/>
      <c r="DX73" s="1244"/>
    </row>
    <row r="74" spans="1:128">
      <c r="B74" s="1305" t="s">
        <v>174</v>
      </c>
      <c r="C74" s="1155"/>
      <c r="D74" s="1195"/>
      <c r="E74" s="1199"/>
      <c r="F74" s="1156"/>
      <c r="G74" s="1195"/>
      <c r="H74" s="1199"/>
      <c r="I74" s="1156"/>
      <c r="J74" s="1195"/>
      <c r="K74" s="1222"/>
      <c r="L74" s="1156"/>
      <c r="M74" s="1195"/>
      <c r="N74" s="1222"/>
      <c r="O74" s="1156"/>
      <c r="P74" s="1195"/>
      <c r="Q74" s="1222"/>
      <c r="R74" s="1156"/>
      <c r="S74" s="1195"/>
      <c r="T74" s="1222"/>
      <c r="U74" s="1156"/>
      <c r="V74" s="1195"/>
      <c r="W74" s="1222"/>
      <c r="X74" s="1156"/>
      <c r="Y74" s="1195"/>
      <c r="Z74" s="1222"/>
      <c r="AA74" s="1156"/>
      <c r="AB74" s="1195"/>
      <c r="AC74" s="1222"/>
      <c r="AD74" s="1156"/>
      <c r="AE74" s="1195"/>
      <c r="AF74" s="1222"/>
      <c r="AG74" s="1156"/>
      <c r="AH74" s="1195"/>
      <c r="AI74" s="1222"/>
      <c r="AJ74" s="1156"/>
      <c r="AK74" s="1195"/>
      <c r="AL74" s="1222"/>
      <c r="AM74" s="1156"/>
      <c r="AN74" s="1195"/>
      <c r="AO74" s="1222"/>
      <c r="AP74" s="1156"/>
      <c r="AQ74" s="1195"/>
      <c r="AR74" s="1222"/>
      <c r="AS74" s="1156"/>
      <c r="AT74" s="1195"/>
      <c r="AU74" s="1222"/>
      <c r="AV74" s="1156"/>
      <c r="AW74" s="1195"/>
      <c r="AX74" s="1222"/>
      <c r="AY74" s="1156"/>
      <c r="AZ74" s="1195"/>
      <c r="BA74" s="1222"/>
      <c r="BB74" s="1156"/>
      <c r="BC74" s="1195"/>
      <c r="BD74" s="1222"/>
      <c r="BE74" s="1156"/>
      <c r="BF74" s="1195"/>
      <c r="BG74" s="1222"/>
      <c r="BH74" s="1156"/>
      <c r="BI74" s="1195"/>
      <c r="BJ74" s="1222"/>
      <c r="BK74" s="1156"/>
      <c r="BL74" s="1195"/>
      <c r="BM74" s="1222"/>
      <c r="BN74" s="1156"/>
      <c r="BO74" s="1195"/>
      <c r="BP74" s="1222"/>
      <c r="BQ74" s="1156"/>
      <c r="BR74" s="1217"/>
      <c r="BS74" s="1222"/>
      <c r="BT74" s="1156"/>
      <c r="BU74" s="1195"/>
      <c r="BV74" s="1222"/>
      <c r="BW74" s="1156"/>
      <c r="BX74" s="1195"/>
      <c r="BY74" s="1222"/>
      <c r="BZ74" s="1156"/>
      <c r="CA74" s="1195"/>
      <c r="CB74" s="1222"/>
      <c r="CC74" s="1156"/>
      <c r="CD74" s="1195"/>
      <c r="CE74" s="1222"/>
      <c r="CF74" s="1156"/>
      <c r="CG74" s="1195"/>
      <c r="CH74" s="1222"/>
      <c r="CI74" s="1156"/>
      <c r="CJ74" s="1195"/>
      <c r="CK74" s="1222"/>
      <c r="CL74" s="1156"/>
      <c r="CM74" s="1195"/>
      <c r="CN74" s="1222"/>
      <c r="CO74" s="1156"/>
      <c r="CP74" s="1195"/>
      <c r="CQ74" s="1222"/>
      <c r="CR74" s="1156"/>
      <c r="CS74" s="1195"/>
      <c r="CT74" s="1222"/>
      <c r="CU74" s="1156"/>
      <c r="CV74" s="1195"/>
      <c r="CW74" s="1222"/>
      <c r="CX74" s="1156"/>
      <c r="CY74" s="1195"/>
      <c r="CZ74" s="1222"/>
      <c r="DA74" s="1156"/>
      <c r="DB74" s="1195"/>
      <c r="DC74" s="1222"/>
      <c r="DD74" s="1156"/>
      <c r="DE74" s="1217"/>
      <c r="DF74" s="1222"/>
      <c r="DG74" s="1156"/>
      <c r="DH74" s="1217"/>
      <c r="DI74" s="1222"/>
      <c r="DJ74" s="1156"/>
      <c r="DK74" s="1217"/>
      <c r="DL74" s="1222"/>
      <c r="DM74" s="1156"/>
      <c r="DN74" s="1217"/>
      <c r="DO74" s="1222"/>
      <c r="DP74" s="1156"/>
      <c r="DQ74" s="1217"/>
      <c r="DR74" s="1222"/>
      <c r="DS74" s="1156"/>
      <c r="DT74" s="1217"/>
      <c r="DU74" s="1222"/>
      <c r="DV74" s="1156"/>
      <c r="DW74" s="1217"/>
      <c r="DX74" s="1244"/>
    </row>
    <row r="75" spans="1:128">
      <c r="B75" s="1305" t="s">
        <v>967</v>
      </c>
      <c r="C75" s="1155"/>
      <c r="D75" s="1195"/>
      <c r="E75" s="1199"/>
      <c r="F75" s="1156"/>
      <c r="G75" s="1195"/>
      <c r="H75" s="1199"/>
      <c r="I75" s="1156"/>
      <c r="J75" s="1195"/>
      <c r="K75" s="1222"/>
      <c r="L75" s="1156"/>
      <c r="M75" s="1195"/>
      <c r="N75" s="1222"/>
      <c r="O75" s="1156"/>
      <c r="P75" s="1195"/>
      <c r="Q75" s="1222"/>
      <c r="R75" s="1156"/>
      <c r="S75" s="1195"/>
      <c r="T75" s="1222"/>
      <c r="U75" s="1156"/>
      <c r="V75" s="1195"/>
      <c r="W75" s="1222"/>
      <c r="X75" s="1156"/>
      <c r="Y75" s="1195"/>
      <c r="Z75" s="1222"/>
      <c r="AA75" s="1156"/>
      <c r="AB75" s="1195"/>
      <c r="AC75" s="1222"/>
      <c r="AD75" s="1156"/>
      <c r="AE75" s="1195"/>
      <c r="AF75" s="1222"/>
      <c r="AG75" s="1156"/>
      <c r="AH75" s="1195"/>
      <c r="AI75" s="1222"/>
      <c r="AJ75" s="1156"/>
      <c r="AK75" s="1195"/>
      <c r="AL75" s="1222"/>
      <c r="AM75" s="1156"/>
      <c r="AN75" s="1195"/>
      <c r="AO75" s="1222"/>
      <c r="AP75" s="1156"/>
      <c r="AQ75" s="1195"/>
      <c r="AR75" s="1222"/>
      <c r="AS75" s="1156"/>
      <c r="AT75" s="1195"/>
      <c r="AU75" s="1222"/>
      <c r="AV75" s="1156"/>
      <c r="AW75" s="1195"/>
      <c r="AX75" s="1222"/>
      <c r="AY75" s="1156"/>
      <c r="AZ75" s="1195"/>
      <c r="BA75" s="1222">
        <v>64</v>
      </c>
      <c r="BB75" s="1156"/>
      <c r="BC75" s="1195"/>
      <c r="BD75" s="1222">
        <v>64</v>
      </c>
      <c r="BE75" s="1156"/>
      <c r="BF75" s="1195"/>
      <c r="BG75" s="1222">
        <v>64</v>
      </c>
      <c r="BH75" s="1156"/>
      <c r="BI75" s="1195"/>
      <c r="BJ75" s="1222">
        <v>122</v>
      </c>
      <c r="BK75" s="1156"/>
      <c r="BL75" s="1195"/>
      <c r="BM75" s="1222">
        <v>68</v>
      </c>
      <c r="BN75" s="1156"/>
      <c r="BO75" s="1195"/>
      <c r="BP75" s="1222">
        <v>139</v>
      </c>
      <c r="BQ75" s="1156"/>
      <c r="BR75" s="1217"/>
      <c r="BS75" s="1222"/>
      <c r="BT75" s="1156"/>
      <c r="BU75" s="1195"/>
      <c r="BV75" s="1222"/>
      <c r="BW75" s="1156"/>
      <c r="BX75" s="1195"/>
      <c r="BY75" s="1222"/>
      <c r="BZ75" s="1156"/>
      <c r="CA75" s="1195"/>
      <c r="CB75" s="1222"/>
      <c r="CC75" s="1156"/>
      <c r="CD75" s="1195"/>
      <c r="CE75" s="1222"/>
      <c r="CF75" s="1156"/>
      <c r="CG75" s="1195"/>
      <c r="CH75" s="1222"/>
      <c r="CI75" s="1156"/>
      <c r="CJ75" s="1195"/>
      <c r="CK75" s="1222"/>
      <c r="CL75" s="1156"/>
      <c r="CM75" s="1195"/>
      <c r="CN75" s="1222"/>
      <c r="CO75" s="1156"/>
      <c r="CP75" s="1195"/>
      <c r="CQ75" s="1222"/>
      <c r="CR75" s="1156"/>
      <c r="CS75" s="1195"/>
      <c r="CT75" s="1222"/>
      <c r="CU75" s="1156"/>
      <c r="CV75" s="1195"/>
      <c r="CW75" s="1222"/>
      <c r="CX75" s="1156"/>
      <c r="CY75" s="1195"/>
      <c r="CZ75" s="1222"/>
      <c r="DA75" s="1156"/>
      <c r="DB75" s="1195"/>
      <c r="DC75" s="1222"/>
      <c r="DD75" s="1156"/>
      <c r="DE75" s="1217"/>
      <c r="DF75" s="1222"/>
      <c r="DG75" s="1156"/>
      <c r="DH75" s="1217"/>
      <c r="DI75" s="1222"/>
      <c r="DJ75" s="1156"/>
      <c r="DK75" s="1217"/>
      <c r="DL75" s="1222"/>
      <c r="DM75" s="1156"/>
      <c r="DN75" s="1217"/>
      <c r="DO75" s="1222"/>
      <c r="DP75" s="1156"/>
      <c r="DQ75" s="1217"/>
      <c r="DR75" s="1222"/>
      <c r="DS75" s="1156"/>
      <c r="DT75" s="1217"/>
      <c r="DU75" s="1222"/>
      <c r="DV75" s="1156"/>
      <c r="DW75" s="1217"/>
      <c r="DX75" s="1244"/>
    </row>
    <row r="76" spans="1:128">
      <c r="B76" s="1305" t="s">
        <v>964</v>
      </c>
      <c r="C76" s="1155"/>
      <c r="D76" s="1195"/>
      <c r="E76" s="1199"/>
      <c r="F76" s="1156"/>
      <c r="G76" s="1195"/>
      <c r="H76" s="1199"/>
      <c r="I76" s="1156"/>
      <c r="J76" s="1195"/>
      <c r="K76" s="1222"/>
      <c r="L76" s="1156"/>
      <c r="M76" s="1195"/>
      <c r="N76" s="1222"/>
      <c r="O76" s="1156"/>
      <c r="P76" s="1195"/>
      <c r="Q76" s="1222"/>
      <c r="R76" s="1156"/>
      <c r="S76" s="1195"/>
      <c r="T76" s="1222"/>
      <c r="U76" s="1156"/>
      <c r="V76" s="1195">
        <v>1000</v>
      </c>
      <c r="W76" s="1222"/>
      <c r="X76" s="1156"/>
      <c r="Y76" s="1195"/>
      <c r="Z76" s="1222"/>
      <c r="AA76" s="1156"/>
      <c r="AB76" s="1195"/>
      <c r="AC76" s="1222"/>
      <c r="AD76" s="1156"/>
      <c r="AE76" s="1195"/>
      <c r="AF76" s="1222"/>
      <c r="AG76" s="1156"/>
      <c r="AH76" s="1195"/>
      <c r="AI76" s="1222"/>
      <c r="AJ76" s="1156"/>
      <c r="AK76" s="1195"/>
      <c r="AL76" s="1222"/>
      <c r="AM76" s="1156"/>
      <c r="AN76" s="1195"/>
      <c r="AO76" s="1222"/>
      <c r="AP76" s="1156"/>
      <c r="AQ76" s="1195"/>
      <c r="AR76" s="1222"/>
      <c r="AS76" s="1156"/>
      <c r="AT76" s="1195"/>
      <c r="AU76" s="1222"/>
      <c r="AV76" s="1156"/>
      <c r="AW76" s="1195"/>
      <c r="AX76" s="1222"/>
      <c r="AY76" s="1156"/>
      <c r="AZ76" s="1195"/>
      <c r="BA76" s="1222">
        <v>0</v>
      </c>
      <c r="BB76" s="1156"/>
      <c r="BC76" s="1195"/>
      <c r="BD76" s="1222">
        <v>0</v>
      </c>
      <c r="BE76" s="1156"/>
      <c r="BF76" s="1195"/>
      <c r="BG76" s="1222">
        <f>184+36</f>
        <v>220</v>
      </c>
      <c r="BH76" s="1156"/>
      <c r="BI76" s="1195"/>
      <c r="BJ76" s="1222">
        <f>247+66</f>
        <v>313</v>
      </c>
      <c r="BK76" s="1156"/>
      <c r="BL76" s="1195"/>
      <c r="BM76" s="1222">
        <f>261+57</f>
        <v>318</v>
      </c>
      <c r="BN76" s="1156"/>
      <c r="BO76" s="1195"/>
      <c r="BP76" s="1222">
        <f>368+78</f>
        <v>446</v>
      </c>
      <c r="BQ76" s="1156"/>
      <c r="BR76" s="1217"/>
      <c r="BS76" s="1222"/>
      <c r="BT76" s="1156"/>
      <c r="BU76" s="1195"/>
      <c r="BV76" s="1222"/>
      <c r="BW76" s="1156"/>
      <c r="BX76" s="1195"/>
      <c r="BY76" s="1222"/>
      <c r="BZ76" s="1156"/>
      <c r="CA76" s="1195"/>
      <c r="CB76" s="1222"/>
      <c r="CC76" s="1156"/>
      <c r="CD76" s="1195"/>
      <c r="CE76" s="1222"/>
      <c r="CF76" s="1156"/>
      <c r="CG76" s="1195"/>
      <c r="CH76" s="1222"/>
      <c r="CI76" s="1156"/>
      <c r="CJ76" s="1195"/>
      <c r="CK76" s="1222"/>
      <c r="CL76" s="1156"/>
      <c r="CM76" s="1195"/>
      <c r="CN76" s="1222"/>
      <c r="CO76" s="1156"/>
      <c r="CP76" s="1195"/>
      <c r="CQ76" s="1222"/>
      <c r="CR76" s="1156"/>
      <c r="CS76" s="1195"/>
      <c r="CT76" s="1222"/>
      <c r="CU76" s="1156"/>
      <c r="CV76" s="1195"/>
      <c r="CW76" s="1222"/>
      <c r="CX76" s="1156"/>
      <c r="CY76" s="1195"/>
      <c r="CZ76" s="1222"/>
      <c r="DA76" s="1156"/>
      <c r="DB76" s="1195"/>
      <c r="DC76" s="1222"/>
      <c r="DD76" s="1156"/>
      <c r="DE76" s="1217"/>
      <c r="DF76" s="1222"/>
      <c r="DG76" s="1156"/>
      <c r="DH76" s="1217"/>
      <c r="DI76" s="1222"/>
      <c r="DJ76" s="1156"/>
      <c r="DK76" s="1217"/>
      <c r="DL76" s="1222"/>
      <c r="DM76" s="1156"/>
      <c r="DN76" s="1217"/>
      <c r="DO76" s="1222"/>
      <c r="DP76" s="1156"/>
      <c r="DQ76" s="1217"/>
      <c r="DR76" s="1222"/>
      <c r="DS76" s="1156"/>
      <c r="DT76" s="1217"/>
      <c r="DU76" s="1222"/>
      <c r="DV76" s="1156"/>
      <c r="DW76" s="1217"/>
      <c r="DX76" s="1244"/>
    </row>
    <row r="77" spans="1:128">
      <c r="B77" s="1305" t="s">
        <v>965</v>
      </c>
      <c r="C77" s="1155"/>
      <c r="D77" s="1195"/>
      <c r="E77" s="1199"/>
      <c r="F77" s="1156"/>
      <c r="G77" s="1195"/>
      <c r="H77" s="1199"/>
      <c r="I77" s="1156"/>
      <c r="J77" s="1195"/>
      <c r="K77" s="1222"/>
      <c r="L77" s="1156"/>
      <c r="M77" s="1195"/>
      <c r="N77" s="1222"/>
      <c r="O77" s="1156"/>
      <c r="P77" s="1195"/>
      <c r="Q77" s="1222"/>
      <c r="R77" s="1156"/>
      <c r="S77" s="1195"/>
      <c r="T77" s="1222"/>
      <c r="U77" s="1156"/>
      <c r="V77" s="1195"/>
      <c r="W77" s="1222"/>
      <c r="X77" s="1156"/>
      <c r="Y77" s="1195"/>
      <c r="Z77" s="1222"/>
      <c r="AA77" s="1156"/>
      <c r="AB77" s="1195"/>
      <c r="AC77" s="1222"/>
      <c r="AD77" s="1156"/>
      <c r="AE77" s="1195"/>
      <c r="AF77" s="1222"/>
      <c r="AG77" s="1156"/>
      <c r="AH77" s="1195"/>
      <c r="AI77" s="1222"/>
      <c r="AJ77" s="1156"/>
      <c r="AK77" s="1195"/>
      <c r="AL77" s="1222"/>
      <c r="AM77" s="1156"/>
      <c r="AN77" s="1195"/>
      <c r="AO77" s="1222"/>
      <c r="AP77" s="1156"/>
      <c r="AQ77" s="1195"/>
      <c r="AR77" s="1222"/>
      <c r="AS77" s="1156"/>
      <c r="AT77" s="1195"/>
      <c r="AU77" s="1222"/>
      <c r="AV77" s="1156"/>
      <c r="AW77" s="1195"/>
      <c r="AX77" s="1222"/>
      <c r="AY77" s="1156"/>
      <c r="AZ77" s="1195"/>
      <c r="BA77" s="1222">
        <f>184*0.35</f>
        <v>64.399999999999991</v>
      </c>
      <c r="BB77" s="1156"/>
      <c r="BC77" s="1195"/>
      <c r="BD77" s="1222">
        <f>BA77</f>
        <v>64.399999999999991</v>
      </c>
      <c r="BE77" s="1156"/>
      <c r="BF77" s="1195"/>
      <c r="BG77" s="1222">
        <v>184</v>
      </c>
      <c r="BH77" s="1156"/>
      <c r="BI77" s="1195"/>
      <c r="BJ77" s="1222">
        <v>148</v>
      </c>
      <c r="BK77" s="1156"/>
      <c r="BL77" s="1195"/>
      <c r="BM77" s="1222">
        <v>212</v>
      </c>
      <c r="BN77" s="1156"/>
      <c r="BO77" s="1195"/>
      <c r="BP77" s="1222">
        <v>152</v>
      </c>
      <c r="BQ77" s="1156"/>
      <c r="BR77" s="1217"/>
      <c r="BS77" s="1222"/>
      <c r="BT77" s="1156"/>
      <c r="BU77" s="1195"/>
      <c r="BV77" s="1222"/>
      <c r="BW77" s="1156"/>
      <c r="BX77" s="1195"/>
      <c r="BY77" s="1222"/>
      <c r="BZ77" s="1156"/>
      <c r="CA77" s="1195"/>
      <c r="CB77" s="1222"/>
      <c r="CC77" s="1156"/>
      <c r="CD77" s="1195"/>
      <c r="CE77" s="1222"/>
      <c r="CF77" s="1156"/>
      <c r="CG77" s="1195"/>
      <c r="CH77" s="1222"/>
      <c r="CI77" s="1156"/>
      <c r="CJ77" s="1195"/>
      <c r="CK77" s="1222"/>
      <c r="CL77" s="1156"/>
      <c r="CM77" s="1195"/>
      <c r="CN77" s="1222"/>
      <c r="CO77" s="1156"/>
      <c r="CP77" s="1195"/>
      <c r="CQ77" s="1222"/>
      <c r="CR77" s="1156"/>
      <c r="CS77" s="1195"/>
      <c r="CT77" s="1222"/>
      <c r="CU77" s="1156"/>
      <c r="CV77" s="1195"/>
      <c r="CW77" s="1222"/>
      <c r="CX77" s="1156"/>
      <c r="CY77" s="1195"/>
      <c r="CZ77" s="1222"/>
      <c r="DA77" s="1156"/>
      <c r="DB77" s="1195"/>
      <c r="DC77" s="1222"/>
      <c r="DD77" s="1156"/>
      <c r="DE77" s="1217"/>
      <c r="DF77" s="1222"/>
      <c r="DG77" s="1156"/>
      <c r="DH77" s="1217"/>
      <c r="DI77" s="1222"/>
      <c r="DJ77" s="1156"/>
      <c r="DK77" s="1217"/>
      <c r="DL77" s="1222"/>
      <c r="DM77" s="1156"/>
      <c r="DN77" s="1217"/>
      <c r="DO77" s="1222"/>
      <c r="DP77" s="1156"/>
      <c r="DQ77" s="1217"/>
      <c r="DR77" s="1222"/>
      <c r="DS77" s="1156"/>
      <c r="DT77" s="1217"/>
      <c r="DU77" s="1222"/>
      <c r="DV77" s="1156"/>
      <c r="DW77" s="1217"/>
      <c r="DX77" s="1244"/>
    </row>
    <row r="78" spans="1:128" ht="15" thickBot="1">
      <c r="B78" s="1305" t="s">
        <v>355</v>
      </c>
      <c r="C78" s="1155"/>
      <c r="D78" s="1195"/>
      <c r="E78" s="1199"/>
      <c r="F78" s="1156"/>
      <c r="G78" s="1195"/>
      <c r="H78" s="1199"/>
      <c r="I78" s="1156"/>
      <c r="J78" s="1195"/>
      <c r="K78" s="1222"/>
      <c r="L78" s="1156"/>
      <c r="M78" s="1195"/>
      <c r="N78" s="1222"/>
      <c r="O78" s="1156"/>
      <c r="P78" s="1195"/>
      <c r="Q78" s="1222"/>
      <c r="R78" s="1156"/>
      <c r="S78" s="1195"/>
      <c r="T78" s="1222"/>
      <c r="U78" s="1156"/>
      <c r="V78" s="1195"/>
      <c r="W78" s="1222"/>
      <c r="X78" s="1156"/>
      <c r="Y78" s="1195"/>
      <c r="Z78" s="1222"/>
      <c r="AA78" s="1156"/>
      <c r="AB78" s="1195"/>
      <c r="AC78" s="1222"/>
      <c r="AD78" s="1156"/>
      <c r="AE78" s="1195"/>
      <c r="AF78" s="1222"/>
      <c r="AG78" s="1156"/>
      <c r="AH78" s="1195"/>
      <c r="AI78" s="1222"/>
      <c r="AJ78" s="1156"/>
      <c r="AK78" s="1195"/>
      <c r="AL78" s="1222"/>
      <c r="AM78" s="1156"/>
      <c r="AN78" s="1195"/>
      <c r="AO78" s="1222"/>
      <c r="AP78" s="1156"/>
      <c r="AQ78" s="1195"/>
      <c r="AR78" s="1222"/>
      <c r="AS78" s="1156"/>
      <c r="AT78" s="1195"/>
      <c r="AU78" s="1222"/>
      <c r="AV78" s="1156"/>
      <c r="AW78" s="1195"/>
      <c r="AX78" s="1222"/>
      <c r="AY78" s="1156"/>
      <c r="AZ78" s="1195"/>
      <c r="BA78" s="1222">
        <v>11</v>
      </c>
      <c r="BB78" s="1156"/>
      <c r="BC78" s="1195"/>
      <c r="BD78" s="1222">
        <v>11</v>
      </c>
      <c r="BE78" s="1156"/>
      <c r="BF78" s="1195"/>
      <c r="BG78" s="1222">
        <v>11</v>
      </c>
      <c r="BH78" s="1156"/>
      <c r="BI78" s="1195"/>
      <c r="BJ78" s="1222">
        <v>19</v>
      </c>
      <c r="BK78" s="1156"/>
      <c r="BL78" s="1195"/>
      <c r="BM78" s="1222">
        <v>11</v>
      </c>
      <c r="BN78" s="1156"/>
      <c r="BO78" s="1195"/>
      <c r="BP78" s="1222">
        <v>22</v>
      </c>
      <c r="BQ78" s="1156"/>
      <c r="BR78" s="1217"/>
      <c r="BS78" s="1222"/>
      <c r="BT78" s="1156"/>
      <c r="BU78" s="1195"/>
      <c r="BV78" s="1222"/>
      <c r="BW78" s="1156"/>
      <c r="BX78" s="1195"/>
      <c r="BY78" s="1222"/>
      <c r="BZ78" s="1156"/>
      <c r="CA78" s="1195"/>
      <c r="CB78" s="1222"/>
      <c r="CC78" s="1156"/>
      <c r="CD78" s="1195"/>
      <c r="CE78" s="1222"/>
      <c r="CF78" s="1156"/>
      <c r="CG78" s="1195"/>
      <c r="CH78" s="1222"/>
      <c r="CI78" s="1156"/>
      <c r="CJ78" s="1195"/>
      <c r="CK78" s="1222"/>
      <c r="CL78" s="1156"/>
      <c r="CM78" s="1195"/>
      <c r="CN78" s="1222"/>
      <c r="CO78" s="1156"/>
      <c r="CP78" s="1195"/>
      <c r="CQ78" s="1222"/>
      <c r="CR78" s="1156"/>
      <c r="CS78" s="1195"/>
      <c r="CT78" s="1222"/>
      <c r="CU78" s="1156"/>
      <c r="CV78" s="1195"/>
      <c r="CW78" s="1222"/>
      <c r="CX78" s="1156"/>
      <c r="CY78" s="1195"/>
      <c r="CZ78" s="1222"/>
      <c r="DA78" s="1156"/>
      <c r="DB78" s="1195"/>
      <c r="DC78" s="1222"/>
      <c r="DD78" s="1156"/>
      <c r="DE78" s="1217"/>
      <c r="DF78" s="1222"/>
      <c r="DG78" s="1156"/>
      <c r="DH78" s="1217"/>
      <c r="DI78" s="1222"/>
      <c r="DJ78" s="1156"/>
      <c r="DK78" s="1217"/>
      <c r="DL78" s="1222"/>
      <c r="DM78" s="1156"/>
      <c r="DN78" s="1217"/>
      <c r="DO78" s="1222"/>
      <c r="DP78" s="1156"/>
      <c r="DQ78" s="1217"/>
      <c r="DR78" s="1222"/>
      <c r="DS78" s="1156"/>
      <c r="DT78" s="1217"/>
      <c r="DU78" s="1222"/>
      <c r="DV78" s="1156"/>
      <c r="DW78" s="1217"/>
      <c r="DX78" s="1244"/>
    </row>
    <row r="79" spans="1:128" ht="15.75" thickTop="1" thickBot="1">
      <c r="A79" s="1142"/>
      <c r="B79" s="1310" t="s">
        <v>1285</v>
      </c>
      <c r="C79" s="1457"/>
      <c r="D79" s="1458"/>
      <c r="E79" s="1459"/>
      <c r="F79" s="1460"/>
      <c r="G79" s="1459"/>
      <c r="H79" s="1459"/>
      <c r="I79" s="1460"/>
      <c r="J79" s="1459"/>
      <c r="K79" s="1461"/>
      <c r="L79" s="1462"/>
      <c r="M79" s="1459"/>
      <c r="N79" s="1461"/>
      <c r="O79" s="1463"/>
      <c r="P79" s="1459"/>
      <c r="Q79" s="1461"/>
      <c r="R79" s="1463"/>
      <c r="S79" s="1459"/>
      <c r="T79" s="1461"/>
      <c r="U79" s="1460">
        <f>SUM(U62:U76)</f>
        <v>45347</v>
      </c>
      <c r="V79" s="1464">
        <f>ROUND(SUM(V62:V76),-3)</f>
        <v>23000</v>
      </c>
      <c r="W79" s="1461"/>
      <c r="X79" s="1463"/>
      <c r="Y79" s="1459"/>
      <c r="Z79" s="1461"/>
      <c r="AA79" s="1463"/>
      <c r="AB79" s="1464"/>
      <c r="AC79" s="1461"/>
      <c r="AD79" s="1463"/>
      <c r="AE79" s="1464"/>
      <c r="AF79" s="1461"/>
      <c r="AG79" s="1463"/>
      <c r="AH79" s="1464"/>
      <c r="AI79" s="1461"/>
      <c r="AJ79" s="1463"/>
      <c r="AK79" s="1464"/>
      <c r="AL79" s="1459"/>
      <c r="AM79" s="1463"/>
      <c r="AN79" s="1464"/>
      <c r="AO79" s="1459"/>
      <c r="AP79" s="1463"/>
      <c r="AQ79" s="1464"/>
      <c r="AR79" s="1459"/>
      <c r="AS79" s="1460"/>
      <c r="AT79" s="1464"/>
      <c r="AU79" s="1459"/>
      <c r="AV79" s="1460"/>
      <c r="AW79" s="1459"/>
      <c r="AX79" s="1459"/>
      <c r="AY79" s="1463"/>
      <c r="AZ79" s="1464"/>
      <c r="BA79" s="1465">
        <f>SUM(BA62:BA78)</f>
        <v>286.26567164179102</v>
      </c>
      <c r="BB79" s="1463"/>
      <c r="BC79" s="1464"/>
      <c r="BD79" s="1465">
        <f>SUM(BD62:BD78)</f>
        <v>305.39999999999998</v>
      </c>
      <c r="BE79" s="1463"/>
      <c r="BF79" s="1459"/>
      <c r="BG79" s="1465">
        <f>SUM(BG62:BG78)</f>
        <v>625.8656716417911</v>
      </c>
      <c r="BH79" s="1463"/>
      <c r="BI79" s="1464"/>
      <c r="BJ79" s="1465">
        <f>SUM(BJ62:BJ78)</f>
        <v>749</v>
      </c>
      <c r="BK79" s="1463"/>
      <c r="BL79" s="1464"/>
      <c r="BM79" s="1465">
        <f>SUM(BM62:BM78)</f>
        <v>782.53233830845772</v>
      </c>
      <c r="BN79" s="1463"/>
      <c r="BO79" s="1464"/>
      <c r="BP79" s="1465">
        <f>SUM(BP62:BP78)</f>
        <v>913</v>
      </c>
      <c r="BQ79" s="1463"/>
      <c r="BR79" s="1459"/>
      <c r="BS79" s="1465">
        <f>SUM(BS62:BS78)</f>
        <v>0</v>
      </c>
      <c r="BT79" s="1463"/>
      <c r="BU79" s="1464"/>
      <c r="BV79" s="1459"/>
      <c r="BW79" s="1463"/>
      <c r="BX79" s="1464"/>
      <c r="BY79" s="1459"/>
      <c r="BZ79" s="1463"/>
      <c r="CA79" s="1464"/>
      <c r="CB79" s="1459"/>
      <c r="CC79" s="1463"/>
      <c r="CD79" s="1464"/>
      <c r="CE79" s="1459"/>
      <c r="CF79" s="1463"/>
      <c r="CG79" s="1464"/>
      <c r="CH79" s="1459"/>
      <c r="CI79" s="1463"/>
      <c r="CJ79" s="1464"/>
      <c r="CK79" s="1459"/>
      <c r="CL79" s="1463"/>
      <c r="CM79" s="1464"/>
      <c r="CN79" s="1459"/>
      <c r="CO79" s="1463"/>
      <c r="CP79" s="1464"/>
      <c r="CQ79" s="1459"/>
      <c r="CR79" s="1463"/>
      <c r="CS79" s="1464"/>
      <c r="CT79" s="1459"/>
      <c r="CU79" s="1463"/>
      <c r="CV79" s="1464"/>
      <c r="CW79" s="1459"/>
      <c r="CX79" s="1463"/>
      <c r="CY79" s="1464"/>
      <c r="CZ79" s="1459"/>
      <c r="DA79" s="1463"/>
      <c r="DB79" s="1464"/>
      <c r="DC79" s="1459"/>
      <c r="DD79" s="1463"/>
      <c r="DE79" s="1459"/>
      <c r="DF79" s="1459"/>
      <c r="DG79" s="1463"/>
      <c r="DH79" s="1459"/>
      <c r="DI79" s="1459"/>
      <c r="DJ79" s="1463"/>
      <c r="DK79" s="1459"/>
      <c r="DL79" s="1459"/>
      <c r="DM79" s="1463"/>
      <c r="DN79" s="1459"/>
      <c r="DO79" s="1459"/>
      <c r="DP79" s="1463"/>
      <c r="DQ79" s="1459"/>
      <c r="DR79" s="1459"/>
      <c r="DS79" s="1463"/>
      <c r="DT79" s="1459"/>
      <c r="DU79" s="1459"/>
      <c r="DV79" s="1463"/>
      <c r="DW79" s="1459"/>
      <c r="DX79" s="1466"/>
    </row>
    <row r="80" spans="1:128" ht="15.75" thickTop="1" thickBot="1">
      <c r="A80" s="1129"/>
      <c r="B80" s="1311"/>
      <c r="C80" s="1147"/>
      <c r="D80" s="1211"/>
      <c r="E80" s="1212"/>
      <c r="F80" s="1129"/>
      <c r="G80" s="1212"/>
      <c r="H80" s="1212"/>
      <c r="I80" s="1129"/>
      <c r="J80" s="1212"/>
      <c r="K80" s="1212"/>
      <c r="L80" s="1129"/>
      <c r="M80" s="1212"/>
      <c r="N80" s="1212"/>
      <c r="O80" s="1129"/>
      <c r="P80" s="1212"/>
      <c r="Q80" s="1212"/>
      <c r="R80" s="1129"/>
      <c r="S80" s="1212"/>
      <c r="T80" s="1212"/>
      <c r="U80" s="1129"/>
      <c r="V80" s="1237"/>
      <c r="W80" s="1212"/>
      <c r="X80" s="1129"/>
      <c r="Y80" s="1212"/>
      <c r="Z80" s="1212"/>
      <c r="AA80" s="1129"/>
      <c r="AB80" s="1237"/>
      <c r="AC80" s="1212"/>
      <c r="AD80" s="1129"/>
      <c r="AE80" s="1237"/>
      <c r="AF80" s="1212"/>
      <c r="AG80" s="1129"/>
      <c r="AH80" s="1237"/>
      <c r="AI80" s="1212"/>
      <c r="AJ80" s="1129"/>
      <c r="AK80" s="1237"/>
      <c r="AL80" s="1212"/>
      <c r="AM80" s="1129"/>
      <c r="AN80" s="1237"/>
      <c r="AO80" s="1212"/>
      <c r="AP80" s="1129"/>
      <c r="AQ80" s="1237"/>
      <c r="AR80" s="1212"/>
      <c r="AS80" s="1129"/>
      <c r="AT80" s="1237"/>
      <c r="AU80" s="1212"/>
      <c r="AV80" s="1129"/>
      <c r="AW80" s="1212"/>
      <c r="AX80" s="1212"/>
      <c r="BA80" s="1212"/>
      <c r="BD80" s="1212"/>
      <c r="BV80" s="1212"/>
      <c r="BY80" s="1212"/>
      <c r="CB80" s="1212"/>
      <c r="CE80" s="1212"/>
      <c r="CH80" s="1212"/>
      <c r="CK80" s="1212"/>
      <c r="CN80" s="1212"/>
      <c r="CQ80" s="1212"/>
      <c r="CT80" s="1212"/>
      <c r="CW80" s="1212"/>
      <c r="CZ80" s="1212"/>
      <c r="DC80" s="1212"/>
      <c r="DF80" s="1212"/>
      <c r="DI80" s="1212"/>
      <c r="DL80" s="1212"/>
      <c r="DO80" s="1212"/>
      <c r="DR80" s="1212"/>
      <c r="DU80" s="1212"/>
      <c r="DX80" s="1212"/>
    </row>
    <row r="81" spans="1:128" s="1300" customFormat="1" ht="15.75" thickTop="1" thickBot="1">
      <c r="A81" s="1299"/>
      <c r="B81" s="1304" t="s">
        <v>968</v>
      </c>
      <c r="C81" s="1173"/>
      <c r="D81" s="1202"/>
      <c r="E81" s="1203"/>
      <c r="F81" s="1174"/>
      <c r="G81" s="1216"/>
      <c r="H81" s="1203"/>
      <c r="I81" s="1174"/>
      <c r="J81" s="1216"/>
      <c r="K81" s="1203"/>
      <c r="L81" s="1174"/>
      <c r="M81" s="1216"/>
      <c r="N81" s="1203"/>
      <c r="O81" s="1174"/>
      <c r="P81" s="1216"/>
      <c r="Q81" s="1227"/>
      <c r="R81" s="1174"/>
      <c r="S81" s="1216"/>
      <c r="T81" s="1216"/>
      <c r="U81" s="1174"/>
      <c r="V81" s="1232"/>
      <c r="W81" s="1233"/>
      <c r="X81" s="1174"/>
      <c r="Y81" s="1216"/>
      <c r="Z81" s="1227"/>
      <c r="AA81" s="1174"/>
      <c r="AB81" s="1232"/>
      <c r="AC81" s="1227"/>
      <c r="AD81" s="1174"/>
      <c r="AE81" s="1232"/>
      <c r="AF81" s="1216"/>
      <c r="AG81" s="1174"/>
      <c r="AH81" s="1232"/>
      <c r="AI81" s="1216"/>
      <c r="AJ81" s="1174"/>
      <c r="AK81" s="1232"/>
      <c r="AL81" s="1216"/>
      <c r="AM81" s="1174"/>
      <c r="AN81" s="1232"/>
      <c r="AO81" s="1216"/>
      <c r="AP81" s="1174"/>
      <c r="AQ81" s="1232"/>
      <c r="AR81" s="1216"/>
      <c r="AS81" s="1174"/>
      <c r="AT81" s="1232"/>
      <c r="AU81" s="1216"/>
      <c r="AV81" s="1174"/>
      <c r="AW81" s="1216"/>
      <c r="AX81" s="1216"/>
      <c r="AY81" s="1174"/>
      <c r="AZ81" s="1232"/>
      <c r="BA81" s="1203">
        <f>BA79+BA55-BA10</f>
        <v>49.205278804477587</v>
      </c>
      <c r="BB81" s="1174"/>
      <c r="BC81" s="1232"/>
      <c r="BD81" s="1203">
        <f>BD79+BD55-BD10</f>
        <v>176.65401369999995</v>
      </c>
      <c r="BE81" s="1174"/>
      <c r="BF81" s="1216"/>
      <c r="BG81" s="1203">
        <f>BG79+BG55-BG10</f>
        <v>75.718508104477792</v>
      </c>
      <c r="BH81" s="1174"/>
      <c r="BI81" s="1232"/>
      <c r="BJ81" s="1203">
        <f>BJ79+BJ55-BJ10</f>
        <v>635.10610218750014</v>
      </c>
      <c r="BK81" s="1174"/>
      <c r="BL81" s="1232"/>
      <c r="BM81" s="1203">
        <f>BM79+BM55-BM10</f>
        <v>-242.53909759328371</v>
      </c>
      <c r="BN81" s="1174"/>
      <c r="BO81" s="1232"/>
      <c r="BP81" s="1203">
        <f>BP79+BP55-BP10</f>
        <v>21.908796250000023</v>
      </c>
      <c r="BQ81" s="1174"/>
      <c r="BR81" s="1216"/>
      <c r="BS81" s="1255">
        <f>BS79+BS55-BS10</f>
        <v>-189.45555555555552</v>
      </c>
      <c r="BT81" s="1174"/>
      <c r="BU81" s="1232"/>
      <c r="BV81" s="1216"/>
      <c r="BW81" s="1174"/>
      <c r="BX81" s="1232"/>
      <c r="BY81" s="1216"/>
      <c r="BZ81" s="1174"/>
      <c r="CA81" s="1232"/>
      <c r="CB81" s="1216"/>
      <c r="CC81" s="1174"/>
      <c r="CD81" s="1232"/>
      <c r="CE81" s="1216"/>
      <c r="CF81" s="1174"/>
      <c r="CG81" s="1232"/>
      <c r="CH81" s="1216"/>
      <c r="CI81" s="1174"/>
      <c r="CJ81" s="1232"/>
      <c r="CK81" s="1216"/>
      <c r="CL81" s="1174"/>
      <c r="CM81" s="1232"/>
      <c r="CN81" s="1216"/>
      <c r="CO81" s="1174"/>
      <c r="CP81" s="1232"/>
      <c r="CQ81" s="1216"/>
      <c r="CR81" s="1174"/>
      <c r="CS81" s="1232"/>
      <c r="CT81" s="1216"/>
      <c r="CU81" s="1174"/>
      <c r="CV81" s="1232"/>
      <c r="CW81" s="1216"/>
      <c r="CX81" s="1174"/>
      <c r="CY81" s="1232"/>
      <c r="CZ81" s="1216"/>
      <c r="DA81" s="1174"/>
      <c r="DB81" s="1232"/>
      <c r="DC81" s="1216"/>
      <c r="DD81" s="1174"/>
      <c r="DE81" s="1216"/>
      <c r="DF81" s="1216"/>
      <c r="DG81" s="1174"/>
      <c r="DH81" s="1216"/>
      <c r="DI81" s="1216"/>
      <c r="DJ81" s="1174"/>
      <c r="DK81" s="1216"/>
      <c r="DL81" s="1216"/>
      <c r="DM81" s="1174"/>
      <c r="DN81" s="1216"/>
      <c r="DO81" s="1216"/>
      <c r="DP81" s="1174"/>
      <c r="DQ81" s="1216"/>
      <c r="DR81" s="1216"/>
      <c r="DS81" s="1174"/>
      <c r="DT81" s="1216"/>
      <c r="DU81" s="1216"/>
      <c r="DV81" s="1174"/>
      <c r="DW81" s="1216"/>
      <c r="DX81" s="1246"/>
    </row>
    <row r="82" spans="1:128" ht="15.75" thickTop="1" thickBot="1">
      <c r="A82" s="1142"/>
      <c r="B82" s="1310" t="s">
        <v>959</v>
      </c>
      <c r="C82" s="1143"/>
      <c r="D82" s="1209"/>
      <c r="E82" s="1210"/>
      <c r="F82" s="1144"/>
      <c r="G82" s="1210"/>
      <c r="H82" s="1210"/>
      <c r="I82" s="1144"/>
      <c r="J82" s="1210"/>
      <c r="K82" s="1226"/>
      <c r="L82" s="1145"/>
      <c r="M82" s="1210"/>
      <c r="N82" s="1226"/>
      <c r="O82" s="1146"/>
      <c r="P82" s="1210"/>
      <c r="Q82" s="1226"/>
      <c r="R82" s="1146"/>
      <c r="S82" s="1210"/>
      <c r="T82" s="1226"/>
      <c r="U82" s="1144"/>
      <c r="V82" s="1236"/>
      <c r="W82" s="1226"/>
      <c r="X82" s="1146"/>
      <c r="Y82" s="1210"/>
      <c r="Z82" s="1226"/>
      <c r="AA82" s="1146"/>
      <c r="AB82" s="1236"/>
      <c r="AC82" s="1226"/>
      <c r="AD82" s="1146"/>
      <c r="AE82" s="1236"/>
      <c r="AF82" s="1226"/>
      <c r="AG82" s="1146"/>
      <c r="AH82" s="1236"/>
      <c r="AI82" s="1226"/>
      <c r="AJ82" s="1146"/>
      <c r="AK82" s="1236"/>
      <c r="AL82" s="1210"/>
      <c r="AM82" s="1146"/>
      <c r="AN82" s="1236"/>
      <c r="AO82" s="1210"/>
      <c r="AP82" s="1146"/>
      <c r="AQ82" s="1236"/>
      <c r="AR82" s="1210"/>
      <c r="AS82" s="1144"/>
      <c r="AT82" s="1236"/>
      <c r="AU82" s="1210"/>
      <c r="AV82" s="1144"/>
      <c r="AW82" s="1210"/>
      <c r="AX82" s="1210"/>
      <c r="AY82" s="1146"/>
      <c r="AZ82" s="1236"/>
      <c r="BA82" s="1264">
        <f>ROUND((BA81+BA6)/AY6,0)</f>
        <v>125</v>
      </c>
      <c r="BB82" s="1146"/>
      <c r="BC82" s="1236"/>
      <c r="BD82" s="1264">
        <f>ROUND((BD81+BD6)/BB6,0)</f>
        <v>158</v>
      </c>
      <c r="BE82" s="1146"/>
      <c r="BF82" s="1210"/>
      <c r="BG82" s="1264">
        <f>ROUND((BG81+BG6)/BE6,0)</f>
        <v>127</v>
      </c>
      <c r="BH82" s="1146"/>
      <c r="BI82" s="1236"/>
      <c r="BJ82" s="1264">
        <f>ROUND((BJ81+BJ6)/BH6,0)</f>
        <v>234</v>
      </c>
      <c r="BK82" s="1146"/>
      <c r="BL82" s="1236"/>
      <c r="BM82" s="1264">
        <f>ROUND((BM81+BM6)/BK6,0)</f>
        <v>137</v>
      </c>
      <c r="BN82" s="1146"/>
      <c r="BO82" s="1236"/>
      <c r="BP82" s="1264">
        <f>ROUND((BP81+BP6)/BN6,0)</f>
        <v>159</v>
      </c>
      <c r="BQ82" s="1146"/>
      <c r="BR82" s="1210"/>
      <c r="BS82" s="1264">
        <f>ROUND((BS81+BS7)/BQ7,0)</f>
        <v>56</v>
      </c>
      <c r="BT82" s="1146"/>
      <c r="BU82" s="1236"/>
      <c r="BV82" s="1210"/>
      <c r="BW82" s="1146"/>
      <c r="BX82" s="1236"/>
      <c r="BY82" s="1210"/>
      <c r="BZ82" s="1146"/>
      <c r="CA82" s="1236"/>
      <c r="CB82" s="1210"/>
      <c r="CC82" s="1146"/>
      <c r="CD82" s="1236"/>
      <c r="CE82" s="1210"/>
      <c r="CF82" s="1146"/>
      <c r="CG82" s="1236"/>
      <c r="CH82" s="1210"/>
      <c r="CI82" s="1146"/>
      <c r="CJ82" s="1236"/>
      <c r="CK82" s="1210"/>
      <c r="CL82" s="1146"/>
      <c r="CM82" s="1236"/>
      <c r="CN82" s="1210"/>
      <c r="CO82" s="1146"/>
      <c r="CP82" s="1236"/>
      <c r="CQ82" s="1210"/>
      <c r="CR82" s="1146"/>
      <c r="CS82" s="1236"/>
      <c r="CT82" s="1210"/>
      <c r="CU82" s="1146"/>
      <c r="CV82" s="1236"/>
      <c r="CW82" s="1210"/>
      <c r="CX82" s="1146"/>
      <c r="CY82" s="1236"/>
      <c r="CZ82" s="1210"/>
      <c r="DA82" s="1146"/>
      <c r="DB82" s="1236"/>
      <c r="DC82" s="1210"/>
      <c r="DD82" s="1146"/>
      <c r="DE82" s="1210"/>
      <c r="DF82" s="1210"/>
      <c r="DG82" s="1146"/>
      <c r="DH82" s="1210"/>
      <c r="DI82" s="1210"/>
      <c r="DJ82" s="1146"/>
      <c r="DK82" s="1210"/>
      <c r="DL82" s="1210"/>
      <c r="DM82" s="1146"/>
      <c r="DN82" s="1210"/>
      <c r="DO82" s="1210"/>
      <c r="DP82" s="1146"/>
      <c r="DQ82" s="1210"/>
      <c r="DR82" s="1210"/>
      <c r="DS82" s="1146"/>
      <c r="DT82" s="1210"/>
      <c r="DU82" s="1210"/>
      <c r="DV82" s="1146"/>
      <c r="DW82" s="1210"/>
      <c r="DX82" s="1250"/>
    </row>
    <row r="83" spans="1:128" ht="15" thickTop="1">
      <c r="B83" s="1315" t="s">
        <v>1286</v>
      </c>
    </row>
    <row r="84" spans="1:128" ht="15" thickBot="1">
      <c r="B84" s="1312"/>
    </row>
    <row r="85" spans="1:128" s="1300" customFormat="1" ht="15" thickTop="1">
      <c r="A85" s="1299"/>
      <c r="B85" s="1304" t="s">
        <v>10</v>
      </c>
      <c r="C85" s="1173"/>
      <c r="D85" s="1202"/>
      <c r="E85" s="1203"/>
      <c r="F85" s="1174"/>
      <c r="G85" s="1216"/>
      <c r="H85" s="1203"/>
      <c r="I85" s="1174"/>
      <c r="J85" s="1216"/>
      <c r="K85" s="1203"/>
      <c r="L85" s="1174"/>
      <c r="M85" s="1216"/>
      <c r="N85" s="1203"/>
      <c r="O85" s="1174"/>
      <c r="P85" s="1216"/>
      <c r="Q85" s="1227"/>
      <c r="R85" s="1174"/>
      <c r="S85" s="1216"/>
      <c r="T85" s="1216"/>
      <c r="U85" s="1174"/>
      <c r="V85" s="1232"/>
      <c r="W85" s="1233"/>
      <c r="X85" s="1174"/>
      <c r="Y85" s="1216"/>
      <c r="Z85" s="1227"/>
      <c r="AA85" s="1174"/>
      <c r="AB85" s="1232"/>
      <c r="AC85" s="1227"/>
      <c r="AD85" s="1174"/>
      <c r="AE85" s="1232"/>
      <c r="AF85" s="1216"/>
      <c r="AG85" s="1174"/>
      <c r="AH85" s="1232"/>
      <c r="AI85" s="1216"/>
      <c r="AJ85" s="1174"/>
      <c r="AK85" s="1232"/>
      <c r="AL85" s="1216"/>
      <c r="AM85" s="1174"/>
      <c r="AN85" s="1232"/>
      <c r="AO85" s="1216"/>
      <c r="AP85" s="1174"/>
      <c r="AQ85" s="1232"/>
      <c r="AR85" s="1216"/>
      <c r="AS85" s="1174"/>
      <c r="AT85" s="1232"/>
      <c r="AU85" s="1216"/>
      <c r="AV85" s="1174"/>
      <c r="AW85" s="1216"/>
      <c r="AX85" s="1216"/>
      <c r="AY85" s="1174"/>
      <c r="AZ85" s="1232"/>
      <c r="BA85" s="1216"/>
      <c r="BB85" s="1174"/>
      <c r="BC85" s="1232"/>
      <c r="BD85" s="1216"/>
      <c r="BE85" s="1174"/>
      <c r="BF85" s="1216"/>
      <c r="BG85" s="1203"/>
      <c r="BH85" s="1174"/>
      <c r="BI85" s="1232"/>
      <c r="BJ85" s="1203"/>
      <c r="BK85" s="1174"/>
      <c r="BL85" s="1232"/>
      <c r="BM85" s="1203"/>
      <c r="BN85" s="1174"/>
      <c r="BO85" s="1232"/>
      <c r="BP85" s="1203"/>
      <c r="BQ85" s="1174"/>
      <c r="BR85" s="1216"/>
      <c r="BS85" s="1255"/>
      <c r="BT85" s="1174"/>
      <c r="BU85" s="1232"/>
      <c r="BV85" s="1216"/>
      <c r="BW85" s="1174"/>
      <c r="BX85" s="1232"/>
      <c r="BY85" s="1216"/>
      <c r="BZ85" s="1174"/>
      <c r="CA85" s="1232"/>
      <c r="CB85" s="1216"/>
      <c r="CC85" s="1174"/>
      <c r="CD85" s="1232"/>
      <c r="CE85" s="1216"/>
      <c r="CF85" s="1174"/>
      <c r="CG85" s="1232"/>
      <c r="CH85" s="1216"/>
      <c r="CI85" s="1174"/>
      <c r="CJ85" s="1232"/>
      <c r="CK85" s="1216"/>
      <c r="CL85" s="1174"/>
      <c r="CM85" s="1232"/>
      <c r="CN85" s="1216"/>
      <c r="CO85" s="1174"/>
      <c r="CP85" s="1232"/>
      <c r="CQ85" s="1216"/>
      <c r="CR85" s="1174"/>
      <c r="CS85" s="1232"/>
      <c r="CT85" s="1216"/>
      <c r="CU85" s="1174"/>
      <c r="CV85" s="1232"/>
      <c r="CW85" s="1216"/>
      <c r="CX85" s="1174"/>
      <c r="CY85" s="1232"/>
      <c r="CZ85" s="1216"/>
      <c r="DA85" s="1174"/>
      <c r="DB85" s="1232"/>
      <c r="DC85" s="1216"/>
      <c r="DD85" s="1174"/>
      <c r="DE85" s="1216"/>
      <c r="DF85" s="1216"/>
      <c r="DG85" s="1174"/>
      <c r="DH85" s="1216"/>
      <c r="DI85" s="1216"/>
      <c r="DJ85" s="1174"/>
      <c r="DK85" s="1216"/>
      <c r="DL85" s="1216"/>
      <c r="DM85" s="1174"/>
      <c r="DN85" s="1216"/>
      <c r="DO85" s="1216"/>
      <c r="DP85" s="1174"/>
      <c r="DQ85" s="1216"/>
      <c r="DR85" s="1216"/>
      <c r="DS85" s="1174"/>
      <c r="DT85" s="1216"/>
      <c r="DU85" s="1216"/>
      <c r="DV85" s="1174"/>
      <c r="DW85" s="1216"/>
      <c r="DX85" s="1246"/>
    </row>
    <row r="86" spans="1:128">
      <c r="B86" s="1305" t="s">
        <v>226</v>
      </c>
      <c r="C86" s="1185"/>
      <c r="D86" s="1195"/>
      <c r="E86" s="1199"/>
      <c r="F86" s="1186"/>
      <c r="G86" s="1195"/>
      <c r="H86" s="1199"/>
      <c r="I86" s="1186"/>
      <c r="J86" s="1195"/>
      <c r="K86" s="1222"/>
      <c r="L86" s="1186"/>
      <c r="M86" s="1195"/>
      <c r="N86" s="1222"/>
      <c r="O86" s="1156"/>
      <c r="P86" s="1195"/>
      <c r="Q86" s="1222"/>
      <c r="R86" s="1156"/>
      <c r="S86" s="1195"/>
      <c r="T86" s="1222"/>
      <c r="U86" s="1156">
        <v>92000</v>
      </c>
      <c r="V86" s="1195"/>
      <c r="W86" s="1222"/>
      <c r="X86" s="1156"/>
      <c r="Y86" s="1195"/>
      <c r="Z86" s="1222"/>
      <c r="AA86" s="1156"/>
      <c r="AB86" s="1195"/>
      <c r="AC86" s="1222"/>
      <c r="AD86" s="1156"/>
      <c r="AE86" s="1195"/>
      <c r="AF86" s="1222"/>
      <c r="AG86" s="1156"/>
      <c r="AH86" s="1195"/>
      <c r="AI86" s="1222"/>
      <c r="AJ86" s="1156"/>
      <c r="AK86" s="1195"/>
      <c r="AL86" s="1222"/>
      <c r="AM86" s="1156"/>
      <c r="AN86" s="1195"/>
      <c r="AO86" s="1222"/>
      <c r="AP86" s="1156"/>
      <c r="AQ86" s="1195"/>
      <c r="AR86" s="1222"/>
      <c r="AS86" s="1156"/>
      <c r="AT86" s="1195"/>
      <c r="AU86" s="1222"/>
      <c r="AV86" s="1156"/>
      <c r="AW86" s="1195"/>
      <c r="AX86" s="1222"/>
      <c r="AY86" s="1156"/>
      <c r="AZ86" s="1195"/>
      <c r="BA86" s="1222"/>
      <c r="BB86" s="1183"/>
      <c r="BC86" s="1195"/>
      <c r="BD86" s="1222"/>
      <c r="BE86" s="1156"/>
      <c r="BF86" s="1195"/>
      <c r="BG86" s="1222"/>
      <c r="BH86" s="1156"/>
      <c r="BI86" s="1195"/>
      <c r="BJ86" s="1222"/>
      <c r="BK86" s="1156"/>
      <c r="BL86" s="1195"/>
      <c r="BM86" s="1222"/>
      <c r="BN86" s="1156"/>
      <c r="BO86" s="1195"/>
      <c r="BP86" s="1222"/>
      <c r="BQ86" s="1156"/>
      <c r="BR86" s="1217"/>
      <c r="BS86" s="1222"/>
      <c r="BT86" s="1156"/>
      <c r="BU86" s="1195"/>
      <c r="BV86" s="1222"/>
      <c r="BW86" s="1156"/>
      <c r="BX86" s="1195"/>
      <c r="BY86" s="1222"/>
      <c r="BZ86" s="1156"/>
      <c r="CA86" s="1195"/>
      <c r="CB86" s="1222"/>
      <c r="CC86" s="1156"/>
      <c r="CD86" s="1195"/>
      <c r="CE86" s="1222"/>
      <c r="CF86" s="1156"/>
      <c r="CG86" s="1195"/>
      <c r="CH86" s="1222"/>
      <c r="CI86" s="1156"/>
      <c r="CJ86" s="1195"/>
      <c r="CK86" s="1222"/>
      <c r="CL86" s="1156"/>
      <c r="CM86" s="1195"/>
      <c r="CN86" s="1222"/>
      <c r="CO86" s="1156"/>
      <c r="CP86" s="1195"/>
      <c r="CQ86" s="1222"/>
      <c r="CR86" s="1156"/>
      <c r="CS86" s="1195"/>
      <c r="CT86" s="1222"/>
      <c r="CU86" s="1156"/>
      <c r="CV86" s="1195"/>
      <c r="CW86" s="1222"/>
      <c r="CX86" s="1156"/>
      <c r="CY86" s="1195"/>
      <c r="CZ86" s="1222"/>
      <c r="DA86" s="1156"/>
      <c r="DB86" s="1195"/>
      <c r="DC86" s="1222"/>
      <c r="DD86" s="1156"/>
      <c r="DE86" s="1217"/>
      <c r="DF86" s="1222"/>
      <c r="DG86" s="1156"/>
      <c r="DH86" s="1217"/>
      <c r="DI86" s="1222"/>
      <c r="DJ86" s="1156"/>
      <c r="DK86" s="1217"/>
      <c r="DL86" s="1222"/>
      <c r="DM86" s="1156"/>
      <c r="DN86" s="1217"/>
      <c r="DO86" s="1222"/>
      <c r="DP86" s="1156"/>
      <c r="DQ86" s="1217"/>
      <c r="DR86" s="1222"/>
      <c r="DS86" s="1156"/>
      <c r="DT86" s="1217"/>
      <c r="DU86" s="1222"/>
      <c r="DV86" s="1156"/>
      <c r="DW86" s="1217"/>
      <c r="DX86" s="1244"/>
    </row>
    <row r="87" spans="1:128">
      <c r="B87" s="1305" t="s">
        <v>227</v>
      </c>
      <c r="C87" s="1185"/>
      <c r="D87" s="1195"/>
      <c r="E87" s="1199"/>
      <c r="F87" s="1186"/>
      <c r="G87" s="1195"/>
      <c r="H87" s="1199"/>
      <c r="I87" s="1186"/>
      <c r="J87" s="1195"/>
      <c r="K87" s="1222"/>
      <c r="L87" s="1186"/>
      <c r="M87" s="1195"/>
      <c r="N87" s="1222"/>
      <c r="O87" s="1156"/>
      <c r="P87" s="1195"/>
      <c r="Q87" s="1222"/>
      <c r="R87" s="1156"/>
      <c r="S87" s="1195"/>
      <c r="T87" s="1222"/>
      <c r="U87" s="1156">
        <v>13750</v>
      </c>
      <c r="V87" s="1195"/>
      <c r="W87" s="1222"/>
      <c r="X87" s="1156"/>
      <c r="Y87" s="1195"/>
      <c r="Z87" s="1222"/>
      <c r="AA87" s="1156"/>
      <c r="AB87" s="1195"/>
      <c r="AC87" s="1222"/>
      <c r="AD87" s="1156"/>
      <c r="AE87" s="1195"/>
      <c r="AF87" s="1222"/>
      <c r="AG87" s="1156"/>
      <c r="AH87" s="1195"/>
      <c r="AI87" s="1222"/>
      <c r="AJ87" s="1156"/>
      <c r="AK87" s="1195"/>
      <c r="AL87" s="1222"/>
      <c r="AM87" s="1156"/>
      <c r="AN87" s="1195"/>
      <c r="AO87" s="1222"/>
      <c r="AP87" s="1156"/>
      <c r="AQ87" s="1195"/>
      <c r="AR87" s="1222"/>
      <c r="AS87" s="1156"/>
      <c r="AT87" s="1195"/>
      <c r="AU87" s="1222"/>
      <c r="AV87" s="1156"/>
      <c r="AW87" s="1195"/>
      <c r="AX87" s="1222"/>
      <c r="AY87" s="1156"/>
      <c r="AZ87" s="1195"/>
      <c r="BA87" s="1222"/>
      <c r="BB87" s="1183"/>
      <c r="BC87" s="1195"/>
      <c r="BD87" s="1222"/>
      <c r="BE87" s="1156"/>
      <c r="BF87" s="1195"/>
      <c r="BG87" s="1222"/>
      <c r="BH87" s="1156"/>
      <c r="BI87" s="1195"/>
      <c r="BJ87" s="1222"/>
      <c r="BK87" s="1156"/>
      <c r="BL87" s="1195"/>
      <c r="BM87" s="1222"/>
      <c r="BN87" s="1156"/>
      <c r="BO87" s="1195"/>
      <c r="BP87" s="1222"/>
      <c r="BQ87" s="1156"/>
      <c r="BR87" s="1217"/>
      <c r="BS87" s="1222"/>
      <c r="BT87" s="1156"/>
      <c r="BU87" s="1195"/>
      <c r="BV87" s="1222"/>
      <c r="BW87" s="1156"/>
      <c r="BX87" s="1195"/>
      <c r="BY87" s="1222"/>
      <c r="BZ87" s="1156"/>
      <c r="CA87" s="1195"/>
      <c r="CB87" s="1222"/>
      <c r="CC87" s="1156"/>
      <c r="CD87" s="1195"/>
      <c r="CE87" s="1222"/>
      <c r="CF87" s="1156"/>
      <c r="CG87" s="1195"/>
      <c r="CH87" s="1222"/>
      <c r="CI87" s="1156"/>
      <c r="CJ87" s="1195"/>
      <c r="CK87" s="1222"/>
      <c r="CL87" s="1156"/>
      <c r="CM87" s="1195"/>
      <c r="CN87" s="1222"/>
      <c r="CO87" s="1156"/>
      <c r="CP87" s="1195"/>
      <c r="CQ87" s="1222"/>
      <c r="CR87" s="1156"/>
      <c r="CS87" s="1195"/>
      <c r="CT87" s="1222"/>
      <c r="CU87" s="1156"/>
      <c r="CV87" s="1195"/>
      <c r="CW87" s="1222"/>
      <c r="CX87" s="1156"/>
      <c r="CY87" s="1195"/>
      <c r="CZ87" s="1222"/>
      <c r="DA87" s="1156"/>
      <c r="DB87" s="1195"/>
      <c r="DC87" s="1222"/>
      <c r="DD87" s="1156"/>
      <c r="DE87" s="1217"/>
      <c r="DF87" s="1222"/>
      <c r="DG87" s="1156"/>
      <c r="DH87" s="1217"/>
      <c r="DI87" s="1222"/>
      <c r="DJ87" s="1156"/>
      <c r="DK87" s="1217"/>
      <c r="DL87" s="1222"/>
      <c r="DM87" s="1156"/>
      <c r="DN87" s="1217"/>
      <c r="DO87" s="1222"/>
      <c r="DP87" s="1156"/>
      <c r="DQ87" s="1217"/>
      <c r="DR87" s="1222"/>
      <c r="DS87" s="1156"/>
      <c r="DT87" s="1217"/>
      <c r="DU87" s="1222"/>
      <c r="DV87" s="1156"/>
      <c r="DW87" s="1217"/>
      <c r="DX87" s="1244"/>
    </row>
    <row r="88" spans="1:128">
      <c r="B88" s="1305" t="s">
        <v>228</v>
      </c>
      <c r="C88" s="1185"/>
      <c r="D88" s="1195"/>
      <c r="E88" s="1199"/>
      <c r="F88" s="1186"/>
      <c r="G88" s="1195"/>
      <c r="H88" s="1199"/>
      <c r="I88" s="1186"/>
      <c r="J88" s="1195"/>
      <c r="K88" s="1222"/>
      <c r="L88" s="1186"/>
      <c r="M88" s="1195"/>
      <c r="N88" s="1222"/>
      <c r="O88" s="1156"/>
      <c r="P88" s="1195"/>
      <c r="Q88" s="1222"/>
      <c r="R88" s="1156"/>
      <c r="S88" s="1195"/>
      <c r="T88" s="1222"/>
      <c r="U88" s="1156">
        <v>31250</v>
      </c>
      <c r="V88" s="1195"/>
      <c r="W88" s="1222"/>
      <c r="X88" s="1156"/>
      <c r="Y88" s="1195"/>
      <c r="Z88" s="1222"/>
      <c r="AA88" s="1156"/>
      <c r="AB88" s="1195"/>
      <c r="AC88" s="1222"/>
      <c r="AD88" s="1156"/>
      <c r="AE88" s="1195"/>
      <c r="AF88" s="1222"/>
      <c r="AG88" s="1156"/>
      <c r="AH88" s="1195"/>
      <c r="AI88" s="1222"/>
      <c r="AJ88" s="1156"/>
      <c r="AK88" s="1195"/>
      <c r="AL88" s="1222"/>
      <c r="AM88" s="1156"/>
      <c r="AN88" s="1195"/>
      <c r="AO88" s="1222"/>
      <c r="AP88" s="1156"/>
      <c r="AQ88" s="1195"/>
      <c r="AR88" s="1222"/>
      <c r="AS88" s="1156"/>
      <c r="AT88" s="1195"/>
      <c r="AU88" s="1222"/>
      <c r="AV88" s="1156"/>
      <c r="AW88" s="1195"/>
      <c r="AX88" s="1222"/>
      <c r="AY88" s="1156"/>
      <c r="AZ88" s="1195"/>
      <c r="BA88" s="1222"/>
      <c r="BB88" s="1183"/>
      <c r="BC88" s="1195"/>
      <c r="BD88" s="1222"/>
      <c r="BE88" s="1156"/>
      <c r="BF88" s="1195"/>
      <c r="BG88" s="1222"/>
      <c r="BH88" s="1156"/>
      <c r="BI88" s="1195"/>
      <c r="BJ88" s="1222"/>
      <c r="BK88" s="1156"/>
      <c r="BL88" s="1195"/>
      <c r="BM88" s="1222"/>
      <c r="BN88" s="1156"/>
      <c r="BO88" s="1195"/>
      <c r="BP88" s="1222"/>
      <c r="BQ88" s="1156"/>
      <c r="BR88" s="1217"/>
      <c r="BS88" s="1222"/>
      <c r="BT88" s="1156"/>
      <c r="BU88" s="1195"/>
      <c r="BV88" s="1222"/>
      <c r="BW88" s="1156"/>
      <c r="BX88" s="1195"/>
      <c r="BY88" s="1222"/>
      <c r="BZ88" s="1156"/>
      <c r="CA88" s="1195"/>
      <c r="CB88" s="1222"/>
      <c r="CC88" s="1156"/>
      <c r="CD88" s="1195"/>
      <c r="CE88" s="1222"/>
      <c r="CF88" s="1156"/>
      <c r="CG88" s="1195"/>
      <c r="CH88" s="1222"/>
      <c r="CI88" s="1156"/>
      <c r="CJ88" s="1195"/>
      <c r="CK88" s="1222"/>
      <c r="CL88" s="1156"/>
      <c r="CM88" s="1195"/>
      <c r="CN88" s="1222"/>
      <c r="CO88" s="1156"/>
      <c r="CP88" s="1195"/>
      <c r="CQ88" s="1222"/>
      <c r="CR88" s="1156"/>
      <c r="CS88" s="1195"/>
      <c r="CT88" s="1222"/>
      <c r="CU88" s="1156"/>
      <c r="CV88" s="1195"/>
      <c r="CW88" s="1222"/>
      <c r="CX88" s="1156"/>
      <c r="CY88" s="1195"/>
      <c r="CZ88" s="1222"/>
      <c r="DA88" s="1156"/>
      <c r="DB88" s="1195"/>
      <c r="DC88" s="1222"/>
      <c r="DD88" s="1156"/>
      <c r="DE88" s="1217"/>
      <c r="DF88" s="1222"/>
      <c r="DG88" s="1156"/>
      <c r="DH88" s="1217"/>
      <c r="DI88" s="1222"/>
      <c r="DJ88" s="1156"/>
      <c r="DK88" s="1217"/>
      <c r="DL88" s="1222"/>
      <c r="DM88" s="1156"/>
      <c r="DN88" s="1217"/>
      <c r="DO88" s="1222"/>
      <c r="DP88" s="1156"/>
      <c r="DQ88" s="1217"/>
      <c r="DR88" s="1222"/>
      <c r="DS88" s="1156"/>
      <c r="DT88" s="1217"/>
      <c r="DU88" s="1222"/>
      <c r="DV88" s="1156"/>
      <c r="DW88" s="1217"/>
      <c r="DX88" s="1244"/>
    </row>
    <row r="89" spans="1:128">
      <c r="B89" s="1305" t="s">
        <v>229</v>
      </c>
      <c r="C89" s="1185"/>
      <c r="D89" s="1195"/>
      <c r="E89" s="1199"/>
      <c r="F89" s="1186"/>
      <c r="G89" s="1195"/>
      <c r="H89" s="1199"/>
      <c r="I89" s="1186"/>
      <c r="J89" s="1195"/>
      <c r="K89" s="1222"/>
      <c r="L89" s="1186"/>
      <c r="M89" s="1195"/>
      <c r="N89" s="1222"/>
      <c r="O89" s="1156"/>
      <c r="P89" s="1195"/>
      <c r="Q89" s="1222"/>
      <c r="R89" s="1156"/>
      <c r="S89" s="1195"/>
      <c r="T89" s="1222"/>
      <c r="U89" s="1156">
        <v>30600</v>
      </c>
      <c r="V89" s="1195"/>
      <c r="W89" s="1222"/>
      <c r="X89" s="1156"/>
      <c r="Y89" s="1195"/>
      <c r="Z89" s="1222"/>
      <c r="AA89" s="1156"/>
      <c r="AB89" s="1195"/>
      <c r="AC89" s="1222"/>
      <c r="AD89" s="1156"/>
      <c r="AE89" s="1195"/>
      <c r="AF89" s="1222"/>
      <c r="AG89" s="1156"/>
      <c r="AH89" s="1195"/>
      <c r="AI89" s="1222"/>
      <c r="AJ89" s="1156"/>
      <c r="AK89" s="1195"/>
      <c r="AL89" s="1222"/>
      <c r="AM89" s="1156"/>
      <c r="AN89" s="1195"/>
      <c r="AO89" s="1222"/>
      <c r="AP89" s="1156"/>
      <c r="AQ89" s="1195"/>
      <c r="AR89" s="1222"/>
      <c r="AS89" s="1156"/>
      <c r="AT89" s="1195"/>
      <c r="AU89" s="1222"/>
      <c r="AV89" s="1156"/>
      <c r="AW89" s="1195"/>
      <c r="AX89" s="1222"/>
      <c r="AY89" s="1156"/>
      <c r="AZ89" s="1195"/>
      <c r="BA89" s="1222"/>
      <c r="BB89" s="1183"/>
      <c r="BC89" s="1195"/>
      <c r="BD89" s="1222"/>
      <c r="BE89" s="1156"/>
      <c r="BF89" s="1195"/>
      <c r="BG89" s="1222"/>
      <c r="BH89" s="1156"/>
      <c r="BI89" s="1195"/>
      <c r="BJ89" s="1222"/>
      <c r="BK89" s="1156"/>
      <c r="BL89" s="1195"/>
      <c r="BM89" s="1222"/>
      <c r="BN89" s="1156"/>
      <c r="BO89" s="1195"/>
      <c r="BP89" s="1222"/>
      <c r="BQ89" s="1156"/>
      <c r="BR89" s="1217"/>
      <c r="BS89" s="1222"/>
      <c r="BT89" s="1156"/>
      <c r="BU89" s="1195"/>
      <c r="BV89" s="1222"/>
      <c r="BW89" s="1156"/>
      <c r="BX89" s="1195"/>
      <c r="BY89" s="1222"/>
      <c r="BZ89" s="1156"/>
      <c r="CA89" s="1195"/>
      <c r="CB89" s="1222"/>
      <c r="CC89" s="1156"/>
      <c r="CD89" s="1195"/>
      <c r="CE89" s="1222"/>
      <c r="CF89" s="1156"/>
      <c r="CG89" s="1195"/>
      <c r="CH89" s="1222"/>
      <c r="CI89" s="1156"/>
      <c r="CJ89" s="1195"/>
      <c r="CK89" s="1222"/>
      <c r="CL89" s="1156"/>
      <c r="CM89" s="1195"/>
      <c r="CN89" s="1222"/>
      <c r="CO89" s="1156"/>
      <c r="CP89" s="1195"/>
      <c r="CQ89" s="1222"/>
      <c r="CR89" s="1156"/>
      <c r="CS89" s="1195"/>
      <c r="CT89" s="1222"/>
      <c r="CU89" s="1156"/>
      <c r="CV89" s="1195"/>
      <c r="CW89" s="1222"/>
      <c r="CX89" s="1156"/>
      <c r="CY89" s="1195"/>
      <c r="CZ89" s="1222"/>
      <c r="DA89" s="1156"/>
      <c r="DB89" s="1195"/>
      <c r="DC89" s="1222"/>
      <c r="DD89" s="1156"/>
      <c r="DE89" s="1217"/>
      <c r="DF89" s="1222"/>
      <c r="DG89" s="1156"/>
      <c r="DH89" s="1217"/>
      <c r="DI89" s="1222"/>
      <c r="DJ89" s="1156"/>
      <c r="DK89" s="1217"/>
      <c r="DL89" s="1222"/>
      <c r="DM89" s="1156"/>
      <c r="DN89" s="1217"/>
      <c r="DO89" s="1222"/>
      <c r="DP89" s="1156"/>
      <c r="DQ89" s="1217"/>
      <c r="DR89" s="1222"/>
      <c r="DS89" s="1156"/>
      <c r="DT89" s="1217"/>
      <c r="DU89" s="1222"/>
      <c r="DV89" s="1156"/>
      <c r="DW89" s="1217"/>
      <c r="DX89" s="1244"/>
    </row>
    <row r="90" spans="1:128">
      <c r="B90" s="1305" t="s">
        <v>230</v>
      </c>
      <c r="C90" s="1185"/>
      <c r="D90" s="1195"/>
      <c r="E90" s="1199"/>
      <c r="F90" s="1186"/>
      <c r="G90" s="1195"/>
      <c r="H90" s="1199"/>
      <c r="I90" s="1186"/>
      <c r="J90" s="1195"/>
      <c r="K90" s="1222"/>
      <c r="L90" s="1186"/>
      <c r="M90" s="1195"/>
      <c r="N90" s="1222"/>
      <c r="O90" s="1156"/>
      <c r="P90" s="1195"/>
      <c r="Q90" s="1222"/>
      <c r="R90" s="1156"/>
      <c r="S90" s="1195"/>
      <c r="T90" s="1222"/>
      <c r="U90" s="1156">
        <v>70000</v>
      </c>
      <c r="V90" s="1195"/>
      <c r="W90" s="1222"/>
      <c r="X90" s="1156"/>
      <c r="Y90" s="1195"/>
      <c r="Z90" s="1222"/>
      <c r="AA90" s="1156"/>
      <c r="AB90" s="1195"/>
      <c r="AC90" s="1222"/>
      <c r="AD90" s="1156"/>
      <c r="AE90" s="1195"/>
      <c r="AF90" s="1222"/>
      <c r="AG90" s="1156"/>
      <c r="AH90" s="1195"/>
      <c r="AI90" s="1222"/>
      <c r="AJ90" s="1156"/>
      <c r="AK90" s="1195"/>
      <c r="AL90" s="1222"/>
      <c r="AM90" s="1156"/>
      <c r="AN90" s="1195"/>
      <c r="AO90" s="1222"/>
      <c r="AP90" s="1156"/>
      <c r="AQ90" s="1195"/>
      <c r="AR90" s="1222"/>
      <c r="AS90" s="1156"/>
      <c r="AT90" s="1195"/>
      <c r="AU90" s="1222"/>
      <c r="AV90" s="1156"/>
      <c r="AW90" s="1195"/>
      <c r="AX90" s="1222"/>
      <c r="AY90" s="1156"/>
      <c r="AZ90" s="1195"/>
      <c r="BA90" s="1222"/>
      <c r="BB90" s="1183"/>
      <c r="BC90" s="1195"/>
      <c r="BD90" s="1222"/>
      <c r="BE90" s="1156"/>
      <c r="BF90" s="1195"/>
      <c r="BG90" s="1222"/>
      <c r="BH90" s="1156"/>
      <c r="BI90" s="1195"/>
      <c r="BJ90" s="1222"/>
      <c r="BK90" s="1156"/>
      <c r="BL90" s="1195"/>
      <c r="BM90" s="1222"/>
      <c r="BN90" s="1156"/>
      <c r="BO90" s="1195"/>
      <c r="BP90" s="1222"/>
      <c r="BQ90" s="1156"/>
      <c r="BR90" s="1217"/>
      <c r="BS90" s="1222"/>
      <c r="BT90" s="1156"/>
      <c r="BU90" s="1195"/>
      <c r="BV90" s="1222"/>
      <c r="BW90" s="1156"/>
      <c r="BX90" s="1195"/>
      <c r="BY90" s="1222"/>
      <c r="BZ90" s="1156"/>
      <c r="CA90" s="1195"/>
      <c r="CB90" s="1222"/>
      <c r="CC90" s="1156"/>
      <c r="CD90" s="1195"/>
      <c r="CE90" s="1222"/>
      <c r="CF90" s="1156"/>
      <c r="CG90" s="1195"/>
      <c r="CH90" s="1222"/>
      <c r="CI90" s="1156"/>
      <c r="CJ90" s="1195"/>
      <c r="CK90" s="1222"/>
      <c r="CL90" s="1156"/>
      <c r="CM90" s="1195"/>
      <c r="CN90" s="1222"/>
      <c r="CO90" s="1156"/>
      <c r="CP90" s="1195"/>
      <c r="CQ90" s="1222"/>
      <c r="CR90" s="1156"/>
      <c r="CS90" s="1195"/>
      <c r="CT90" s="1222"/>
      <c r="CU90" s="1156"/>
      <c r="CV90" s="1195"/>
      <c r="CW90" s="1222"/>
      <c r="CX90" s="1156"/>
      <c r="CY90" s="1195"/>
      <c r="CZ90" s="1222"/>
      <c r="DA90" s="1156"/>
      <c r="DB90" s="1195"/>
      <c r="DC90" s="1222"/>
      <c r="DD90" s="1156"/>
      <c r="DE90" s="1217"/>
      <c r="DF90" s="1222"/>
      <c r="DG90" s="1156"/>
      <c r="DH90" s="1217"/>
      <c r="DI90" s="1222"/>
      <c r="DJ90" s="1156"/>
      <c r="DK90" s="1217"/>
      <c r="DL90" s="1222"/>
      <c r="DM90" s="1156"/>
      <c r="DN90" s="1217"/>
      <c r="DO90" s="1222"/>
      <c r="DP90" s="1156"/>
      <c r="DQ90" s="1217"/>
      <c r="DR90" s="1222"/>
      <c r="DS90" s="1156"/>
      <c r="DT90" s="1217"/>
      <c r="DU90" s="1222"/>
      <c r="DV90" s="1156"/>
      <c r="DW90" s="1217"/>
      <c r="DX90" s="1244"/>
    </row>
    <row r="91" spans="1:128">
      <c r="B91" s="1305" t="s">
        <v>231</v>
      </c>
      <c r="C91" s="1185"/>
      <c r="D91" s="1195"/>
      <c r="E91" s="1199"/>
      <c r="F91" s="1186"/>
      <c r="G91" s="1195"/>
      <c r="H91" s="1199"/>
      <c r="I91" s="1186"/>
      <c r="J91" s="1195"/>
      <c r="K91" s="1222"/>
      <c r="L91" s="1186"/>
      <c r="M91" s="1195"/>
      <c r="N91" s="1222"/>
      <c r="O91" s="1156"/>
      <c r="P91" s="1195"/>
      <c r="Q91" s="1222"/>
      <c r="R91" s="1156"/>
      <c r="S91" s="1195"/>
      <c r="T91" s="1222"/>
      <c r="U91" s="1156">
        <v>30250</v>
      </c>
      <c r="V91" s="1195"/>
      <c r="W91" s="1222"/>
      <c r="X91" s="1156"/>
      <c r="Y91" s="1195"/>
      <c r="Z91" s="1222"/>
      <c r="AA91" s="1156"/>
      <c r="AB91" s="1195"/>
      <c r="AC91" s="1222"/>
      <c r="AD91" s="1156"/>
      <c r="AE91" s="1195"/>
      <c r="AF91" s="1222"/>
      <c r="AG91" s="1156"/>
      <c r="AH91" s="1195"/>
      <c r="AI91" s="1222"/>
      <c r="AJ91" s="1156"/>
      <c r="AK91" s="1195"/>
      <c r="AL91" s="1222"/>
      <c r="AM91" s="1156"/>
      <c r="AN91" s="1195"/>
      <c r="AO91" s="1222"/>
      <c r="AP91" s="1156"/>
      <c r="AQ91" s="1195"/>
      <c r="AR91" s="1222"/>
      <c r="AS91" s="1156"/>
      <c r="AT91" s="1195"/>
      <c r="AU91" s="1222"/>
      <c r="AV91" s="1156"/>
      <c r="AW91" s="1195"/>
      <c r="AX91" s="1222"/>
      <c r="AY91" s="1156"/>
      <c r="AZ91" s="1195"/>
      <c r="BA91" s="1222"/>
      <c r="BB91" s="1183"/>
      <c r="BC91" s="1195"/>
      <c r="BD91" s="1222"/>
      <c r="BE91" s="1156"/>
      <c r="BF91" s="1195"/>
      <c r="BG91" s="1222"/>
      <c r="BH91" s="1156"/>
      <c r="BI91" s="1195"/>
      <c r="BJ91" s="1222"/>
      <c r="BK91" s="1156"/>
      <c r="BL91" s="1195"/>
      <c r="BM91" s="1222"/>
      <c r="BN91" s="1156"/>
      <c r="BO91" s="1195"/>
      <c r="BP91" s="1222"/>
      <c r="BQ91" s="1156"/>
      <c r="BR91" s="1217"/>
      <c r="BS91" s="1222"/>
      <c r="BT91" s="1156"/>
      <c r="BU91" s="1195"/>
      <c r="BV91" s="1222"/>
      <c r="BW91" s="1156"/>
      <c r="BX91" s="1195"/>
      <c r="BY91" s="1222"/>
      <c r="BZ91" s="1156"/>
      <c r="CA91" s="1195"/>
      <c r="CB91" s="1222"/>
      <c r="CC91" s="1156"/>
      <c r="CD91" s="1195"/>
      <c r="CE91" s="1222"/>
      <c r="CF91" s="1156"/>
      <c r="CG91" s="1195"/>
      <c r="CH91" s="1222"/>
      <c r="CI91" s="1156"/>
      <c r="CJ91" s="1195"/>
      <c r="CK91" s="1222"/>
      <c r="CL91" s="1156"/>
      <c r="CM91" s="1195"/>
      <c r="CN91" s="1222"/>
      <c r="CO91" s="1156"/>
      <c r="CP91" s="1195"/>
      <c r="CQ91" s="1222"/>
      <c r="CR91" s="1156"/>
      <c r="CS91" s="1195"/>
      <c r="CT91" s="1222"/>
      <c r="CU91" s="1156"/>
      <c r="CV91" s="1195"/>
      <c r="CW91" s="1222"/>
      <c r="CX91" s="1156"/>
      <c r="CY91" s="1195"/>
      <c r="CZ91" s="1222"/>
      <c r="DA91" s="1156"/>
      <c r="DB91" s="1195"/>
      <c r="DC91" s="1222"/>
      <c r="DD91" s="1156"/>
      <c r="DE91" s="1217"/>
      <c r="DF91" s="1222"/>
      <c r="DG91" s="1156"/>
      <c r="DH91" s="1217"/>
      <c r="DI91" s="1222"/>
      <c r="DJ91" s="1156"/>
      <c r="DK91" s="1217"/>
      <c r="DL91" s="1222"/>
      <c r="DM91" s="1156"/>
      <c r="DN91" s="1217"/>
      <c r="DO91" s="1222"/>
      <c r="DP91" s="1156"/>
      <c r="DQ91" s="1217"/>
      <c r="DR91" s="1222"/>
      <c r="DS91" s="1156"/>
      <c r="DT91" s="1217"/>
      <c r="DU91" s="1222"/>
      <c r="DV91" s="1156"/>
      <c r="DW91" s="1217"/>
      <c r="DX91" s="1244"/>
    </row>
    <row r="92" spans="1:128">
      <c r="B92" s="1305" t="s">
        <v>232</v>
      </c>
      <c r="C92" s="1185"/>
      <c r="D92" s="1195"/>
      <c r="E92" s="1199"/>
      <c r="F92" s="1186"/>
      <c r="G92" s="1195"/>
      <c r="H92" s="1199"/>
      <c r="I92" s="1186"/>
      <c r="J92" s="1195"/>
      <c r="K92" s="1222"/>
      <c r="L92" s="1186"/>
      <c r="M92" s="1195"/>
      <c r="N92" s="1222"/>
      <c r="O92" s="1156"/>
      <c r="P92" s="1195"/>
      <c r="Q92" s="1222"/>
      <c r="R92" s="1156"/>
      <c r="S92" s="1195"/>
      <c r="T92" s="1222"/>
      <c r="U92" s="1156">
        <v>31750</v>
      </c>
      <c r="V92" s="1195"/>
      <c r="W92" s="1222"/>
      <c r="X92" s="1156"/>
      <c r="Y92" s="1195"/>
      <c r="Z92" s="1222"/>
      <c r="AA92" s="1156"/>
      <c r="AB92" s="1195"/>
      <c r="AC92" s="1222"/>
      <c r="AD92" s="1156"/>
      <c r="AE92" s="1195"/>
      <c r="AF92" s="1222"/>
      <c r="AG92" s="1156"/>
      <c r="AH92" s="1195"/>
      <c r="AI92" s="1222"/>
      <c r="AJ92" s="1156"/>
      <c r="AK92" s="1195"/>
      <c r="AL92" s="1222"/>
      <c r="AM92" s="1156"/>
      <c r="AN92" s="1195"/>
      <c r="AO92" s="1222"/>
      <c r="AP92" s="1156"/>
      <c r="AQ92" s="1195"/>
      <c r="AR92" s="1222"/>
      <c r="AS92" s="1156"/>
      <c r="AT92" s="1195"/>
      <c r="AU92" s="1222"/>
      <c r="AV92" s="1156"/>
      <c r="AW92" s="1195"/>
      <c r="AX92" s="1222"/>
      <c r="AY92" s="1156"/>
      <c r="AZ92" s="1195"/>
      <c r="BA92" s="1222"/>
      <c r="BB92" s="1183"/>
      <c r="BC92" s="1195"/>
      <c r="BD92" s="1222"/>
      <c r="BE92" s="1156"/>
      <c r="BF92" s="1195"/>
      <c r="BG92" s="1222"/>
      <c r="BH92" s="1156"/>
      <c r="BI92" s="1195"/>
      <c r="BJ92" s="1222"/>
      <c r="BK92" s="1156"/>
      <c r="BL92" s="1195"/>
      <c r="BM92" s="1222"/>
      <c r="BN92" s="1156"/>
      <c r="BO92" s="1195"/>
      <c r="BP92" s="1222"/>
      <c r="BQ92" s="1156"/>
      <c r="BR92" s="1217"/>
      <c r="BS92" s="1222"/>
      <c r="BT92" s="1156"/>
      <c r="BU92" s="1195"/>
      <c r="BV92" s="1222"/>
      <c r="BW92" s="1156"/>
      <c r="BX92" s="1195"/>
      <c r="BY92" s="1222"/>
      <c r="BZ92" s="1156"/>
      <c r="CA92" s="1195"/>
      <c r="CB92" s="1222"/>
      <c r="CC92" s="1156"/>
      <c r="CD92" s="1195"/>
      <c r="CE92" s="1222"/>
      <c r="CF92" s="1156"/>
      <c r="CG92" s="1195"/>
      <c r="CH92" s="1222"/>
      <c r="CI92" s="1156"/>
      <c r="CJ92" s="1195"/>
      <c r="CK92" s="1222"/>
      <c r="CL92" s="1156"/>
      <c r="CM92" s="1195"/>
      <c r="CN92" s="1222"/>
      <c r="CO92" s="1156"/>
      <c r="CP92" s="1195"/>
      <c r="CQ92" s="1222"/>
      <c r="CR92" s="1156"/>
      <c r="CS92" s="1195"/>
      <c r="CT92" s="1222"/>
      <c r="CU92" s="1156"/>
      <c r="CV92" s="1195"/>
      <c r="CW92" s="1222"/>
      <c r="CX92" s="1156"/>
      <c r="CY92" s="1195"/>
      <c r="CZ92" s="1222"/>
      <c r="DA92" s="1156"/>
      <c r="DB92" s="1195"/>
      <c r="DC92" s="1222"/>
      <c r="DD92" s="1156"/>
      <c r="DE92" s="1217"/>
      <c r="DF92" s="1222"/>
      <c r="DG92" s="1156"/>
      <c r="DH92" s="1217"/>
      <c r="DI92" s="1222"/>
      <c r="DJ92" s="1156"/>
      <c r="DK92" s="1217"/>
      <c r="DL92" s="1222"/>
      <c r="DM92" s="1156"/>
      <c r="DN92" s="1217"/>
      <c r="DO92" s="1222"/>
      <c r="DP92" s="1156"/>
      <c r="DQ92" s="1217"/>
      <c r="DR92" s="1222"/>
      <c r="DS92" s="1156"/>
      <c r="DT92" s="1217"/>
      <c r="DU92" s="1222"/>
      <c r="DV92" s="1156"/>
      <c r="DW92" s="1217"/>
      <c r="DX92" s="1244"/>
    </row>
    <row r="93" spans="1:128">
      <c r="B93" s="1305" t="s">
        <v>233</v>
      </c>
      <c r="C93" s="1185"/>
      <c r="D93" s="1195"/>
      <c r="E93" s="1199"/>
      <c r="F93" s="1186"/>
      <c r="G93" s="1195"/>
      <c r="H93" s="1199"/>
      <c r="I93" s="1186"/>
      <c r="J93" s="1195"/>
      <c r="K93" s="1222"/>
      <c r="L93" s="1186"/>
      <c r="M93" s="1195"/>
      <c r="N93" s="1222"/>
      <c r="O93" s="1156"/>
      <c r="P93" s="1195"/>
      <c r="Q93" s="1222"/>
      <c r="R93" s="1156"/>
      <c r="S93" s="1195"/>
      <c r="T93" s="1222"/>
      <c r="U93" s="1156">
        <v>22750</v>
      </c>
      <c r="V93" s="1195"/>
      <c r="W93" s="1222"/>
      <c r="X93" s="1156"/>
      <c r="Y93" s="1195"/>
      <c r="Z93" s="1222"/>
      <c r="AA93" s="1156"/>
      <c r="AB93" s="1195"/>
      <c r="AC93" s="1222"/>
      <c r="AD93" s="1156"/>
      <c r="AE93" s="1195"/>
      <c r="AF93" s="1222"/>
      <c r="AG93" s="1156"/>
      <c r="AH93" s="1195"/>
      <c r="AI93" s="1222"/>
      <c r="AJ93" s="1156"/>
      <c r="AK93" s="1195"/>
      <c r="AL93" s="1222"/>
      <c r="AM93" s="1156"/>
      <c r="AN93" s="1195"/>
      <c r="AO93" s="1222"/>
      <c r="AP93" s="1156"/>
      <c r="AQ93" s="1195"/>
      <c r="AR93" s="1222"/>
      <c r="AS93" s="1156"/>
      <c r="AT93" s="1195"/>
      <c r="AU93" s="1222"/>
      <c r="AV93" s="1156"/>
      <c r="AW93" s="1195"/>
      <c r="AX93" s="1222"/>
      <c r="AY93" s="1156"/>
      <c r="AZ93" s="1195"/>
      <c r="BA93" s="1222"/>
      <c r="BB93" s="1183"/>
      <c r="BC93" s="1195"/>
      <c r="BD93" s="1222"/>
      <c r="BE93" s="1156"/>
      <c r="BF93" s="1195"/>
      <c r="BG93" s="1222"/>
      <c r="BH93" s="1156"/>
      <c r="BI93" s="1195"/>
      <c r="BJ93" s="1222"/>
      <c r="BK93" s="1156"/>
      <c r="BL93" s="1195"/>
      <c r="BM93" s="1222"/>
      <c r="BN93" s="1156"/>
      <c r="BO93" s="1195"/>
      <c r="BP93" s="1222"/>
      <c r="BQ93" s="1156"/>
      <c r="BR93" s="1217"/>
      <c r="BS93" s="1222"/>
      <c r="BT93" s="1156"/>
      <c r="BU93" s="1195"/>
      <c r="BV93" s="1222"/>
      <c r="BW93" s="1156"/>
      <c r="BX93" s="1195"/>
      <c r="BY93" s="1222"/>
      <c r="BZ93" s="1156"/>
      <c r="CA93" s="1195"/>
      <c r="CB93" s="1222"/>
      <c r="CC93" s="1156"/>
      <c r="CD93" s="1195"/>
      <c r="CE93" s="1222"/>
      <c r="CF93" s="1156"/>
      <c r="CG93" s="1195"/>
      <c r="CH93" s="1222"/>
      <c r="CI93" s="1156"/>
      <c r="CJ93" s="1195"/>
      <c r="CK93" s="1222"/>
      <c r="CL93" s="1156"/>
      <c r="CM93" s="1195"/>
      <c r="CN93" s="1222"/>
      <c r="CO93" s="1156"/>
      <c r="CP93" s="1195"/>
      <c r="CQ93" s="1222"/>
      <c r="CR93" s="1156"/>
      <c r="CS93" s="1195"/>
      <c r="CT93" s="1222"/>
      <c r="CU93" s="1156"/>
      <c r="CV93" s="1195"/>
      <c r="CW93" s="1222"/>
      <c r="CX93" s="1156"/>
      <c r="CY93" s="1195"/>
      <c r="CZ93" s="1222"/>
      <c r="DA93" s="1156"/>
      <c r="DB93" s="1195"/>
      <c r="DC93" s="1222"/>
      <c r="DD93" s="1156"/>
      <c r="DE93" s="1217"/>
      <c r="DF93" s="1222"/>
      <c r="DG93" s="1156"/>
      <c r="DH93" s="1217"/>
      <c r="DI93" s="1222"/>
      <c r="DJ93" s="1156"/>
      <c r="DK93" s="1217"/>
      <c r="DL93" s="1222"/>
      <c r="DM93" s="1156"/>
      <c r="DN93" s="1217"/>
      <c r="DO93" s="1222"/>
      <c r="DP93" s="1156"/>
      <c r="DQ93" s="1217"/>
      <c r="DR93" s="1222"/>
      <c r="DS93" s="1156"/>
      <c r="DT93" s="1217"/>
      <c r="DU93" s="1222"/>
      <c r="DV93" s="1156"/>
      <c r="DW93" s="1217"/>
      <c r="DX93" s="1244"/>
    </row>
    <row r="94" spans="1:128">
      <c r="B94" s="1305" t="s">
        <v>234</v>
      </c>
      <c r="C94" s="1185"/>
      <c r="D94" s="1195"/>
      <c r="E94" s="1199"/>
      <c r="F94" s="1186"/>
      <c r="G94" s="1195"/>
      <c r="H94" s="1199"/>
      <c r="I94" s="1186"/>
      <c r="J94" s="1195"/>
      <c r="K94" s="1222"/>
      <c r="L94" s="1186"/>
      <c r="M94" s="1195"/>
      <c r="N94" s="1222"/>
      <c r="O94" s="1156"/>
      <c r="P94" s="1195"/>
      <c r="Q94" s="1222"/>
      <c r="R94" s="1156"/>
      <c r="S94" s="1195"/>
      <c r="T94" s="1222"/>
      <c r="U94" s="1156">
        <v>26500</v>
      </c>
      <c r="V94" s="1195"/>
      <c r="W94" s="1222"/>
      <c r="X94" s="1156"/>
      <c r="Y94" s="1195"/>
      <c r="Z94" s="1222"/>
      <c r="AA94" s="1156"/>
      <c r="AB94" s="1195"/>
      <c r="AC94" s="1222"/>
      <c r="AD94" s="1156"/>
      <c r="AE94" s="1195"/>
      <c r="AF94" s="1222"/>
      <c r="AG94" s="1156"/>
      <c r="AH94" s="1195"/>
      <c r="AI94" s="1222"/>
      <c r="AJ94" s="1156"/>
      <c r="AK94" s="1195"/>
      <c r="AL94" s="1222"/>
      <c r="AM94" s="1156"/>
      <c r="AN94" s="1195"/>
      <c r="AO94" s="1222"/>
      <c r="AP94" s="1156"/>
      <c r="AQ94" s="1195"/>
      <c r="AR94" s="1222"/>
      <c r="AS94" s="1156"/>
      <c r="AT94" s="1195"/>
      <c r="AU94" s="1222"/>
      <c r="AV94" s="1156"/>
      <c r="AW94" s="1195"/>
      <c r="AX94" s="1222"/>
      <c r="AY94" s="1156"/>
      <c r="AZ94" s="1195"/>
      <c r="BA94" s="1222"/>
      <c r="BB94" s="1183"/>
      <c r="BC94" s="1195"/>
      <c r="BD94" s="1222"/>
      <c r="BE94" s="1156"/>
      <c r="BF94" s="1195"/>
      <c r="BG94" s="1222"/>
      <c r="BH94" s="1156"/>
      <c r="BI94" s="1195"/>
      <c r="BJ94" s="1222"/>
      <c r="BK94" s="1156"/>
      <c r="BL94" s="1195"/>
      <c r="BM94" s="1222"/>
      <c r="BN94" s="1156"/>
      <c r="BO94" s="1195"/>
      <c r="BP94" s="1222"/>
      <c r="BQ94" s="1156"/>
      <c r="BR94" s="1217"/>
      <c r="BS94" s="1222"/>
      <c r="BT94" s="1156"/>
      <c r="BU94" s="1195"/>
      <c r="BV94" s="1222"/>
      <c r="BW94" s="1156"/>
      <c r="BX94" s="1195"/>
      <c r="BY94" s="1222"/>
      <c r="BZ94" s="1156"/>
      <c r="CA94" s="1195"/>
      <c r="CB94" s="1222"/>
      <c r="CC94" s="1156"/>
      <c r="CD94" s="1195"/>
      <c r="CE94" s="1222"/>
      <c r="CF94" s="1156"/>
      <c r="CG94" s="1195"/>
      <c r="CH94" s="1222"/>
      <c r="CI94" s="1156"/>
      <c r="CJ94" s="1195"/>
      <c r="CK94" s="1222"/>
      <c r="CL94" s="1156"/>
      <c r="CM94" s="1195"/>
      <c r="CN94" s="1222"/>
      <c r="CO94" s="1156"/>
      <c r="CP94" s="1195"/>
      <c r="CQ94" s="1222"/>
      <c r="CR94" s="1156"/>
      <c r="CS94" s="1195"/>
      <c r="CT94" s="1222"/>
      <c r="CU94" s="1156"/>
      <c r="CV94" s="1195"/>
      <c r="CW94" s="1222"/>
      <c r="CX94" s="1156"/>
      <c r="CY94" s="1195"/>
      <c r="CZ94" s="1222"/>
      <c r="DA94" s="1156"/>
      <c r="DB94" s="1195"/>
      <c r="DC94" s="1222"/>
      <c r="DD94" s="1156"/>
      <c r="DE94" s="1217"/>
      <c r="DF94" s="1222"/>
      <c r="DG94" s="1156"/>
      <c r="DH94" s="1217"/>
      <c r="DI94" s="1222"/>
      <c r="DJ94" s="1156"/>
      <c r="DK94" s="1217"/>
      <c r="DL94" s="1222"/>
      <c r="DM94" s="1156"/>
      <c r="DN94" s="1217"/>
      <c r="DO94" s="1222"/>
      <c r="DP94" s="1156"/>
      <c r="DQ94" s="1217"/>
      <c r="DR94" s="1222"/>
      <c r="DS94" s="1156"/>
      <c r="DT94" s="1217"/>
      <c r="DU94" s="1222"/>
      <c r="DV94" s="1156"/>
      <c r="DW94" s="1217"/>
      <c r="DX94" s="1244"/>
    </row>
    <row r="95" spans="1:128">
      <c r="B95" s="1305" t="s">
        <v>235</v>
      </c>
      <c r="C95" s="1185"/>
      <c r="D95" s="1195"/>
      <c r="E95" s="1199"/>
      <c r="F95" s="1186"/>
      <c r="G95" s="1195"/>
      <c r="H95" s="1199"/>
      <c r="I95" s="1186"/>
      <c r="J95" s="1195"/>
      <c r="K95" s="1222"/>
      <c r="L95" s="1186"/>
      <c r="M95" s="1195"/>
      <c r="N95" s="1222"/>
      <c r="O95" s="1156"/>
      <c r="P95" s="1195"/>
      <c r="Q95" s="1222"/>
      <c r="R95" s="1156"/>
      <c r="S95" s="1195"/>
      <c r="T95" s="1222"/>
      <c r="U95" s="1156">
        <v>10500</v>
      </c>
      <c r="V95" s="1195"/>
      <c r="W95" s="1222"/>
      <c r="X95" s="1156"/>
      <c r="Y95" s="1195"/>
      <c r="Z95" s="1222"/>
      <c r="AA95" s="1156"/>
      <c r="AB95" s="1195"/>
      <c r="AC95" s="1222"/>
      <c r="AD95" s="1156"/>
      <c r="AE95" s="1195"/>
      <c r="AF95" s="1222"/>
      <c r="AG95" s="1156"/>
      <c r="AH95" s="1195"/>
      <c r="AI95" s="1222"/>
      <c r="AJ95" s="1156"/>
      <c r="AK95" s="1195"/>
      <c r="AL95" s="1222"/>
      <c r="AM95" s="1156"/>
      <c r="AN95" s="1195"/>
      <c r="AO95" s="1222"/>
      <c r="AP95" s="1156"/>
      <c r="AQ95" s="1195"/>
      <c r="AR95" s="1222"/>
      <c r="AS95" s="1156"/>
      <c r="AT95" s="1195"/>
      <c r="AU95" s="1222"/>
      <c r="AV95" s="1156"/>
      <c r="AW95" s="1195"/>
      <c r="AX95" s="1222"/>
      <c r="AY95" s="1156"/>
      <c r="AZ95" s="1195"/>
      <c r="BA95" s="1222"/>
      <c r="BB95" s="1183"/>
      <c r="BC95" s="1195"/>
      <c r="BD95" s="1222"/>
      <c r="BE95" s="1156"/>
      <c r="BF95" s="1195"/>
      <c r="BG95" s="1222"/>
      <c r="BH95" s="1156"/>
      <c r="BI95" s="1195"/>
      <c r="BJ95" s="1222"/>
      <c r="BK95" s="1156"/>
      <c r="BL95" s="1195"/>
      <c r="BM95" s="1222"/>
      <c r="BN95" s="1156"/>
      <c r="BO95" s="1195"/>
      <c r="BP95" s="1222"/>
      <c r="BQ95" s="1156"/>
      <c r="BR95" s="1217"/>
      <c r="BS95" s="1222"/>
      <c r="BT95" s="1156"/>
      <c r="BU95" s="1195"/>
      <c r="BV95" s="1222"/>
      <c r="BW95" s="1156"/>
      <c r="BX95" s="1195"/>
      <c r="BY95" s="1222"/>
      <c r="BZ95" s="1156"/>
      <c r="CA95" s="1195"/>
      <c r="CB95" s="1222"/>
      <c r="CC95" s="1156"/>
      <c r="CD95" s="1195"/>
      <c r="CE95" s="1222"/>
      <c r="CF95" s="1156"/>
      <c r="CG95" s="1195"/>
      <c r="CH95" s="1222"/>
      <c r="CI95" s="1156"/>
      <c r="CJ95" s="1195"/>
      <c r="CK95" s="1222"/>
      <c r="CL95" s="1156"/>
      <c r="CM95" s="1195"/>
      <c r="CN95" s="1222"/>
      <c r="CO95" s="1156"/>
      <c r="CP95" s="1195"/>
      <c r="CQ95" s="1222"/>
      <c r="CR95" s="1156"/>
      <c r="CS95" s="1195"/>
      <c r="CT95" s="1222"/>
      <c r="CU95" s="1156"/>
      <c r="CV95" s="1195"/>
      <c r="CW95" s="1222"/>
      <c r="CX95" s="1156"/>
      <c r="CY95" s="1195"/>
      <c r="CZ95" s="1222"/>
      <c r="DA95" s="1156"/>
      <c r="DB95" s="1195"/>
      <c r="DC95" s="1222"/>
      <c r="DD95" s="1156"/>
      <c r="DE95" s="1217"/>
      <c r="DF95" s="1222"/>
      <c r="DG95" s="1156"/>
      <c r="DH95" s="1217"/>
      <c r="DI95" s="1222"/>
      <c r="DJ95" s="1156"/>
      <c r="DK95" s="1217"/>
      <c r="DL95" s="1222"/>
      <c r="DM95" s="1156"/>
      <c r="DN95" s="1217"/>
      <c r="DO95" s="1222"/>
      <c r="DP95" s="1156"/>
      <c r="DQ95" s="1217"/>
      <c r="DR95" s="1222"/>
      <c r="DS95" s="1156"/>
      <c r="DT95" s="1217"/>
      <c r="DU95" s="1222"/>
      <c r="DV95" s="1156"/>
      <c r="DW95" s="1217"/>
      <c r="DX95" s="1244"/>
    </row>
    <row r="96" spans="1:128">
      <c r="B96" s="1305" t="s">
        <v>236</v>
      </c>
      <c r="C96" s="1185"/>
      <c r="D96" s="1195"/>
      <c r="E96" s="1199"/>
      <c r="F96" s="1186"/>
      <c r="G96" s="1195"/>
      <c r="H96" s="1199"/>
      <c r="I96" s="1186"/>
      <c r="J96" s="1195"/>
      <c r="K96" s="1222"/>
      <c r="L96" s="1186"/>
      <c r="M96" s="1195"/>
      <c r="N96" s="1222"/>
      <c r="O96" s="1156"/>
      <c r="P96" s="1195"/>
      <c r="Q96" s="1222"/>
      <c r="R96" s="1156"/>
      <c r="S96" s="1195"/>
      <c r="T96" s="1222"/>
      <c r="U96" s="1156">
        <v>25000</v>
      </c>
      <c r="V96" s="1195"/>
      <c r="W96" s="1222"/>
      <c r="X96" s="1156"/>
      <c r="Y96" s="1195"/>
      <c r="Z96" s="1222"/>
      <c r="AA96" s="1156"/>
      <c r="AB96" s="1195"/>
      <c r="AC96" s="1222"/>
      <c r="AD96" s="1156"/>
      <c r="AE96" s="1195"/>
      <c r="AF96" s="1222"/>
      <c r="AG96" s="1156"/>
      <c r="AH96" s="1195"/>
      <c r="AI96" s="1222"/>
      <c r="AJ96" s="1156"/>
      <c r="AK96" s="1195"/>
      <c r="AL96" s="1222"/>
      <c r="AM96" s="1156"/>
      <c r="AN96" s="1195"/>
      <c r="AO96" s="1222"/>
      <c r="AP96" s="1156"/>
      <c r="AQ96" s="1195"/>
      <c r="AR96" s="1222"/>
      <c r="AS96" s="1156"/>
      <c r="AT96" s="1195"/>
      <c r="AU96" s="1222"/>
      <c r="AV96" s="1156"/>
      <c r="AW96" s="1195"/>
      <c r="AX96" s="1222"/>
      <c r="AY96" s="1156"/>
      <c r="AZ96" s="1195"/>
      <c r="BA96" s="1222"/>
      <c r="BB96" s="1183"/>
      <c r="BC96" s="1195"/>
      <c r="BD96" s="1222"/>
      <c r="BE96" s="1156"/>
      <c r="BF96" s="1195"/>
      <c r="BG96" s="1222"/>
      <c r="BH96" s="1156"/>
      <c r="BI96" s="1195"/>
      <c r="BJ96" s="1222"/>
      <c r="BK96" s="1156"/>
      <c r="BL96" s="1195"/>
      <c r="BM96" s="1222"/>
      <c r="BN96" s="1156"/>
      <c r="BO96" s="1195"/>
      <c r="BP96" s="1222"/>
      <c r="BQ96" s="1156"/>
      <c r="BR96" s="1217"/>
      <c r="BS96" s="1222"/>
      <c r="BT96" s="1156"/>
      <c r="BU96" s="1195"/>
      <c r="BV96" s="1222"/>
      <c r="BW96" s="1156"/>
      <c r="BX96" s="1195"/>
      <c r="BY96" s="1222"/>
      <c r="BZ96" s="1156"/>
      <c r="CA96" s="1195"/>
      <c r="CB96" s="1222"/>
      <c r="CC96" s="1156"/>
      <c r="CD96" s="1195"/>
      <c r="CE96" s="1222"/>
      <c r="CF96" s="1156"/>
      <c r="CG96" s="1195"/>
      <c r="CH96" s="1222"/>
      <c r="CI96" s="1156"/>
      <c r="CJ96" s="1195"/>
      <c r="CK96" s="1222"/>
      <c r="CL96" s="1156"/>
      <c r="CM96" s="1195"/>
      <c r="CN96" s="1222"/>
      <c r="CO96" s="1156"/>
      <c r="CP96" s="1195"/>
      <c r="CQ96" s="1222"/>
      <c r="CR96" s="1156"/>
      <c r="CS96" s="1195"/>
      <c r="CT96" s="1222"/>
      <c r="CU96" s="1156"/>
      <c r="CV96" s="1195"/>
      <c r="CW96" s="1222"/>
      <c r="CX96" s="1156"/>
      <c r="CY96" s="1195"/>
      <c r="CZ96" s="1222"/>
      <c r="DA96" s="1156"/>
      <c r="DB96" s="1195"/>
      <c r="DC96" s="1222"/>
      <c r="DD96" s="1156"/>
      <c r="DE96" s="1217"/>
      <c r="DF96" s="1222"/>
      <c r="DG96" s="1156"/>
      <c r="DH96" s="1217"/>
      <c r="DI96" s="1222"/>
      <c r="DJ96" s="1156"/>
      <c r="DK96" s="1217"/>
      <c r="DL96" s="1222"/>
      <c r="DM96" s="1156"/>
      <c r="DN96" s="1217"/>
      <c r="DO96" s="1222"/>
      <c r="DP96" s="1156"/>
      <c r="DQ96" s="1217"/>
      <c r="DR96" s="1222"/>
      <c r="DS96" s="1156"/>
      <c r="DT96" s="1217"/>
      <c r="DU96" s="1222"/>
      <c r="DV96" s="1156"/>
      <c r="DW96" s="1217"/>
      <c r="DX96" s="1244"/>
    </row>
    <row r="97" spans="1:128">
      <c r="B97" s="1305" t="s">
        <v>339</v>
      </c>
      <c r="C97" s="1185"/>
      <c r="D97" s="1195"/>
      <c r="E97" s="1199"/>
      <c r="F97" s="1186"/>
      <c r="G97" s="1195"/>
      <c r="H97" s="1199"/>
      <c r="I97" s="1186"/>
      <c r="J97" s="1195"/>
      <c r="K97" s="1222"/>
      <c r="L97" s="1186"/>
      <c r="M97" s="1195"/>
      <c r="N97" s="1222"/>
      <c r="O97" s="1156"/>
      <c r="P97" s="1195"/>
      <c r="Q97" s="1222"/>
      <c r="R97" s="1156"/>
      <c r="S97" s="1195"/>
      <c r="T97" s="1222"/>
      <c r="U97" s="1156">
        <v>13500</v>
      </c>
      <c r="V97" s="1195"/>
      <c r="W97" s="1222"/>
      <c r="X97" s="1156"/>
      <c r="Y97" s="1195"/>
      <c r="Z97" s="1222"/>
      <c r="AA97" s="1156"/>
      <c r="AB97" s="1195"/>
      <c r="AC97" s="1222"/>
      <c r="AD97" s="1156"/>
      <c r="AE97" s="1195"/>
      <c r="AF97" s="1222"/>
      <c r="AG97" s="1156"/>
      <c r="AH97" s="1195"/>
      <c r="AI97" s="1222"/>
      <c r="AJ97" s="1156"/>
      <c r="AK97" s="1195"/>
      <c r="AL97" s="1222"/>
      <c r="AM97" s="1156"/>
      <c r="AN97" s="1195"/>
      <c r="AO97" s="1222"/>
      <c r="AP97" s="1156"/>
      <c r="AQ97" s="1195"/>
      <c r="AR97" s="1222"/>
      <c r="AS97" s="1156"/>
      <c r="AT97" s="1195"/>
      <c r="AU97" s="1222"/>
      <c r="AV97" s="1156"/>
      <c r="AW97" s="1195"/>
      <c r="AX97" s="1222"/>
      <c r="AY97" s="1156"/>
      <c r="AZ97" s="1195"/>
      <c r="BA97" s="1222"/>
      <c r="BB97" s="1183"/>
      <c r="BC97" s="1195"/>
      <c r="BD97" s="1222"/>
      <c r="BE97" s="1156"/>
      <c r="BF97" s="1195"/>
      <c r="BG97" s="1222"/>
      <c r="BH97" s="1156"/>
      <c r="BI97" s="1195"/>
      <c r="BJ97" s="1222"/>
      <c r="BK97" s="1156"/>
      <c r="BL97" s="1195"/>
      <c r="BM97" s="1222"/>
      <c r="BN97" s="1156"/>
      <c r="BO97" s="1195"/>
      <c r="BP97" s="1222"/>
      <c r="BQ97" s="1156"/>
      <c r="BR97" s="1217"/>
      <c r="BS97" s="1222"/>
      <c r="BT97" s="1156"/>
      <c r="BU97" s="1195"/>
      <c r="BV97" s="1222"/>
      <c r="BW97" s="1156"/>
      <c r="BX97" s="1195"/>
      <c r="BY97" s="1222"/>
      <c r="BZ97" s="1156"/>
      <c r="CA97" s="1195"/>
      <c r="CB97" s="1222"/>
      <c r="CC97" s="1156"/>
      <c r="CD97" s="1195"/>
      <c r="CE97" s="1222"/>
      <c r="CF97" s="1156"/>
      <c r="CG97" s="1195"/>
      <c r="CH97" s="1222"/>
      <c r="CI97" s="1156"/>
      <c r="CJ97" s="1195"/>
      <c r="CK97" s="1222"/>
      <c r="CL97" s="1156"/>
      <c r="CM97" s="1195"/>
      <c r="CN97" s="1222"/>
      <c r="CO97" s="1156"/>
      <c r="CP97" s="1195"/>
      <c r="CQ97" s="1222"/>
      <c r="CR97" s="1156"/>
      <c r="CS97" s="1195"/>
      <c r="CT97" s="1222"/>
      <c r="CU97" s="1156"/>
      <c r="CV97" s="1195"/>
      <c r="CW97" s="1222"/>
      <c r="CX97" s="1156"/>
      <c r="CY97" s="1195"/>
      <c r="CZ97" s="1222"/>
      <c r="DA97" s="1156"/>
      <c r="DB97" s="1195"/>
      <c r="DC97" s="1222"/>
      <c r="DD97" s="1156"/>
      <c r="DE97" s="1217"/>
      <c r="DF97" s="1222"/>
      <c r="DG97" s="1156"/>
      <c r="DH97" s="1217"/>
      <c r="DI97" s="1222"/>
      <c r="DJ97" s="1156"/>
      <c r="DK97" s="1217"/>
      <c r="DL97" s="1222"/>
      <c r="DM97" s="1156"/>
      <c r="DN97" s="1217"/>
      <c r="DO97" s="1222"/>
      <c r="DP97" s="1156"/>
      <c r="DQ97" s="1217"/>
      <c r="DR97" s="1222"/>
      <c r="DS97" s="1156"/>
      <c r="DT97" s="1217"/>
      <c r="DU97" s="1222"/>
      <c r="DV97" s="1156"/>
      <c r="DW97" s="1217"/>
      <c r="DX97" s="1244"/>
    </row>
    <row r="98" spans="1:128">
      <c r="B98" s="1305" t="s">
        <v>237</v>
      </c>
      <c r="C98" s="1185"/>
      <c r="D98" s="1195"/>
      <c r="E98" s="1199"/>
      <c r="F98" s="1186"/>
      <c r="G98" s="1195"/>
      <c r="H98" s="1199"/>
      <c r="I98" s="1186"/>
      <c r="J98" s="1195"/>
      <c r="K98" s="1222"/>
      <c r="L98" s="1186"/>
      <c r="M98" s="1195"/>
      <c r="N98" s="1222"/>
      <c r="O98" s="1156"/>
      <c r="P98" s="1195"/>
      <c r="Q98" s="1222"/>
      <c r="R98" s="1156"/>
      <c r="S98" s="1195"/>
      <c r="T98" s="1222"/>
      <c r="U98" s="1156">
        <v>12000</v>
      </c>
      <c r="V98" s="1195"/>
      <c r="W98" s="1222"/>
      <c r="X98" s="1156"/>
      <c r="Y98" s="1195"/>
      <c r="Z98" s="1222"/>
      <c r="AA98" s="1156"/>
      <c r="AB98" s="1195"/>
      <c r="AC98" s="1222"/>
      <c r="AD98" s="1156"/>
      <c r="AE98" s="1195"/>
      <c r="AF98" s="1222"/>
      <c r="AG98" s="1156"/>
      <c r="AH98" s="1195"/>
      <c r="AI98" s="1222"/>
      <c r="AJ98" s="1156"/>
      <c r="AK98" s="1195"/>
      <c r="AL98" s="1222"/>
      <c r="AM98" s="1156"/>
      <c r="AN98" s="1195"/>
      <c r="AO98" s="1222"/>
      <c r="AP98" s="1156"/>
      <c r="AQ98" s="1195"/>
      <c r="AR98" s="1222"/>
      <c r="AS98" s="1156"/>
      <c r="AT98" s="1195"/>
      <c r="AU98" s="1222"/>
      <c r="AV98" s="1156"/>
      <c r="AW98" s="1195"/>
      <c r="AX98" s="1222"/>
      <c r="AY98" s="1156"/>
      <c r="AZ98" s="1195"/>
      <c r="BA98" s="1222"/>
      <c r="BB98" s="1183"/>
      <c r="BC98" s="1195"/>
      <c r="BD98" s="1222"/>
      <c r="BE98" s="1156"/>
      <c r="BF98" s="1195"/>
      <c r="BG98" s="1222"/>
      <c r="BH98" s="1156"/>
      <c r="BI98" s="1195"/>
      <c r="BJ98" s="1222"/>
      <c r="BK98" s="1156"/>
      <c r="BL98" s="1195"/>
      <c r="BM98" s="1222"/>
      <c r="BN98" s="1156"/>
      <c r="BO98" s="1195"/>
      <c r="BP98" s="1222"/>
      <c r="BQ98" s="1156"/>
      <c r="BR98" s="1217"/>
      <c r="BS98" s="1222"/>
      <c r="BT98" s="1156"/>
      <c r="BU98" s="1195"/>
      <c r="BV98" s="1222"/>
      <c r="BW98" s="1156"/>
      <c r="BX98" s="1195"/>
      <c r="BY98" s="1222"/>
      <c r="BZ98" s="1156"/>
      <c r="CA98" s="1195"/>
      <c r="CB98" s="1222"/>
      <c r="CC98" s="1156"/>
      <c r="CD98" s="1195"/>
      <c r="CE98" s="1222"/>
      <c r="CF98" s="1156"/>
      <c r="CG98" s="1195"/>
      <c r="CH98" s="1222"/>
      <c r="CI98" s="1156"/>
      <c r="CJ98" s="1195"/>
      <c r="CK98" s="1222"/>
      <c r="CL98" s="1156"/>
      <c r="CM98" s="1195"/>
      <c r="CN98" s="1222"/>
      <c r="CO98" s="1156"/>
      <c r="CP98" s="1195"/>
      <c r="CQ98" s="1222"/>
      <c r="CR98" s="1156"/>
      <c r="CS98" s="1195"/>
      <c r="CT98" s="1222"/>
      <c r="CU98" s="1156"/>
      <c r="CV98" s="1195"/>
      <c r="CW98" s="1222"/>
      <c r="CX98" s="1156"/>
      <c r="CY98" s="1195"/>
      <c r="CZ98" s="1222"/>
      <c r="DA98" s="1156"/>
      <c r="DB98" s="1195"/>
      <c r="DC98" s="1222"/>
      <c r="DD98" s="1156"/>
      <c r="DE98" s="1217"/>
      <c r="DF98" s="1222"/>
      <c r="DG98" s="1156"/>
      <c r="DH98" s="1217"/>
      <c r="DI98" s="1222"/>
      <c r="DJ98" s="1156"/>
      <c r="DK98" s="1217"/>
      <c r="DL98" s="1222"/>
      <c r="DM98" s="1156"/>
      <c r="DN98" s="1217"/>
      <c r="DO98" s="1222"/>
      <c r="DP98" s="1156"/>
      <c r="DQ98" s="1217"/>
      <c r="DR98" s="1222"/>
      <c r="DS98" s="1156"/>
      <c r="DT98" s="1217"/>
      <c r="DU98" s="1222"/>
      <c r="DV98" s="1156"/>
      <c r="DW98" s="1217"/>
      <c r="DX98" s="1244"/>
    </row>
    <row r="99" spans="1:128">
      <c r="B99" s="1305" t="s">
        <v>238</v>
      </c>
      <c r="C99" s="1185"/>
      <c r="D99" s="1195"/>
      <c r="E99" s="1199"/>
      <c r="F99" s="1186"/>
      <c r="G99" s="1195"/>
      <c r="H99" s="1199"/>
      <c r="I99" s="1186"/>
      <c r="J99" s="1195"/>
      <c r="K99" s="1222"/>
      <c r="L99" s="1186"/>
      <c r="M99" s="1195"/>
      <c r="N99" s="1222"/>
      <c r="O99" s="1156"/>
      <c r="P99" s="1195"/>
      <c r="Q99" s="1222"/>
      <c r="R99" s="1156"/>
      <c r="S99" s="1195"/>
      <c r="T99" s="1222"/>
      <c r="U99" s="1156">
        <v>29000</v>
      </c>
      <c r="V99" s="1195"/>
      <c r="W99" s="1222"/>
      <c r="X99" s="1156"/>
      <c r="Y99" s="1195"/>
      <c r="Z99" s="1222"/>
      <c r="AA99" s="1156"/>
      <c r="AB99" s="1195"/>
      <c r="AC99" s="1222"/>
      <c r="AD99" s="1156"/>
      <c r="AE99" s="1195"/>
      <c r="AF99" s="1222"/>
      <c r="AG99" s="1156"/>
      <c r="AH99" s="1195"/>
      <c r="AI99" s="1222"/>
      <c r="AJ99" s="1156"/>
      <c r="AK99" s="1195"/>
      <c r="AL99" s="1222"/>
      <c r="AM99" s="1156"/>
      <c r="AN99" s="1195"/>
      <c r="AO99" s="1222"/>
      <c r="AP99" s="1156"/>
      <c r="AQ99" s="1195"/>
      <c r="AR99" s="1222"/>
      <c r="AS99" s="1156"/>
      <c r="AT99" s="1195"/>
      <c r="AU99" s="1222"/>
      <c r="AV99" s="1156"/>
      <c r="AW99" s="1195"/>
      <c r="AX99" s="1222"/>
      <c r="AY99" s="1156"/>
      <c r="AZ99" s="1195"/>
      <c r="BA99" s="1222"/>
      <c r="BB99" s="1183"/>
      <c r="BC99" s="1195"/>
      <c r="BD99" s="1222"/>
      <c r="BE99" s="1156"/>
      <c r="BF99" s="1195"/>
      <c r="BG99" s="1222"/>
      <c r="BH99" s="1156"/>
      <c r="BI99" s="1195"/>
      <c r="BJ99" s="1222"/>
      <c r="BK99" s="1156"/>
      <c r="BL99" s="1195"/>
      <c r="BM99" s="1222"/>
      <c r="BN99" s="1156"/>
      <c r="BO99" s="1195"/>
      <c r="BP99" s="1222"/>
      <c r="BQ99" s="1156"/>
      <c r="BR99" s="1217"/>
      <c r="BS99" s="1222"/>
      <c r="BT99" s="1156"/>
      <c r="BU99" s="1195"/>
      <c r="BV99" s="1222"/>
      <c r="BW99" s="1156"/>
      <c r="BX99" s="1195"/>
      <c r="BY99" s="1222"/>
      <c r="BZ99" s="1156"/>
      <c r="CA99" s="1195"/>
      <c r="CB99" s="1222"/>
      <c r="CC99" s="1156"/>
      <c r="CD99" s="1195"/>
      <c r="CE99" s="1222"/>
      <c r="CF99" s="1156"/>
      <c r="CG99" s="1195"/>
      <c r="CH99" s="1222"/>
      <c r="CI99" s="1156"/>
      <c r="CJ99" s="1195"/>
      <c r="CK99" s="1222"/>
      <c r="CL99" s="1156"/>
      <c r="CM99" s="1195"/>
      <c r="CN99" s="1222"/>
      <c r="CO99" s="1156"/>
      <c r="CP99" s="1195"/>
      <c r="CQ99" s="1222"/>
      <c r="CR99" s="1156"/>
      <c r="CS99" s="1195"/>
      <c r="CT99" s="1222"/>
      <c r="CU99" s="1156"/>
      <c r="CV99" s="1195"/>
      <c r="CW99" s="1222"/>
      <c r="CX99" s="1156"/>
      <c r="CY99" s="1195"/>
      <c r="CZ99" s="1222"/>
      <c r="DA99" s="1156"/>
      <c r="DB99" s="1195"/>
      <c r="DC99" s="1222"/>
      <c r="DD99" s="1156"/>
      <c r="DE99" s="1217"/>
      <c r="DF99" s="1222"/>
      <c r="DG99" s="1156"/>
      <c r="DH99" s="1217"/>
      <c r="DI99" s="1222"/>
      <c r="DJ99" s="1156"/>
      <c r="DK99" s="1217"/>
      <c r="DL99" s="1222"/>
      <c r="DM99" s="1156"/>
      <c r="DN99" s="1217"/>
      <c r="DO99" s="1222"/>
      <c r="DP99" s="1156"/>
      <c r="DQ99" s="1217"/>
      <c r="DR99" s="1222"/>
      <c r="DS99" s="1156"/>
      <c r="DT99" s="1217"/>
      <c r="DU99" s="1222"/>
      <c r="DV99" s="1156"/>
      <c r="DW99" s="1217"/>
      <c r="DX99" s="1244"/>
    </row>
    <row r="100" spans="1:128">
      <c r="B100" s="1305" t="s">
        <v>239</v>
      </c>
      <c r="C100" s="1185"/>
      <c r="D100" s="1195"/>
      <c r="E100" s="1199"/>
      <c r="F100" s="1186"/>
      <c r="G100" s="1195"/>
      <c r="H100" s="1199"/>
      <c r="I100" s="1186"/>
      <c r="J100" s="1195"/>
      <c r="K100" s="1222"/>
      <c r="L100" s="1186"/>
      <c r="M100" s="1195"/>
      <c r="N100" s="1222"/>
      <c r="O100" s="1156"/>
      <c r="P100" s="1195"/>
      <c r="Q100" s="1222"/>
      <c r="R100" s="1156"/>
      <c r="S100" s="1195"/>
      <c r="T100" s="1222"/>
      <c r="U100" s="1156">
        <v>27750</v>
      </c>
      <c r="V100" s="1195"/>
      <c r="W100" s="1222"/>
      <c r="X100" s="1156"/>
      <c r="Y100" s="1195"/>
      <c r="Z100" s="1222"/>
      <c r="AA100" s="1156"/>
      <c r="AB100" s="1195"/>
      <c r="AC100" s="1222"/>
      <c r="AD100" s="1156"/>
      <c r="AE100" s="1195"/>
      <c r="AF100" s="1222"/>
      <c r="AG100" s="1156"/>
      <c r="AH100" s="1195"/>
      <c r="AI100" s="1222"/>
      <c r="AJ100" s="1156"/>
      <c r="AK100" s="1195"/>
      <c r="AL100" s="1222"/>
      <c r="AM100" s="1156"/>
      <c r="AN100" s="1195"/>
      <c r="AO100" s="1222"/>
      <c r="AP100" s="1156"/>
      <c r="AQ100" s="1195"/>
      <c r="AR100" s="1222"/>
      <c r="AS100" s="1156"/>
      <c r="AT100" s="1195"/>
      <c r="AU100" s="1222"/>
      <c r="AV100" s="1156"/>
      <c r="AW100" s="1195"/>
      <c r="AX100" s="1222"/>
      <c r="AY100" s="1156"/>
      <c r="AZ100" s="1195"/>
      <c r="BA100" s="1222"/>
      <c r="BB100" s="1183"/>
      <c r="BC100" s="1195"/>
      <c r="BD100" s="1222"/>
      <c r="BE100" s="1156"/>
      <c r="BF100" s="1195"/>
      <c r="BG100" s="1222"/>
      <c r="BH100" s="1156"/>
      <c r="BI100" s="1195"/>
      <c r="BJ100" s="1222"/>
      <c r="BK100" s="1156"/>
      <c r="BL100" s="1195"/>
      <c r="BM100" s="1222"/>
      <c r="BN100" s="1156"/>
      <c r="BO100" s="1195"/>
      <c r="BP100" s="1222"/>
      <c r="BQ100" s="1156"/>
      <c r="BR100" s="1217"/>
      <c r="BS100" s="1222"/>
      <c r="BT100" s="1156"/>
      <c r="BU100" s="1195"/>
      <c r="BV100" s="1222"/>
      <c r="BW100" s="1156"/>
      <c r="BX100" s="1195"/>
      <c r="BY100" s="1222"/>
      <c r="BZ100" s="1156"/>
      <c r="CA100" s="1195"/>
      <c r="CB100" s="1222"/>
      <c r="CC100" s="1156"/>
      <c r="CD100" s="1195"/>
      <c r="CE100" s="1222"/>
      <c r="CF100" s="1156"/>
      <c r="CG100" s="1195"/>
      <c r="CH100" s="1222"/>
      <c r="CI100" s="1156"/>
      <c r="CJ100" s="1195"/>
      <c r="CK100" s="1222"/>
      <c r="CL100" s="1156"/>
      <c r="CM100" s="1195"/>
      <c r="CN100" s="1222"/>
      <c r="CO100" s="1156"/>
      <c r="CP100" s="1195"/>
      <c r="CQ100" s="1222"/>
      <c r="CR100" s="1156"/>
      <c r="CS100" s="1195"/>
      <c r="CT100" s="1222"/>
      <c r="CU100" s="1156"/>
      <c r="CV100" s="1195"/>
      <c r="CW100" s="1222"/>
      <c r="CX100" s="1156"/>
      <c r="CY100" s="1195"/>
      <c r="CZ100" s="1222"/>
      <c r="DA100" s="1156"/>
      <c r="DB100" s="1195"/>
      <c r="DC100" s="1222"/>
      <c r="DD100" s="1156"/>
      <c r="DE100" s="1217"/>
      <c r="DF100" s="1222"/>
      <c r="DG100" s="1156"/>
      <c r="DH100" s="1217"/>
      <c r="DI100" s="1222"/>
      <c r="DJ100" s="1156"/>
      <c r="DK100" s="1217"/>
      <c r="DL100" s="1222"/>
      <c r="DM100" s="1156"/>
      <c r="DN100" s="1217"/>
      <c r="DO100" s="1222"/>
      <c r="DP100" s="1156"/>
      <c r="DQ100" s="1217"/>
      <c r="DR100" s="1222"/>
      <c r="DS100" s="1156"/>
      <c r="DT100" s="1217"/>
      <c r="DU100" s="1222"/>
      <c r="DV100" s="1156"/>
      <c r="DW100" s="1217"/>
      <c r="DX100" s="1244"/>
    </row>
    <row r="101" spans="1:128">
      <c r="B101" s="1305" t="s">
        <v>240</v>
      </c>
      <c r="C101" s="1185"/>
      <c r="D101" s="1195"/>
      <c r="E101" s="1199"/>
      <c r="F101" s="1186"/>
      <c r="G101" s="1195"/>
      <c r="H101" s="1199"/>
      <c r="I101" s="1186"/>
      <c r="J101" s="1195"/>
      <c r="K101" s="1222"/>
      <c r="L101" s="1186"/>
      <c r="M101" s="1195"/>
      <c r="N101" s="1222"/>
      <c r="O101" s="1156"/>
      <c r="P101" s="1195"/>
      <c r="Q101" s="1222"/>
      <c r="R101" s="1156"/>
      <c r="S101" s="1195"/>
      <c r="T101" s="1222"/>
      <c r="U101" s="1156">
        <v>58000</v>
      </c>
      <c r="V101" s="1195"/>
      <c r="W101" s="1222"/>
      <c r="X101" s="1156"/>
      <c r="Y101" s="1195"/>
      <c r="Z101" s="1222"/>
      <c r="AA101" s="1156"/>
      <c r="AB101" s="1195"/>
      <c r="AC101" s="1222"/>
      <c r="AD101" s="1156"/>
      <c r="AE101" s="1195"/>
      <c r="AF101" s="1222"/>
      <c r="AG101" s="1156"/>
      <c r="AH101" s="1195"/>
      <c r="AI101" s="1222"/>
      <c r="AJ101" s="1156"/>
      <c r="AK101" s="1195"/>
      <c r="AL101" s="1222"/>
      <c r="AM101" s="1156"/>
      <c r="AN101" s="1195"/>
      <c r="AO101" s="1222"/>
      <c r="AP101" s="1156"/>
      <c r="AQ101" s="1195"/>
      <c r="AR101" s="1222"/>
      <c r="AS101" s="1156"/>
      <c r="AT101" s="1195"/>
      <c r="AU101" s="1222"/>
      <c r="AV101" s="1156"/>
      <c r="AW101" s="1195"/>
      <c r="AX101" s="1222"/>
      <c r="AY101" s="1156"/>
      <c r="AZ101" s="1195"/>
      <c r="BA101" s="1222"/>
      <c r="BB101" s="1183"/>
      <c r="BC101" s="1195"/>
      <c r="BD101" s="1222"/>
      <c r="BE101" s="1156"/>
      <c r="BF101" s="1195"/>
      <c r="BG101" s="1222"/>
      <c r="BH101" s="1156"/>
      <c r="BI101" s="1195"/>
      <c r="BJ101" s="1222"/>
      <c r="BK101" s="1156"/>
      <c r="BL101" s="1195"/>
      <c r="BM101" s="1222"/>
      <c r="BN101" s="1156"/>
      <c r="BO101" s="1195"/>
      <c r="BP101" s="1222"/>
      <c r="BQ101" s="1156"/>
      <c r="BR101" s="1217"/>
      <c r="BS101" s="1222"/>
      <c r="BT101" s="1156"/>
      <c r="BU101" s="1195"/>
      <c r="BV101" s="1222"/>
      <c r="BW101" s="1156"/>
      <c r="BX101" s="1195"/>
      <c r="BY101" s="1222"/>
      <c r="BZ101" s="1156"/>
      <c r="CA101" s="1195"/>
      <c r="CB101" s="1222"/>
      <c r="CC101" s="1156"/>
      <c r="CD101" s="1195"/>
      <c r="CE101" s="1222"/>
      <c r="CF101" s="1156"/>
      <c r="CG101" s="1195"/>
      <c r="CH101" s="1222"/>
      <c r="CI101" s="1156"/>
      <c r="CJ101" s="1195"/>
      <c r="CK101" s="1222"/>
      <c r="CL101" s="1156"/>
      <c r="CM101" s="1195"/>
      <c r="CN101" s="1222"/>
      <c r="CO101" s="1156"/>
      <c r="CP101" s="1195"/>
      <c r="CQ101" s="1222"/>
      <c r="CR101" s="1156"/>
      <c r="CS101" s="1195"/>
      <c r="CT101" s="1222"/>
      <c r="CU101" s="1156"/>
      <c r="CV101" s="1195"/>
      <c r="CW101" s="1222"/>
      <c r="CX101" s="1156"/>
      <c r="CY101" s="1195"/>
      <c r="CZ101" s="1222"/>
      <c r="DA101" s="1156"/>
      <c r="DB101" s="1195"/>
      <c r="DC101" s="1222"/>
      <c r="DD101" s="1156"/>
      <c r="DE101" s="1217"/>
      <c r="DF101" s="1222"/>
      <c r="DG101" s="1156"/>
      <c r="DH101" s="1217"/>
      <c r="DI101" s="1222"/>
      <c r="DJ101" s="1156"/>
      <c r="DK101" s="1217"/>
      <c r="DL101" s="1222"/>
      <c r="DM101" s="1156"/>
      <c r="DN101" s="1217"/>
      <c r="DO101" s="1222"/>
      <c r="DP101" s="1156"/>
      <c r="DQ101" s="1217"/>
      <c r="DR101" s="1222"/>
      <c r="DS101" s="1156"/>
      <c r="DT101" s="1217"/>
      <c r="DU101" s="1222"/>
      <c r="DV101" s="1156"/>
      <c r="DW101" s="1217"/>
      <c r="DX101" s="1244"/>
    </row>
    <row r="102" spans="1:128" ht="15" thickBot="1">
      <c r="B102" s="1305" t="s">
        <v>241</v>
      </c>
      <c r="C102" s="1185"/>
      <c r="D102" s="1195"/>
      <c r="E102" s="1199"/>
      <c r="F102" s="1186"/>
      <c r="G102" s="1195"/>
      <c r="H102" s="1199"/>
      <c r="I102" s="1186"/>
      <c r="J102" s="1195"/>
      <c r="K102" s="1222"/>
      <c r="L102" s="1186"/>
      <c r="M102" s="1195"/>
      <c r="N102" s="1222"/>
      <c r="O102" s="1156"/>
      <c r="P102" s="1195"/>
      <c r="Q102" s="1222"/>
      <c r="R102" s="1156"/>
      <c r="S102" s="1195"/>
      <c r="T102" s="1222"/>
      <c r="U102" s="1156">
        <v>37250</v>
      </c>
      <c r="V102" s="1195"/>
      <c r="W102" s="1222"/>
      <c r="X102" s="1156"/>
      <c r="Y102" s="1195"/>
      <c r="Z102" s="1222"/>
      <c r="AA102" s="1156"/>
      <c r="AB102" s="1195"/>
      <c r="AC102" s="1222"/>
      <c r="AD102" s="1156"/>
      <c r="AE102" s="1195"/>
      <c r="AF102" s="1222"/>
      <c r="AG102" s="1156"/>
      <c r="AH102" s="1195"/>
      <c r="AI102" s="1222"/>
      <c r="AJ102" s="1156"/>
      <c r="AK102" s="1195"/>
      <c r="AL102" s="1222"/>
      <c r="AM102" s="1156"/>
      <c r="AN102" s="1195"/>
      <c r="AO102" s="1222"/>
      <c r="AP102" s="1156"/>
      <c r="AQ102" s="1195"/>
      <c r="AR102" s="1222"/>
      <c r="AS102" s="1156"/>
      <c r="AT102" s="1195"/>
      <c r="AU102" s="1222"/>
      <c r="AV102" s="1156"/>
      <c r="AW102" s="1195"/>
      <c r="AX102" s="1222"/>
      <c r="AY102" s="1156"/>
      <c r="AZ102" s="1195"/>
      <c r="BA102" s="1222"/>
      <c r="BB102" s="1183"/>
      <c r="BC102" s="1195"/>
      <c r="BD102" s="1222"/>
      <c r="BE102" s="1156"/>
      <c r="BF102" s="1195"/>
      <c r="BG102" s="1222"/>
      <c r="BH102" s="1156"/>
      <c r="BI102" s="1195"/>
      <c r="BJ102" s="1222"/>
      <c r="BK102" s="1156"/>
      <c r="BL102" s="1195"/>
      <c r="BM102" s="1222"/>
      <c r="BN102" s="1156"/>
      <c r="BO102" s="1195"/>
      <c r="BP102" s="1222"/>
      <c r="BQ102" s="1156"/>
      <c r="BR102" s="1217"/>
      <c r="BS102" s="1222"/>
      <c r="BT102" s="1156"/>
      <c r="BU102" s="1195"/>
      <c r="BV102" s="1222"/>
      <c r="BW102" s="1156"/>
      <c r="BX102" s="1195"/>
      <c r="BY102" s="1222"/>
      <c r="BZ102" s="1156"/>
      <c r="CA102" s="1195"/>
      <c r="CB102" s="1222"/>
      <c r="CC102" s="1156"/>
      <c r="CD102" s="1195"/>
      <c r="CE102" s="1222"/>
      <c r="CF102" s="1156"/>
      <c r="CG102" s="1195"/>
      <c r="CH102" s="1222"/>
      <c r="CI102" s="1156"/>
      <c r="CJ102" s="1195"/>
      <c r="CK102" s="1222"/>
      <c r="CL102" s="1156"/>
      <c r="CM102" s="1195"/>
      <c r="CN102" s="1222"/>
      <c r="CO102" s="1156"/>
      <c r="CP102" s="1195"/>
      <c r="CQ102" s="1222"/>
      <c r="CR102" s="1156"/>
      <c r="CS102" s="1195"/>
      <c r="CT102" s="1222"/>
      <c r="CU102" s="1156"/>
      <c r="CV102" s="1195"/>
      <c r="CW102" s="1222"/>
      <c r="CX102" s="1156"/>
      <c r="CY102" s="1195"/>
      <c r="CZ102" s="1222"/>
      <c r="DA102" s="1156"/>
      <c r="DB102" s="1195"/>
      <c r="DC102" s="1222"/>
      <c r="DD102" s="1156"/>
      <c r="DE102" s="1217"/>
      <c r="DF102" s="1222"/>
      <c r="DG102" s="1156"/>
      <c r="DH102" s="1217"/>
      <c r="DI102" s="1222"/>
      <c r="DJ102" s="1156"/>
      <c r="DK102" s="1217"/>
      <c r="DL102" s="1222"/>
      <c r="DM102" s="1156"/>
      <c r="DN102" s="1217"/>
      <c r="DO102" s="1222"/>
      <c r="DP102" s="1156"/>
      <c r="DQ102" s="1217"/>
      <c r="DR102" s="1222"/>
      <c r="DS102" s="1156"/>
      <c r="DT102" s="1217"/>
      <c r="DU102" s="1222"/>
      <c r="DV102" s="1156"/>
      <c r="DW102" s="1217"/>
      <c r="DX102" s="1244"/>
    </row>
    <row r="103" spans="1:128" ht="15.75" thickTop="1" thickBot="1">
      <c r="A103" s="1142"/>
      <c r="B103" s="1310"/>
      <c r="C103" s="1143"/>
      <c r="D103" s="1209"/>
      <c r="E103" s="1210"/>
      <c r="F103" s="1144"/>
      <c r="G103" s="1210"/>
      <c r="H103" s="1210"/>
      <c r="I103" s="1144"/>
      <c r="J103" s="1210"/>
      <c r="K103" s="1226"/>
      <c r="L103" s="1145"/>
      <c r="M103" s="1210"/>
      <c r="N103" s="1226"/>
      <c r="O103" s="1146"/>
      <c r="P103" s="1210"/>
      <c r="Q103" s="1226"/>
      <c r="R103" s="1146"/>
      <c r="S103" s="1210"/>
      <c r="T103" s="1226"/>
      <c r="U103" s="1144"/>
      <c r="V103" s="1236"/>
      <c r="W103" s="1226"/>
      <c r="X103" s="1146"/>
      <c r="Y103" s="1210"/>
      <c r="Z103" s="1226"/>
      <c r="AA103" s="1146"/>
      <c r="AB103" s="1236"/>
      <c r="AC103" s="1226"/>
      <c r="AD103" s="1146"/>
      <c r="AE103" s="1236"/>
      <c r="AF103" s="1226"/>
      <c r="AG103" s="1146"/>
      <c r="AH103" s="1236"/>
      <c r="AI103" s="1226"/>
      <c r="AJ103" s="1146"/>
      <c r="AK103" s="1236"/>
      <c r="AL103" s="1210"/>
      <c r="AM103" s="1146"/>
      <c r="AN103" s="1236"/>
      <c r="AO103" s="1210"/>
      <c r="AP103" s="1146"/>
      <c r="AQ103" s="1236"/>
      <c r="AR103" s="1210"/>
      <c r="AS103" s="1144"/>
      <c r="AT103" s="1236"/>
      <c r="AU103" s="1210"/>
      <c r="AV103" s="1144"/>
      <c r="AW103" s="1210"/>
      <c r="AX103" s="1210"/>
      <c r="AY103" s="1146"/>
      <c r="AZ103" s="1236"/>
      <c r="BA103" s="1210"/>
      <c r="BB103" s="1146"/>
      <c r="BC103" s="1236"/>
      <c r="BD103" s="1210"/>
      <c r="BE103" s="1146"/>
      <c r="BF103" s="1210"/>
      <c r="BG103" s="1264"/>
      <c r="BH103" s="1146"/>
      <c r="BI103" s="1236"/>
      <c r="BJ103" s="1264"/>
      <c r="BK103" s="1146"/>
      <c r="BL103" s="1236"/>
      <c r="BM103" s="1264"/>
      <c r="BN103" s="1146"/>
      <c r="BO103" s="1236"/>
      <c r="BP103" s="1264"/>
      <c r="BQ103" s="1146"/>
      <c r="BR103" s="1210"/>
      <c r="BS103" s="1258"/>
      <c r="BT103" s="1146"/>
      <c r="BU103" s="1236"/>
      <c r="BV103" s="1210"/>
      <c r="BW103" s="1146"/>
      <c r="BX103" s="1236"/>
      <c r="BY103" s="1210"/>
      <c r="BZ103" s="1146"/>
      <c r="CA103" s="1236"/>
      <c r="CB103" s="1210"/>
      <c r="CC103" s="1146"/>
      <c r="CD103" s="1236"/>
      <c r="CE103" s="1210"/>
      <c r="CF103" s="1146"/>
      <c r="CG103" s="1236"/>
      <c r="CH103" s="1210"/>
      <c r="CI103" s="1146"/>
      <c r="CJ103" s="1236"/>
      <c r="CK103" s="1210"/>
      <c r="CL103" s="1146"/>
      <c r="CM103" s="1236"/>
      <c r="CN103" s="1210"/>
      <c r="CO103" s="1146"/>
      <c r="CP103" s="1236"/>
      <c r="CQ103" s="1210"/>
      <c r="CR103" s="1146"/>
      <c r="CS103" s="1236"/>
      <c r="CT103" s="1210"/>
      <c r="CU103" s="1146"/>
      <c r="CV103" s="1236"/>
      <c r="CW103" s="1210"/>
      <c r="CX103" s="1146"/>
      <c r="CY103" s="1236"/>
      <c r="CZ103" s="1210"/>
      <c r="DA103" s="1146"/>
      <c r="DB103" s="1236"/>
      <c r="DC103" s="1210"/>
      <c r="DD103" s="1146"/>
      <c r="DE103" s="1210"/>
      <c r="DF103" s="1210"/>
      <c r="DG103" s="1146"/>
      <c r="DH103" s="1210"/>
      <c r="DI103" s="1210"/>
      <c r="DJ103" s="1146"/>
      <c r="DK103" s="1210"/>
      <c r="DL103" s="1210"/>
      <c r="DM103" s="1146"/>
      <c r="DN103" s="1210"/>
      <c r="DO103" s="1210"/>
      <c r="DP103" s="1146"/>
      <c r="DQ103" s="1210"/>
      <c r="DR103" s="1210"/>
      <c r="DS103" s="1146"/>
      <c r="DT103" s="1210"/>
      <c r="DU103" s="1210"/>
      <c r="DV103" s="1146"/>
      <c r="DW103" s="1210"/>
      <c r="DX103" s="1250"/>
    </row>
    <row r="104" spans="1:128" ht="15" thickTop="1">
      <c r="B104" s="1314" t="s">
        <v>1287</v>
      </c>
    </row>
    <row r="105" spans="1:128">
      <c r="B105" s="1313"/>
    </row>
    <row r="106" spans="1:128">
      <c r="B106" s="1313"/>
    </row>
    <row r="107" spans="1:128">
      <c r="B107" s="1313"/>
    </row>
    <row r="108" spans="1:128">
      <c r="B108" s="1313"/>
    </row>
    <row r="109" spans="1:128">
      <c r="B109" s="1313"/>
    </row>
    <row r="110" spans="1:128">
      <c r="B110" s="1313"/>
    </row>
    <row r="111" spans="1:128">
      <c r="B111" s="1313"/>
    </row>
    <row r="112" spans="1:128">
      <c r="B112" s="1313"/>
    </row>
    <row r="113" spans="2:2">
      <c r="B113" s="1313"/>
    </row>
  </sheetData>
  <sheetProtection sheet="1" objects="1" scenarios="1" selectLockedCells="1"/>
  <mergeCells count="2">
    <mergeCell ref="C3:E3"/>
    <mergeCell ref="F3:H3"/>
  </mergeCells>
  <pageMargins left="0.70866141732283472" right="0.70866141732283472" top="0.74803149606299213" bottom="0.74803149606299213" header="0.31496062992125984" footer="0.31496062992125984"/>
  <pageSetup paperSize="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2634" r:id="rId4" name="GotoCulture">
              <controlPr defaultSize="0" print="0" autoLine="0" autoPict="0" macro="[0]!RefChamp.cboGotoCulture_Change">
                <anchor moveWithCells="1">
                  <from>
                    <xdr:col>1</xdr:col>
                    <xdr:colOff>1333500</xdr:colOff>
                    <xdr:row>2</xdr:row>
                    <xdr:rowOff>0</xdr:rowOff>
                  </from>
                  <to>
                    <xdr:col>1</xdr:col>
                    <xdr:colOff>2705100</xdr:colOff>
                    <xdr:row>2</xdr:row>
                    <xdr:rowOff>180975</xdr:rowOff>
                  </to>
                </anchor>
              </controlPr>
            </control>
          </mc:Choice>
        </mc:AlternateContent>
        <mc:AlternateContent xmlns:mc="http://schemas.openxmlformats.org/markup-compatibility/2006">
          <mc:Choice Requires="x14">
            <control shapeId="12804" r:id="rId5" name="PrairieEnGrain1anSur5">
              <controlPr defaultSize="0" print="0" autoFill="0" autoLine="0" autoPict="0" macro="[0]!refChamp.TogglePrairieEnGrain1anSur5">
                <anchor moveWithCells="1">
                  <from>
                    <xdr:col>56</xdr:col>
                    <xdr:colOff>0</xdr:colOff>
                    <xdr:row>1</xdr:row>
                    <xdr:rowOff>180975</xdr:rowOff>
                  </from>
                  <to>
                    <xdr:col>59</xdr:col>
                    <xdr:colOff>133350</xdr:colOff>
                    <xdr:row>1</xdr:row>
                    <xdr:rowOff>361950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 id="{946C5536-A3D2-43AB-9702-35BB2A66FB63}">
            <xm:f>C5&lt;&gt;RéfChampsOrig!C5</xm:f>
            <x14:dxf>
              <font>
                <b/>
                <i val="0"/>
              </font>
            </x14:dxf>
          </x14:cfRule>
          <xm:sqref>C5:DX102</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Format xmlns="http://schemas.microsoft.com/sharepoint/v3/fields"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EEF47B1A0A8C748A62823BD6843C702" ma:contentTypeVersion="9" ma:contentTypeDescription="Crée un document." ma:contentTypeScope="" ma:versionID="5ae057b2a1235d2666bdae3426143f29">
  <xsd:schema xmlns:xsd="http://www.w3.org/2001/XMLSchema" xmlns:xs="http://www.w3.org/2001/XMLSchema" xmlns:p="http://schemas.microsoft.com/office/2006/metadata/properties" xmlns:ns2="http://schemas.microsoft.com/sharepoint/v3/fields" xmlns:ns3="247b78a7-bf74-4394-9f62-b562c3ce870d" xmlns:ns4="6a4c3cc7-9d60-43e9-9e1f-170ff6bc0588" targetNamespace="http://schemas.microsoft.com/office/2006/metadata/properties" ma:root="true" ma:fieldsID="1dc5bdf99557e8844374f0182df2be4d" ns2:_="" ns3:_="" ns4:_="">
    <xsd:import namespace="http://schemas.microsoft.com/sharepoint/v3/fields"/>
    <xsd:import namespace="247b78a7-bf74-4394-9f62-b562c3ce870d"/>
    <xsd:import namespace="6a4c3cc7-9d60-43e9-9e1f-170ff6bc0588"/>
    <xsd:element name="properties">
      <xsd:complexType>
        <xsd:sequence>
          <xsd:element name="documentManagement">
            <xsd:complexType>
              <xsd:all>
                <xsd:element ref="ns2:_Format" minOccurs="0"/>
                <xsd:element ref="ns3:SharedWithUsers" minOccurs="0"/>
                <xsd:element ref="ns3:SharedWithDetails" minOccurs="0"/>
                <xsd:element ref="ns4:MediaServiceMetadata" minOccurs="0"/>
                <xsd:element ref="ns4:MediaServiceFastMetadata" minOccurs="0"/>
                <xsd:element ref="ns4:MediaServiceDateTaken" minOccurs="0"/>
                <xsd:element ref="ns4:MediaServiceAutoTags" minOccurs="0"/>
                <xsd:element ref="ns4:MediaServiceLocation" minOccurs="0"/>
                <xsd:element ref="ns4: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Format" ma:index="8" nillable="true" ma:displayName="Format" ma:description="Type de support, format de fichier ou dimensions" ma:internalName="_Format">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7b78a7-bf74-4394-9f62-b562c3ce870d" elementFormDefault="qualified">
    <xsd:import namespace="http://schemas.microsoft.com/office/2006/documentManagement/types"/>
    <xsd:import namespace="http://schemas.microsoft.com/office/infopath/2007/PartnerControls"/>
    <xsd:element name="SharedWithUsers" ma:index="9" nillable="true" ma:displayName="Partagé avec"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Partagé avec dé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a4c3cc7-9d60-43e9-9e1f-170ff6bc0588"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DateTaken" ma:index="13" nillable="true" ma:displayName="MediaServiceDateTaken" ma:description="" ma:hidden="true" ma:internalName="MediaServiceDateTaken" ma:readOnly="true">
      <xsd:simpleType>
        <xsd:restriction base="dms:Text"/>
      </xsd:simpleType>
    </xsd:element>
    <xsd:element name="MediaServiceAutoTags" ma:index="14" nillable="true" ma:displayName="MediaServiceAutoTags" ma:description="" ma:internalName="MediaServiceAutoTags" ma:readOnly="true">
      <xsd:simpleType>
        <xsd:restriction base="dms:Text"/>
      </xsd:simpleType>
    </xsd:element>
    <xsd:element name="MediaServiceLocation" ma:index="15" nillable="true" ma:displayName="MediaServiceLocation" ma:description="" ma:internalName="MediaServiceLocatio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250F71C-7F8C-45E7-B1A7-5C828A0354F2}">
  <ds:schemaRefs>
    <ds:schemaRef ds:uri="247b78a7-bf74-4394-9f62-b562c3ce870d"/>
    <ds:schemaRef ds:uri="http://schemas.microsoft.com/office/2006/documentManagement/types"/>
    <ds:schemaRef ds:uri="http://schemas.microsoft.com/office/infopath/2007/PartnerControls"/>
    <ds:schemaRef ds:uri="http://purl.org/dc/elements/1.1/"/>
    <ds:schemaRef ds:uri="http://schemas.microsoft.com/office/2006/metadata/properties"/>
    <ds:schemaRef ds:uri="6a4c3cc7-9d60-43e9-9e1f-170ff6bc0588"/>
    <ds:schemaRef ds:uri="http://schemas.openxmlformats.org/package/2006/metadata/core-properties"/>
    <ds:schemaRef ds:uri="http://purl.org/dc/terms/"/>
    <ds:schemaRef ds:uri="http://schemas.microsoft.com/sharepoint/v3/fields"/>
    <ds:schemaRef ds:uri="http://www.w3.org/XML/1998/namespace"/>
    <ds:schemaRef ds:uri="http://purl.org/dc/dcmitype/"/>
  </ds:schemaRefs>
</ds:datastoreItem>
</file>

<file path=customXml/itemProps2.xml><?xml version="1.0" encoding="utf-8"?>
<ds:datastoreItem xmlns:ds="http://schemas.openxmlformats.org/officeDocument/2006/customXml" ds:itemID="{9799CEB4-FC93-47D2-8992-D40AFAEFD929}">
  <ds:schemaRefs>
    <ds:schemaRef ds:uri="http://schemas.microsoft.com/sharepoint/v3/contenttype/forms"/>
  </ds:schemaRefs>
</ds:datastoreItem>
</file>

<file path=customXml/itemProps3.xml><?xml version="1.0" encoding="utf-8"?>
<ds:datastoreItem xmlns:ds="http://schemas.openxmlformats.org/officeDocument/2006/customXml" ds:itemID="{A9C31B30-2EC9-45F8-A0B1-6843F2B0DBF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fields"/>
    <ds:schemaRef ds:uri="247b78a7-bf74-4394-9f62-b562c3ce870d"/>
    <ds:schemaRef ds:uri="6a4c3cc7-9d60-43e9-9e1f-170ff6bc05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17</vt:i4>
      </vt:variant>
      <vt:variant>
        <vt:lpstr>Plages nommées</vt:lpstr>
      </vt:variant>
      <vt:variant>
        <vt:i4>458</vt:i4>
      </vt:variant>
    </vt:vector>
  </HeadingPairs>
  <TitlesOfParts>
    <vt:vector size="475" baseType="lpstr">
      <vt:lpstr>PageTitre</vt:lpstr>
      <vt:lpstr>Accueil</vt:lpstr>
      <vt:lpstr>Config</vt:lpstr>
      <vt:lpstr>Description</vt:lpstr>
      <vt:lpstr>Synthèse</vt:lpstr>
      <vt:lpstr>Lait</vt:lpstr>
      <vt:lpstr>RéfLait</vt:lpstr>
      <vt:lpstr>Champs</vt:lpstr>
      <vt:lpstr>RéfChamps</vt:lpstr>
      <vt:lpstr>RéfChampsOrig</vt:lpstr>
      <vt:lpstr>Investissements</vt:lpstr>
      <vt:lpstr>Normes</vt:lpstr>
      <vt:lpstr>RéfInvest</vt:lpstr>
      <vt:lpstr>Motivations &amp; Freins</vt:lpstr>
      <vt:lpstr>Impression</vt:lpstr>
      <vt:lpstr>termes</vt:lpstr>
      <vt:lpstr>AideContextuelle</vt:lpstr>
      <vt:lpstr>Aide_Champ_Assolement</vt:lpstr>
      <vt:lpstr>Aide_Champ_Besoinsalimentaires</vt:lpstr>
      <vt:lpstr>Aide_Champ_Charges</vt:lpstr>
      <vt:lpstr>Aide_Champ_Détailsparculture__ha</vt:lpstr>
      <vt:lpstr>Aide_Champ_Investissements</vt:lpstr>
      <vt:lpstr>Aide_Champ_Produits</vt:lpstr>
      <vt:lpstr>Aide_Champ_Régimedeproduction</vt:lpstr>
      <vt:lpstr>Aide_Champ_Rotationdessurfacesenculturesetprairies</vt:lpstr>
      <vt:lpstr>Aide_Champ_Rotationdessurfacesenpâturage</vt:lpstr>
      <vt:lpstr>Aide_Champ_SYNTHÈSEDESRÉSULTATS</vt:lpstr>
      <vt:lpstr>Aide_Lait_Alimentation_Concentrés</vt:lpstr>
      <vt:lpstr>Aide_Lait_Alimentation_Foin_ensilagedefoinetmaïsensilage</vt:lpstr>
      <vt:lpstr>Aide_Lait_Alimentation_Pâturages</vt:lpstr>
      <vt:lpstr>Aide_Lait_Céréalesproduitesàlaferme</vt:lpstr>
      <vt:lpstr>Aide_Lait_Coûtsdesfourrages_desgrainsdelafermeetdepaillerécoltée</vt:lpstr>
      <vt:lpstr>Aide_Lait_Investissements</vt:lpstr>
      <vt:lpstr>Aide_Lait_Litière</vt:lpstr>
      <vt:lpstr>Aide_Lait_Main_d_œuvre</vt:lpstr>
      <vt:lpstr>Aide_Lait_Production</vt:lpstr>
      <vt:lpstr>Aide_Lait_Remplacement</vt:lpstr>
      <vt:lpstr>Aide_Lait_Résultatstechniques</vt:lpstr>
      <vt:lpstr>Aide_Lait_Santéetreproduction</vt:lpstr>
      <vt:lpstr>Aide_Lait_Sommaireducompted_exploitation_étable</vt:lpstr>
      <vt:lpstr>Aide_Lait_Systèmedeproduction</vt:lpstr>
      <vt:lpstr>amort_cap</vt:lpstr>
      <vt:lpstr>annees_liees</vt:lpstr>
      <vt:lpstr>Champs!atestNomSheetSpecific</vt:lpstr>
      <vt:lpstr>autoconsCulture</vt:lpstr>
      <vt:lpstr>autoconsommationTAN</vt:lpstr>
      <vt:lpstr>autoconsS0</vt:lpstr>
      <vt:lpstr>autoconsS1</vt:lpstr>
      <vt:lpstr>autoconsS2</vt:lpstr>
      <vt:lpstr>autoconsS3</vt:lpstr>
      <vt:lpstr>autoconsS4</vt:lpstr>
      <vt:lpstr>autoconsS5</vt:lpstr>
      <vt:lpstr>Lait!AutresConcentrés</vt:lpstr>
      <vt:lpstr>backupAutomatique</vt:lpstr>
      <vt:lpstr>BesoinFoinS0</vt:lpstr>
      <vt:lpstr>BesoinFoinS1</vt:lpstr>
      <vt:lpstr>BesoinFoinS2</vt:lpstr>
      <vt:lpstr>BesoinFoinS3</vt:lpstr>
      <vt:lpstr>BesoinFoinS4</vt:lpstr>
      <vt:lpstr>BesoinFoinS5</vt:lpstr>
      <vt:lpstr>BesoinMES0</vt:lpstr>
      <vt:lpstr>BesoinMES1</vt:lpstr>
      <vt:lpstr>BesoinMES2</vt:lpstr>
      <vt:lpstr>BesoinMES3</vt:lpstr>
      <vt:lpstr>BesoinMES4</vt:lpstr>
      <vt:lpstr>BesoinMES5</vt:lpstr>
      <vt:lpstr>besoinPatS0</vt:lpstr>
      <vt:lpstr>BesoinPatS1</vt:lpstr>
      <vt:lpstr>BesoinPatS2</vt:lpstr>
      <vt:lpstr>BesoinPatS3</vt:lpstr>
      <vt:lpstr>BesoinPatS4</vt:lpstr>
      <vt:lpstr>BesoinPatS5</vt:lpstr>
      <vt:lpstr>Config!boiteScenarios</vt:lpstr>
      <vt:lpstr>Config!boiteTypeDeFerme</vt:lpstr>
      <vt:lpstr>ch_bio_moyen</vt:lpstr>
      <vt:lpstr>ch_bio_tete</vt:lpstr>
      <vt:lpstr>Ch_conv_moy</vt:lpstr>
      <vt:lpstr>Ch_conv_tete</vt:lpstr>
      <vt:lpstr>Champs!ColsScenario1</vt:lpstr>
      <vt:lpstr>Lait!ColsScenario1</vt:lpstr>
      <vt:lpstr>Synthèse!ColsScenario1</vt:lpstr>
      <vt:lpstr>Champs!ColsScenario2</vt:lpstr>
      <vt:lpstr>Lait!ColsScenario2</vt:lpstr>
      <vt:lpstr>Synthèse!ColsScenario2</vt:lpstr>
      <vt:lpstr>Champs!ColsScenario3</vt:lpstr>
      <vt:lpstr>Lait!ColsScenario3</vt:lpstr>
      <vt:lpstr>Synthèse!ColsScenario3</vt:lpstr>
      <vt:lpstr>Champs!ColsScenario4</vt:lpstr>
      <vt:lpstr>Lait!ColsScenario4</vt:lpstr>
      <vt:lpstr>Synthèse!ColsScenario4</vt:lpstr>
      <vt:lpstr>Champs!ColsScenario5</vt:lpstr>
      <vt:lpstr>Lait!ColsScenario5</vt:lpstr>
      <vt:lpstr>Synthèse!ColsScenario5</vt:lpstr>
      <vt:lpstr>RéfChampsOrig!Coût_prod_paille</vt:lpstr>
      <vt:lpstr>Coût_prod_paille</vt:lpstr>
      <vt:lpstr>Champs!culturesMaïsEnsilage</vt:lpstr>
      <vt:lpstr>culturesMargeHa</vt:lpstr>
      <vt:lpstr>Synthèse!CulturesMargeTot</vt:lpstr>
      <vt:lpstr>dateDernierBackup</vt:lpstr>
      <vt:lpstr>descrS1</vt:lpstr>
      <vt:lpstr>descrS2</vt:lpstr>
      <vt:lpstr>descrS3</vt:lpstr>
      <vt:lpstr>descrS4</vt:lpstr>
      <vt:lpstr>descrS5</vt:lpstr>
      <vt:lpstr>Champs!DétailsCulture</vt:lpstr>
      <vt:lpstr>Champs!DétailsDonnée</vt:lpstr>
      <vt:lpstr>Champs!DétailsUnité</vt:lpstr>
      <vt:lpstr>Champs!DétailsValeurS0</vt:lpstr>
      <vt:lpstr>Champs!DétailsValeurS1</vt:lpstr>
      <vt:lpstr>DétailsValeurS1</vt:lpstr>
      <vt:lpstr>Champs!DétailsValeurS2</vt:lpstr>
      <vt:lpstr>Champs!DétailsValeurS3</vt:lpstr>
      <vt:lpstr>Champs!DétailsValeurS4</vt:lpstr>
      <vt:lpstr>Champs!DétailsValeurS5</vt:lpstr>
      <vt:lpstr>entrée</vt:lpstr>
      <vt:lpstr>Config!espaceListeCulturesChamps</vt:lpstr>
      <vt:lpstr>Config!espaceListeCulturesLait</vt:lpstr>
      <vt:lpstr>F1_CMML</vt:lpstr>
      <vt:lpstr>F1_Qual</vt:lpstr>
      <vt:lpstr>F2_CMML</vt:lpstr>
      <vt:lpstr>F2_Qual</vt:lpstr>
      <vt:lpstr>fermeLaitière</vt:lpstr>
      <vt:lpstr>Config!FichierImport</vt:lpstr>
      <vt:lpstr>Impression!ImpressionFeuilles</vt:lpstr>
      <vt:lpstr>Impression!ImpressionInclus</vt:lpstr>
      <vt:lpstr>Impression!ImpressionSections</vt:lpstr>
      <vt:lpstr>invModeleRef</vt:lpstr>
      <vt:lpstr>JoursPatGenS1</vt:lpstr>
      <vt:lpstr>JoursPatGenS2</vt:lpstr>
      <vt:lpstr>JoursPatGenS3</vt:lpstr>
      <vt:lpstr>JoursPatGenS4</vt:lpstr>
      <vt:lpstr>JoursPatGenS5</vt:lpstr>
      <vt:lpstr>JoursPatVaS1</vt:lpstr>
      <vt:lpstr>JoursPatVaS2</vt:lpstr>
      <vt:lpstr>JoursPatVaS3</vt:lpstr>
      <vt:lpstr>JoursPatVaS4</vt:lpstr>
      <vt:lpstr>JoursPatVaS5</vt:lpstr>
      <vt:lpstr>JoursStabGenS1</vt:lpstr>
      <vt:lpstr>JoursStabGenS2</vt:lpstr>
      <vt:lpstr>JoursStabGenS3</vt:lpstr>
      <vt:lpstr>JoursStabGenS4</vt:lpstr>
      <vt:lpstr>JoursStabGenS5</vt:lpstr>
      <vt:lpstr>JoursStabVaS1</vt:lpstr>
      <vt:lpstr>JoursStabVaS2</vt:lpstr>
      <vt:lpstr>JoursStabVaS3</vt:lpstr>
      <vt:lpstr>JoursStabVaS4</vt:lpstr>
      <vt:lpstr>JoursStabVaS5</vt:lpstr>
      <vt:lpstr>K_Qual</vt:lpstr>
      <vt:lpstr>KCMML</vt:lpstr>
      <vt:lpstr>ligneRésultats</vt:lpstr>
      <vt:lpstr>Champs!lignesChargesTotalesParCulture</vt:lpstr>
      <vt:lpstr>Lait!lignesDétailsAlimentationConcentrés</vt:lpstr>
      <vt:lpstr>Lait!LignesDétailsAlimentationFourrages</vt:lpstr>
      <vt:lpstr>Lait!lignesDétailsAmortissements</vt:lpstr>
      <vt:lpstr>lignesDétailsAutre1</vt:lpstr>
      <vt:lpstr>lignesDétailsAutre2</vt:lpstr>
      <vt:lpstr>lignesDétailsAutre3</vt:lpstr>
      <vt:lpstr>lignesDétailsAvoine</vt:lpstr>
      <vt:lpstr>lignesDétailsBlédAutomne</vt:lpstr>
      <vt:lpstr>lignesDétailsBléDePrintemps</vt:lpstr>
      <vt:lpstr>lignesDétailsCanola</vt:lpstr>
      <vt:lpstr>Lait!lignesDétailsCDR</vt:lpstr>
      <vt:lpstr>lignesDétailsChanvre</vt:lpstr>
      <vt:lpstr>Lait!lignesDétailsCoûtsAlimentation</vt:lpstr>
      <vt:lpstr>Lait!lignesDétailsCoûtsEnEspèces</vt:lpstr>
      <vt:lpstr>lignesDétailsEngraisVerts</vt:lpstr>
      <vt:lpstr>lignesDétailsÉpeautre</vt:lpstr>
      <vt:lpstr>lignesDétailsGrainsMélangés</vt:lpstr>
      <vt:lpstr>Lait!lignesDétailsInvestissements</vt:lpstr>
      <vt:lpstr>Lait!lignesDétailsLitière</vt:lpstr>
      <vt:lpstr>Lait!lignesDétailsMaindOeuvre</vt:lpstr>
      <vt:lpstr>lignesDétailsMaïsEnsilage</vt:lpstr>
      <vt:lpstr>lignesDétailsMaïsGrain</vt:lpstr>
      <vt:lpstr>lignesDétailsOrge</vt:lpstr>
      <vt:lpstr>Champs!lignesDétailsPaille</vt:lpstr>
      <vt:lpstr>Champs!lignesDétailsPâturages</vt:lpstr>
      <vt:lpstr>Lait!LignesDétailsPâturages</vt:lpstr>
      <vt:lpstr>lignesDétailsPrairies</vt:lpstr>
      <vt:lpstr>Lait!lignesDétailsProduction</vt:lpstr>
      <vt:lpstr>Lait!lignesDétailsProduitsBruts</vt:lpstr>
      <vt:lpstr>Lait!lignesDétailsRemplacement</vt:lpstr>
      <vt:lpstr>Lait!lignesDétailsRésultatsTechniques</vt:lpstr>
      <vt:lpstr>Lait!lignesDétailsSantéReproduction</vt:lpstr>
      <vt:lpstr>lignesDétailsSarrazin</vt:lpstr>
      <vt:lpstr>lignesDétailsSeigledAutomne</vt:lpstr>
      <vt:lpstr>lignesDétailsSoya</vt:lpstr>
      <vt:lpstr>lignesDétailsSystProd</vt:lpstr>
      <vt:lpstr>lignesDétailsToutes</vt:lpstr>
      <vt:lpstr>Lait!lignesDétalsPrix</vt:lpstr>
      <vt:lpstr>Champs!LignesLait</vt:lpstr>
      <vt:lpstr>Champs!lignesPaille</vt:lpstr>
      <vt:lpstr>liste_prix_auto</vt:lpstr>
      <vt:lpstr>Investissements!listeComboAjouterLigne</vt:lpstr>
      <vt:lpstr>listeCulturesChamps</vt:lpstr>
      <vt:lpstr>listeCulturesDisponibles</vt:lpstr>
      <vt:lpstr>listeCulturesLait</vt:lpstr>
      <vt:lpstr>listeGestMangeoire</vt:lpstr>
      <vt:lpstr>Config!listeNomsDeZones</vt:lpstr>
      <vt:lpstr>Config!listeNomsDeZonesAliments</vt:lpstr>
      <vt:lpstr>listeRaces</vt:lpstr>
      <vt:lpstr>listeRégime</vt:lpstr>
      <vt:lpstr>listeStatut</vt:lpstr>
      <vt:lpstr>Investissements!ListeTaillesRef</vt:lpstr>
      <vt:lpstr>Config!ModeDeveloppeur</vt:lpstr>
      <vt:lpstr>multiplBatiments</vt:lpstr>
      <vt:lpstr>Investissements!multiplMachineries</vt:lpstr>
      <vt:lpstr>multiplTracteurs</vt:lpstr>
      <vt:lpstr>nAutre1</vt:lpstr>
      <vt:lpstr>nAutre2</vt:lpstr>
      <vt:lpstr>nAutre3</vt:lpstr>
      <vt:lpstr>RéfLait!nb_gen</vt:lpstr>
      <vt:lpstr>RéfLait!nb_vaches</vt:lpstr>
      <vt:lpstr>'Motivations &amp; Freins'!nbElementsSynthèse</vt:lpstr>
      <vt:lpstr>NbGenS0</vt:lpstr>
      <vt:lpstr>NbGenS1</vt:lpstr>
      <vt:lpstr>NbGenS2</vt:lpstr>
      <vt:lpstr>NbGenS3</vt:lpstr>
      <vt:lpstr>NbGenS4</vt:lpstr>
      <vt:lpstr>NbGenS5</vt:lpstr>
      <vt:lpstr>nbJoursEntrEBackups</vt:lpstr>
      <vt:lpstr>NbVachesS0</vt:lpstr>
      <vt:lpstr>NbVachesS1</vt:lpstr>
      <vt:lpstr>NbVachesS2</vt:lpstr>
      <vt:lpstr>NbVachesS3</vt:lpstr>
      <vt:lpstr>NbVachesS4</vt:lpstr>
      <vt:lpstr>NbVachesS5</vt:lpstr>
      <vt:lpstr>Config!nCulturesDisponibles</vt:lpstr>
      <vt:lpstr>NomProd</vt:lpstr>
      <vt:lpstr>NomsScénarios</vt:lpstr>
      <vt:lpstr>nPlansDeRotation</vt:lpstr>
      <vt:lpstr>Champs!ParcelleCulturesS0</vt:lpstr>
      <vt:lpstr>ParcelleCulturesS1</vt:lpstr>
      <vt:lpstr>ParcelleCulturesS2</vt:lpstr>
      <vt:lpstr>ParcelleCulturesS3</vt:lpstr>
      <vt:lpstr>ParcelleCulturesS4</vt:lpstr>
      <vt:lpstr>ParcelleCulturesS5</vt:lpstr>
      <vt:lpstr>Champs!ParcellePaturageS0</vt:lpstr>
      <vt:lpstr>ParcellePaturageS1</vt:lpstr>
      <vt:lpstr>ParcellePaturageS2</vt:lpstr>
      <vt:lpstr>ParcellePaturageS3</vt:lpstr>
      <vt:lpstr>ParcellePaturageS4</vt:lpstr>
      <vt:lpstr>ParcellePaturageS5</vt:lpstr>
      <vt:lpstr>perfo_bio</vt:lpstr>
      <vt:lpstr>perfo_race_convent</vt:lpstr>
      <vt:lpstr>Champs!PlanRotationPaturageS0</vt:lpstr>
      <vt:lpstr>Champs!PlanRotationPaturageS1</vt:lpstr>
      <vt:lpstr>Champs!PlanRotationPaturageS2</vt:lpstr>
      <vt:lpstr>Champs!PlanRotationPaturageS3</vt:lpstr>
      <vt:lpstr>Champs!PlanRotationPaturageS4</vt:lpstr>
      <vt:lpstr>Champs!PlanRotationPaturageS5</vt:lpstr>
      <vt:lpstr>PlanRotationS0</vt:lpstr>
      <vt:lpstr>Champs!PlanRotationS1</vt:lpstr>
      <vt:lpstr>Champs!PlanRotationS2</vt:lpstr>
      <vt:lpstr>Champs!PlanRotationS3</vt:lpstr>
      <vt:lpstr>Champs!PlanRotationS4</vt:lpstr>
      <vt:lpstr>Champs!PlanRotationS5</vt:lpstr>
      <vt:lpstr>RéfChampsOrig!Prix_paille</vt:lpstr>
      <vt:lpstr>Prix_paille</vt:lpstr>
      <vt:lpstr>Prix_quota</vt:lpstr>
      <vt:lpstr>Champs!PrixS0</vt:lpstr>
      <vt:lpstr>Champs!PrixS1</vt:lpstr>
      <vt:lpstr>Champs!PrixS2</vt:lpstr>
      <vt:lpstr>Champs!PrixS3</vt:lpstr>
      <vt:lpstr>Champs!PrixS4</vt:lpstr>
      <vt:lpstr>Champs!PrixS5</vt:lpstr>
      <vt:lpstr>Champs!ProdS0</vt:lpstr>
      <vt:lpstr>Champs!ProdS1</vt:lpstr>
      <vt:lpstr>Champs!ProdS2</vt:lpstr>
      <vt:lpstr>Champs!ProdS3</vt:lpstr>
      <vt:lpstr>Champs!ProdS4</vt:lpstr>
      <vt:lpstr>Champs!ProdS5</vt:lpstr>
      <vt:lpstr>Champs!ProduitsParCulture</vt:lpstr>
      <vt:lpstr>Champs!recolterPailleBio</vt:lpstr>
      <vt:lpstr>réfAffectationAlimentsProduits</vt:lpstr>
      <vt:lpstr>réfAssolement</vt:lpstr>
      <vt:lpstr>RéfChampsOrig!RéfBlédAutomne</vt:lpstr>
      <vt:lpstr>RéfBlédAutomne</vt:lpstr>
      <vt:lpstr>réfCultures</vt:lpstr>
      <vt:lpstr>RéfChampsOrig!RéfGrainsMélangés</vt:lpstr>
      <vt:lpstr>RéfGrainsMélangés</vt:lpstr>
      <vt:lpstr>réfInvestDonnéesBatiments</vt:lpstr>
      <vt:lpstr>réfInvestDonnéesTracteurs</vt:lpstr>
      <vt:lpstr>réfInvestissements</vt:lpstr>
      <vt:lpstr>RéfChampsOrig!réfInvestissementsDétails</vt:lpstr>
      <vt:lpstr>réfInvestissementsDétails</vt:lpstr>
      <vt:lpstr>RéfInvestMachineriesDonnéesCéréales</vt:lpstr>
      <vt:lpstr>RéfInvestMachineriesDonnéesMaïs</vt:lpstr>
      <vt:lpstr>réfInvestMachineriesDonnéesSoya</vt:lpstr>
      <vt:lpstr>RéfInvestSuperficies</vt:lpstr>
      <vt:lpstr>réfRotationCultures</vt:lpstr>
      <vt:lpstr>réfRotationPâturage</vt:lpstr>
      <vt:lpstr>RéfChampsOrig!RéfSoya</vt:lpstr>
      <vt:lpstr>RéfSoya</vt:lpstr>
      <vt:lpstr>réfSynthèseChamps</vt:lpstr>
      <vt:lpstr>Champs!RéfTableDesMatières</vt:lpstr>
      <vt:lpstr>Lait!RéfTableDesMatières</vt:lpstr>
      <vt:lpstr>Normes!RéfTableDesMatières</vt:lpstr>
      <vt:lpstr>scenario1</vt:lpstr>
      <vt:lpstr>scenario2</vt:lpstr>
      <vt:lpstr>scenario3</vt:lpstr>
      <vt:lpstr>scenario4</vt:lpstr>
      <vt:lpstr>scenario5</vt:lpstr>
      <vt:lpstr>Config!ScénariosUtilisés</vt:lpstr>
      <vt:lpstr>ScoreFreins</vt:lpstr>
      <vt:lpstr>'Motivations &amp; Freins'!ScoreMotivations</vt:lpstr>
      <vt:lpstr>ScoresEchelle</vt:lpstr>
      <vt:lpstr>ScoresFreins</vt:lpstr>
      <vt:lpstr>ScoresMotivations</vt:lpstr>
      <vt:lpstr>Champs!SectionLait</vt:lpstr>
      <vt:lpstr>Normes!SectionLait</vt:lpstr>
      <vt:lpstr>Synthèse!SectionLait</vt:lpstr>
      <vt:lpstr>'Motivations &amp; Freins'!seuilSynthèse</vt:lpstr>
      <vt:lpstr>Investissements!SommeBâtiments</vt:lpstr>
      <vt:lpstr>Investissements!SommeMachineries</vt:lpstr>
      <vt:lpstr>Investissements!SommeTracteurs</vt:lpstr>
      <vt:lpstr>sortie</vt:lpstr>
      <vt:lpstr>Champs!SuperficieCulturesS0</vt:lpstr>
      <vt:lpstr>Champs!SuperficieCulturesS1</vt:lpstr>
      <vt:lpstr>Champs!SuperficieCulturesS2</vt:lpstr>
      <vt:lpstr>Champs!SuperficieCulturesS3</vt:lpstr>
      <vt:lpstr>Champs!SuperficieCulturesS4</vt:lpstr>
      <vt:lpstr>Champs!SuperficieCulturesS5</vt:lpstr>
      <vt:lpstr>Investissements!SuperficieMaxCulturesAnnuelles</vt:lpstr>
      <vt:lpstr>Champs!SuperficiePaturagesS0</vt:lpstr>
      <vt:lpstr>Champs!SuperficiePaturagesS1</vt:lpstr>
      <vt:lpstr>Champs!SuperficiePaturagesS2</vt:lpstr>
      <vt:lpstr>Champs!SuperficiePaturagesS3</vt:lpstr>
      <vt:lpstr>Champs!SuperficiePaturagesS4</vt:lpstr>
      <vt:lpstr>Champs!SuperficiePaturagesS5</vt:lpstr>
      <vt:lpstr>Champs!SuperficiesAnnuellesTousScenarios</vt:lpstr>
      <vt:lpstr>Champs!SuperficieTotaleS0</vt:lpstr>
      <vt:lpstr>Champs!SuperficieTotaleS1</vt:lpstr>
      <vt:lpstr>Champs!SuperficieTotaleS2</vt:lpstr>
      <vt:lpstr>Champs!SuperficieTotaleS3</vt:lpstr>
      <vt:lpstr>Champs!SuperficieTotaleS4</vt:lpstr>
      <vt:lpstr>Champs!SuperficieTotaleS5</vt:lpstr>
      <vt:lpstr>table_3</vt:lpstr>
      <vt:lpstr>Table_5</vt:lpstr>
      <vt:lpstr>Table_6</vt:lpstr>
      <vt:lpstr>Table_portion_fourrages</vt:lpstr>
      <vt:lpstr>Table_prix_aliments</vt:lpstr>
      <vt:lpstr>table_prix_animaux</vt:lpstr>
      <vt:lpstr>Table_prix_concentrés</vt:lpstr>
      <vt:lpstr>table_prix_lait</vt:lpstr>
      <vt:lpstr>taux_amort</vt:lpstr>
      <vt:lpstr>Description!TDM</vt:lpstr>
      <vt:lpstr>Normes!TDM</vt:lpstr>
      <vt:lpstr>Champs!tdmChamps</vt:lpstr>
      <vt:lpstr>tdmLait</vt:lpstr>
      <vt:lpstr>TopFreins</vt:lpstr>
      <vt:lpstr>TopMotivations</vt:lpstr>
      <vt:lpstr>Config!TypeDeFerme</vt:lpstr>
      <vt:lpstr>version</vt:lpstr>
      <vt:lpstr>Config!versionFichierÀimporter</vt:lpstr>
      <vt:lpstr>Accueil!Zone_d_impression</vt:lpstr>
      <vt:lpstr>Description!Zone_d_impression</vt:lpstr>
      <vt:lpstr>Investissements!Zone_d_impression</vt:lpstr>
      <vt:lpstr>Lait!Zone_d_impression</vt:lpstr>
      <vt:lpstr>'Motivations &amp; Freins'!Zone_d_impression</vt:lpstr>
      <vt:lpstr>Normes!Zone_d_impression</vt:lpstr>
      <vt:lpstr>PageTitre!Zone_d_impression</vt:lpstr>
      <vt:lpstr>Champs!zoneAliment</vt:lpstr>
      <vt:lpstr>Champs!zoneAlimentAutre1</vt:lpstr>
      <vt:lpstr>Champs!zoneAlimentAutre2</vt:lpstr>
      <vt:lpstr>Champs!zoneAlimentAutre3</vt:lpstr>
      <vt:lpstr>Champs!zoneAlimentAvoine</vt:lpstr>
      <vt:lpstr>Champs!zoneAlimentBledautomne</vt:lpstr>
      <vt:lpstr>Champs!zoneAlimentBledeprintemps</vt:lpstr>
      <vt:lpstr>Champs!zoneAlimentCanola</vt:lpstr>
      <vt:lpstr>Champs!zoneAlimentChanvre</vt:lpstr>
      <vt:lpstr>Champs!zoneAlimentEngraisverts</vt:lpstr>
      <vt:lpstr>Champs!zoneAlimentEpeautredautomne</vt:lpstr>
      <vt:lpstr>Champs!zoneAlimentEpeautredeprintemps</vt:lpstr>
      <vt:lpstr>Champs!zoneAlimentGrainsmelanges</vt:lpstr>
      <vt:lpstr>Champs!zoneAlimentHaricotssecs</vt:lpstr>
      <vt:lpstr>Champs!zoneAlimentMaisensilage</vt:lpstr>
      <vt:lpstr>Champs!zoneAlimentMaisgrain</vt:lpstr>
      <vt:lpstr>Champs!zoneAlimentOrge</vt:lpstr>
      <vt:lpstr>Champs!zoneAlimentPaturage</vt:lpstr>
      <vt:lpstr>Champs!zoneAlimentPrairies</vt:lpstr>
      <vt:lpstr>Champs!zoneAlimentSarrasin</vt:lpstr>
      <vt:lpstr>Champs!zoneAlimentSeigledautomne</vt:lpstr>
      <vt:lpstr>Champs!zoneAlimentSoya</vt:lpstr>
      <vt:lpstr>Champs!zoneAutre1</vt:lpstr>
      <vt:lpstr>Lait!zoneAutre1</vt:lpstr>
      <vt:lpstr>RéfChamps!zoneAutre1</vt:lpstr>
      <vt:lpstr>Synthèse!zoneAutre1</vt:lpstr>
      <vt:lpstr>Champs!zoneAutre2</vt:lpstr>
      <vt:lpstr>Lait!zoneAutre2</vt:lpstr>
      <vt:lpstr>RéfChamps!zoneAutre2</vt:lpstr>
      <vt:lpstr>Synthèse!zoneAutre2</vt:lpstr>
      <vt:lpstr>Champs!zoneAutre3</vt:lpstr>
      <vt:lpstr>Lait!zoneAutre3</vt:lpstr>
      <vt:lpstr>RéfChamps!zoneAutre3</vt:lpstr>
      <vt:lpstr>Synthèse!zoneAutre3</vt:lpstr>
      <vt:lpstr>Champs!zoneAvoine</vt:lpstr>
      <vt:lpstr>Lait!zoneAvoine</vt:lpstr>
      <vt:lpstr>RéfChamps!zoneAvoine</vt:lpstr>
      <vt:lpstr>Synthèse!zoneAvoine</vt:lpstr>
      <vt:lpstr>Champs!zoneBledautomne</vt:lpstr>
      <vt:lpstr>Lait!zoneBledautomne</vt:lpstr>
      <vt:lpstr>RéfChamps!zoneBledautomne</vt:lpstr>
      <vt:lpstr>Synthèse!zoneBledautomne</vt:lpstr>
      <vt:lpstr>Champs!zoneBledeprintemps</vt:lpstr>
      <vt:lpstr>Lait!zoneBledeprintemps</vt:lpstr>
      <vt:lpstr>RéfChamps!zoneBledeprintemps</vt:lpstr>
      <vt:lpstr>Synthèse!zoneBledeprintemps</vt:lpstr>
      <vt:lpstr>Champs!zoneCanola</vt:lpstr>
      <vt:lpstr>Lait!zoneCanola</vt:lpstr>
      <vt:lpstr>RéfChamps!zoneCanola</vt:lpstr>
      <vt:lpstr>Synthèse!zoneCanola</vt:lpstr>
      <vt:lpstr>Champs!zoneChanvre</vt:lpstr>
      <vt:lpstr>Lait!zoneChanvre</vt:lpstr>
      <vt:lpstr>RéfChamps!zoneChanvre</vt:lpstr>
      <vt:lpstr>Synthèse!zoneChanvre</vt:lpstr>
      <vt:lpstr>Champs!zoneEngraisverts</vt:lpstr>
      <vt:lpstr>Lait!zoneEngraisverts</vt:lpstr>
      <vt:lpstr>RéfChamps!zoneEngraisverts</vt:lpstr>
      <vt:lpstr>Synthèse!zoneEngraisverts</vt:lpstr>
      <vt:lpstr>Champs!zoneEpeautredautomne</vt:lpstr>
      <vt:lpstr>Lait!zoneEpeautredautomne</vt:lpstr>
      <vt:lpstr>RéfChamps!zoneEpeautredautomne</vt:lpstr>
      <vt:lpstr>Synthèse!zoneEpeautredautomne</vt:lpstr>
      <vt:lpstr>Champs!zoneEpeautredeprintemps</vt:lpstr>
      <vt:lpstr>Lait!zoneEpeautredeprintemps</vt:lpstr>
      <vt:lpstr>RéfChamps!zoneEpeautredeprintemps</vt:lpstr>
      <vt:lpstr>Champs!zoneGrainsmelanges</vt:lpstr>
      <vt:lpstr>Lait!zoneGrainsmelanges</vt:lpstr>
      <vt:lpstr>RéfChamps!zoneGrainsmelanges</vt:lpstr>
      <vt:lpstr>Synthèse!zoneGrainsmelanges</vt:lpstr>
      <vt:lpstr>Champs!zoneHaricotssecs</vt:lpstr>
      <vt:lpstr>Lait!zoneHaricotssecs</vt:lpstr>
      <vt:lpstr>RéfChamps!zoneHaricotssecs</vt:lpstr>
      <vt:lpstr>Champs!zoneInput1</vt:lpstr>
      <vt:lpstr>Lait!zoneInput1</vt:lpstr>
      <vt:lpstr>Normes!ZoneInput1</vt:lpstr>
      <vt:lpstr>Champs!zoneInput2</vt:lpstr>
      <vt:lpstr>Lait!zoneInput2</vt:lpstr>
      <vt:lpstr>Lait!zoneInput3</vt:lpstr>
      <vt:lpstr>Lait!zoneInput4</vt:lpstr>
      <vt:lpstr>Lait!zoneInput5</vt:lpstr>
      <vt:lpstr>Champs!zoneJachere</vt:lpstr>
      <vt:lpstr>Lait!zoneJachere</vt:lpstr>
      <vt:lpstr>RéfChamps!zoneJachere</vt:lpstr>
      <vt:lpstr>Champs!zoneMaisensilage</vt:lpstr>
      <vt:lpstr>Lait!zoneMaisensilage</vt:lpstr>
      <vt:lpstr>RéfChamps!zoneMaisensilage</vt:lpstr>
      <vt:lpstr>Synthèse!zoneMaisensilage</vt:lpstr>
      <vt:lpstr>Champs!zoneMaisgrain</vt:lpstr>
      <vt:lpstr>Lait!zoneMaisgrain</vt:lpstr>
      <vt:lpstr>RéfChamps!zoneMaisgrain</vt:lpstr>
      <vt:lpstr>Synthèse!zoneMaisgrain</vt:lpstr>
      <vt:lpstr>Champs!zoneOrge</vt:lpstr>
      <vt:lpstr>Lait!zoneOrge</vt:lpstr>
      <vt:lpstr>RéfChamps!zoneOrge</vt:lpstr>
      <vt:lpstr>Synthèse!zoneOrge</vt:lpstr>
      <vt:lpstr>Champs!zonePaturage</vt:lpstr>
      <vt:lpstr>Lait!zonePaturage</vt:lpstr>
      <vt:lpstr>RéfChamps!zonePaturage</vt:lpstr>
      <vt:lpstr>Synthèse!zonePaturage</vt:lpstr>
      <vt:lpstr>Champs!zonePrairies</vt:lpstr>
      <vt:lpstr>Lait!zonePrairies</vt:lpstr>
      <vt:lpstr>RéfChamps!zonePrairies</vt:lpstr>
      <vt:lpstr>Synthèse!zonePrairies</vt:lpstr>
      <vt:lpstr>Champs!zoneSarrasin</vt:lpstr>
      <vt:lpstr>Lait!zoneSarrasin</vt:lpstr>
      <vt:lpstr>RéfChamps!zoneSarrasin</vt:lpstr>
      <vt:lpstr>Synthèse!zoneSarrasin</vt:lpstr>
      <vt:lpstr>Champs!zoneSeigledautomne</vt:lpstr>
      <vt:lpstr>Lait!zoneSeigledautomne</vt:lpstr>
      <vt:lpstr>Synthèse!zoneSeigledautomne</vt:lpstr>
      <vt:lpstr>Champs!zoneSoya</vt:lpstr>
      <vt:lpstr>Lait!zoneSoya</vt:lpstr>
      <vt:lpstr>RéfChamps!zoneSoya</vt:lpstr>
      <vt:lpstr>Synthèse!zoneSoya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Tran$ition Bio Express</dc:title>
  <dc:creator>Geoffroy Ménard</dc:creator>
  <cp:keywords>Diagnostic de transition à l'agriculture biologique pour fermes laitières et de grandes cultures</cp:keywords>
  <cp:lastModifiedBy>Geoffroy Ménard</cp:lastModifiedBy>
  <cp:lastPrinted>2018-06-18T16:42:35Z</cp:lastPrinted>
  <dcterms:created xsi:type="dcterms:W3CDTF">2017-10-17T19:42:50Z</dcterms:created>
  <dcterms:modified xsi:type="dcterms:W3CDTF">2020-10-06T16:19:48Z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0x010100AEEF47B1A0A8C748A62823BD6843C702</vt:lpwstr>
  </property>
  <property fmtid="{D5CDD505-2E9C-101B-9397-08002B2CF9AE}" pid="3" name="WorkbookGuid">
    <vt:lpwstr>3b978d6c-4e98-419b-86d5-f18944b57f4d</vt:lpwstr>
  </property>
</Properties>
</file>